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0" yWindow="0" windowWidth="20490" windowHeight="7530" tabRatio="833" activeTab="2"/>
  </bookViews>
  <sheets>
    <sheet name="Rekapitulasi" sheetId="75" r:id="rId1"/>
    <sheet name="Pengadaan Tower" sheetId="74" r:id="rId2"/>
    <sheet name="EM Pengadaan &amp; Pemasangan" sheetId="73" r:id="rId3"/>
    <sheet name="Tower Erection" sheetId="71" r:id="rId4"/>
    <sheet name="Harga Satuan Erection" sheetId="70" r:id="rId5"/>
    <sheet name="Langsir Material" sheetId="69" state="hidden" r:id="rId6"/>
    <sheet name="C1. Rekap Pondasi 4 Pile" sheetId="68" r:id="rId7"/>
    <sheet name="Pondasi 4 Pile" sheetId="67" r:id="rId8"/>
    <sheet name="C2. Rekap Pondasi 6 Pile" sheetId="66" r:id="rId9"/>
    <sheet name="Pondasi 6 Pile" sheetId="65" r:id="rId10"/>
    <sheet name="C3. Provisional Sum" sheetId="72" r:id="rId11"/>
    <sheet name="AHS" sheetId="37" r:id="rId12"/>
    <sheet name="UNIT PRICE" sheetId="10" r:id="rId13"/>
    <sheet name="PENGADAAN" sheetId="64" r:id="rId14"/>
    <sheet name="A.H.S.PEK 2 " sheetId="55" state="hidden" r:id="rId15"/>
    <sheet name="1" sheetId="50" state="hidden" r:id="rId16"/>
    <sheet name="2" sheetId="18" state="hidden" r:id="rId17"/>
    <sheet name="Sheet1" sheetId="53" state="hidden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gk2" localSheetId="8" hidden="1">#REF!</definedName>
    <definedName name="___gk2" localSheetId="13" hidden="1">#REF!</definedName>
    <definedName name="___gk2" localSheetId="9" hidden="1">#REF!</definedName>
    <definedName name="___gk2" hidden="1">#REF!</definedName>
    <definedName name="___KEY001" localSheetId="8" hidden="1">[1]LOADDAT!#REF!</definedName>
    <definedName name="___KEY001" localSheetId="13" hidden="1">[1]LOADDAT!#REF!</definedName>
    <definedName name="___KEY001" localSheetId="9" hidden="1">[1]LOADDAT!#REF!</definedName>
    <definedName name="___KEY001" hidden="1">[1]LOADDAT!#REF!</definedName>
    <definedName name="___KEY002" localSheetId="8" hidden="1">[1]LOADDAT!#REF!</definedName>
    <definedName name="___KEY002" localSheetId="13" hidden="1">[1]LOADDAT!#REF!</definedName>
    <definedName name="___KEY002" localSheetId="9" hidden="1">[1]LOADDAT!#REF!</definedName>
    <definedName name="___KEY002" hidden="1">[1]LOADDAT!#REF!</definedName>
    <definedName name="___KEY01" localSheetId="8" hidden="1">[1]LOADDAT!#REF!</definedName>
    <definedName name="___KEY01" localSheetId="13" hidden="1">[1]LOADDAT!#REF!</definedName>
    <definedName name="___KEY01" localSheetId="9" hidden="1">[1]LOADDAT!#REF!</definedName>
    <definedName name="___KEY01" hidden="1">[1]LOADDAT!#REF!</definedName>
    <definedName name="___KEY02" localSheetId="8" hidden="1">[1]LOADDAT!#REF!</definedName>
    <definedName name="___KEY02" localSheetId="13" hidden="1">[1]LOADDAT!#REF!</definedName>
    <definedName name="___KEY02" localSheetId="9" hidden="1">[1]LOADDAT!#REF!</definedName>
    <definedName name="___KEY02" hidden="1">[1]LOADDAT!#REF!</definedName>
    <definedName name="___key1" localSheetId="8" hidden="1">#REF!</definedName>
    <definedName name="___key1" localSheetId="13" hidden="1">#REF!</definedName>
    <definedName name="___key1" localSheetId="9" hidden="1">#REF!</definedName>
    <definedName name="___key1" hidden="1">#REF!</definedName>
    <definedName name="___Key2" localSheetId="8" hidden="1">'[2]struktur tdk dipakai'!#REF!</definedName>
    <definedName name="___Key2" localSheetId="13" hidden="1">'[2]struktur tdk dipakai'!#REF!</definedName>
    <definedName name="___Key2" localSheetId="9" hidden="1">'[2]struktur tdk dipakai'!#REF!</definedName>
    <definedName name="___Key2" hidden="1">'[2]struktur tdk dipakai'!#REF!</definedName>
    <definedName name="__123Graph_A" localSheetId="6" hidden="1">'[3]TRNS-C1'!#REF!</definedName>
    <definedName name="__123Graph_A" localSheetId="8" hidden="1">'[3]TRNS-C1'!#REF!</definedName>
    <definedName name="__123Graph_A" localSheetId="10" hidden="1">'[3]TRNS-C1'!#REF!</definedName>
    <definedName name="__123Graph_A" localSheetId="2" hidden="1">'[3]TRNS-C1'!#REF!</definedName>
    <definedName name="__123Graph_A" localSheetId="4" hidden="1">'[3]TRNS-C1'!#REF!</definedName>
    <definedName name="__123Graph_A" localSheetId="5" hidden="1">'[3]TRNS-C1'!#REF!</definedName>
    <definedName name="__123Graph_A" localSheetId="13" hidden="1">'[3]TRNS-C1'!#REF!</definedName>
    <definedName name="__123Graph_A" localSheetId="1" hidden="1">'[3]TRNS-C1'!#REF!</definedName>
    <definedName name="__123Graph_A" localSheetId="7" hidden="1">'[3]TRNS-C1'!#REF!</definedName>
    <definedName name="__123Graph_A" localSheetId="9" hidden="1">'[3]TRNS-C1'!#REF!</definedName>
    <definedName name="__123Graph_A" localSheetId="0" hidden="1">'[3]TRNS-C1'!#REF!</definedName>
    <definedName name="__123Graph_A" localSheetId="17" hidden="1">[4]div2!#REF!</definedName>
    <definedName name="__123Graph_A" localSheetId="3" hidden="1">'[3]TRNS-C1'!#REF!</definedName>
    <definedName name="__123Graph_A" hidden="1">[4]div2!#REF!</definedName>
    <definedName name="__123Graph_AChart1" localSheetId="8" hidden="1">'[5]EE-PROP'!#REF!</definedName>
    <definedName name="__123Graph_AChart1" localSheetId="13" hidden="1">'[5]EE-PROP'!#REF!</definedName>
    <definedName name="__123Graph_AChart1" localSheetId="9" hidden="1">'[5]EE-PROP'!#REF!</definedName>
    <definedName name="__123Graph_AChart1" hidden="1">'[5]EE-PROP'!#REF!</definedName>
    <definedName name="__123Graph_ACurrent" localSheetId="8" hidden="1">'[5]EE-PROP'!#REF!</definedName>
    <definedName name="__123Graph_ACurrent" localSheetId="13" hidden="1">'[5]EE-PROP'!#REF!</definedName>
    <definedName name="__123Graph_ACurrent" localSheetId="9" hidden="1">'[5]EE-PROP'!#REF!</definedName>
    <definedName name="__123Graph_ACurrent" hidden="1">'[5]EE-PROP'!#REF!</definedName>
    <definedName name="__123Graph_AIRR_EQ" localSheetId="8" hidden="1">#REF!</definedName>
    <definedName name="__123Graph_AIRR_EQ" localSheetId="13" hidden="1">#REF!</definedName>
    <definedName name="__123Graph_AIRR_EQ" localSheetId="9" hidden="1">#REF!</definedName>
    <definedName name="__123Graph_AIRR_EQ" hidden="1">#REF!</definedName>
    <definedName name="__123Graph_B" localSheetId="6" hidden="1">'[3]TRNS-C1'!#REF!</definedName>
    <definedName name="__123Graph_B" localSheetId="8" hidden="1">'[3]TRNS-C1'!#REF!</definedName>
    <definedName name="__123Graph_B" localSheetId="10" hidden="1">'[3]TRNS-C1'!#REF!</definedName>
    <definedName name="__123Graph_B" localSheetId="2" hidden="1">'[3]TRNS-C1'!#REF!</definedName>
    <definedName name="__123Graph_B" localSheetId="4" hidden="1">'[3]TRNS-C1'!#REF!</definedName>
    <definedName name="__123Graph_B" localSheetId="5" hidden="1">'[3]TRNS-C1'!#REF!</definedName>
    <definedName name="__123Graph_B" localSheetId="13" hidden="1">'[3]TRNS-C1'!#REF!</definedName>
    <definedName name="__123Graph_B" localSheetId="1" hidden="1">'[3]TRNS-C1'!#REF!</definedName>
    <definedName name="__123Graph_B" localSheetId="7" hidden="1">'[3]TRNS-C1'!#REF!</definedName>
    <definedName name="__123Graph_B" localSheetId="9" hidden="1">'[3]TRNS-C1'!#REF!</definedName>
    <definedName name="__123Graph_B" localSheetId="0" hidden="1">'[3]TRNS-C1'!#REF!</definedName>
    <definedName name="__123Graph_B" localSheetId="17" hidden="1">[4]div2!#REF!</definedName>
    <definedName name="__123Graph_B" localSheetId="3" hidden="1">'[3]TRNS-C1'!#REF!</definedName>
    <definedName name="__123Graph_B" hidden="1">[4]div2!#REF!</definedName>
    <definedName name="__123Graph_BChart1" localSheetId="13" hidden="1">'[5]EE-PROP'!#REF!</definedName>
    <definedName name="__123Graph_BChart1" hidden="1">'[5]EE-PROP'!#REF!</definedName>
    <definedName name="__123Graph_BCurrent" localSheetId="13" hidden="1">'[5]EE-PROP'!#REF!</definedName>
    <definedName name="__123Graph_BCurrent" hidden="1">'[5]EE-PROP'!#REF!</definedName>
    <definedName name="__123Graph_C" localSheetId="6" hidden="1">[6]AC!#REF!</definedName>
    <definedName name="__123Graph_C" localSheetId="8" hidden="1">[6]AC!#REF!</definedName>
    <definedName name="__123Graph_C" localSheetId="10" hidden="1">[6]AC!#REF!</definedName>
    <definedName name="__123Graph_C" localSheetId="2" hidden="1">[6]AC!#REF!</definedName>
    <definedName name="__123Graph_C" localSheetId="4" hidden="1">[6]AC!#REF!</definedName>
    <definedName name="__123Graph_C" localSheetId="5" hidden="1">[6]AC!#REF!</definedName>
    <definedName name="__123Graph_C" localSheetId="13" hidden="1">[6]AC!#REF!</definedName>
    <definedName name="__123Graph_C" localSheetId="1" hidden="1">[6]AC!#REF!</definedName>
    <definedName name="__123Graph_C" localSheetId="7" hidden="1">[6]AC!#REF!</definedName>
    <definedName name="__123Graph_C" localSheetId="9" hidden="1">[6]AC!#REF!</definedName>
    <definedName name="__123Graph_C" localSheetId="0" hidden="1">[6]AC!#REF!</definedName>
    <definedName name="__123Graph_C" localSheetId="3" hidden="1">[6]AC!#REF!</definedName>
    <definedName name="__123Graph_C" hidden="1">[7]A!$AG$13:$AG$22</definedName>
    <definedName name="__123Graph_D" localSheetId="6" hidden="1">'[8]RAB AR&amp;STR'!#REF!</definedName>
    <definedName name="__123Graph_D" localSheetId="8" hidden="1">'[8]RAB AR&amp;STR'!#REF!</definedName>
    <definedName name="__123Graph_D" localSheetId="10" hidden="1">'[8]RAB AR&amp;STR'!#REF!</definedName>
    <definedName name="__123Graph_D" localSheetId="2" hidden="1">'[8]RAB AR&amp;STR'!#REF!</definedName>
    <definedName name="__123Graph_D" localSheetId="4" hidden="1">'[8]RAB AR&amp;STR'!#REF!</definedName>
    <definedName name="__123Graph_D" localSheetId="5" hidden="1">'[8]RAB AR&amp;STR'!#REF!</definedName>
    <definedName name="__123Graph_D" localSheetId="13" hidden="1">'[8]RAB AR&amp;STR'!#REF!</definedName>
    <definedName name="__123Graph_D" localSheetId="1" hidden="1">'[8]RAB AR&amp;STR'!#REF!</definedName>
    <definedName name="__123Graph_D" localSheetId="7" hidden="1">'[8]RAB AR&amp;STR'!#REF!</definedName>
    <definedName name="__123Graph_D" localSheetId="9" hidden="1">'[8]RAB AR&amp;STR'!#REF!</definedName>
    <definedName name="__123Graph_D" localSheetId="0" hidden="1">'[8]RAB AR&amp;STR'!#REF!</definedName>
    <definedName name="__123Graph_D" localSheetId="17" hidden="1">'[8]RAB AR&amp;STR'!#REF!</definedName>
    <definedName name="__123Graph_D" localSheetId="3" hidden="1">'[8]RAB AR&amp;STR'!#REF!</definedName>
    <definedName name="__123Graph_D" hidden="1">'[8]RAB AR&amp;STR'!#REF!</definedName>
    <definedName name="__123Graph_E" localSheetId="13" hidden="1">[6]AC!#REF!</definedName>
    <definedName name="__123Graph_E" hidden="1">[6]AC!#REF!</definedName>
    <definedName name="__123Graph_F" localSheetId="13" hidden="1">[9]ESCON!#REF!</definedName>
    <definedName name="__123Graph_F" hidden="1">[9]ESCON!#REF!</definedName>
    <definedName name="__123Graph_X" localSheetId="6" hidden="1">'[3]TRNS-C1'!#REF!</definedName>
    <definedName name="__123Graph_X" localSheetId="8" hidden="1">'[3]TRNS-C1'!#REF!</definedName>
    <definedName name="__123Graph_X" localSheetId="10" hidden="1">'[3]TRNS-C1'!#REF!</definedName>
    <definedName name="__123Graph_X" localSheetId="2" hidden="1">'[3]TRNS-C1'!#REF!</definedName>
    <definedName name="__123Graph_X" localSheetId="4" hidden="1">'[3]TRNS-C1'!#REF!</definedName>
    <definedName name="__123Graph_X" localSheetId="5" hidden="1">'[3]TRNS-C1'!#REF!</definedName>
    <definedName name="__123Graph_X" localSheetId="13" hidden="1">'[3]TRNS-C1'!#REF!</definedName>
    <definedName name="__123Graph_X" localSheetId="1" hidden="1">'[3]TRNS-C1'!#REF!</definedName>
    <definedName name="__123Graph_X" localSheetId="7" hidden="1">'[3]TRNS-C1'!#REF!</definedName>
    <definedName name="__123Graph_X" localSheetId="9" hidden="1">'[3]TRNS-C1'!#REF!</definedName>
    <definedName name="__123Graph_X" localSheetId="0" hidden="1">'[3]TRNS-C1'!#REF!</definedName>
    <definedName name="__123Graph_X" localSheetId="17" hidden="1">[4]div2!#REF!</definedName>
    <definedName name="__123Graph_X" localSheetId="3" hidden="1">'[3]TRNS-C1'!#REF!</definedName>
    <definedName name="__123Graph_X" hidden="1">[4]div2!#REF!</definedName>
    <definedName name="__123Graph_XChart1" localSheetId="13" hidden="1">'[5]EE-PROP'!#REF!</definedName>
    <definedName name="__123Graph_XChart1" hidden="1">'[5]EE-PROP'!#REF!</definedName>
    <definedName name="__123Graph_XCurrent" localSheetId="13" hidden="1">'[5]EE-PROP'!#REF!</definedName>
    <definedName name="__123Graph_XCurrent" hidden="1">'[5]EE-PROP'!#REF!</definedName>
    <definedName name="__123Graph_XIRR_EQ" localSheetId="8" hidden="1">#REF!</definedName>
    <definedName name="__123Graph_XIRR_EQ" localSheetId="13" hidden="1">#REF!</definedName>
    <definedName name="__123Graph_XIRR_EQ" localSheetId="9" hidden="1">#REF!</definedName>
    <definedName name="__123Graph_XIRR_EQ" hidden="1">#REF!</definedName>
    <definedName name="__gk2" localSheetId="8" hidden="1">#REF!</definedName>
    <definedName name="__gk2" localSheetId="13" hidden="1">#REF!</definedName>
    <definedName name="__gk2" localSheetId="9" hidden="1">#REF!</definedName>
    <definedName name="__gk2" hidden="1">#REF!</definedName>
    <definedName name="__IntlFixup" hidden="1">TRUE</definedName>
    <definedName name="__KEY001" localSheetId="8" hidden="1">[1]LOADDAT!#REF!</definedName>
    <definedName name="__KEY001" localSheetId="13" hidden="1">[1]LOADDAT!#REF!</definedName>
    <definedName name="__KEY001" localSheetId="9" hidden="1">[1]LOADDAT!#REF!</definedName>
    <definedName name="__KEY001" hidden="1">[1]LOADDAT!#REF!</definedName>
    <definedName name="__KEY002" localSheetId="8" hidden="1">[1]LOADDAT!#REF!</definedName>
    <definedName name="__KEY002" localSheetId="13" hidden="1">[1]LOADDAT!#REF!</definedName>
    <definedName name="__KEY002" localSheetId="9" hidden="1">[1]LOADDAT!#REF!</definedName>
    <definedName name="__KEY002" hidden="1">[1]LOADDAT!#REF!</definedName>
    <definedName name="__KEY01" localSheetId="8" hidden="1">[1]LOADDAT!#REF!</definedName>
    <definedName name="__KEY01" localSheetId="13" hidden="1">[1]LOADDAT!#REF!</definedName>
    <definedName name="__KEY01" localSheetId="9" hidden="1">[1]LOADDAT!#REF!</definedName>
    <definedName name="__KEY01" hidden="1">[1]LOADDAT!#REF!</definedName>
    <definedName name="__KEY02" localSheetId="8" hidden="1">[1]LOADDAT!#REF!</definedName>
    <definedName name="__KEY02" localSheetId="13" hidden="1">[1]LOADDAT!#REF!</definedName>
    <definedName name="__KEY02" localSheetId="9" hidden="1">[1]LOADDAT!#REF!</definedName>
    <definedName name="__KEY02" hidden="1">[1]LOADDAT!#REF!</definedName>
    <definedName name="__key1" localSheetId="8" hidden="1">#REF!</definedName>
    <definedName name="__key1" localSheetId="13" hidden="1">#REF!</definedName>
    <definedName name="__key1" localSheetId="9" hidden="1">#REF!</definedName>
    <definedName name="__key1" hidden="1">#REF!</definedName>
    <definedName name="__Key2" localSheetId="8" hidden="1">'[2]struktur tdk dipakai'!#REF!</definedName>
    <definedName name="__Key2" localSheetId="13" hidden="1">'[2]struktur tdk dipakai'!#REF!</definedName>
    <definedName name="__Key2" localSheetId="9" hidden="1">'[2]struktur tdk dipakai'!#REF!</definedName>
    <definedName name="__Key2" hidden="1">'[2]struktur tdk dipakai'!#REF!</definedName>
    <definedName name="__t1" localSheetId="6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8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10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2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4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5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13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1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7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9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0" hidden="1">{"Offgrid",#N/A,FALSE,"OFFGRID";"Region",#N/A,FALSE,"REGION";"Offgrid -2",#N/A,FALSE,"OFFGRID";"WTP",#N/A,FALSE,"WTP";"WTP -2",#N/A,FALSE,"WTP";"Project",#N/A,FALSE,"PROJECT";"Summary -2",#N/A,FALSE,"SUMMARY"}</definedName>
    <definedName name="__t1" localSheetId="3" hidden="1">{"Offgrid",#N/A,FALSE,"OFFGRID";"Region",#N/A,FALSE,"REGION";"Offgrid -2",#N/A,FALSE,"OFFGRID";"WTP",#N/A,FALSE,"WTP";"WTP -2",#N/A,FALSE,"WTP";"Project",#N/A,FALSE,"PROJECT";"Summary -2",#N/A,FALSE,"SUMMARY"}</definedName>
    <definedName name="__t1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6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8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10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2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4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5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13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1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7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9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0" hidden="1">{"Offgrid",#N/A,FALSE,"OFFGRID";"Region",#N/A,FALSE,"REGION";"Offgrid -2",#N/A,FALSE,"OFFGRID";"WTP",#N/A,FALSE,"WTP";"WTP -2",#N/A,FALSE,"WTP";"Project",#N/A,FALSE,"PROJECT";"Summary -2",#N/A,FALSE,"SUMMARY"}</definedName>
    <definedName name="__t2" localSheetId="3" hidden="1">{"Offgrid",#N/A,FALSE,"OFFGRID";"Region",#N/A,FALSE,"REGION";"Offgrid -2",#N/A,FALSE,"OFFGRID";"WTP",#N/A,FALSE,"WTP";"WTP -2",#N/A,FALSE,"WTP";"Project",#N/A,FALSE,"PROJECT";"Summary -2",#N/A,FALSE,"SUMMARY"}</definedName>
    <definedName name="__t2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6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8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10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2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4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5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13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1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7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9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0" hidden="1">{"Offgrid",#N/A,FALSE,"OFFGRID";"Region",#N/A,FALSE,"REGION";"Offgrid -2",#N/A,FALSE,"OFFGRID";"WTP",#N/A,FALSE,"WTP";"WTP -2",#N/A,FALSE,"WTP";"Project",#N/A,FALSE,"PROJECT";"Summary -2",#N/A,FALSE,"SUMMARY"}</definedName>
    <definedName name="__t3" localSheetId="3" hidden="1">{"Offgrid",#N/A,FALSE,"OFFGRID";"Region",#N/A,FALSE,"REGION";"Offgrid -2",#N/A,FALSE,"OFFGRID";"WTP",#N/A,FALSE,"WTP";"WTP -2",#N/A,FALSE,"WTP";"Project",#N/A,FALSE,"PROJECT";"Summary -2",#N/A,FALSE,"SUMMARY"}</definedName>
    <definedName name="__t3" hidden="1">{"Offgrid",#N/A,FALSE,"OFFGRID";"Region",#N/A,FALSE,"REGION";"Offgrid -2",#N/A,FALSE,"OFFGRID";"WTP",#N/A,FALSE,"WTP";"WTP -2",#N/A,FALSE,"WTP";"Project",#N/A,FALSE,"PROJECT";"Summary -2",#N/A,FALSE,"SUMMARY"}</definedName>
    <definedName name="_1_____123Graph_ACHART_1" localSheetId="17" hidden="1">[10]RAB!#REF!</definedName>
    <definedName name="_1_____123Graph_ACHART_1" hidden="1">[10]RAB!#REF!</definedName>
    <definedName name="_1__123Graph_ACHART_1" localSheetId="6" hidden="1">'[11]Cash Flow bulanan'!$K$203:$CX$203</definedName>
    <definedName name="_1__123Graph_ACHART_1" localSheetId="8" hidden="1">'[11]Cash Flow bulanan'!$K$203:$CX$203</definedName>
    <definedName name="_1__123Graph_ACHART_1" localSheetId="10" hidden="1">'[11]Cash Flow bulanan'!$K$203:$CX$203</definedName>
    <definedName name="_1__123Graph_ACHART_1" localSheetId="2" hidden="1">'[11]Cash Flow bulanan'!$K$203:$CX$203</definedName>
    <definedName name="_1__123Graph_ACHART_1" localSheetId="4" hidden="1">'[11]Cash Flow bulanan'!$K$203:$CX$203</definedName>
    <definedName name="_1__123Graph_ACHART_1" localSheetId="5" hidden="1">'[11]Cash Flow bulanan'!$K$203:$CX$203</definedName>
    <definedName name="_1__123Graph_ACHART_1" localSheetId="13" hidden="1">'[11]Cash Flow bulanan'!$K$203:$CX$203</definedName>
    <definedName name="_1__123Graph_ACHART_1" localSheetId="1" hidden="1">'[11]Cash Flow bulanan'!$K$203:$CX$203</definedName>
    <definedName name="_1__123Graph_ACHART_1" localSheetId="7" hidden="1">'[11]Cash Flow bulanan'!$K$203:$CX$203</definedName>
    <definedName name="_1__123Graph_ACHART_1" localSheetId="9" hidden="1">'[11]Cash Flow bulanan'!$K$203:$CX$203</definedName>
    <definedName name="_1__123Graph_ACHART_1" localSheetId="0" hidden="1">'[11]Cash Flow bulanan'!$K$203:$CX$203</definedName>
    <definedName name="_1__123Graph_ACHART_1" localSheetId="17" hidden="1">[12]RAB!#REF!</definedName>
    <definedName name="_1__123Graph_ACHART_1" localSheetId="3" hidden="1">'[11]Cash Flow bulanan'!$K$203:$CX$203</definedName>
    <definedName name="_1__123Graph_ACHART_1" hidden="1">[12]RAB!#REF!</definedName>
    <definedName name="_10__123Graph_XCHART_1" localSheetId="17" hidden="1">[13]RAB!#REF!</definedName>
    <definedName name="_10__123Graph_XCHART_1" hidden="1">[13]RAB!#REF!</definedName>
    <definedName name="_123Graph_F" localSheetId="13" hidden="1">[14]escon!#REF!</definedName>
    <definedName name="_123Graph_F" hidden="1">[14]escon!#REF!</definedName>
    <definedName name="_19__123Graph_ACHART_1" localSheetId="17" hidden="1">[10]RAB!#REF!</definedName>
    <definedName name="_19__123Graph_ACHART_1" hidden="1">[10]RAB!#REF!</definedName>
    <definedName name="_2_____123Graph_XCHART_1" localSheetId="17" hidden="1">[13]RAB!#REF!</definedName>
    <definedName name="_2_____123Graph_XCHART_1" hidden="1">[13]RAB!#REF!</definedName>
    <definedName name="_2__123Graph_ACHART_1" localSheetId="6" hidden="1">'[11]Cash Flow bulanan'!$K$203:$CX$203</definedName>
    <definedName name="_2__123Graph_ACHART_1" localSheetId="8" hidden="1">'[11]Cash Flow bulanan'!$K$203:$CX$203</definedName>
    <definedName name="_2__123Graph_ACHART_1" localSheetId="10" hidden="1">'[11]Cash Flow bulanan'!$K$203:$CX$203</definedName>
    <definedName name="_2__123Graph_ACHART_1" localSheetId="2" hidden="1">'[11]Cash Flow bulanan'!$K$203:$CX$203</definedName>
    <definedName name="_2__123Graph_ACHART_1" localSheetId="4" hidden="1">'[11]Cash Flow bulanan'!$K$203:$CX$203</definedName>
    <definedName name="_2__123Graph_ACHART_1" localSheetId="5" hidden="1">'[11]Cash Flow bulanan'!$K$203:$CX$203</definedName>
    <definedName name="_2__123Graph_ACHART_1" localSheetId="13" hidden="1">'[11]Cash Flow bulanan'!$K$203:$CX$203</definedName>
    <definedName name="_2__123Graph_ACHART_1" localSheetId="1" hidden="1">'[11]Cash Flow bulanan'!$K$203:$CX$203</definedName>
    <definedName name="_2__123Graph_ACHART_1" localSheetId="7" hidden="1">'[11]Cash Flow bulanan'!$K$203:$CX$203</definedName>
    <definedName name="_2__123Graph_ACHART_1" localSheetId="9" hidden="1">'[11]Cash Flow bulanan'!$K$203:$CX$203</definedName>
    <definedName name="_2__123Graph_ACHART_1" localSheetId="0" hidden="1">'[11]Cash Flow bulanan'!$K$203:$CX$203</definedName>
    <definedName name="_2__123Graph_ACHART_1" localSheetId="17" hidden="1">[15]RAB!#REF!</definedName>
    <definedName name="_2__123Graph_ACHART_1" localSheetId="3" hidden="1">'[11]Cash Flow bulanan'!$K$203:$CX$203</definedName>
    <definedName name="_2__123Graph_ACHART_1" hidden="1">[15]RAB!#REF!</definedName>
    <definedName name="_2__123Graph_ACHART_2" hidden="1">[16]Z!$T$179:$AH$179</definedName>
    <definedName name="_2__123Graph_XCHART_1" localSheetId="17" hidden="1">[17]RAB!#REF!</definedName>
    <definedName name="_2__123Graph_XCHART_1" hidden="1">[17]RAB!#REF!</definedName>
    <definedName name="_3__123Graph_ACHART_1" localSheetId="17" hidden="1">[18]RAB!#REF!</definedName>
    <definedName name="_3__123Graph_ACHART_1" hidden="1">[18]RAB!#REF!</definedName>
    <definedName name="_3__123Graph_BCHART_2" hidden="1">[16]Z!$T$180:$AH$180</definedName>
    <definedName name="_38__123Graph_XCHART_1" localSheetId="17" hidden="1">[13]RAB!#REF!</definedName>
    <definedName name="_38__123Graph_XCHART_1" hidden="1">[13]RAB!#REF!</definedName>
    <definedName name="_4_____123Graph_ACHART_1" hidden="1">'[11]Cash Flow bulanan'!$K$203:$CX$203</definedName>
    <definedName name="_4__123Graph_ACHART_1" localSheetId="17" hidden="1">[19]RAB!#REF!</definedName>
    <definedName name="_4__123Graph_ACHART_1" hidden="1">[19]RAB!#REF!</definedName>
    <definedName name="_4__123Graph_CCHART_1" hidden="1">[16]Cash2!$J$16:$J$36</definedName>
    <definedName name="_5___123Graph_ACHART_1" localSheetId="17" hidden="1">[10]RAB!#REF!</definedName>
    <definedName name="_5___123Graph_ACHART_1" hidden="1">[10]RAB!#REF!</definedName>
    <definedName name="_5__123Graph_DCHART_1" hidden="1">[16]Cash2!$K$16:$K$36</definedName>
    <definedName name="_6___123Graph_XCHART_1" localSheetId="17" hidden="1">[13]RAB!#REF!</definedName>
    <definedName name="_6___123Graph_XCHART_1" hidden="1">[13]RAB!#REF!</definedName>
    <definedName name="_6__123Graph_XCHART_1" localSheetId="17" hidden="1">[20]RAB!#REF!</definedName>
    <definedName name="_6__123Graph_XCHART_1" hidden="1">[20]RAB!#REF!</definedName>
    <definedName name="_7____123Graph_ACHART_1" hidden="1">'[11]Cash Flow bulanan'!$K$203:$CX$203</definedName>
    <definedName name="_7__123Graph_ACHART_1" localSheetId="17" hidden="1">[21]RAB!#REF!</definedName>
    <definedName name="_7__123Graph_ACHART_1" hidden="1">[21]RAB!#REF!</definedName>
    <definedName name="_8__123Graph_ACHART_1" localSheetId="17" hidden="1">[10]RAB!#REF!</definedName>
    <definedName name="_8__123Graph_ACHART_1" hidden="1">[10]RAB!#REF!</definedName>
    <definedName name="_8__123Graph_XCHART_1" localSheetId="17" hidden="1">[22]RAB!#REF!</definedName>
    <definedName name="_8__123Graph_XCHART_1" hidden="1">[22]RAB!#REF!</definedName>
    <definedName name="_asas" localSheetId="17" hidden="1">[23]Div2!#REF!</definedName>
    <definedName name="_asas" hidden="1">[23]Div2!#REF!</definedName>
    <definedName name="_Dist_Bin" localSheetId="6" hidden="1">[24]H.Satuan!#REF!</definedName>
    <definedName name="_Dist_Bin" localSheetId="8" hidden="1">[24]H.Satuan!#REF!</definedName>
    <definedName name="_Dist_Bin" localSheetId="10" hidden="1">[24]H.Satuan!#REF!</definedName>
    <definedName name="_Dist_Bin" localSheetId="2" hidden="1">[24]H.Satuan!#REF!</definedName>
    <definedName name="_Dist_Bin" localSheetId="4" hidden="1">[24]H.Satuan!#REF!</definedName>
    <definedName name="_Dist_Bin" localSheetId="5" hidden="1">[24]H.Satuan!#REF!</definedName>
    <definedName name="_Dist_Bin" localSheetId="13" hidden="1">[24]H.Satuan!#REF!</definedName>
    <definedName name="_Dist_Bin" localSheetId="1" hidden="1">[24]H.Satuan!#REF!</definedName>
    <definedName name="_Dist_Bin" localSheetId="7" hidden="1">[24]H.Satuan!#REF!</definedName>
    <definedName name="_Dist_Bin" localSheetId="9" hidden="1">[24]H.Satuan!#REF!</definedName>
    <definedName name="_Dist_Bin" localSheetId="0" hidden="1">[24]H.Satuan!#REF!</definedName>
    <definedName name="_Dist_Bin" localSheetId="17" hidden="1">#REF!</definedName>
    <definedName name="_Dist_Bin" localSheetId="3" hidden="1">[24]H.Satuan!#REF!</definedName>
    <definedName name="_Dist_Bin" hidden="1">#REF!</definedName>
    <definedName name="_Dist_Values" localSheetId="6" hidden="1">#REF!</definedName>
    <definedName name="_Dist_Values" localSheetId="8" hidden="1">#REF!</definedName>
    <definedName name="_Dist_Values" localSheetId="10" hidden="1">#REF!</definedName>
    <definedName name="_Dist_Values" localSheetId="2" hidden="1">#REF!</definedName>
    <definedName name="_Dist_Values" localSheetId="4" hidden="1">#REF!</definedName>
    <definedName name="_Dist_Values" localSheetId="5" hidden="1">#REF!</definedName>
    <definedName name="_Dist_Values" localSheetId="13" hidden="1">#REF!</definedName>
    <definedName name="_Dist_Values" localSheetId="1" hidden="1">#REF!</definedName>
    <definedName name="_Dist_Values" localSheetId="7" hidden="1">#REF!</definedName>
    <definedName name="_Dist_Values" localSheetId="9" hidden="1">#REF!</definedName>
    <definedName name="_Dist_Values" localSheetId="0" hidden="1">#REF!</definedName>
    <definedName name="_Dist_Values" localSheetId="17" hidden="1">#REF!</definedName>
    <definedName name="_Dist_Values" localSheetId="3" hidden="1">#REF!</definedName>
    <definedName name="_Dist_Values" hidden="1">#REF!</definedName>
    <definedName name="_fh131205" localSheetId="6" hidden="1">{#N/A,#N/A,FALSE,"REK";#N/A,#N/A,FALSE,"rab"}</definedName>
    <definedName name="_fh131205" localSheetId="8" hidden="1">{#N/A,#N/A,FALSE,"REK";#N/A,#N/A,FALSE,"rab"}</definedName>
    <definedName name="_fh131205" localSheetId="10" hidden="1">{#N/A,#N/A,FALSE,"REK";#N/A,#N/A,FALSE,"rab"}</definedName>
    <definedName name="_fh131205" localSheetId="2" hidden="1">{#N/A,#N/A,FALSE,"REK";#N/A,#N/A,FALSE,"rab"}</definedName>
    <definedName name="_fh131205" localSheetId="4" hidden="1">{#N/A,#N/A,FALSE,"REK";#N/A,#N/A,FALSE,"rab"}</definedName>
    <definedName name="_fh131205" localSheetId="5" hidden="1">{#N/A,#N/A,FALSE,"REK";#N/A,#N/A,FALSE,"rab"}</definedName>
    <definedName name="_fh131205" localSheetId="13" hidden="1">{#N/A,#N/A,FALSE,"REK";#N/A,#N/A,FALSE,"rab"}</definedName>
    <definedName name="_fh131205" localSheetId="1" hidden="1">{#N/A,#N/A,FALSE,"REK";#N/A,#N/A,FALSE,"rab"}</definedName>
    <definedName name="_fh131205" localSheetId="7" hidden="1">{#N/A,#N/A,FALSE,"REK";#N/A,#N/A,FALSE,"rab"}</definedName>
    <definedName name="_fh131205" localSheetId="9" hidden="1">{#N/A,#N/A,FALSE,"REK";#N/A,#N/A,FALSE,"rab"}</definedName>
    <definedName name="_fh131205" localSheetId="0" hidden="1">{#N/A,#N/A,FALSE,"REK";#N/A,#N/A,FALSE,"rab"}</definedName>
    <definedName name="_fh131205" localSheetId="3" hidden="1">{#N/A,#N/A,FALSE,"REK";#N/A,#N/A,FALSE,"rab"}</definedName>
    <definedName name="_fh131205" hidden="1">{#N/A,#N/A,FALSE,"REK";#N/A,#N/A,FALSE,"rab"}</definedName>
    <definedName name="_Fill" localSheetId="15" hidden="1">'[25]Har Sat'!$B$66:$B$83</definedName>
    <definedName name="_Fill" localSheetId="16" hidden="1">'[26]Har Sat'!$B$66:$B$83</definedName>
    <definedName name="_Fill" localSheetId="6" hidden="1">#REF!</definedName>
    <definedName name="_Fill" localSheetId="8" hidden="1">#REF!</definedName>
    <definedName name="_Fill" localSheetId="10" hidden="1">#REF!</definedName>
    <definedName name="_Fill" localSheetId="2" hidden="1">#REF!</definedName>
    <definedName name="_Fill" localSheetId="4" hidden="1">#REF!</definedName>
    <definedName name="_Fill" localSheetId="5" hidden="1">#REF!</definedName>
    <definedName name="_Fill" localSheetId="13" hidden="1">#REF!</definedName>
    <definedName name="_Fill" localSheetId="1" hidden="1">#REF!</definedName>
    <definedName name="_Fill" localSheetId="7" hidden="1">#REF!</definedName>
    <definedName name="_Fill" localSheetId="9" hidden="1">#REF!</definedName>
    <definedName name="_Fill" localSheetId="0" hidden="1">#REF!</definedName>
    <definedName name="_Fill" localSheetId="17" hidden="1">'[25]Har Sat'!$B$66:$B$83</definedName>
    <definedName name="_Fill" localSheetId="3" hidden="1">#REF!</definedName>
    <definedName name="_Fill" hidden="1">'[25]Har Sat'!$B$66:$B$83</definedName>
    <definedName name="_FILL2" localSheetId="8" hidden="1">#REF!</definedName>
    <definedName name="_FILL2" localSheetId="13" hidden="1">#REF!</definedName>
    <definedName name="_FILL2" localSheetId="9" hidden="1">#REF!</definedName>
    <definedName name="_FILL2" hidden="1">#REF!</definedName>
    <definedName name="_xlnm._FilterDatabase" localSheetId="15" hidden="1">'[27]Upah&amp;Bahan'!#REF!</definedName>
    <definedName name="_xlnm._FilterDatabase" localSheetId="11" hidden="1">'[27]Upah&amp;Bahan'!#REF!</definedName>
    <definedName name="_xlnm._FilterDatabase" localSheetId="6" hidden="1">'[28]HRG BAHAN &amp; UPAH okk'!#REF!</definedName>
    <definedName name="_xlnm._FilterDatabase" localSheetId="8" hidden="1">'[28]HRG BAHAN &amp; UPAH okk'!#REF!</definedName>
    <definedName name="_xlnm._FilterDatabase" localSheetId="10" hidden="1">'[28]HRG BAHAN &amp; UPAH okk'!#REF!</definedName>
    <definedName name="_xlnm._FilterDatabase" localSheetId="2" hidden="1">'[28]HRG BAHAN &amp; UPAH okk'!#REF!</definedName>
    <definedName name="_xlnm._FilterDatabase" localSheetId="4" hidden="1">'[28]HRG BAHAN &amp; UPAH okk'!#REF!</definedName>
    <definedName name="_xlnm._FilterDatabase" localSheetId="5" hidden="1">'[28]HRG BAHAN &amp; UPAH okk'!#REF!</definedName>
    <definedName name="_xlnm._FilterDatabase" localSheetId="13" hidden="1">'[28]HRG BAHAN &amp; UPAH okk'!#REF!</definedName>
    <definedName name="_xlnm._FilterDatabase" localSheetId="1" hidden="1">'[28]HRG BAHAN &amp; UPAH okk'!#REF!</definedName>
    <definedName name="_xlnm._FilterDatabase" localSheetId="7" hidden="1">'[28]HRG BAHAN &amp; UPAH okk'!#REF!</definedName>
    <definedName name="_xlnm._FilterDatabase" localSheetId="9" hidden="1">'[28]HRG BAHAN &amp; UPAH okk'!#REF!</definedName>
    <definedName name="_xlnm._FilterDatabase" localSheetId="0" hidden="1">'[28]HRG BAHAN &amp; UPAH okk'!#REF!</definedName>
    <definedName name="_xlnm._FilterDatabase" localSheetId="17" hidden="1">'[27]Upah&amp;Bahan'!#REF!</definedName>
    <definedName name="_xlnm._FilterDatabase" localSheetId="3" hidden="1">'[28]HRG BAHAN &amp; UPAH okk'!#REF!</definedName>
    <definedName name="_xlnm._FilterDatabase" localSheetId="12" hidden="1">'UNIT PRICE'!$A$8:$E$185</definedName>
    <definedName name="_xlnm._FilterDatabase" hidden="1">'[27]Upah&amp;Bahan'!#REF!</definedName>
    <definedName name="_gk2" localSheetId="8" hidden="1">#REF!</definedName>
    <definedName name="_gk2" localSheetId="13" hidden="1">#REF!</definedName>
    <definedName name="_gk2" localSheetId="9" hidden="1">#REF!</definedName>
    <definedName name="_gk2" hidden="1">#REF!</definedName>
    <definedName name="_KEY001" localSheetId="8" hidden="1">[1]LOADDAT!#REF!</definedName>
    <definedName name="_KEY001" localSheetId="13" hidden="1">[1]LOADDAT!#REF!</definedName>
    <definedName name="_KEY001" localSheetId="9" hidden="1">[1]LOADDAT!#REF!</definedName>
    <definedName name="_KEY001" hidden="1">[1]LOADDAT!#REF!</definedName>
    <definedName name="_KEY002" localSheetId="8" hidden="1">[1]LOADDAT!#REF!</definedName>
    <definedName name="_KEY002" localSheetId="13" hidden="1">[1]LOADDAT!#REF!</definedName>
    <definedName name="_KEY002" localSheetId="9" hidden="1">[1]LOADDAT!#REF!</definedName>
    <definedName name="_KEY002" hidden="1">[1]LOADDAT!#REF!</definedName>
    <definedName name="_KEY01" localSheetId="8" hidden="1">[1]LOADDAT!#REF!</definedName>
    <definedName name="_KEY01" localSheetId="13" hidden="1">[1]LOADDAT!#REF!</definedName>
    <definedName name="_KEY01" localSheetId="9" hidden="1">[1]LOADDAT!#REF!</definedName>
    <definedName name="_KEY01" hidden="1">[1]LOADDAT!#REF!</definedName>
    <definedName name="_KEY02" localSheetId="8" hidden="1">[1]LOADDAT!#REF!</definedName>
    <definedName name="_KEY02" localSheetId="13" hidden="1">[1]LOADDAT!#REF!</definedName>
    <definedName name="_KEY02" localSheetId="9" hidden="1">[1]LOADDAT!#REF!</definedName>
    <definedName name="_KEY02" hidden="1">[1]LOADDAT!#REF!</definedName>
    <definedName name="_Key1" localSheetId="15" hidden="1">#REF!</definedName>
    <definedName name="_Key1" localSheetId="16" hidden="1">#REF!</definedName>
    <definedName name="_Key1" localSheetId="11" hidden="1">#REF!</definedName>
    <definedName name="_Key1" localSheetId="6" hidden="1">#REF!</definedName>
    <definedName name="_Key1" localSheetId="8" hidden="1">#REF!</definedName>
    <definedName name="_Key1" localSheetId="10" hidden="1">#REF!</definedName>
    <definedName name="_Key1" localSheetId="2" hidden="1">#REF!</definedName>
    <definedName name="_Key1" localSheetId="4" hidden="1">#REF!</definedName>
    <definedName name="_Key1" localSheetId="5" hidden="1">#REF!</definedName>
    <definedName name="_Key1" localSheetId="13" hidden="1">#REF!</definedName>
    <definedName name="_Key1" localSheetId="1" hidden="1">#REF!</definedName>
    <definedName name="_Key1" localSheetId="7" hidden="1">#REF!</definedName>
    <definedName name="_Key1" localSheetId="9" hidden="1">#REF!</definedName>
    <definedName name="_Key1" localSheetId="0" hidden="1">#REF!</definedName>
    <definedName name="_Key1" localSheetId="17" hidden="1">#REF!</definedName>
    <definedName name="_Key1" localSheetId="3" hidden="1">#REF!</definedName>
    <definedName name="_Key1" hidden="1">#REF!</definedName>
    <definedName name="_Key2" localSheetId="15" hidden="1">#REF!</definedName>
    <definedName name="_Key2" localSheetId="16" hidden="1">#REF!</definedName>
    <definedName name="_Key2" localSheetId="11" hidden="1">#REF!</definedName>
    <definedName name="_Key2" localSheetId="6" hidden="1">#REF!</definedName>
    <definedName name="_Key2" localSheetId="8" hidden="1">#REF!</definedName>
    <definedName name="_Key2" localSheetId="10" hidden="1">#REF!</definedName>
    <definedName name="_Key2" localSheetId="2" hidden="1">#REF!</definedName>
    <definedName name="_Key2" localSheetId="4" hidden="1">#REF!</definedName>
    <definedName name="_Key2" localSheetId="5" hidden="1">#REF!</definedName>
    <definedName name="_Key2" localSheetId="13" hidden="1">#REF!</definedName>
    <definedName name="_Key2" localSheetId="1" hidden="1">#REF!</definedName>
    <definedName name="_Key2" localSheetId="7" hidden="1">#REF!</definedName>
    <definedName name="_Key2" localSheetId="9" hidden="1">#REF!</definedName>
    <definedName name="_Key2" localSheetId="0" hidden="1">#REF!</definedName>
    <definedName name="_Key2" localSheetId="17" hidden="1">#REF!</definedName>
    <definedName name="_Key2" localSheetId="3" hidden="1">#REF!</definedName>
    <definedName name="_Key2" hidden="1">#REF!</definedName>
    <definedName name="_KEY3" localSheetId="8" hidden="1">#REF!</definedName>
    <definedName name="_KEY3" localSheetId="13" hidden="1">#REF!</definedName>
    <definedName name="_KEY3" localSheetId="9" hidden="1">#REF!</definedName>
    <definedName name="_KEY3" hidden="1">#REF!</definedName>
    <definedName name="_Order1" hidden="1">255</definedName>
    <definedName name="_Order2" hidden="1">255</definedName>
    <definedName name="_Parse_Out" localSheetId="8" hidden="1">#REF!</definedName>
    <definedName name="_Parse_Out" localSheetId="13" hidden="1">#REF!</definedName>
    <definedName name="_Parse_Out" localSheetId="9" hidden="1">#REF!</definedName>
    <definedName name="_Parse_Out" hidden="1">#REF!</definedName>
    <definedName name="_Regression_Int" hidden="1">1</definedName>
    <definedName name="_Regression_Out" localSheetId="8" hidden="1">#REF!</definedName>
    <definedName name="_Regression_Out" localSheetId="13" hidden="1">#REF!</definedName>
    <definedName name="_Regression_Out" localSheetId="9" hidden="1">#REF!</definedName>
    <definedName name="_Regression_Out" hidden="1">#REF!</definedName>
    <definedName name="_Regression_X" localSheetId="8" hidden="1">#REF!</definedName>
    <definedName name="_Regression_X" localSheetId="13" hidden="1">#REF!</definedName>
    <definedName name="_Regression_X" localSheetId="9" hidden="1">#REF!</definedName>
    <definedName name="_Regression_X" hidden="1">#REF!</definedName>
    <definedName name="_Regression_Y" localSheetId="8" hidden="1">#REF!</definedName>
    <definedName name="_Regression_Y" localSheetId="13" hidden="1">#REF!</definedName>
    <definedName name="_Regression_Y" localSheetId="9" hidden="1">#REF!</definedName>
    <definedName name="_Regression_Y" hidden="1">#REF!</definedName>
    <definedName name="_REV3" localSheetId="6" hidden="1">{#N/A,#N/A,FALSE,"REK-S-TPL";#N/A,#N/A,FALSE,"REK-TPML";#N/A,#N/A,FALSE,"RAB-TEMPEL"}</definedName>
    <definedName name="_REV3" localSheetId="8" hidden="1">{#N/A,#N/A,FALSE,"REK-S-TPL";#N/A,#N/A,FALSE,"REK-TPML";#N/A,#N/A,FALSE,"RAB-TEMPEL"}</definedName>
    <definedName name="_REV3" localSheetId="10" hidden="1">{#N/A,#N/A,FALSE,"REK-S-TPL";#N/A,#N/A,FALSE,"REK-TPML";#N/A,#N/A,FALSE,"RAB-TEMPEL"}</definedName>
    <definedName name="_REV3" localSheetId="2" hidden="1">{#N/A,#N/A,FALSE,"REK-S-TPL";#N/A,#N/A,FALSE,"REK-TPML";#N/A,#N/A,FALSE,"RAB-TEMPEL"}</definedName>
    <definedName name="_REV3" localSheetId="4" hidden="1">{#N/A,#N/A,FALSE,"REK-S-TPL";#N/A,#N/A,FALSE,"REK-TPML";#N/A,#N/A,FALSE,"RAB-TEMPEL"}</definedName>
    <definedName name="_REV3" localSheetId="5" hidden="1">{#N/A,#N/A,FALSE,"REK-S-TPL";#N/A,#N/A,FALSE,"REK-TPML";#N/A,#N/A,FALSE,"RAB-TEMPEL"}</definedName>
    <definedName name="_REV3" localSheetId="13" hidden="1">{#N/A,#N/A,FALSE,"REK-S-TPL";#N/A,#N/A,FALSE,"REK-TPML";#N/A,#N/A,FALSE,"RAB-TEMPEL"}</definedName>
    <definedName name="_REV3" localSheetId="1" hidden="1">{#N/A,#N/A,FALSE,"REK-S-TPL";#N/A,#N/A,FALSE,"REK-TPML";#N/A,#N/A,FALSE,"RAB-TEMPEL"}</definedName>
    <definedName name="_REV3" localSheetId="7" hidden="1">{#N/A,#N/A,FALSE,"REK-S-TPL";#N/A,#N/A,FALSE,"REK-TPML";#N/A,#N/A,FALSE,"RAB-TEMPEL"}</definedName>
    <definedName name="_REV3" localSheetId="9" hidden="1">{#N/A,#N/A,FALSE,"REK-S-TPL";#N/A,#N/A,FALSE,"REK-TPML";#N/A,#N/A,FALSE,"RAB-TEMPEL"}</definedName>
    <definedName name="_REV3" localSheetId="0" hidden="1">{#N/A,#N/A,FALSE,"REK-S-TPL";#N/A,#N/A,FALSE,"REK-TPML";#N/A,#N/A,FALSE,"RAB-TEMPEL"}</definedName>
    <definedName name="_REV3" localSheetId="3" hidden="1">{#N/A,#N/A,FALSE,"REK-S-TPL";#N/A,#N/A,FALSE,"REK-TPML";#N/A,#N/A,FALSE,"RAB-TEMPEL"}</definedName>
    <definedName name="_REV3" hidden="1">{#N/A,#N/A,FALSE,"REK-S-TPL";#N/A,#N/A,FALSE,"REK-TPML";#N/A,#N/A,FALSE,"RAB-TEMPEL"}</definedName>
    <definedName name="_Sort" localSheetId="15" hidden="1">#REF!</definedName>
    <definedName name="_Sort" localSheetId="16" hidden="1">#REF!</definedName>
    <definedName name="_Sort" localSheetId="11" hidden="1">#REF!</definedName>
    <definedName name="_Sort" localSheetId="6" hidden="1">#REF!</definedName>
    <definedName name="_Sort" localSheetId="8" hidden="1">#REF!</definedName>
    <definedName name="_Sort" localSheetId="10" hidden="1">#REF!</definedName>
    <definedName name="_Sort" localSheetId="2" hidden="1">#REF!</definedName>
    <definedName name="_Sort" localSheetId="4" hidden="1">#REF!</definedName>
    <definedName name="_Sort" localSheetId="5" hidden="1">#REF!</definedName>
    <definedName name="_Sort" localSheetId="13" hidden="1">#REF!</definedName>
    <definedName name="_Sort" localSheetId="1" hidden="1">#REF!</definedName>
    <definedName name="_Sort" localSheetId="7" hidden="1">#REF!</definedName>
    <definedName name="_Sort" localSheetId="9" hidden="1">#REF!</definedName>
    <definedName name="_Sort" localSheetId="0" hidden="1">#REF!</definedName>
    <definedName name="_Sort" localSheetId="17" hidden="1">#REF!</definedName>
    <definedName name="_Sort" localSheetId="3" hidden="1">#REF!</definedName>
    <definedName name="_Sort" hidden="1">#REF!</definedName>
    <definedName name="_SORT1" localSheetId="8" hidden="1">#REF!</definedName>
    <definedName name="_SORT1" localSheetId="13" hidden="1">#REF!</definedName>
    <definedName name="_SORT1" localSheetId="9" hidden="1">#REF!</definedName>
    <definedName name="_SORT1" hidden="1">#REF!</definedName>
    <definedName name="_t1" localSheetId="6" hidden="1">{"Offgrid",#N/A,FALSE,"OFFGRID";"Region",#N/A,FALSE,"REGION";"Offgrid -2",#N/A,FALSE,"OFFGRID";"WTP",#N/A,FALSE,"WTP";"WTP -2",#N/A,FALSE,"WTP";"Project",#N/A,FALSE,"PROJECT";"Summary -2",#N/A,FALSE,"SUMMARY"}</definedName>
    <definedName name="_t1" localSheetId="8" hidden="1">{"Offgrid",#N/A,FALSE,"OFFGRID";"Region",#N/A,FALSE,"REGION";"Offgrid -2",#N/A,FALSE,"OFFGRID";"WTP",#N/A,FALSE,"WTP";"WTP -2",#N/A,FALSE,"WTP";"Project",#N/A,FALSE,"PROJECT";"Summary -2",#N/A,FALSE,"SUMMARY"}</definedName>
    <definedName name="_t1" localSheetId="10" hidden="1">{"Offgrid",#N/A,FALSE,"OFFGRID";"Region",#N/A,FALSE,"REGION";"Offgrid -2",#N/A,FALSE,"OFFGRID";"WTP",#N/A,FALSE,"WTP";"WTP -2",#N/A,FALSE,"WTP";"Project",#N/A,FALSE,"PROJECT";"Summary -2",#N/A,FALSE,"SUMMARY"}</definedName>
    <definedName name="_t1" localSheetId="2" hidden="1">{"Offgrid",#N/A,FALSE,"OFFGRID";"Region",#N/A,FALSE,"REGION";"Offgrid -2",#N/A,FALSE,"OFFGRID";"WTP",#N/A,FALSE,"WTP";"WTP -2",#N/A,FALSE,"WTP";"Project",#N/A,FALSE,"PROJECT";"Summary -2",#N/A,FALSE,"SUMMARY"}</definedName>
    <definedName name="_t1" localSheetId="4" hidden="1">{"Offgrid",#N/A,FALSE,"OFFGRID";"Region",#N/A,FALSE,"REGION";"Offgrid -2",#N/A,FALSE,"OFFGRID";"WTP",#N/A,FALSE,"WTP";"WTP -2",#N/A,FALSE,"WTP";"Project",#N/A,FALSE,"PROJECT";"Summary -2",#N/A,FALSE,"SUMMARY"}</definedName>
    <definedName name="_t1" localSheetId="5" hidden="1">{"Offgrid",#N/A,FALSE,"OFFGRID";"Region",#N/A,FALSE,"REGION";"Offgrid -2",#N/A,FALSE,"OFFGRID";"WTP",#N/A,FALSE,"WTP";"WTP -2",#N/A,FALSE,"WTP";"Project",#N/A,FALSE,"PROJECT";"Summary -2",#N/A,FALSE,"SUMMARY"}</definedName>
    <definedName name="_t1" localSheetId="13" hidden="1">{"Offgrid",#N/A,FALSE,"OFFGRID";"Region",#N/A,FALSE,"REGION";"Offgrid -2",#N/A,FALSE,"OFFGRID";"WTP",#N/A,FALSE,"WTP";"WTP -2",#N/A,FALSE,"WTP";"Project",#N/A,FALSE,"PROJECT";"Summary -2",#N/A,FALSE,"SUMMARY"}</definedName>
    <definedName name="_t1" localSheetId="1" hidden="1">{"Offgrid",#N/A,FALSE,"OFFGRID";"Region",#N/A,FALSE,"REGION";"Offgrid -2",#N/A,FALSE,"OFFGRID";"WTP",#N/A,FALSE,"WTP";"WTP -2",#N/A,FALSE,"WTP";"Project",#N/A,FALSE,"PROJECT";"Summary -2",#N/A,FALSE,"SUMMARY"}</definedName>
    <definedName name="_t1" localSheetId="7" hidden="1">{"Offgrid",#N/A,FALSE,"OFFGRID";"Region",#N/A,FALSE,"REGION";"Offgrid -2",#N/A,FALSE,"OFFGRID";"WTP",#N/A,FALSE,"WTP";"WTP -2",#N/A,FALSE,"WTP";"Project",#N/A,FALSE,"PROJECT";"Summary -2",#N/A,FALSE,"SUMMARY"}</definedName>
    <definedName name="_t1" localSheetId="9" hidden="1">{"Offgrid",#N/A,FALSE,"OFFGRID";"Region",#N/A,FALSE,"REGION";"Offgrid -2",#N/A,FALSE,"OFFGRID";"WTP",#N/A,FALSE,"WTP";"WTP -2",#N/A,FALSE,"WTP";"Project",#N/A,FALSE,"PROJECT";"Summary -2",#N/A,FALSE,"SUMMARY"}</definedName>
    <definedName name="_t1" localSheetId="0" hidden="1">{"Offgrid",#N/A,FALSE,"OFFGRID";"Region",#N/A,FALSE,"REGION";"Offgrid -2",#N/A,FALSE,"OFFGRID";"WTP",#N/A,FALSE,"WTP";"WTP -2",#N/A,FALSE,"WTP";"Project",#N/A,FALSE,"PROJECT";"Summary -2",#N/A,FALSE,"SUMMARY"}</definedName>
    <definedName name="_t1" localSheetId="3" hidden="1">{"Offgrid",#N/A,FALSE,"OFFGRID";"Region",#N/A,FALSE,"REGION";"Offgrid -2",#N/A,FALSE,"OFFGRID";"WTP",#N/A,FALSE,"WTP";"WTP -2",#N/A,FALSE,"WTP";"Project",#N/A,FALSE,"PROJECT";"Summary -2",#N/A,FALSE,"SUMMARY"}</definedName>
    <definedName name="_t1" hidden="1">{"Offgrid",#N/A,FALSE,"OFFGRID";"Region",#N/A,FALSE,"REGION";"Offgrid -2",#N/A,FALSE,"OFFGRID";"WTP",#N/A,FALSE,"WTP";"WTP -2",#N/A,FALSE,"WTP";"Project",#N/A,FALSE,"PROJECT";"Summary -2",#N/A,FALSE,"SUMMARY"}</definedName>
    <definedName name="_t2" localSheetId="6" hidden="1">{"Offgrid",#N/A,FALSE,"OFFGRID";"Region",#N/A,FALSE,"REGION";"Offgrid -2",#N/A,FALSE,"OFFGRID";"WTP",#N/A,FALSE,"WTP";"WTP -2",#N/A,FALSE,"WTP";"Project",#N/A,FALSE,"PROJECT";"Summary -2",#N/A,FALSE,"SUMMARY"}</definedName>
    <definedName name="_t2" localSheetId="8" hidden="1">{"Offgrid",#N/A,FALSE,"OFFGRID";"Region",#N/A,FALSE,"REGION";"Offgrid -2",#N/A,FALSE,"OFFGRID";"WTP",#N/A,FALSE,"WTP";"WTP -2",#N/A,FALSE,"WTP";"Project",#N/A,FALSE,"PROJECT";"Summary -2",#N/A,FALSE,"SUMMARY"}</definedName>
    <definedName name="_t2" localSheetId="10" hidden="1">{"Offgrid",#N/A,FALSE,"OFFGRID";"Region",#N/A,FALSE,"REGION";"Offgrid -2",#N/A,FALSE,"OFFGRID";"WTP",#N/A,FALSE,"WTP";"WTP -2",#N/A,FALSE,"WTP";"Project",#N/A,FALSE,"PROJECT";"Summary -2",#N/A,FALSE,"SUMMARY"}</definedName>
    <definedName name="_t2" localSheetId="2" hidden="1">{"Offgrid",#N/A,FALSE,"OFFGRID";"Region",#N/A,FALSE,"REGION";"Offgrid -2",#N/A,FALSE,"OFFGRID";"WTP",#N/A,FALSE,"WTP";"WTP -2",#N/A,FALSE,"WTP";"Project",#N/A,FALSE,"PROJECT";"Summary -2",#N/A,FALSE,"SUMMARY"}</definedName>
    <definedName name="_t2" localSheetId="4" hidden="1">{"Offgrid",#N/A,FALSE,"OFFGRID";"Region",#N/A,FALSE,"REGION";"Offgrid -2",#N/A,FALSE,"OFFGRID";"WTP",#N/A,FALSE,"WTP";"WTP -2",#N/A,FALSE,"WTP";"Project",#N/A,FALSE,"PROJECT";"Summary -2",#N/A,FALSE,"SUMMARY"}</definedName>
    <definedName name="_t2" localSheetId="5" hidden="1">{"Offgrid",#N/A,FALSE,"OFFGRID";"Region",#N/A,FALSE,"REGION";"Offgrid -2",#N/A,FALSE,"OFFGRID";"WTP",#N/A,FALSE,"WTP";"WTP -2",#N/A,FALSE,"WTP";"Project",#N/A,FALSE,"PROJECT";"Summary -2",#N/A,FALSE,"SUMMARY"}</definedName>
    <definedName name="_t2" localSheetId="13" hidden="1">{"Offgrid",#N/A,FALSE,"OFFGRID";"Region",#N/A,FALSE,"REGION";"Offgrid -2",#N/A,FALSE,"OFFGRID";"WTP",#N/A,FALSE,"WTP";"WTP -2",#N/A,FALSE,"WTP";"Project",#N/A,FALSE,"PROJECT";"Summary -2",#N/A,FALSE,"SUMMARY"}</definedName>
    <definedName name="_t2" localSheetId="1" hidden="1">{"Offgrid",#N/A,FALSE,"OFFGRID";"Region",#N/A,FALSE,"REGION";"Offgrid -2",#N/A,FALSE,"OFFGRID";"WTP",#N/A,FALSE,"WTP";"WTP -2",#N/A,FALSE,"WTP";"Project",#N/A,FALSE,"PROJECT";"Summary -2",#N/A,FALSE,"SUMMARY"}</definedName>
    <definedName name="_t2" localSheetId="7" hidden="1">{"Offgrid",#N/A,FALSE,"OFFGRID";"Region",#N/A,FALSE,"REGION";"Offgrid -2",#N/A,FALSE,"OFFGRID";"WTP",#N/A,FALSE,"WTP";"WTP -2",#N/A,FALSE,"WTP";"Project",#N/A,FALSE,"PROJECT";"Summary -2",#N/A,FALSE,"SUMMARY"}</definedName>
    <definedName name="_t2" localSheetId="9" hidden="1">{"Offgrid",#N/A,FALSE,"OFFGRID";"Region",#N/A,FALSE,"REGION";"Offgrid -2",#N/A,FALSE,"OFFGRID";"WTP",#N/A,FALSE,"WTP";"WTP -2",#N/A,FALSE,"WTP";"Project",#N/A,FALSE,"PROJECT";"Summary -2",#N/A,FALSE,"SUMMARY"}</definedName>
    <definedName name="_t2" localSheetId="0" hidden="1">{"Offgrid",#N/A,FALSE,"OFFGRID";"Region",#N/A,FALSE,"REGION";"Offgrid -2",#N/A,FALSE,"OFFGRID";"WTP",#N/A,FALSE,"WTP";"WTP -2",#N/A,FALSE,"WTP";"Project",#N/A,FALSE,"PROJECT";"Summary -2",#N/A,FALSE,"SUMMARY"}</definedName>
    <definedName name="_t2" localSheetId="3" hidden="1">{"Offgrid",#N/A,FALSE,"OFFGRID";"Region",#N/A,FALSE,"REGION";"Offgrid -2",#N/A,FALSE,"OFFGRID";"WTP",#N/A,FALSE,"WTP";"WTP -2",#N/A,FALSE,"WTP";"Project",#N/A,FALSE,"PROJECT";"Summary -2",#N/A,FALSE,"SUMMARY"}</definedName>
    <definedName name="_t2" hidden="1">{"Offgrid",#N/A,FALSE,"OFFGRID";"Region",#N/A,FALSE,"REGION";"Offgrid -2",#N/A,FALSE,"OFFGRID";"WTP",#N/A,FALSE,"WTP";"WTP -2",#N/A,FALSE,"WTP";"Project",#N/A,FALSE,"PROJECT";"Summary -2",#N/A,FALSE,"SUMMARY"}</definedName>
    <definedName name="_t3" localSheetId="6" hidden="1">{"Offgrid",#N/A,FALSE,"OFFGRID";"Region",#N/A,FALSE,"REGION";"Offgrid -2",#N/A,FALSE,"OFFGRID";"WTP",#N/A,FALSE,"WTP";"WTP -2",#N/A,FALSE,"WTP";"Project",#N/A,FALSE,"PROJECT";"Summary -2",#N/A,FALSE,"SUMMARY"}</definedName>
    <definedName name="_t3" localSheetId="8" hidden="1">{"Offgrid",#N/A,FALSE,"OFFGRID";"Region",#N/A,FALSE,"REGION";"Offgrid -2",#N/A,FALSE,"OFFGRID";"WTP",#N/A,FALSE,"WTP";"WTP -2",#N/A,FALSE,"WTP";"Project",#N/A,FALSE,"PROJECT";"Summary -2",#N/A,FALSE,"SUMMARY"}</definedName>
    <definedName name="_t3" localSheetId="10" hidden="1">{"Offgrid",#N/A,FALSE,"OFFGRID";"Region",#N/A,FALSE,"REGION";"Offgrid -2",#N/A,FALSE,"OFFGRID";"WTP",#N/A,FALSE,"WTP";"WTP -2",#N/A,FALSE,"WTP";"Project",#N/A,FALSE,"PROJECT";"Summary -2",#N/A,FALSE,"SUMMARY"}</definedName>
    <definedName name="_t3" localSheetId="2" hidden="1">{"Offgrid",#N/A,FALSE,"OFFGRID";"Region",#N/A,FALSE,"REGION";"Offgrid -2",#N/A,FALSE,"OFFGRID";"WTP",#N/A,FALSE,"WTP";"WTP -2",#N/A,FALSE,"WTP";"Project",#N/A,FALSE,"PROJECT";"Summary -2",#N/A,FALSE,"SUMMARY"}</definedName>
    <definedName name="_t3" localSheetId="4" hidden="1">{"Offgrid",#N/A,FALSE,"OFFGRID";"Region",#N/A,FALSE,"REGION";"Offgrid -2",#N/A,FALSE,"OFFGRID";"WTP",#N/A,FALSE,"WTP";"WTP -2",#N/A,FALSE,"WTP";"Project",#N/A,FALSE,"PROJECT";"Summary -2",#N/A,FALSE,"SUMMARY"}</definedName>
    <definedName name="_t3" localSheetId="5" hidden="1">{"Offgrid",#N/A,FALSE,"OFFGRID";"Region",#N/A,FALSE,"REGION";"Offgrid -2",#N/A,FALSE,"OFFGRID";"WTP",#N/A,FALSE,"WTP";"WTP -2",#N/A,FALSE,"WTP";"Project",#N/A,FALSE,"PROJECT";"Summary -2",#N/A,FALSE,"SUMMARY"}</definedName>
    <definedName name="_t3" localSheetId="13" hidden="1">{"Offgrid",#N/A,FALSE,"OFFGRID";"Region",#N/A,FALSE,"REGION";"Offgrid -2",#N/A,FALSE,"OFFGRID";"WTP",#N/A,FALSE,"WTP";"WTP -2",#N/A,FALSE,"WTP";"Project",#N/A,FALSE,"PROJECT";"Summary -2",#N/A,FALSE,"SUMMARY"}</definedName>
    <definedName name="_t3" localSheetId="1" hidden="1">{"Offgrid",#N/A,FALSE,"OFFGRID";"Region",#N/A,FALSE,"REGION";"Offgrid -2",#N/A,FALSE,"OFFGRID";"WTP",#N/A,FALSE,"WTP";"WTP -2",#N/A,FALSE,"WTP";"Project",#N/A,FALSE,"PROJECT";"Summary -2",#N/A,FALSE,"SUMMARY"}</definedName>
    <definedName name="_t3" localSheetId="7" hidden="1">{"Offgrid",#N/A,FALSE,"OFFGRID";"Region",#N/A,FALSE,"REGION";"Offgrid -2",#N/A,FALSE,"OFFGRID";"WTP",#N/A,FALSE,"WTP";"WTP -2",#N/A,FALSE,"WTP";"Project",#N/A,FALSE,"PROJECT";"Summary -2",#N/A,FALSE,"SUMMARY"}</definedName>
    <definedName name="_t3" localSheetId="9" hidden="1">{"Offgrid",#N/A,FALSE,"OFFGRID";"Region",#N/A,FALSE,"REGION";"Offgrid -2",#N/A,FALSE,"OFFGRID";"WTP",#N/A,FALSE,"WTP";"WTP -2",#N/A,FALSE,"WTP";"Project",#N/A,FALSE,"PROJECT";"Summary -2",#N/A,FALSE,"SUMMARY"}</definedName>
    <definedName name="_t3" localSheetId="0" hidden="1">{"Offgrid",#N/A,FALSE,"OFFGRID";"Region",#N/A,FALSE,"REGION";"Offgrid -2",#N/A,FALSE,"OFFGRID";"WTP",#N/A,FALSE,"WTP";"WTP -2",#N/A,FALSE,"WTP";"Project",#N/A,FALSE,"PROJECT";"Summary -2",#N/A,FALSE,"SUMMARY"}</definedName>
    <definedName name="_t3" localSheetId="3" hidden="1">{"Offgrid",#N/A,FALSE,"OFFGRID";"Region",#N/A,FALSE,"REGION";"Offgrid -2",#N/A,FALSE,"OFFGRID";"WTP",#N/A,FALSE,"WTP";"WTP -2",#N/A,FALSE,"WTP";"Project",#N/A,FALSE,"PROJECT";"Summary -2",#N/A,FALSE,"SUMMARY"}</definedName>
    <definedName name="_t3" hidden="1">{"Offgrid",#N/A,FALSE,"OFFGRID";"Region",#N/A,FALSE,"REGION";"Offgrid -2",#N/A,FALSE,"OFFGRID";"WTP",#N/A,FALSE,"WTP";"WTP -2",#N/A,FALSE,"WTP";"Project",#N/A,FALSE,"PROJECT";"Summary -2",#N/A,FALSE,"SUMMARY"}</definedName>
    <definedName name="_Table1_In1" localSheetId="6" hidden="1">[24]H.Satuan!#REF!</definedName>
    <definedName name="_Table1_In1" localSheetId="8" hidden="1">[24]H.Satuan!#REF!</definedName>
    <definedName name="_Table1_In1" localSheetId="10" hidden="1">[24]H.Satuan!#REF!</definedName>
    <definedName name="_Table1_In1" localSheetId="2" hidden="1">[24]H.Satuan!#REF!</definedName>
    <definedName name="_Table1_In1" localSheetId="4" hidden="1">[24]H.Satuan!#REF!</definedName>
    <definedName name="_Table1_In1" localSheetId="5" hidden="1">[24]H.Satuan!#REF!</definedName>
    <definedName name="_Table1_In1" localSheetId="13" hidden="1">[24]H.Satuan!#REF!</definedName>
    <definedName name="_Table1_In1" localSheetId="1" hidden="1">[24]H.Satuan!#REF!</definedName>
    <definedName name="_Table1_In1" localSheetId="7" hidden="1">[24]H.Satuan!#REF!</definedName>
    <definedName name="_Table1_In1" localSheetId="9" hidden="1">[24]H.Satuan!#REF!</definedName>
    <definedName name="_Table1_In1" localSheetId="0" hidden="1">[24]H.Satuan!#REF!</definedName>
    <definedName name="_Table1_In1" localSheetId="17" hidden="1">#REF!</definedName>
    <definedName name="_Table1_In1" localSheetId="3" hidden="1">[24]H.Satuan!#REF!</definedName>
    <definedName name="_Table1_In1" hidden="1">#REF!</definedName>
    <definedName name="_Table1_Out" localSheetId="6" hidden="1">[24]H.Satuan!#REF!</definedName>
    <definedName name="_Table1_Out" localSheetId="8" hidden="1">[24]H.Satuan!#REF!</definedName>
    <definedName name="_Table1_Out" localSheetId="10" hidden="1">[24]H.Satuan!#REF!</definedName>
    <definedName name="_Table1_Out" localSheetId="2" hidden="1">[24]H.Satuan!#REF!</definedName>
    <definedName name="_Table1_Out" localSheetId="4" hidden="1">[24]H.Satuan!#REF!</definedName>
    <definedName name="_Table1_Out" localSheetId="5" hidden="1">[24]H.Satuan!#REF!</definedName>
    <definedName name="_Table1_Out" localSheetId="13" hidden="1">[24]H.Satuan!#REF!</definedName>
    <definedName name="_Table1_Out" localSheetId="1" hidden="1">[24]H.Satuan!#REF!</definedName>
    <definedName name="_Table1_Out" localSheetId="7" hidden="1">[24]H.Satuan!#REF!</definedName>
    <definedName name="_Table1_Out" localSheetId="9" hidden="1">[24]H.Satuan!#REF!</definedName>
    <definedName name="_Table1_Out" localSheetId="0" hidden="1">[24]H.Satuan!#REF!</definedName>
    <definedName name="_Table1_Out" localSheetId="17" hidden="1">#REF!</definedName>
    <definedName name="_Table1_Out" localSheetId="3" hidden="1">[24]H.Satuan!#REF!</definedName>
    <definedName name="_Table1_Out" hidden="1">#REF!</definedName>
    <definedName name="_Table2_In1" localSheetId="6" hidden="1">[24]H.Satuan!#REF!</definedName>
    <definedName name="_Table2_In1" localSheetId="8" hidden="1">[24]H.Satuan!#REF!</definedName>
    <definedName name="_Table2_In1" localSheetId="10" hidden="1">[24]H.Satuan!#REF!</definedName>
    <definedName name="_Table2_In1" localSheetId="2" hidden="1">[24]H.Satuan!#REF!</definedName>
    <definedName name="_Table2_In1" localSheetId="4" hidden="1">[24]H.Satuan!#REF!</definedName>
    <definedName name="_Table2_In1" localSheetId="5" hidden="1">[24]H.Satuan!#REF!</definedName>
    <definedName name="_Table2_In1" localSheetId="13" hidden="1">[24]H.Satuan!#REF!</definedName>
    <definedName name="_Table2_In1" localSheetId="1" hidden="1">[24]H.Satuan!#REF!</definedName>
    <definedName name="_Table2_In1" localSheetId="7" hidden="1">[24]H.Satuan!#REF!</definedName>
    <definedName name="_Table2_In1" localSheetId="9" hidden="1">[24]H.Satuan!#REF!</definedName>
    <definedName name="_Table2_In1" localSheetId="0" hidden="1">[24]H.Satuan!#REF!</definedName>
    <definedName name="_Table2_In1" localSheetId="17" hidden="1">#REF!</definedName>
    <definedName name="_Table2_In1" localSheetId="3" hidden="1">[24]H.Satuan!#REF!</definedName>
    <definedName name="_Table2_In1" hidden="1">#REF!</definedName>
    <definedName name="_Table2_Out" localSheetId="6" hidden="1">[24]H.Satuan!#REF!</definedName>
    <definedName name="_Table2_Out" localSheetId="8" hidden="1">[24]H.Satuan!#REF!</definedName>
    <definedName name="_Table2_Out" localSheetId="10" hidden="1">[24]H.Satuan!#REF!</definedName>
    <definedName name="_Table2_Out" localSheetId="2" hidden="1">[24]H.Satuan!#REF!</definedName>
    <definedName name="_Table2_Out" localSheetId="4" hidden="1">[24]H.Satuan!#REF!</definedName>
    <definedName name="_Table2_Out" localSheetId="5" hidden="1">[24]H.Satuan!#REF!</definedName>
    <definedName name="_Table2_Out" localSheetId="13" hidden="1">[24]H.Satuan!#REF!</definedName>
    <definedName name="_Table2_Out" localSheetId="1" hidden="1">[24]H.Satuan!#REF!</definedName>
    <definedName name="_Table2_Out" localSheetId="7" hidden="1">[24]H.Satuan!#REF!</definedName>
    <definedName name="_Table2_Out" localSheetId="9" hidden="1">[24]H.Satuan!#REF!</definedName>
    <definedName name="_Table2_Out" localSheetId="0" hidden="1">[24]H.Satuan!#REF!</definedName>
    <definedName name="_Table2_Out" localSheetId="17" hidden="1">#REF!</definedName>
    <definedName name="_Table2_Out" localSheetId="3" hidden="1">[24]H.Satuan!#REF!</definedName>
    <definedName name="_Table2_Out" hidden="1">#REF!</definedName>
    <definedName name="´cAE°eE¹" localSheetId="8" hidden="1">#REF!</definedName>
    <definedName name="´cAE°eE¹" localSheetId="13" hidden="1">#REF!</definedName>
    <definedName name="´cAE°eE¹" localSheetId="9" hidden="1">#REF!</definedName>
    <definedName name="´cAE°eE¹" hidden="1">#REF!</definedName>
    <definedName name="￠￥cAE¡ÆeEⓒo" localSheetId="8" hidden="1">#REF!</definedName>
    <definedName name="￠￥cAE¡ÆeEⓒo" localSheetId="13" hidden="1">#REF!</definedName>
    <definedName name="￠￥cAE¡ÆeEⓒo" localSheetId="9" hidden="1">#REF!</definedName>
    <definedName name="￠￥cAE¡ÆeEⓒo" hidden="1">#REF!</definedName>
    <definedName name="aa" localSheetId="6" hidden="1">{"Offgrid",#N/A,FALSE,"OFFGRID";"Region",#N/A,FALSE,"REGION";"Offgrid -2",#N/A,FALSE,"OFFGRID";"WTP",#N/A,FALSE,"WTP";"WTP -2",#N/A,FALSE,"WTP";"Project",#N/A,FALSE,"PROJECT";"Summary -2",#N/A,FALSE,"SUMMARY"}</definedName>
    <definedName name="aa" localSheetId="8" hidden="1">{"Offgrid",#N/A,FALSE,"OFFGRID";"Region",#N/A,FALSE,"REGION";"Offgrid -2",#N/A,FALSE,"OFFGRID";"WTP",#N/A,FALSE,"WTP";"WTP -2",#N/A,FALSE,"WTP";"Project",#N/A,FALSE,"PROJECT";"Summary -2",#N/A,FALSE,"SUMMARY"}</definedName>
    <definedName name="aa" localSheetId="10" hidden="1">{"Offgrid",#N/A,FALSE,"OFFGRID";"Region",#N/A,FALSE,"REGION";"Offgrid -2",#N/A,FALSE,"OFFGRID";"WTP",#N/A,FALSE,"WTP";"WTP -2",#N/A,FALSE,"WTP";"Project",#N/A,FALSE,"PROJECT";"Summary -2",#N/A,FALSE,"SUMMARY"}</definedName>
    <definedName name="aa" localSheetId="2" hidden="1">{"Offgrid",#N/A,FALSE,"OFFGRID";"Region",#N/A,FALSE,"REGION";"Offgrid -2",#N/A,FALSE,"OFFGRID";"WTP",#N/A,FALSE,"WTP";"WTP -2",#N/A,FALSE,"WTP";"Project",#N/A,FALSE,"PROJECT";"Summary -2",#N/A,FALSE,"SUMMARY"}</definedName>
    <definedName name="aa" localSheetId="4" hidden="1">{"Offgrid",#N/A,FALSE,"OFFGRID";"Region",#N/A,FALSE,"REGION";"Offgrid -2",#N/A,FALSE,"OFFGRID";"WTP",#N/A,FALSE,"WTP";"WTP -2",#N/A,FALSE,"WTP";"Project",#N/A,FALSE,"PROJECT";"Summary -2",#N/A,FALSE,"SUMMARY"}</definedName>
    <definedName name="aa" localSheetId="5" hidden="1">{"Offgrid",#N/A,FALSE,"OFFGRID";"Region",#N/A,FALSE,"REGION";"Offgrid -2",#N/A,FALSE,"OFFGRID";"WTP",#N/A,FALSE,"WTP";"WTP -2",#N/A,FALSE,"WTP";"Project",#N/A,FALSE,"PROJECT";"Summary -2",#N/A,FALSE,"SUMMARY"}</definedName>
    <definedName name="aa" localSheetId="13" hidden="1">{"Offgrid",#N/A,FALSE,"OFFGRID";"Region",#N/A,FALSE,"REGION";"Offgrid -2",#N/A,FALSE,"OFFGRID";"WTP",#N/A,FALSE,"WTP";"WTP -2",#N/A,FALSE,"WTP";"Project",#N/A,FALSE,"PROJECT";"Summary -2",#N/A,FALSE,"SUMMARY"}</definedName>
    <definedName name="aa" localSheetId="1" hidden="1">{"Offgrid",#N/A,FALSE,"OFFGRID";"Region",#N/A,FALSE,"REGION";"Offgrid -2",#N/A,FALSE,"OFFGRID";"WTP",#N/A,FALSE,"WTP";"WTP -2",#N/A,FALSE,"WTP";"Project",#N/A,FALSE,"PROJECT";"Summary -2",#N/A,FALSE,"SUMMARY"}</definedName>
    <definedName name="aa" localSheetId="7" hidden="1">{"Offgrid",#N/A,FALSE,"OFFGRID";"Region",#N/A,FALSE,"REGION";"Offgrid -2",#N/A,FALSE,"OFFGRID";"WTP",#N/A,FALSE,"WTP";"WTP -2",#N/A,FALSE,"WTP";"Project",#N/A,FALSE,"PROJECT";"Summary -2",#N/A,FALSE,"SUMMARY"}</definedName>
    <definedName name="aa" localSheetId="9" hidden="1">{"Offgrid",#N/A,FALSE,"OFFGRID";"Region",#N/A,FALSE,"REGION";"Offgrid -2",#N/A,FALSE,"OFFGRID";"WTP",#N/A,FALSE,"WTP";"WTP -2",#N/A,FALSE,"WTP";"Project",#N/A,FALSE,"PROJECT";"Summary -2",#N/A,FALSE,"SUMMARY"}</definedName>
    <definedName name="aa" localSheetId="0" hidden="1">{"Offgrid",#N/A,FALSE,"OFFGRID";"Region",#N/A,FALSE,"REGION";"Offgrid -2",#N/A,FALSE,"OFFGRID";"WTP",#N/A,FALSE,"WTP";"WTP -2",#N/A,FALSE,"WTP";"Project",#N/A,FALSE,"PROJECT";"Summary -2",#N/A,FALSE,"SUMMARY"}</definedName>
    <definedName name="AA" localSheetId="17" hidden="1">'[29]TRNS-C1'!#REF!</definedName>
    <definedName name="aa" localSheetId="3" hidden="1">{"Offgrid",#N/A,FALSE,"OFFGRID";"Region",#N/A,FALSE,"REGION";"Offgrid -2",#N/A,FALSE,"OFFGRID";"WTP",#N/A,FALSE,"WTP";"WTP -2",#N/A,FALSE,"WTP";"Project",#N/A,FALSE,"PROJECT";"Summary -2",#N/A,FALSE,"SUMMARY"}</definedName>
    <definedName name="AA" hidden="1">'[29]TRNS-C1'!#REF!</definedName>
    <definedName name="aaaaa" localSheetId="8" hidden="1">[30]villa!#REF!</definedName>
    <definedName name="aaaaa" localSheetId="13" hidden="1">[30]villa!#REF!</definedName>
    <definedName name="aaaaa" localSheetId="9" hidden="1">[30]villa!#REF!</definedName>
    <definedName name="aaaaa" hidden="1">[30]villa!#REF!</definedName>
    <definedName name="ab" localSheetId="6" hidden="1">{"Offgrid",#N/A,FALSE,"OFFGRID";"Region",#N/A,FALSE,"REGION";"Offgrid -2",#N/A,FALSE,"OFFGRID";"WTP",#N/A,FALSE,"WTP";"WTP -2",#N/A,FALSE,"WTP";"Project",#N/A,FALSE,"PROJECT";"Summary -2",#N/A,FALSE,"SUMMARY"}</definedName>
    <definedName name="ab" localSheetId="8" hidden="1">{"Offgrid",#N/A,FALSE,"OFFGRID";"Region",#N/A,FALSE,"REGION";"Offgrid -2",#N/A,FALSE,"OFFGRID";"WTP",#N/A,FALSE,"WTP";"WTP -2",#N/A,FALSE,"WTP";"Project",#N/A,FALSE,"PROJECT";"Summary -2",#N/A,FALSE,"SUMMARY"}</definedName>
    <definedName name="ab" localSheetId="10" hidden="1">{"Offgrid",#N/A,FALSE,"OFFGRID";"Region",#N/A,FALSE,"REGION";"Offgrid -2",#N/A,FALSE,"OFFGRID";"WTP",#N/A,FALSE,"WTP";"WTP -2",#N/A,FALSE,"WTP";"Project",#N/A,FALSE,"PROJECT";"Summary -2",#N/A,FALSE,"SUMMARY"}</definedName>
    <definedName name="ab" localSheetId="2" hidden="1">{"Offgrid",#N/A,FALSE,"OFFGRID";"Region",#N/A,FALSE,"REGION";"Offgrid -2",#N/A,FALSE,"OFFGRID";"WTP",#N/A,FALSE,"WTP";"WTP -2",#N/A,FALSE,"WTP";"Project",#N/A,FALSE,"PROJECT";"Summary -2",#N/A,FALSE,"SUMMARY"}</definedName>
    <definedName name="ab" localSheetId="4" hidden="1">{"Offgrid",#N/A,FALSE,"OFFGRID";"Region",#N/A,FALSE,"REGION";"Offgrid -2",#N/A,FALSE,"OFFGRID";"WTP",#N/A,FALSE,"WTP";"WTP -2",#N/A,FALSE,"WTP";"Project",#N/A,FALSE,"PROJECT";"Summary -2",#N/A,FALSE,"SUMMARY"}</definedName>
    <definedName name="ab" localSheetId="5" hidden="1">{"Offgrid",#N/A,FALSE,"OFFGRID";"Region",#N/A,FALSE,"REGION";"Offgrid -2",#N/A,FALSE,"OFFGRID";"WTP",#N/A,FALSE,"WTP";"WTP -2",#N/A,FALSE,"WTP";"Project",#N/A,FALSE,"PROJECT";"Summary -2",#N/A,FALSE,"SUMMARY"}</definedName>
    <definedName name="ab" localSheetId="13" hidden="1">{"Offgrid",#N/A,FALSE,"OFFGRID";"Region",#N/A,FALSE,"REGION";"Offgrid -2",#N/A,FALSE,"OFFGRID";"WTP",#N/A,FALSE,"WTP";"WTP -2",#N/A,FALSE,"WTP";"Project",#N/A,FALSE,"PROJECT";"Summary -2",#N/A,FALSE,"SUMMARY"}</definedName>
    <definedName name="ab" localSheetId="1" hidden="1">{"Offgrid",#N/A,FALSE,"OFFGRID";"Region",#N/A,FALSE,"REGION";"Offgrid -2",#N/A,FALSE,"OFFGRID";"WTP",#N/A,FALSE,"WTP";"WTP -2",#N/A,FALSE,"WTP";"Project",#N/A,FALSE,"PROJECT";"Summary -2",#N/A,FALSE,"SUMMARY"}</definedName>
    <definedName name="ab" localSheetId="7" hidden="1">{"Offgrid",#N/A,FALSE,"OFFGRID";"Region",#N/A,FALSE,"REGION";"Offgrid -2",#N/A,FALSE,"OFFGRID";"WTP",#N/A,FALSE,"WTP";"WTP -2",#N/A,FALSE,"WTP";"Project",#N/A,FALSE,"PROJECT";"Summary -2",#N/A,FALSE,"SUMMARY"}</definedName>
    <definedName name="ab" localSheetId="9" hidden="1">{"Offgrid",#N/A,FALSE,"OFFGRID";"Region",#N/A,FALSE,"REGION";"Offgrid -2",#N/A,FALSE,"OFFGRID";"WTP",#N/A,FALSE,"WTP";"WTP -2",#N/A,FALSE,"WTP";"Project",#N/A,FALSE,"PROJECT";"Summary -2",#N/A,FALSE,"SUMMARY"}</definedName>
    <definedName name="ab" localSheetId="0" hidden="1">{"Offgrid",#N/A,FALSE,"OFFGRID";"Region",#N/A,FALSE,"REGION";"Offgrid -2",#N/A,FALSE,"OFFGRID";"WTP",#N/A,FALSE,"WTP";"WTP -2",#N/A,FALSE,"WTP";"Project",#N/A,FALSE,"PROJECT";"Summary -2",#N/A,FALSE,"SUMMARY"}</definedName>
    <definedName name="ab" localSheetId="3" hidden="1">{"Offgrid",#N/A,FALSE,"OFFGRID";"Region",#N/A,FALSE,"REGION";"Offgrid -2",#N/A,FALSE,"OFFGRID";"WTP",#N/A,FALSE,"WTP";"WTP -2",#N/A,FALSE,"WTP";"Project",#N/A,FALSE,"PROJECT";"Summary -2",#N/A,FALSE,"SUMMARY"}</definedName>
    <definedName name="ab" hidden="1">{"Offgrid",#N/A,FALSE,"OFFGRID";"Region",#N/A,FALSE,"REGION";"Offgrid -2",#N/A,FALSE,"OFFGRID";"WTP",#N/A,FALSE,"WTP";"WTP -2",#N/A,FALSE,"WTP";"Project",#N/A,FALSE,"PROJECT";"Summary -2",#N/A,FALSE,"SUMMARY"}</definedName>
    <definedName name="abc" localSheetId="6" hidden="1">{#N/A,#N/A,TRUE,"Basic";#N/A,#N/A,TRUE,"EXT-TABLE";#N/A,#N/A,TRUE,"STEEL";#N/A,#N/A,TRUE,"INT-Table";#N/A,#N/A,TRUE,"STEEL";#N/A,#N/A,TRUE,"Door"}</definedName>
    <definedName name="abc" localSheetId="8" hidden="1">{#N/A,#N/A,TRUE,"Basic";#N/A,#N/A,TRUE,"EXT-TABLE";#N/A,#N/A,TRUE,"STEEL";#N/A,#N/A,TRUE,"INT-Table";#N/A,#N/A,TRUE,"STEEL";#N/A,#N/A,TRUE,"Door"}</definedName>
    <definedName name="abc" localSheetId="10" hidden="1">{#N/A,#N/A,TRUE,"Basic";#N/A,#N/A,TRUE,"EXT-TABLE";#N/A,#N/A,TRUE,"STEEL";#N/A,#N/A,TRUE,"INT-Table";#N/A,#N/A,TRUE,"STEEL";#N/A,#N/A,TRUE,"Door"}</definedName>
    <definedName name="abc" localSheetId="2" hidden="1">{#N/A,#N/A,TRUE,"Basic";#N/A,#N/A,TRUE,"EXT-TABLE";#N/A,#N/A,TRUE,"STEEL";#N/A,#N/A,TRUE,"INT-Table";#N/A,#N/A,TRUE,"STEEL";#N/A,#N/A,TRUE,"Door"}</definedName>
    <definedName name="abc" localSheetId="4" hidden="1">{#N/A,#N/A,TRUE,"Basic";#N/A,#N/A,TRUE,"EXT-TABLE";#N/A,#N/A,TRUE,"STEEL";#N/A,#N/A,TRUE,"INT-Table";#N/A,#N/A,TRUE,"STEEL";#N/A,#N/A,TRUE,"Door"}</definedName>
    <definedName name="abc" localSheetId="5" hidden="1">{#N/A,#N/A,TRUE,"Basic";#N/A,#N/A,TRUE,"EXT-TABLE";#N/A,#N/A,TRUE,"STEEL";#N/A,#N/A,TRUE,"INT-Table";#N/A,#N/A,TRUE,"STEEL";#N/A,#N/A,TRUE,"Door"}</definedName>
    <definedName name="abc" localSheetId="13" hidden="1">{#N/A,#N/A,TRUE,"Basic";#N/A,#N/A,TRUE,"EXT-TABLE";#N/A,#N/A,TRUE,"STEEL";#N/A,#N/A,TRUE,"INT-Table";#N/A,#N/A,TRUE,"STEEL";#N/A,#N/A,TRUE,"Door"}</definedName>
    <definedName name="abc" localSheetId="1" hidden="1">{#N/A,#N/A,TRUE,"Basic";#N/A,#N/A,TRUE,"EXT-TABLE";#N/A,#N/A,TRUE,"STEEL";#N/A,#N/A,TRUE,"INT-Table";#N/A,#N/A,TRUE,"STEEL";#N/A,#N/A,TRUE,"Door"}</definedName>
    <definedName name="abc" localSheetId="7" hidden="1">{#N/A,#N/A,TRUE,"Basic";#N/A,#N/A,TRUE,"EXT-TABLE";#N/A,#N/A,TRUE,"STEEL";#N/A,#N/A,TRUE,"INT-Table";#N/A,#N/A,TRUE,"STEEL";#N/A,#N/A,TRUE,"Door"}</definedName>
    <definedName name="abc" localSheetId="9" hidden="1">{#N/A,#N/A,TRUE,"Basic";#N/A,#N/A,TRUE,"EXT-TABLE";#N/A,#N/A,TRUE,"STEEL";#N/A,#N/A,TRUE,"INT-Table";#N/A,#N/A,TRUE,"STEEL";#N/A,#N/A,TRUE,"Door"}</definedName>
    <definedName name="abc" localSheetId="0" hidden="1">{#N/A,#N/A,TRUE,"Basic";#N/A,#N/A,TRUE,"EXT-TABLE";#N/A,#N/A,TRUE,"STEEL";#N/A,#N/A,TRUE,"INT-Table";#N/A,#N/A,TRUE,"STEEL";#N/A,#N/A,TRUE,"Door"}</definedName>
    <definedName name="abc" localSheetId="3" hidden="1">{#N/A,#N/A,TRUE,"Basic";#N/A,#N/A,TRUE,"EXT-TABLE";#N/A,#N/A,TRUE,"STEEL";#N/A,#N/A,TRUE,"INT-Table";#N/A,#N/A,TRUE,"STEEL";#N/A,#N/A,TRUE,"Door"}</definedName>
    <definedName name="abc" hidden="1">{#N/A,#N/A,TRUE,"Basic";#N/A,#N/A,TRUE,"EXT-TABLE";#N/A,#N/A,TRUE,"STEEL";#N/A,#N/A,TRUE,"INT-Table";#N/A,#N/A,TRUE,"STEEL";#N/A,#N/A,TRUE,"Door"}</definedName>
    <definedName name="ac_3.4_PK">'UNIT PRICE'!$D$186</definedName>
    <definedName name="ac_split_1_PK">'UNIT PRICE'!$D$187</definedName>
    <definedName name="ac_split_2_PK">'UNIT PRICE'!$D$188</definedName>
    <definedName name="Access_Button" hidden="1">"PJTFINAL_F02F11_List"</definedName>
    <definedName name="AccessDatabase" hidden="1">"C:\WIN95\Desktop\Ramesh\AIC\Aic.mdb"</definedName>
    <definedName name="acdb" localSheetId="13" hidden="1">#REF!</definedName>
    <definedName name="acdb" hidden="1">#REF!</definedName>
    <definedName name="ACDS" localSheetId="8" hidden="1">#REF!</definedName>
    <definedName name="ACDS" localSheetId="13" hidden="1">#REF!</definedName>
    <definedName name="ACDS" localSheetId="9" hidden="1">#REF!</definedName>
    <definedName name="ACDS" hidden="1">#REF!</definedName>
    <definedName name="ads" localSheetId="8" hidden="1">#REF!</definedName>
    <definedName name="ads" localSheetId="13" hidden="1">#REF!</definedName>
    <definedName name="ads" localSheetId="9" hidden="1">#REF!</definedName>
    <definedName name="ads" hidden="1">#REF!</definedName>
    <definedName name="Ahs_1_jam_sewa_buldozer">AHS!$G$2666</definedName>
    <definedName name="ahs_1_lot_install_anti_petir_20kv_room">AHS!$G$2834</definedName>
    <definedName name="ahs_1_titik_instalasi_listrik">AHS!$G$2775</definedName>
    <definedName name="ahs_1_ton_steel_structure_dismantling">AHS!$G$1208</definedName>
    <definedName name="ahs_1_ton_steel_structures_for_tower_gantry">AHS!$G$3000</definedName>
    <definedName name="ahs_1kg_profil_complete_connector_steel_painting">AHS!$G$2510</definedName>
    <definedName name="ahs_1kg_wind_bracing.and.tie.rod_complete_connector_steel_painting">AHS!$G$2526</definedName>
    <definedName name="ahs_1unit_bak_penampung_air_cap_12_m3">AHS!$G$2758</definedName>
    <definedName name="ahs_1unit_controlbox_brick_60x60x65">AHS!$G$2371</definedName>
    <definedName name="ahs_acian">AHS!$G$449</definedName>
    <definedName name="ahs_alumunium_framework.akustic_plafond_m2">#REF!</definedName>
    <definedName name="ahs_alumunium_framework_and_aquistic_for_plafond">AHS!$G$1987</definedName>
    <definedName name="ahs_back_filling">AHS!$G$197</definedName>
    <definedName name="ahs_bataco_1pc.2ps">AHS!$G$330</definedName>
    <definedName name="ahs_bataco_1pc.3ps">AHS!$G$343</definedName>
    <definedName name="ahs_bath_basin_fiber">AHS!$G$2788</definedName>
    <definedName name="ahs_besi_polos_kg">AHS!$G$839</definedName>
    <definedName name="ahs_besi_ulir_kg">AHS!$G$855</definedName>
    <definedName name="ahs_boredpile_m">AHS!$G$948</definedName>
    <definedName name="ahs_bouwplank">AHS!$G$62</definedName>
    <definedName name="ahs_cable_tray_tipe_1">AHS!$G$2132</definedName>
    <definedName name="ahs_cable_tray_tipe_2">AHS!$G$2182</definedName>
    <definedName name="ahs_cable_trench_400.400">AHS!$G$2171</definedName>
    <definedName name="ahs_cable_trench_600.600">AHS!$G$2160</definedName>
    <definedName name="ahs_cable_trench_tipe_1_800.800_for_room_150kV">AHS!$G$2299</definedName>
    <definedName name="ahs_cable_trench_tipe_2_500.500_for_room_150kV">AHS!$G$2321</definedName>
    <definedName name="ahs_cable_trench_type_1_1000.1000">AHS!$G$2121</definedName>
    <definedName name="ahs_cable_trench_type_2_800.800">AHS!$G$2148</definedName>
    <definedName name="ahs_cable_trench_type_3_500.500">AHS!$G$2198</definedName>
    <definedName name="ahs_cable_trench_type_4_500.350">AHS!$G$2208</definedName>
    <definedName name="ahs_ceilling_frame_steel_40.40.2">AHS!$G$1399</definedName>
    <definedName name="ahs_ceilling_gypsum_1200.2400.9">AHS!$G$1386</definedName>
    <definedName name="ahs_ceramic_floor_20.20">AHS!$G$1528</definedName>
    <definedName name="ahs_ceramic_floor_30.30">AHS!$G$1541</definedName>
    <definedName name="ahs_ceramic_floor_60.60">AHS!$G$1554</definedName>
    <definedName name="ahs_ceramic_plint_10.60_m">AHS!$G$1593</definedName>
    <definedName name="ahs_closed_coupled_w_eco_washer">AHS!$G$1857</definedName>
    <definedName name="ahs_compacted_sand_layer_m3">AHS!$G$256</definedName>
    <definedName name="ahs_compacted_soil_m3">AHS!$G$270</definedName>
    <definedName name="ahs_cut_and_fill_include_compaction">AHS!$G$309</definedName>
    <definedName name="ahs_deeepwell_inc_submersible_water_pump_cap.150ltr.m_and_accessories_unit">AHS!$G$2765</definedName>
    <definedName name="ahs_demolishing_Brick_wall_manual_m3">AHS!$G$1138</definedName>
    <definedName name="ahs_demolishing_concrete_disposal_outside_area_project">AHS!$G$1195</definedName>
    <definedName name="ahs_demolishing_concrete_w_heavy_equipment">AHS!$G$1176</definedName>
    <definedName name="ahs_demolishing_concrete_w_jack_hammer">AHS!$G$1163</definedName>
    <definedName name="ahs_demolishing_formwork">AHS!$G$1124</definedName>
    <definedName name="ahs_demolishing_red_brick_w_jack_hammer">AHS!$G$1149</definedName>
    <definedName name="ahs_demolishing_Reinforced_concrete_manual">AHS!$G$1157</definedName>
    <definedName name="ahs_demolishing_stone_masonry_w_jack_hammer">AHS!$G$1129</definedName>
    <definedName name="ahs_dewatering_w_pump_cap.30.m3">AHS!$G$3480</definedName>
    <definedName name="Ahs_dismantling_fence">#REF!</definedName>
    <definedName name="ahs_dismantling_materials_and_accessories_tower_ton">AHS!$G$3049</definedName>
    <definedName name="ahs_erection_tower_ton">AHS!$G$3021</definedName>
    <definedName name="ahs_excavation_3m_semi_mekanis">AHS!$G$155</definedName>
    <definedName name="ahs_excavation_manual_1m">AHS!$G$131</definedName>
    <definedName name="ahs_excavation_manual_2m">AHS!$G$135</definedName>
    <definedName name="ahs_excavation_manual_3m">AHS!$G$139</definedName>
    <definedName name="ahs_excavation_mud_manual_1m">AHS!$G$178</definedName>
    <definedName name="ahs_excavation_rock_manual_1m">AHS!$G$166</definedName>
    <definedName name="ahs_excavation_soft_rock_manual_1m">AHS!$G$172</definedName>
    <definedName name="ahs_excavation_w_heavy_equipment">AHS!$G$184</definedName>
    <definedName name="ahs_excavation_w_heavy_equipment_4m">AHS!$G$143</definedName>
    <definedName name="ahs_fence_BRC_1.50m_per_m">AHS!$G$2416</definedName>
    <definedName name="ahs_fence_BRC_1.90m_per_m">AHS!$G$2401</definedName>
    <definedName name="ahs_fence_brickwall_H.2.9m_w_barbed_wire_0.6m">AHS!$G$2479</definedName>
    <definedName name="ahs_fence_from_concrete_height_2m">AHS!$G$2462</definedName>
    <definedName name="ahs_fence_galvanized_wire_mesh_2.0m">AHS!$G$2430</definedName>
    <definedName name="ahs_fence_security_2m_height">AHS!$G$45</definedName>
    <definedName name="ahs_flintkote_m2">AHS!$G$1792</definedName>
    <definedName name="ahs_floor_hardener">AHS!$G$1841</definedName>
    <definedName name="ahs_formwork_beam">AHS!$G$779</definedName>
    <definedName name="ahs_formwork_Column">AHS!$G$794</definedName>
    <definedName name="ahs_formwork_foundation_multiplex">AHS!$G$735</definedName>
    <definedName name="ahs_formwork_foundation_wooden_plank">AHS!$G$749</definedName>
    <definedName name="ahs_formwork_multiplex12.18mm">AHS!$G$720</definedName>
    <definedName name="ahs_formwork_slab">AHS!$G$809</definedName>
    <definedName name="ahs_formwork_sloof">AHS!$G$764</definedName>
    <definedName name="ahs_formwork_stair">AHS!$G$824</definedName>
    <definedName name="ahs_formwork_supporting_beam">AHS!$G$707</definedName>
    <definedName name="ahs_Gabion_erection_tipeB_m3">AHS!$G$2389</definedName>
    <definedName name="ahs_glass_door_tipe_P1">AHS!$G$1817</definedName>
    <definedName name="ahs_glass_door_tipe_P2">AHS!$G$1818</definedName>
    <definedName name="ahs_glass_door_tipe_P3">AHS!$G$1819</definedName>
    <definedName name="ahs_glass_door_tipe_P4">AHS!$G$1820</definedName>
    <definedName name="ahs_glass_window_tipe_boven">AHS!$G$1822</definedName>
    <definedName name="ahs_glass_window_tipe_J1">AHS!$G$1823</definedName>
    <definedName name="ahs_glass_window_tipe_J2">AHS!$G$1824</definedName>
    <definedName name="ahs_glass_window_tipe_J3">AHS!$G$1825</definedName>
    <definedName name="ahs_glass_window_tipe_V1_boven_fix_glass">AHS!$G$1826</definedName>
    <definedName name="ahs_glass_window_tipe_V2_2_alumunium_louver">AHS!$G$1827</definedName>
    <definedName name="ahs_glazed_ceramic_20.25">AHS!$G$1607</definedName>
    <definedName name="ahs_glazed_plint_10.40">AHS!$G$1513</definedName>
    <definedName name="ahs_granite_30.30">AHS!$G$1439</definedName>
    <definedName name="ahs_granite_30.60">AHS!$G$1454</definedName>
    <definedName name="ahs_granite_60.60">AHS!$G$1424</definedName>
    <definedName name="ahs_granite_plint_10.30">AHS!$G$1498</definedName>
    <definedName name="ahs_granite_plint_tiles_10.60">AHS!$G$1621</definedName>
    <definedName name="ahs_granite_wall_tiles_40.40">AHS!$G$1483</definedName>
    <definedName name="ahs_gravel_m2">AHS!$G$291</definedName>
    <definedName name="ahs_gravel_m3">AHS!$G$284</definedName>
    <definedName name="ahs_half_brick_1.2">AHS!$G$357</definedName>
    <definedName name="ahs_half_brick_1.4">AHS!$G$370</definedName>
    <definedName name="ahs_import_filling_w_compacted_soil_from_outside_project">AHS!$G$240</definedName>
    <definedName name="ahs_import_filling_w_humous_soil">AHS!$G$232</definedName>
    <definedName name="ahs_import_filling_w_sand">AHS!$G$224</definedName>
    <definedName name="ahs_import_filling_w_urugan_tanah_dari_luar">#REF!</definedName>
    <definedName name="ahs_instal_anti_climbing_per_tower">AHS!$G$3426</definedName>
    <definedName name="ahs_instal_tension_insulator.set_hardware_inc.clamp_armor.rod">AHS!$G$3291</definedName>
    <definedName name="ahs_installation_pvc_2in_tower">AHS!$G$3582</definedName>
    <definedName name="ahs_installation_pvc_4in_tower">AHS!$G$3592</definedName>
    <definedName name="ahs_kerb_10.20.60">AHS!$G$2106</definedName>
    <definedName name="ahs_kerb_25.30.50">AHS!$G$2112</definedName>
    <definedName name="ahs_komisioning_sistem_pentanahan_per_tower">AHS!$G$3646</definedName>
    <definedName name="ahs_landscaping_m2">AHS!$G$1802</definedName>
    <definedName name="ahs_lavatory_basin">AHS!$G$1868</definedName>
    <definedName name="ahs_light_steel_framework_roofing">#REF!</definedName>
    <definedName name="ahs_List_plafon_gypsum">AHS!$G$1412</definedName>
    <definedName name="ahs_listplank_GRC">AHS!$G$2497</definedName>
    <definedName name="ahs_mild_steel_framework_for_roofing">AHS!$G$1968</definedName>
    <definedName name="ahs_new_road_m2">AHS!$G$2006</definedName>
    <definedName name="ahs_non_glazed_ceramic_floor_40.40">AHS!$G$1468</definedName>
    <definedName name="ahs_one_brick_1.4">AHS!$G$383</definedName>
    <definedName name="ahs_open_drainage_brick_30.40">AHS!$G$2352</definedName>
    <definedName name="ahs_open_drainage_storage_stone_masonry_40.70cm_m">AHS!$G$2343</definedName>
    <definedName name="ahs_painting_steel_m2">AHS!$G$1752</definedName>
    <definedName name="ahs_painting_wall_eksterior">AHS!$G$1779</definedName>
    <definedName name="ahs_painting_wall_interior">AHS!$G$1767</definedName>
    <definedName name="ahs_painting_wood_m2">AHS!$G$1736</definedName>
    <definedName name="ahs_patok_beton">AHS!$G$3503</definedName>
    <definedName name="ahs_pemasangan_grounding_100m">AHS!$G$4112</definedName>
    <definedName name="ahs_pemasangan_mercury_Vapour_80W_tiang_2m">AHS!$G$2723</definedName>
    <definedName name="ahs_pemasangan_mercury_Vapour150W">AHS!$G$2691</definedName>
    <definedName name="ahs_pemasangan_mercury_Vapour250W">AHS!$G$2711</definedName>
    <definedName name="ahs_pemasangan_mercury_Vapour250W_and_tiang9m">AHS!$G$2676</definedName>
    <definedName name="ahs_plank_name_project">AHS!$G$30</definedName>
    <definedName name="ahs_plester_1.2_tebal15mm">AHS!$G$423</definedName>
    <definedName name="ahs_plester_1.4_tebal15mm">AHS!$G$410</definedName>
    <definedName name="ahs_pondasi_tiang_besi_2m">AHS!$G$2735</definedName>
    <definedName name="ahs_pondasi_tiang_besi_9m">AHS!$G$2703</definedName>
    <definedName name="ahs_pvc_0.5_in">AHS!$G$2575</definedName>
    <definedName name="ahs_pvc_1.0_in">AHS!$G$2591</definedName>
    <definedName name="ahs_pvc_2_in">AHS!$G$2607</definedName>
    <definedName name="ahs_pvc_3_in">AHS!$G$2622</definedName>
    <definedName name="ahs_pvc_3in_for_roofing_m">AHS!$G$2803</definedName>
    <definedName name="ahs_pvc_4_in">AHS!$G$2637</definedName>
    <definedName name="ahs_raised_floor_m2">AHS!$G$2540</definedName>
    <definedName name="ahs_road_aspal_hotmix_5cm_m2">AHS!$G$2048</definedName>
    <definedName name="ahs_road_base_structure_15cm_m2">AHS!$G$2081</definedName>
    <definedName name="ahs_road_base_structure_15cm_m3">AHS!$G$2094</definedName>
    <definedName name="ahs_road_macadam_surface_course_20cm_m2">AHS!$G$2096</definedName>
    <definedName name="ahs_road_penetration_thickness_5cm_m2">AHS!$G$2022</definedName>
    <definedName name="ahs_road_prepare_compacteed_subgrade_m2">AHS!$G$2065</definedName>
    <definedName name="ahs_road_prepare_compacteed_subgrade_m3">AHS!$G$2078</definedName>
    <definedName name="ahs_road_wearing_surface_hotmix_5cm_m2">AHS!$G$2038</definedName>
    <definedName name="ahs_roofing_klip.lock.HI_TEN_m2">AHS!$G$1650</definedName>
    <definedName name="ahs_roofing_nok_Hi_ten">AHS!$G$1686</definedName>
    <definedName name="ahs_roofing_nok_Onduline_classic">AHS!$G$1699</definedName>
    <definedName name="ahs_roofing_nok_spandek">AHS!$G$1711</definedName>
    <definedName name="ahs_roofing_Onduline_classic_m2">AHS!$G$1663</definedName>
    <definedName name="ahs_roofing_Spandek_m2">AHS!$G$1674</definedName>
    <definedName name="ahs_roster_1pc_3ps">AHS!$G$396</definedName>
    <definedName name="ahs_sandlayer">AHS!$G$256</definedName>
    <definedName name="ahs_septic_tank_cap_3_m3">AHS!$G$1915</definedName>
    <definedName name="ahs_setting_stub">AHS!$G$3552</definedName>
    <definedName name="ahs_sink_complete">AHS!$G$1904</definedName>
    <definedName name="ahs_site_clearing_grubbing">AHS!$G$74</definedName>
    <definedName name="ahs_site_office">AHS!$G$10</definedName>
    <definedName name="ahs_sliding_gate_BRC_height_1.5m_wide_6.3m">AHS!$G$2446</definedName>
    <definedName name="ahs_soil_disposal_dump_truck_m3">AHS!$G$211</definedName>
    <definedName name="ahs_soil_disposal_manual">AHS!$G$204</definedName>
    <definedName name="ahs_sortir_material_tower_ton">AHS!$G$3016</definedName>
    <definedName name="ahs_stepnosing_100.400_m">AHS!$G$1636</definedName>
    <definedName name="ahs_stone_masonry_1.2">AHS!$G$625</definedName>
    <definedName name="ahs_stone_masonry_1.3">AHS!$G$642</definedName>
    <definedName name="ahs_stone_masonry_1.4">AHS!$G$659</definedName>
    <definedName name="ahs_stone_masonry_1.5">AHS!$G$675</definedName>
    <definedName name="Ahs_stringing_conductor_2cct_1.KMS">AHS!$G$3247</definedName>
    <definedName name="ahs_stringing_earthing_conductor_1KMR">AHS!$G$3265</definedName>
    <definedName name="ahs_stripping_m2">AHS!$G$82</definedName>
    <definedName name="ahs_sub_soil_drainage">AHS!$G$2361</definedName>
    <definedName name="ahs_survey_area_1_Ha">AHS!$G$94</definedName>
    <definedName name="ahs_tanah_dihamparkan_dan_dirapikan">AHS!$G$293</definedName>
    <definedName name="ahs_tanah_humus">AHS!$G$232</definedName>
    <definedName name="ahs_tanam_rumput_gajah_m2">#REF!</definedName>
    <definedName name="ahs_tanaman_rumput_gajah">AHS!$G$1956</definedName>
    <definedName name="ahs_tes_beton">AHS!$G$118</definedName>
    <definedName name="ahs_transportasi_material_tower_ton_0.20km">AHS!$G$3062</definedName>
    <definedName name="ahs_transportasi_material_tower_ton_20.40km">AHS!$G$3076</definedName>
    <definedName name="ahs_transportasi_material_tower_ton_40.60km">AHS!$G$3090</definedName>
    <definedName name="ahs_transportasi_material_tower_ton_60.80km">AHS!$G$3104</definedName>
    <definedName name="ahs_transportasi_material_tower_ton_80.100km">AHS!$G$3118</definedName>
    <definedName name="ahs_urinoir">AHS!$G$1880</definedName>
    <definedName name="ahs_wash_basin">AHS!$G$1892</definedName>
    <definedName name="ahs_water_suply_GIP_medium_pipe_2in_m">AHS!$G$2652</definedName>
    <definedName name="ahs_water_supply_3in">#REF!</definedName>
    <definedName name="ahs_water_supply_4in">#REF!</definedName>
    <definedName name="ahs_water_supply_pvc_pipe_inc_installation">AHS!$G$2559</definedName>
    <definedName name="ahs_water_tank_and_steel_struc_tower_cap_2_m3">AHS!$G$2742</definedName>
    <definedName name="ahs_water_tank_cap_2m3_inc_steel_tower_and_install_pipe">AHS!$G$1936</definedName>
    <definedName name="ahs_waterproffing">AHS!$G$1829</definedName>
    <definedName name="ahs_wiremesh_per_kg">#REF!</definedName>
    <definedName name="ahs_wiremesh_per_sheet">#REF!</definedName>
    <definedName name="ahs_wooden_driven_pile">AHS!$G$1026</definedName>
    <definedName name="ajunk" localSheetId="8" hidden="1">#REF!</definedName>
    <definedName name="ajunk" localSheetId="13" hidden="1">#REF!</definedName>
    <definedName name="ajunk" localSheetId="9" hidden="1">#REF!</definedName>
    <definedName name="ajunk" hidden="1">#REF!</definedName>
    <definedName name="aka" localSheetId="8" hidden="1">'[31]Agregat Halus &amp; Kasar'!$G$12:$G$20</definedName>
    <definedName name="aka" localSheetId="9" hidden="1">'[31]Agregat Halus &amp; Kasar'!$G$12:$G$20</definedName>
    <definedName name="aka" hidden="1">'[31]Agregat Halus &amp; Kasar'!$G$12:$G$20</definedName>
    <definedName name="alarm_bell_6in">'UNIT PRICE'!$D$230</definedName>
    <definedName name="alat_bantu_Computer_Printer">'UNIT PRICE'!$D$394</definedName>
    <definedName name="alat_earth_tester_day">'UNIT PRICE'!$D$372</definedName>
    <definedName name="alat_megger_day">'UNIT PRICE'!$D$371</definedName>
    <definedName name="alat_pengujian_baterai">'UNIT PRICE'!$D$362</definedName>
    <definedName name="alat_pengukuran_earthing">'UNIT PRICE'!$D$359</definedName>
    <definedName name="alumunium.foil_m2">'UNIT PRICE'!$D$54</definedName>
    <definedName name="alumunium_plafond_m2">'UNIT PRICE'!$D$172</definedName>
    <definedName name="amplas">'UNIT PRICE'!$D$81</definedName>
    <definedName name="anchor_bolt_24mm">'UNIT PRICE'!$D$42</definedName>
    <definedName name="anchor_bolt_36mm">'UNIT PRICE'!$D$44</definedName>
    <definedName name="ANDI1" localSheetId="8" hidden="1">#REF!</definedName>
    <definedName name="ANDI1" localSheetId="13" hidden="1">#REF!</definedName>
    <definedName name="ANDI1" localSheetId="9" hidden="1">#REF!</definedName>
    <definedName name="ANDI1" hidden="1">#REF!</definedName>
    <definedName name="ANDY" localSheetId="8" hidden="1">#REF!</definedName>
    <definedName name="ANDY" localSheetId="13" hidden="1">#REF!</definedName>
    <definedName name="ANDY" localSheetId="9" hidden="1">#REF!</definedName>
    <definedName name="ANDY" hidden="1">#REF!</definedName>
    <definedName name="ANDY2" localSheetId="8" hidden="1">#REF!</definedName>
    <definedName name="ANDY2" localSheetId="13" hidden="1">#REF!</definedName>
    <definedName name="ANDY2" localSheetId="9" hidden="1">#REF!</definedName>
    <definedName name="ANDY2" hidden="1">#REF!</definedName>
    <definedName name="anggun" localSheetId="8" hidden="1">'[32]struktur tdk dipakai'!#REF!</definedName>
    <definedName name="anggun" localSheetId="13" hidden="1">'[32]struktur tdk dipakai'!#REF!</definedName>
    <definedName name="anggun" localSheetId="9" hidden="1">'[32]struktur tdk dipakai'!#REF!</definedName>
    <definedName name="anggun" hidden="1">'[32]struktur tdk dipakai'!#REF!</definedName>
    <definedName name="ANGKE" localSheetId="6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8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10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2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4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5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13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1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7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9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0" hidden="1">{"Offgrid",#N/A,FALSE,"OFFGRID";"Region",#N/A,FALSE,"REGION";"Offgrid -2",#N/A,FALSE,"OFFGRID";"WTP",#N/A,FALSE,"WTP";"WTP -2",#N/A,FALSE,"WTP";"Project",#N/A,FALSE,"PROJECT";"Summary -2",#N/A,FALSE,"SUMMARY"}</definedName>
    <definedName name="ANGKE" localSheetId="3" hidden="1">{"Offgrid",#N/A,FALSE,"OFFGRID";"Region",#N/A,FALSE,"REGION";"Offgrid -2",#N/A,FALSE,"OFFGRID";"WTP",#N/A,FALSE,"WTP";"WTP -2",#N/A,FALSE,"WTP";"Project",#N/A,FALSE,"PROJECT";"Summary -2",#N/A,FALSE,"SUMMARY"}</definedName>
    <definedName name="ANGKE" hidden="1">{"Offgrid",#N/A,FALSE,"OFFGRID";"Region",#N/A,FALSE,"REGION";"Offgrid -2",#N/A,FALSE,"OFFGRID";"WTP",#N/A,FALSE,"WTP";"WTP -2",#N/A,FALSE,"WTP";"Project",#N/A,FALSE,"PROJECT";"Summary -2",#N/A,FALSE,"SUMMARY"}</definedName>
    <definedName name="asal" localSheetId="6" hidden="1">{#N/A,#N/A,FALSE,"M.31"}</definedName>
    <definedName name="asal" localSheetId="8" hidden="1">{#N/A,#N/A,FALSE,"M.31"}</definedName>
    <definedName name="asal" localSheetId="10" hidden="1">{#N/A,#N/A,FALSE,"M.31"}</definedName>
    <definedName name="asal" localSheetId="2" hidden="1">{#N/A,#N/A,FALSE,"M.31"}</definedName>
    <definedName name="asal" localSheetId="4" hidden="1">{#N/A,#N/A,FALSE,"M.31"}</definedName>
    <definedName name="asal" localSheetId="5" hidden="1">{#N/A,#N/A,FALSE,"M.31"}</definedName>
    <definedName name="asal" localSheetId="13" hidden="1">{#N/A,#N/A,FALSE,"M.31"}</definedName>
    <definedName name="asal" localSheetId="1" hidden="1">{#N/A,#N/A,FALSE,"M.31"}</definedName>
    <definedName name="asal" localSheetId="7" hidden="1">{#N/A,#N/A,FALSE,"M.31"}</definedName>
    <definedName name="asal" localSheetId="9" hidden="1">{#N/A,#N/A,FALSE,"M.31"}</definedName>
    <definedName name="asal" localSheetId="0" hidden="1">{#N/A,#N/A,FALSE,"M.31"}</definedName>
    <definedName name="asal" localSheetId="3" hidden="1">{#N/A,#N/A,FALSE,"M.31"}</definedName>
    <definedName name="asal" hidden="1">{#N/A,#N/A,FALSE,"M.31"}</definedName>
    <definedName name="ASE" localSheetId="13" hidden="1">#REF!</definedName>
    <definedName name="ASE" hidden="1">#REF!</definedName>
    <definedName name="asphalt_60.70">'UNIT PRICE'!$D$267</definedName>
    <definedName name="asphalt_worker">'UNIT PRICE'!$D$306</definedName>
    <definedName name="aswer" localSheetId="8" hidden="1">#REF!</definedName>
    <definedName name="aswer" localSheetId="13" hidden="1">#REF!</definedName>
    <definedName name="aswer" localSheetId="9" hidden="1">#REF!</definedName>
    <definedName name="aswer" hidden="1">#REF!</definedName>
    <definedName name="ato" localSheetId="6" hidden="1">{#N/A,#N/A,FALSE,"REK-S-TPL";#N/A,#N/A,FALSE,"REK-TPML";#N/A,#N/A,FALSE,"RAB-TEMPEL"}</definedName>
    <definedName name="ato" localSheetId="8" hidden="1">{#N/A,#N/A,FALSE,"REK-S-TPL";#N/A,#N/A,FALSE,"REK-TPML";#N/A,#N/A,FALSE,"RAB-TEMPEL"}</definedName>
    <definedName name="ato" localSheetId="10" hidden="1">{#N/A,#N/A,FALSE,"REK-S-TPL";#N/A,#N/A,FALSE,"REK-TPML";#N/A,#N/A,FALSE,"RAB-TEMPEL"}</definedName>
    <definedName name="ato" localSheetId="2" hidden="1">{#N/A,#N/A,FALSE,"REK-S-TPL";#N/A,#N/A,FALSE,"REK-TPML";#N/A,#N/A,FALSE,"RAB-TEMPEL"}</definedName>
    <definedName name="ato" localSheetId="4" hidden="1">{#N/A,#N/A,FALSE,"REK-S-TPL";#N/A,#N/A,FALSE,"REK-TPML";#N/A,#N/A,FALSE,"RAB-TEMPEL"}</definedName>
    <definedName name="ato" localSheetId="5" hidden="1">{#N/A,#N/A,FALSE,"REK-S-TPL";#N/A,#N/A,FALSE,"REK-TPML";#N/A,#N/A,FALSE,"RAB-TEMPEL"}</definedName>
    <definedName name="ato" localSheetId="13" hidden="1">{#N/A,#N/A,FALSE,"REK-S-TPL";#N/A,#N/A,FALSE,"REK-TPML";#N/A,#N/A,FALSE,"RAB-TEMPEL"}</definedName>
    <definedName name="ato" localSheetId="1" hidden="1">{#N/A,#N/A,FALSE,"REK-S-TPL";#N/A,#N/A,FALSE,"REK-TPML";#N/A,#N/A,FALSE,"RAB-TEMPEL"}</definedName>
    <definedName name="ato" localSheetId="7" hidden="1">{#N/A,#N/A,FALSE,"REK-S-TPL";#N/A,#N/A,FALSE,"REK-TPML";#N/A,#N/A,FALSE,"RAB-TEMPEL"}</definedName>
    <definedName name="ato" localSheetId="9" hidden="1">{#N/A,#N/A,FALSE,"REK-S-TPL";#N/A,#N/A,FALSE,"REK-TPML";#N/A,#N/A,FALSE,"RAB-TEMPEL"}</definedName>
    <definedName name="ato" localSheetId="0" hidden="1">{#N/A,#N/A,FALSE,"REK-S-TPL";#N/A,#N/A,FALSE,"REK-TPML";#N/A,#N/A,FALSE,"RAB-TEMPEL"}</definedName>
    <definedName name="ato" localSheetId="3" hidden="1">{#N/A,#N/A,FALSE,"REK-S-TPL";#N/A,#N/A,FALSE,"REK-TPML";#N/A,#N/A,FALSE,"RAB-TEMPEL"}</definedName>
    <definedName name="ato" hidden="1">{#N/A,#N/A,FALSE,"REK-S-TPL";#N/A,#N/A,FALSE,"REK-TPML";#N/A,#N/A,FALSE,"RAB-TEMPEL"}</definedName>
    <definedName name="bak_cuci_piring_stainless_steel_2_pool">'UNIT PRICE'!$D$140</definedName>
    <definedName name="balcony_fence">'UNIT PRICE'!$D$224</definedName>
    <definedName name="bambu">'UNIT PRICE'!$D$67</definedName>
    <definedName name="barbed_wire">'UNIT PRICE'!$D$52</definedName>
    <definedName name="bataco">'UNIT PRICE'!$D$13</definedName>
    <definedName name="batam" localSheetId="6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8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10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2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4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5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13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1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7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9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0" hidden="1">{"Offgrid",#N/A,FALSE,"OFFGRID";"Region",#N/A,FALSE,"REGION";"Offgrid -2",#N/A,FALSE,"OFFGRID";"WTP",#N/A,FALSE,"WTP";"WTP -2",#N/A,FALSE,"WTP";"Project",#N/A,FALSE,"PROJECT";"Summary -2",#N/A,FALSE,"SUMMARY"}</definedName>
    <definedName name="batam" localSheetId="3" hidden="1">{"Offgrid",#N/A,FALSE,"OFFGRID";"Region",#N/A,FALSE,"REGION";"Offgrid -2",#N/A,FALSE,"OFFGRID";"WTP",#N/A,FALSE,"WTP";"WTP -2",#N/A,FALSE,"WTP";"Project",#N/A,FALSE,"PROJECT";"Summary -2",#N/A,FALSE,"SUMMARY"}</definedName>
    <definedName name="batam" hidden="1">{"Offgrid",#N/A,FALSE,"OFFGRID";"Region",#N/A,FALSE,"REGION";"Offgrid -2",#N/A,FALSE,"OFFGRID";"WTP",#N/A,FALSE,"WTP";"WTP -2",#N/A,FALSE,"WTP";"Project",#N/A,FALSE,"PROJECT";"Summary -2",#N/A,FALSE,"SUMMARY"}</definedName>
    <definedName name="bath_basin_fiber">'UNIT PRICE'!$D$139</definedName>
    <definedName name="bb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m">'UNIT PRICE'!$D$248</definedName>
    <definedName name="bc" localSheetId="8" hidden="1">'[31]Agregat Halus &amp; Kasar'!$I$12:$I$20</definedName>
    <definedName name="bc" localSheetId="9" hidden="1">'[31]Agregat Halus &amp; Kasar'!$I$12:$I$20</definedName>
    <definedName name="bc" hidden="1">'[31]Agregat Halus &amp; Kasar'!$I$12:$I$20</definedName>
    <definedName name="bekisting" localSheetId="8" hidden="1">#REF!</definedName>
    <definedName name="bekisting" localSheetId="13" hidden="1">#REF!</definedName>
    <definedName name="bekisting" localSheetId="9" hidden="1">#REF!</definedName>
    <definedName name="bekisting" hidden="1">#REF!</definedName>
    <definedName name="Besi_Pelat_kg">'UNIT PRICE'!$D$38</definedName>
    <definedName name="besi_polos">'UNIT PRICE'!$D$27</definedName>
    <definedName name="besi_ulir">'UNIT PRICE'!$D$28</definedName>
    <definedName name="binjai.xls" localSheetId="6" hidden="1">[33]H.Satuan!#REF!</definedName>
    <definedName name="binjai.xls" localSheetId="8" hidden="1">[33]H.Satuan!#REF!</definedName>
    <definedName name="binjai.xls" localSheetId="10" hidden="1">[33]H.Satuan!#REF!</definedName>
    <definedName name="binjai.xls" localSheetId="2" hidden="1">[33]H.Satuan!#REF!</definedName>
    <definedName name="binjai.xls" localSheetId="4" hidden="1">[33]H.Satuan!#REF!</definedName>
    <definedName name="binjai.xls" localSheetId="5" hidden="1">[33]H.Satuan!#REF!</definedName>
    <definedName name="binjai.xls" localSheetId="13" hidden="1">[33]H.Satuan!#REF!</definedName>
    <definedName name="binjai.xls" localSheetId="1" hidden="1">[33]H.Satuan!#REF!</definedName>
    <definedName name="binjai.xls" localSheetId="7" hidden="1">[33]H.Satuan!#REF!</definedName>
    <definedName name="binjai.xls" localSheetId="9" hidden="1">[33]H.Satuan!#REF!</definedName>
    <definedName name="binjai.xls" localSheetId="0" hidden="1">[33]H.Satuan!#REF!</definedName>
    <definedName name="binjai.xls" localSheetId="17" hidden="1">[33]H.Satuan!#REF!</definedName>
    <definedName name="binjai.xls" localSheetId="3" hidden="1">[33]H.Satuan!#REF!</definedName>
    <definedName name="binjai.xls" hidden="1">[33]H.Satuan!#REF!</definedName>
    <definedName name="BLK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ored_pile_machine_day">'UNIT PRICE'!$D$355</definedName>
    <definedName name="brick_layer">'UNIT PRICE'!$D$301</definedName>
    <definedName name="brick_layer_chief">'UNIT PRICE'!$D$296</definedName>
    <definedName name="bridge" localSheetId="8" hidden="1">#REF!</definedName>
    <definedName name="bridge" localSheetId="13" hidden="1">#REF!</definedName>
    <definedName name="bridge" localSheetId="9" hidden="1">#REF!</definedName>
    <definedName name="bridge" hidden="1">#REF!</definedName>
    <definedName name="BRIDGE1" localSheetId="8" hidden="1">#REF!</definedName>
    <definedName name="BRIDGE1" localSheetId="13" hidden="1">#REF!</definedName>
    <definedName name="BRIDGE1" localSheetId="9" hidden="1">#REF!</definedName>
    <definedName name="BRIDGE1" hidden="1">#REF!</definedName>
    <definedName name="buis_beton_dia0.2cm_m">'UNIT PRICE'!$D$255</definedName>
    <definedName name="buis_beton_dia0.6cm">'UNIT PRICE'!$D$256</definedName>
    <definedName name="buis_beton_dia0.8cm">'UNIT PRICE'!$D$257</definedName>
    <definedName name="bul" localSheetId="6" hidden="1">{#N/A,#N/A,FALSE,"Chi tiÆt"}</definedName>
    <definedName name="bul" localSheetId="8" hidden="1">{#N/A,#N/A,FALSE,"Chi tiÆt"}</definedName>
    <definedName name="bul" localSheetId="10" hidden="1">{#N/A,#N/A,FALSE,"Chi tiÆt"}</definedName>
    <definedName name="bul" localSheetId="2" hidden="1">{#N/A,#N/A,FALSE,"Chi tiÆt"}</definedName>
    <definedName name="bul" localSheetId="4" hidden="1">{#N/A,#N/A,FALSE,"Chi tiÆt"}</definedName>
    <definedName name="bul" localSheetId="5" hidden="1">{#N/A,#N/A,FALSE,"Chi tiÆt"}</definedName>
    <definedName name="bul" localSheetId="13" hidden="1">{#N/A,#N/A,FALSE,"Chi tiÆt"}</definedName>
    <definedName name="bul" localSheetId="1" hidden="1">{#N/A,#N/A,FALSE,"Chi tiÆt"}</definedName>
    <definedName name="bul" localSheetId="7" hidden="1">{#N/A,#N/A,FALSE,"Chi tiÆt"}</definedName>
    <definedName name="bul" localSheetId="9" hidden="1">{#N/A,#N/A,FALSE,"Chi tiÆt"}</definedName>
    <definedName name="bul" localSheetId="0" hidden="1">{#N/A,#N/A,FALSE,"Chi tiÆt"}</definedName>
    <definedName name="bul" localSheetId="17" hidden="1">{#N/A,#N/A,FALSE,"Chi tiÆt"}</definedName>
    <definedName name="bul" localSheetId="3" hidden="1">{#N/A,#N/A,FALSE,"Chi tiÆt"}</definedName>
    <definedName name="bul" hidden="1">{#N/A,#N/A,FALSE,"Chi tiÆt"}</definedName>
    <definedName name="buldozer">'UNIT PRICE'!$D$346</definedName>
    <definedName name="cable_grounding_bc_50mm_m">'UNIT PRICE'!$D$215</definedName>
    <definedName name="cangkul">'UNIT PRICE'!$D$389</definedName>
    <definedName name="carpenter">'UNIT PRICE'!$D$303</definedName>
    <definedName name="carpenter_chief">'UNIT PRICE'!$D$298</definedName>
    <definedName name="casing">'UNIT PRICE'!$D$373</definedName>
    <definedName name="CCCCCC" localSheetId="8" hidden="1">[1]LOADDAT!#REF!</definedName>
    <definedName name="CCCCCC" localSheetId="13" hidden="1">[1]LOADDAT!#REF!</definedName>
    <definedName name="CCCCCC" localSheetId="9" hidden="1">[1]LOADDAT!#REF!</definedName>
    <definedName name="CCCCCC" hidden="1">[1]LOADDAT!#REF!</definedName>
    <definedName name="ceramic_20.20.m2_platinum">'UNIT PRICE'!$D$84</definedName>
    <definedName name="ceramic_30.30.m2">'UNIT PRICE'!$D$85</definedName>
    <definedName name="ceramic_60.60.m2_platinum">'UNIT PRICE'!$D$86</definedName>
    <definedName name="ceramic_non_glazed_40.40_m2">'UNIT PRICE'!$D$92</definedName>
    <definedName name="ceramic_plint_10.60">'UNIT PRICE'!$D$95</definedName>
    <definedName name="chain_block_5ton">'UNIT PRICE'!$D$351</definedName>
    <definedName name="Chromium_plate_soap_dish">'UNIT PRICE'!$D$126</definedName>
    <definedName name="Chromium_plate_toiled_roll_holder">'UNIT PRICE'!$D$125</definedName>
    <definedName name="Chromium_plated_hat_hook">'UNIT PRICE'!$D$127</definedName>
    <definedName name="clamp_kabel_no.4">'UNIT PRICE'!$D$221</definedName>
    <definedName name="clamp_pipa_pvc_3.4">'UNIT PRICE'!$D$122</definedName>
    <definedName name="Class6_AA_6pile_10_m">'Pondasi 6 Pile'!$G$267</definedName>
    <definedName name="Class6_AA_6pile_11_m">'Pondasi 6 Pile'!$G$292</definedName>
    <definedName name="Class6_AA_6pile_12_m">'Pondasi 6 Pile'!$G$317</definedName>
    <definedName name="Class6_AA_6pile_13_m">'Pondasi 6 Pile'!$G$342</definedName>
    <definedName name="Class6_AA_6pile_14_m">'Pondasi 6 Pile'!$G$367</definedName>
    <definedName name="Class6_AA_6pile_15_m">'Pondasi 6 Pile'!$G$392</definedName>
    <definedName name="Class6_AA_6pile_16_m">'Pondasi 6 Pile'!$G$417</definedName>
    <definedName name="Class6_AA_6pile_17_m">'Pondasi 6 Pile'!$G$442</definedName>
    <definedName name="Class6_AA_6pile_18_m">'Pondasi 6 Pile'!$G$467</definedName>
    <definedName name="Class6_AA_6pile_19_m">'Pondasi 6 Pile'!$G$492</definedName>
    <definedName name="Class6_AA_6pile_20_m">'Pondasi 6 Pile'!$G$517</definedName>
    <definedName name="Class6_AA_6pile_6_m">'Pondasi 6 Pile'!$G$167</definedName>
    <definedName name="Class6_AA_6pile_7_m">'Pondasi 6 Pile'!$G$192</definedName>
    <definedName name="Class6_AA_6pile_8_m">'Pondasi 6 Pile'!$G$217</definedName>
    <definedName name="Class6_AA_6pile_9_m">'Pondasi 6 Pile'!$G$242</definedName>
    <definedName name="Class6_BB_6pile_10_m">'Pondasi 6 Pile'!$S$267</definedName>
    <definedName name="Class6_BB_6pile_11_m">'Pondasi 6 Pile'!$S$292</definedName>
    <definedName name="Class6_BB_6pile_12_m">'Pondasi 6 Pile'!$S$317</definedName>
    <definedName name="Class6_BB_6pile_13_m">'Pondasi 6 Pile'!$S$342</definedName>
    <definedName name="Class6_BB_6pile_14_m">'Pondasi 6 Pile'!$S$367</definedName>
    <definedName name="Class6_BB_6pile_15_m">'Pondasi 6 Pile'!$S$392</definedName>
    <definedName name="Class6_BB_6pile_16_m">'Pondasi 6 Pile'!$S$417</definedName>
    <definedName name="Class6_BB_6pile_17_m">'Pondasi 6 Pile'!$S$442</definedName>
    <definedName name="Class6_BB_6pile_18_m">'Pondasi 6 Pile'!$S$467</definedName>
    <definedName name="Class6_BB_6pile_19_m">'Pondasi 6 Pile'!$S$492</definedName>
    <definedName name="Class6_BB_6pile_20_m">'Pondasi 6 Pile'!$S$517</definedName>
    <definedName name="Class6_BB_6pile_6_m">'Pondasi 6 Pile'!$S$167</definedName>
    <definedName name="Class6_BB_6pile_7_m">'Pondasi 6 Pile'!$S$192</definedName>
    <definedName name="Class6_BB_6pile_8_m">'Pondasi 6 Pile'!$S$217</definedName>
    <definedName name="Class6_BB_6pile_9_m">'Pondasi 6 Pile'!$S$242</definedName>
    <definedName name="Class6_CC_6pile_10_m">'Pondasi 6 Pile'!$AA$267</definedName>
    <definedName name="Class6_CC_6pile_11_m">'Pondasi 6 Pile'!$AA$292</definedName>
    <definedName name="Class6_CC_6pile_12_m">'Pondasi 6 Pile'!$AA$317</definedName>
    <definedName name="Class6_CC_6pile_13_m">'Pondasi 6 Pile'!$AA$342</definedName>
    <definedName name="Class6_CC_6pile_14_m">'Pondasi 6 Pile'!$AA$367</definedName>
    <definedName name="Class6_CC_6pile_15_m">'Pondasi 6 Pile'!$AA$392</definedName>
    <definedName name="Class6_CC_6pile_16_m">'Pondasi 6 Pile'!$AA$417</definedName>
    <definedName name="Class6_CC_6pile_17_m">'Pondasi 6 Pile'!$AA$442</definedName>
    <definedName name="Class6_CC_6pile_18_m">'Pondasi 6 Pile'!$AA$467</definedName>
    <definedName name="Class6_CC_6pile_19_m">'Pondasi 6 Pile'!$AA$492</definedName>
    <definedName name="Class6_CC_6pile_20_m">'Pondasi 6 Pile'!$AA$517</definedName>
    <definedName name="Class6_CC_6pile_6_m">'Pondasi 6 Pile'!$AA$167</definedName>
    <definedName name="Class6_CC_6pile_7_m">'Pondasi 6 Pile'!$AA$192</definedName>
    <definedName name="Class6_CC_6pile_8_m">'Pondasi 6 Pile'!$AA$217</definedName>
    <definedName name="Class6_CC_6pile_9_m">'Pondasi 6 Pile'!$AA$242</definedName>
    <definedName name="Class6_DD_6pile_10_m">'Pondasi 6 Pile'!$AI$267</definedName>
    <definedName name="Class6_DD_6pile_11_m">'Pondasi 6 Pile'!$AI$292</definedName>
    <definedName name="Class6_DD_6pile_12_m">'Pondasi 6 Pile'!$AI$317</definedName>
    <definedName name="Class6_DD_6pile_13_m">'Pondasi 6 Pile'!$AI$342</definedName>
    <definedName name="Class6_DD_6pile_14_m">'Pondasi 6 Pile'!$AI$367</definedName>
    <definedName name="Class6_DD_6pile_15_m">'Pondasi 6 Pile'!$AI$392</definedName>
    <definedName name="Class6_DD_6pile_16_m">'Pondasi 6 Pile'!$AI$417</definedName>
    <definedName name="Class6_DD_6pile_17_m">'Pondasi 6 Pile'!$AI$442</definedName>
    <definedName name="Class6_DD_6pile_18_m">'Pondasi 6 Pile'!$AI$467</definedName>
    <definedName name="Class6_DD_6pile_19_m">'Pondasi 6 Pile'!$AI$492</definedName>
    <definedName name="Class6_DD_6pile_20_m">'Pondasi 6 Pile'!$AI$517</definedName>
    <definedName name="Class6_DD_6pile_6_m">'Pondasi 6 Pile'!$AI$167</definedName>
    <definedName name="Class6_DD_6pile_7_m">'Pondasi 6 Pile'!$AI$192</definedName>
    <definedName name="Class6_DD_6pile_8_m">'Pondasi 6 Pile'!$AI$217</definedName>
    <definedName name="Class6_DD_6pile_9_m">'Pondasi 6 Pile'!$AI$242</definedName>
    <definedName name="clear_lamp_celling_60W">'UNIT PRICE'!$D$196</definedName>
    <definedName name="closed_coupled_toto">'UNIT PRICE'!$D$129</definedName>
    <definedName name="Closet_jongkok_setara_INA">'UNIT PRICE'!$D$128</definedName>
    <definedName name="coba" hidden="1">'[34]SITE-E'!$AI$33:$AI$144</definedName>
    <definedName name="Code" localSheetId="6" hidden="1">#REF!</definedName>
    <definedName name="Code" localSheetId="8" hidden="1">#REF!</definedName>
    <definedName name="Code" localSheetId="10" hidden="1">#REF!</definedName>
    <definedName name="Code" localSheetId="2" hidden="1">#REF!</definedName>
    <definedName name="Code" localSheetId="4" hidden="1">#REF!</definedName>
    <definedName name="Code" localSheetId="5" hidden="1">#REF!</definedName>
    <definedName name="Code" localSheetId="13" hidden="1">#REF!</definedName>
    <definedName name="Code" localSheetId="1" hidden="1">#REF!</definedName>
    <definedName name="Code" localSheetId="7" hidden="1">#REF!</definedName>
    <definedName name="Code" localSheetId="9" hidden="1">#REF!</definedName>
    <definedName name="Code" localSheetId="0" hidden="1">#REF!</definedName>
    <definedName name="Code" localSheetId="17" hidden="1">#REF!</definedName>
    <definedName name="Code" localSheetId="3" hidden="1">#REF!</definedName>
    <definedName name="Code" hidden="1">#REF!</definedName>
    <definedName name="communication_equipment">'UNIT PRICE'!$D$368</definedName>
    <definedName name="concrete_vibrator">'UNIT PRICE'!$D$329</definedName>
    <definedName name="concrete_wire">'UNIT PRICE'!$D$29</definedName>
    <definedName name="COST2" localSheetId="6" hidden="1">{#N/A,#N/A,TRUE,"Basic";#N/A,#N/A,TRUE,"EXT-TABLE";#N/A,#N/A,TRUE,"STEEL";#N/A,#N/A,TRUE,"INT-Table";#N/A,#N/A,TRUE,"STEEL";#N/A,#N/A,TRUE,"Door"}</definedName>
    <definedName name="COST2" localSheetId="8" hidden="1">{#N/A,#N/A,TRUE,"Basic";#N/A,#N/A,TRUE,"EXT-TABLE";#N/A,#N/A,TRUE,"STEEL";#N/A,#N/A,TRUE,"INT-Table";#N/A,#N/A,TRUE,"STEEL";#N/A,#N/A,TRUE,"Door"}</definedName>
    <definedName name="COST2" localSheetId="10" hidden="1">{#N/A,#N/A,TRUE,"Basic";#N/A,#N/A,TRUE,"EXT-TABLE";#N/A,#N/A,TRUE,"STEEL";#N/A,#N/A,TRUE,"INT-Table";#N/A,#N/A,TRUE,"STEEL";#N/A,#N/A,TRUE,"Door"}</definedName>
    <definedName name="COST2" localSheetId="2" hidden="1">{#N/A,#N/A,TRUE,"Basic";#N/A,#N/A,TRUE,"EXT-TABLE";#N/A,#N/A,TRUE,"STEEL";#N/A,#N/A,TRUE,"INT-Table";#N/A,#N/A,TRUE,"STEEL";#N/A,#N/A,TRUE,"Door"}</definedName>
    <definedName name="COST2" localSheetId="4" hidden="1">{#N/A,#N/A,TRUE,"Basic";#N/A,#N/A,TRUE,"EXT-TABLE";#N/A,#N/A,TRUE,"STEEL";#N/A,#N/A,TRUE,"INT-Table";#N/A,#N/A,TRUE,"STEEL";#N/A,#N/A,TRUE,"Door"}</definedName>
    <definedName name="COST2" localSheetId="5" hidden="1">{#N/A,#N/A,TRUE,"Basic";#N/A,#N/A,TRUE,"EXT-TABLE";#N/A,#N/A,TRUE,"STEEL";#N/A,#N/A,TRUE,"INT-Table";#N/A,#N/A,TRUE,"STEEL";#N/A,#N/A,TRUE,"Door"}</definedName>
    <definedName name="COST2" localSheetId="13" hidden="1">{#N/A,#N/A,TRUE,"Basic";#N/A,#N/A,TRUE,"EXT-TABLE";#N/A,#N/A,TRUE,"STEEL";#N/A,#N/A,TRUE,"INT-Table";#N/A,#N/A,TRUE,"STEEL";#N/A,#N/A,TRUE,"Door"}</definedName>
    <definedName name="COST2" localSheetId="1" hidden="1">{#N/A,#N/A,TRUE,"Basic";#N/A,#N/A,TRUE,"EXT-TABLE";#N/A,#N/A,TRUE,"STEEL";#N/A,#N/A,TRUE,"INT-Table";#N/A,#N/A,TRUE,"STEEL";#N/A,#N/A,TRUE,"Door"}</definedName>
    <definedName name="COST2" localSheetId="7" hidden="1">{#N/A,#N/A,TRUE,"Basic";#N/A,#N/A,TRUE,"EXT-TABLE";#N/A,#N/A,TRUE,"STEEL";#N/A,#N/A,TRUE,"INT-Table";#N/A,#N/A,TRUE,"STEEL";#N/A,#N/A,TRUE,"Door"}</definedName>
    <definedName name="COST2" localSheetId="9" hidden="1">{#N/A,#N/A,TRUE,"Basic";#N/A,#N/A,TRUE,"EXT-TABLE";#N/A,#N/A,TRUE,"STEEL";#N/A,#N/A,TRUE,"INT-Table";#N/A,#N/A,TRUE,"STEEL";#N/A,#N/A,TRUE,"Door"}</definedName>
    <definedName name="COST2" localSheetId="0" hidden="1">{#N/A,#N/A,TRUE,"Basic";#N/A,#N/A,TRUE,"EXT-TABLE";#N/A,#N/A,TRUE,"STEEL";#N/A,#N/A,TRUE,"INT-Table";#N/A,#N/A,TRUE,"STEEL";#N/A,#N/A,TRUE,"Door"}</definedName>
    <definedName name="COST2" localSheetId="3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ver_U_1000_LD">'UNIT PRICE'!$D$277</definedName>
    <definedName name="Cover_U_1200_LD">'UNIT PRICE'!$D$278</definedName>
    <definedName name="Cover_U_400_LD">'UNIT PRICE'!$D$274</definedName>
    <definedName name="Cover_U_600_LD">'UNIT PRICE'!$D$275</definedName>
    <definedName name="Cover_U_800_LD">'UNIT PRICE'!$D$276</definedName>
    <definedName name="cross_brace">'UNIT PRICE'!$D$386</definedName>
    <definedName name="crushed_stone">'UNIT PRICE'!$D$14</definedName>
    <definedName name="cvb" localSheetId="17" hidden="1">[13]RAB!#REF!</definedName>
    <definedName name="cvb" hidden="1">[13]RAB!#REF!</definedName>
    <definedName name="data1" localSheetId="6" hidden="1">#REF!</definedName>
    <definedName name="data1" localSheetId="8" hidden="1">#REF!</definedName>
    <definedName name="data1" localSheetId="10" hidden="1">#REF!</definedName>
    <definedName name="data1" localSheetId="2" hidden="1">#REF!</definedName>
    <definedName name="data1" localSheetId="4" hidden="1">#REF!</definedName>
    <definedName name="data1" localSheetId="5" hidden="1">#REF!</definedName>
    <definedName name="data1" localSheetId="13" hidden="1">#REF!</definedName>
    <definedName name="data1" localSheetId="1" hidden="1">#REF!</definedName>
    <definedName name="data1" localSheetId="7" hidden="1">#REF!</definedName>
    <definedName name="data1" localSheetId="9" hidden="1">#REF!</definedName>
    <definedName name="data1" localSheetId="0" hidden="1">#REF!</definedName>
    <definedName name="data1" localSheetId="17" hidden="1">#REF!</definedName>
    <definedName name="data1" localSheetId="3" hidden="1">#REF!</definedName>
    <definedName name="data1" hidden="1">#REF!</definedName>
    <definedName name="data2" localSheetId="6" hidden="1">#REF!</definedName>
    <definedName name="data2" localSheetId="8" hidden="1">#REF!</definedName>
    <definedName name="data2" localSheetId="10" hidden="1">#REF!</definedName>
    <definedName name="data2" localSheetId="2" hidden="1">#REF!</definedName>
    <definedName name="data2" localSheetId="4" hidden="1">#REF!</definedName>
    <definedName name="data2" localSheetId="5" hidden="1">#REF!</definedName>
    <definedName name="data2" localSheetId="13" hidden="1">#REF!</definedName>
    <definedName name="data2" localSheetId="1" hidden="1">#REF!</definedName>
    <definedName name="data2" localSheetId="7" hidden="1">#REF!</definedName>
    <definedName name="data2" localSheetId="9" hidden="1">#REF!</definedName>
    <definedName name="data2" localSheetId="0" hidden="1">#REF!</definedName>
    <definedName name="data2" localSheetId="17" hidden="1">#REF!</definedName>
    <definedName name="data2" localSheetId="3" hidden="1">#REF!</definedName>
    <definedName name="data2" hidden="1">#REF!</definedName>
    <definedName name="data3" localSheetId="6" hidden="1">#REF!</definedName>
    <definedName name="data3" localSheetId="8" hidden="1">#REF!</definedName>
    <definedName name="data3" localSheetId="10" hidden="1">#REF!</definedName>
    <definedName name="data3" localSheetId="2" hidden="1">#REF!</definedName>
    <definedName name="data3" localSheetId="4" hidden="1">#REF!</definedName>
    <definedName name="data3" localSheetId="5" hidden="1">#REF!</definedName>
    <definedName name="data3" localSheetId="13" hidden="1">#REF!</definedName>
    <definedName name="data3" localSheetId="1" hidden="1">#REF!</definedName>
    <definedName name="data3" localSheetId="7" hidden="1">#REF!</definedName>
    <definedName name="data3" localSheetId="9" hidden="1">#REF!</definedName>
    <definedName name="data3" localSheetId="0" hidden="1">#REF!</definedName>
    <definedName name="data3" localSheetId="17" hidden="1">#REF!</definedName>
    <definedName name="data3" localSheetId="3" hidden="1">#REF!</definedName>
    <definedName name="data3" hidden="1">#REF!</definedName>
    <definedName name="dddddddddddddd" localSheetId="6" hidden="1">{#N/A,#N/A,TRUE,"Basic";#N/A,#N/A,TRUE,"EXT-TABLE";#N/A,#N/A,TRUE,"STEEL";#N/A,#N/A,TRUE,"INT-Table";#N/A,#N/A,TRUE,"STEEL";#N/A,#N/A,TRUE,"Door"}</definedName>
    <definedName name="dddddddddddddd" localSheetId="8" hidden="1">{#N/A,#N/A,TRUE,"Basic";#N/A,#N/A,TRUE,"EXT-TABLE";#N/A,#N/A,TRUE,"STEEL";#N/A,#N/A,TRUE,"INT-Table";#N/A,#N/A,TRUE,"STEEL";#N/A,#N/A,TRUE,"Door"}</definedName>
    <definedName name="dddddddddddddd" localSheetId="10" hidden="1">{#N/A,#N/A,TRUE,"Basic";#N/A,#N/A,TRUE,"EXT-TABLE";#N/A,#N/A,TRUE,"STEEL";#N/A,#N/A,TRUE,"INT-Table";#N/A,#N/A,TRUE,"STEEL";#N/A,#N/A,TRUE,"Door"}</definedName>
    <definedName name="dddddddddddddd" localSheetId="2" hidden="1">{#N/A,#N/A,TRUE,"Basic";#N/A,#N/A,TRUE,"EXT-TABLE";#N/A,#N/A,TRUE,"STEEL";#N/A,#N/A,TRUE,"INT-Table";#N/A,#N/A,TRUE,"STEEL";#N/A,#N/A,TRUE,"Door"}</definedName>
    <definedName name="dddddddddddddd" localSheetId="4" hidden="1">{#N/A,#N/A,TRUE,"Basic";#N/A,#N/A,TRUE,"EXT-TABLE";#N/A,#N/A,TRUE,"STEEL";#N/A,#N/A,TRUE,"INT-Table";#N/A,#N/A,TRUE,"STEEL";#N/A,#N/A,TRUE,"Door"}</definedName>
    <definedName name="dddddddddddddd" localSheetId="5" hidden="1">{#N/A,#N/A,TRUE,"Basic";#N/A,#N/A,TRUE,"EXT-TABLE";#N/A,#N/A,TRUE,"STEEL";#N/A,#N/A,TRUE,"INT-Table";#N/A,#N/A,TRUE,"STEEL";#N/A,#N/A,TRUE,"Door"}</definedName>
    <definedName name="dddddddddddddd" localSheetId="13" hidden="1">{#N/A,#N/A,TRUE,"Basic";#N/A,#N/A,TRUE,"EXT-TABLE";#N/A,#N/A,TRUE,"STEEL";#N/A,#N/A,TRUE,"INT-Table";#N/A,#N/A,TRUE,"STEEL";#N/A,#N/A,TRUE,"Door"}</definedName>
    <definedName name="dddddddddddddd" localSheetId="1" hidden="1">{#N/A,#N/A,TRUE,"Basic";#N/A,#N/A,TRUE,"EXT-TABLE";#N/A,#N/A,TRUE,"STEEL";#N/A,#N/A,TRUE,"INT-Table";#N/A,#N/A,TRUE,"STEEL";#N/A,#N/A,TRUE,"Door"}</definedName>
    <definedName name="dddddddddddddd" localSheetId="7" hidden="1">{#N/A,#N/A,TRUE,"Basic";#N/A,#N/A,TRUE,"EXT-TABLE";#N/A,#N/A,TRUE,"STEEL";#N/A,#N/A,TRUE,"INT-Table";#N/A,#N/A,TRUE,"STEEL";#N/A,#N/A,TRUE,"Door"}</definedName>
    <definedName name="dddddddddddddd" localSheetId="9" hidden="1">{#N/A,#N/A,TRUE,"Basic";#N/A,#N/A,TRUE,"EXT-TABLE";#N/A,#N/A,TRUE,"STEEL";#N/A,#N/A,TRUE,"INT-Table";#N/A,#N/A,TRUE,"STEEL";#N/A,#N/A,TRUE,"Door"}</definedName>
    <definedName name="dddddddddddddd" localSheetId="0" hidden="1">{#N/A,#N/A,TRUE,"Basic";#N/A,#N/A,TRUE,"EXT-TABLE";#N/A,#N/A,TRUE,"STEEL";#N/A,#N/A,TRUE,"INT-Table";#N/A,#N/A,TRUE,"STEEL";#N/A,#N/A,TRUE,"Door"}</definedName>
    <definedName name="dddddddddddddd" localSheetId="3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igger">'UNIT PRICE'!$D$307</definedName>
    <definedName name="Discount" localSheetId="17" hidden="1">#REF!</definedName>
    <definedName name="Discount" hidden="1">#REF!</definedName>
    <definedName name="display_area_2" localSheetId="6" hidden="1">#REF!</definedName>
    <definedName name="display_area_2" localSheetId="8" hidden="1">#REF!</definedName>
    <definedName name="display_area_2" localSheetId="10" hidden="1">#REF!</definedName>
    <definedName name="display_area_2" localSheetId="2" hidden="1">#REF!</definedName>
    <definedName name="display_area_2" localSheetId="4" hidden="1">#REF!</definedName>
    <definedName name="display_area_2" localSheetId="5" hidden="1">#REF!</definedName>
    <definedName name="display_area_2" localSheetId="13" hidden="1">#REF!</definedName>
    <definedName name="display_area_2" localSheetId="1" hidden="1">#REF!</definedName>
    <definedName name="display_area_2" localSheetId="7" hidden="1">#REF!</definedName>
    <definedName name="display_area_2" localSheetId="9" hidden="1">#REF!</definedName>
    <definedName name="display_area_2" localSheetId="0" hidden="1">#REF!</definedName>
    <definedName name="display_area_2" localSheetId="17" hidden="1">#REF!</definedName>
    <definedName name="display_area_2" localSheetId="3" hidden="1">#REF!</definedName>
    <definedName name="display_area_2" hidden="1">#REF!</definedName>
    <definedName name="dolken_dia10cm_L.4m">'UNIT PRICE'!$D$66</definedName>
    <definedName name="door_closer">'UNIT PRICE'!$D$150</definedName>
    <definedName name="door_glass_frame_alumunium">'UNIT PRICE'!$D$142</definedName>
    <definedName name="door_holder_2_pcs">'UNIT PRICE'!$D$152</definedName>
    <definedName name="door_lock">'UNIT PRICE'!$D$151</definedName>
    <definedName name="double_gate_BRC_h1.9m_l3.3m">'UNIT PRICE'!$D$244</definedName>
    <definedName name="double_saklar">'UNIT PRICE'!$D$211</definedName>
    <definedName name="downlight">'UNIT PRICE'!$D$202</definedName>
    <definedName name="downlight_18watt">'UNIT PRICE'!$D$204</definedName>
    <definedName name="downlight_9W_include_installation">'UNIT PRICE'!$D$203</definedName>
    <definedName name="DR" localSheetId="8" hidden="1">#REF!</definedName>
    <definedName name="DR" localSheetId="13" hidden="1">#REF!</definedName>
    <definedName name="DR" localSheetId="9" hidden="1">#REF!</definedName>
    <definedName name="DR" hidden="1">#REF!</definedName>
    <definedName name="driven_machine_hour">'UNIT PRICE'!$D$334</definedName>
    <definedName name="driven_pile_20.20">'UNIT PRICE'!$D$263</definedName>
    <definedName name="driven_pile_30.30">'UNIT PRICE'!$D$262</definedName>
    <definedName name="driven_pile_40.40">'UNIT PRICE'!$D$261</definedName>
    <definedName name="driver">'UNIT PRICE'!$D$325</definedName>
    <definedName name="drop_hammer">'UNIT PRICE'!$D$352</definedName>
    <definedName name="DSAW" localSheetId="8" hidden="1">#REF!</definedName>
    <definedName name="DSAW" localSheetId="13" hidden="1">#REF!</definedName>
    <definedName name="DSAW" localSheetId="9" hidden="1">#REF!</definedName>
    <definedName name="DSAW" hidden="1">#REF!</definedName>
    <definedName name="dstesrg" localSheetId="8" hidden="1">#REF!</definedName>
    <definedName name="dstesrg" localSheetId="13" hidden="1">#REF!</definedName>
    <definedName name="dstesrg" localSheetId="9" hidden="1">#REF!</definedName>
    <definedName name="dstesrg" hidden="1">#REF!</definedName>
    <definedName name="dump_truck_5m3">'UNIT PRICE'!$D$332</definedName>
    <definedName name="dust_split">'UNIT PRICE'!$D$20</definedName>
    <definedName name="dyna_bolt_M10">'UNIT PRICE'!$D$45</definedName>
    <definedName name="dyna_bolt_M12">'UNIT PRICE'!$D$46</definedName>
    <definedName name="eerrr" localSheetId="6" hidden="1">{#N/A,#N/A,FALSE,"Chi tiÆt"}</definedName>
    <definedName name="eerrr" localSheetId="8" hidden="1">{#N/A,#N/A,FALSE,"Chi tiÆt"}</definedName>
    <definedName name="eerrr" localSheetId="10" hidden="1">{#N/A,#N/A,FALSE,"Chi tiÆt"}</definedName>
    <definedName name="eerrr" localSheetId="2" hidden="1">{#N/A,#N/A,FALSE,"Chi tiÆt"}</definedName>
    <definedName name="eerrr" localSheetId="4" hidden="1">{#N/A,#N/A,FALSE,"Chi tiÆt"}</definedName>
    <definedName name="eerrr" localSheetId="5" hidden="1">{#N/A,#N/A,FALSE,"Chi tiÆt"}</definedName>
    <definedName name="eerrr" localSheetId="13" hidden="1">{#N/A,#N/A,FALSE,"Chi tiÆt"}</definedName>
    <definedName name="eerrr" localSheetId="1" hidden="1">{#N/A,#N/A,FALSE,"Chi tiÆt"}</definedName>
    <definedName name="eerrr" localSheetId="7" hidden="1">{#N/A,#N/A,FALSE,"Chi tiÆt"}</definedName>
    <definedName name="eerrr" localSheetId="9" hidden="1">{#N/A,#N/A,FALSE,"Chi tiÆt"}</definedName>
    <definedName name="eerrr" localSheetId="0" hidden="1">{#N/A,#N/A,FALSE,"Chi tiÆt"}</definedName>
    <definedName name="eerrr" localSheetId="3" hidden="1">{#N/A,#N/A,FALSE,"Chi tiÆt"}</definedName>
    <definedName name="eerrr" hidden="1">{#N/A,#N/A,FALSE,"Chi tiÆt"}</definedName>
    <definedName name="EF" localSheetId="6" hidden="1">{#N/A,#N/A,FALSE,"Chi tiÆt"}</definedName>
    <definedName name="EF" localSheetId="8" hidden="1">{#N/A,#N/A,FALSE,"Chi tiÆt"}</definedName>
    <definedName name="EF" localSheetId="10" hidden="1">{#N/A,#N/A,FALSE,"Chi tiÆt"}</definedName>
    <definedName name="EF" localSheetId="2" hidden="1">{#N/A,#N/A,FALSE,"Chi tiÆt"}</definedName>
    <definedName name="EF" localSheetId="4" hidden="1">{#N/A,#N/A,FALSE,"Chi tiÆt"}</definedName>
    <definedName name="EF" localSheetId="5" hidden="1">{#N/A,#N/A,FALSE,"Chi tiÆt"}</definedName>
    <definedName name="EF" localSheetId="13" hidden="1">{#N/A,#N/A,FALSE,"Chi tiÆt"}</definedName>
    <definedName name="EF" localSheetId="1" hidden="1">{#N/A,#N/A,FALSE,"Chi tiÆt"}</definedName>
    <definedName name="EF" localSheetId="7" hidden="1">{#N/A,#N/A,FALSE,"Chi tiÆt"}</definedName>
    <definedName name="EF" localSheetId="9" hidden="1">{#N/A,#N/A,FALSE,"Chi tiÆt"}</definedName>
    <definedName name="EF" localSheetId="0" hidden="1">{#N/A,#N/A,FALSE,"Chi tiÆt"}</definedName>
    <definedName name="EF" localSheetId="3" hidden="1">{#N/A,#N/A,FALSE,"Chi tiÆt"}</definedName>
    <definedName name="EF" hidden="1">{#N/A,#N/A,FALSE,"Chi tiÆt"}</definedName>
    <definedName name="Elbow_0.5">'UNIT PRICE'!$D$102</definedName>
    <definedName name="Elbow_1">'UNIT PRICE'!$D$103</definedName>
    <definedName name="Elbow_2">'UNIT PRICE'!$D$104</definedName>
    <definedName name="Elbow_3">'UNIT PRICE'!$D$105</definedName>
    <definedName name="elbow_4in">'UNIT PRICE'!$D$106</definedName>
    <definedName name="electrical_technician">'UNIT PRICE'!$D$315</definedName>
    <definedName name="electrician">'UNIT PRICE'!$D$314</definedName>
    <definedName name="emergency_lighting_include_wiring_lamp30W">'UNIT PRICE'!$D$229</definedName>
    <definedName name="emergency_lightning_lamp_40W_complete">'UNIT PRICE'!$D$207</definedName>
    <definedName name="engineer">'UNIT PRICE'!$D$311</definedName>
    <definedName name="engineer_expert">'UNIT PRICE'!$D$312</definedName>
    <definedName name="ere" localSheetId="8" hidden="1">#REF!</definedName>
    <definedName name="ere" localSheetId="13" hidden="1">#REF!</definedName>
    <definedName name="ere" localSheetId="9" hidden="1">#REF!</definedName>
    <definedName name="ere" hidden="1">#REF!</definedName>
    <definedName name="erer" hidden="1">[35]A!$H$47:$AS$47</definedName>
    <definedName name="eskavator_kecil_day">'UNIT PRICE'!$D$360</definedName>
    <definedName name="excavator_0.8m3">'UNIT PRICE'!$D$345</definedName>
    <definedName name="Exhaus_fan_ceiling_40w">'UNIT PRICE'!$D$190</definedName>
    <definedName name="Exhaus_fan_wall_60w">'UNIT PRICE'!$D$189</definedName>
    <definedName name="exhaust_van">'UNIT PRICE'!$D$182</definedName>
    <definedName name="EXT" localSheetId="8" hidden="1">#REF!</definedName>
    <definedName name="EXT" localSheetId="13" hidden="1">#REF!</definedName>
    <definedName name="EXT" localSheetId="9" hidden="1">#REF!</definedName>
    <definedName name="EXT" hidden="1">#REF!</definedName>
    <definedName name="fall" localSheetId="8" hidden="1">#REF!</definedName>
    <definedName name="fall" localSheetId="13" hidden="1">#REF!</definedName>
    <definedName name="fall" localSheetId="9" hidden="1">#REF!</definedName>
    <definedName name="fall" hidden="1">#REF!</definedName>
    <definedName name="fas" localSheetId="8" hidden="1">#REF!</definedName>
    <definedName name="fas" localSheetId="13" hidden="1">#REF!</definedName>
    <definedName name="fas" localSheetId="9" hidden="1">#REF!</definedName>
    <definedName name="fas" hidden="1">#REF!</definedName>
    <definedName name="fasfsdfsdfasdfsdfsd" localSheetId="6" hidden="1">{#N/A,#N/A,TRUE,"Basic";#N/A,#N/A,TRUE,"EXT-TABLE";#N/A,#N/A,TRUE,"STEEL";#N/A,#N/A,TRUE,"INT-Table";#N/A,#N/A,TRUE,"STEEL";#N/A,#N/A,TRUE,"Door"}</definedName>
    <definedName name="fasfsdfsdfasdfsdfsd" localSheetId="8" hidden="1">{#N/A,#N/A,TRUE,"Basic";#N/A,#N/A,TRUE,"EXT-TABLE";#N/A,#N/A,TRUE,"STEEL";#N/A,#N/A,TRUE,"INT-Table";#N/A,#N/A,TRUE,"STEEL";#N/A,#N/A,TRUE,"Door"}</definedName>
    <definedName name="fasfsdfsdfasdfsdfsd" localSheetId="10" hidden="1">{#N/A,#N/A,TRUE,"Basic";#N/A,#N/A,TRUE,"EXT-TABLE";#N/A,#N/A,TRUE,"STEEL";#N/A,#N/A,TRUE,"INT-Table";#N/A,#N/A,TRUE,"STEEL";#N/A,#N/A,TRUE,"Door"}</definedName>
    <definedName name="fasfsdfsdfasdfsdfsd" localSheetId="2" hidden="1">{#N/A,#N/A,TRUE,"Basic";#N/A,#N/A,TRUE,"EXT-TABLE";#N/A,#N/A,TRUE,"STEEL";#N/A,#N/A,TRUE,"INT-Table";#N/A,#N/A,TRUE,"STEEL";#N/A,#N/A,TRUE,"Door"}</definedName>
    <definedName name="fasfsdfsdfasdfsdfsd" localSheetId="4" hidden="1">{#N/A,#N/A,TRUE,"Basic";#N/A,#N/A,TRUE,"EXT-TABLE";#N/A,#N/A,TRUE,"STEEL";#N/A,#N/A,TRUE,"INT-Table";#N/A,#N/A,TRUE,"STEEL";#N/A,#N/A,TRUE,"Door"}</definedName>
    <definedName name="fasfsdfsdfasdfsdfsd" localSheetId="5" hidden="1">{#N/A,#N/A,TRUE,"Basic";#N/A,#N/A,TRUE,"EXT-TABLE";#N/A,#N/A,TRUE,"STEEL";#N/A,#N/A,TRUE,"INT-Table";#N/A,#N/A,TRUE,"STEEL";#N/A,#N/A,TRUE,"Door"}</definedName>
    <definedName name="fasfsdfsdfasdfsdfsd" localSheetId="13" hidden="1">{#N/A,#N/A,TRUE,"Basic";#N/A,#N/A,TRUE,"EXT-TABLE";#N/A,#N/A,TRUE,"STEEL";#N/A,#N/A,TRUE,"INT-Table";#N/A,#N/A,TRUE,"STEEL";#N/A,#N/A,TRUE,"Door"}</definedName>
    <definedName name="fasfsdfsdfasdfsdfsd" localSheetId="1" hidden="1">{#N/A,#N/A,TRUE,"Basic";#N/A,#N/A,TRUE,"EXT-TABLE";#N/A,#N/A,TRUE,"STEEL";#N/A,#N/A,TRUE,"INT-Table";#N/A,#N/A,TRUE,"STEEL";#N/A,#N/A,TRUE,"Door"}</definedName>
    <definedName name="fasfsdfsdfasdfsdfsd" localSheetId="7" hidden="1">{#N/A,#N/A,TRUE,"Basic";#N/A,#N/A,TRUE,"EXT-TABLE";#N/A,#N/A,TRUE,"STEEL";#N/A,#N/A,TRUE,"INT-Table";#N/A,#N/A,TRUE,"STEEL";#N/A,#N/A,TRUE,"Door"}</definedName>
    <definedName name="fasfsdfsdfasdfsdfsd" localSheetId="9" hidden="1">{#N/A,#N/A,TRUE,"Basic";#N/A,#N/A,TRUE,"EXT-TABLE";#N/A,#N/A,TRUE,"STEEL";#N/A,#N/A,TRUE,"INT-Table";#N/A,#N/A,TRUE,"STEEL";#N/A,#N/A,TRUE,"Door"}</definedName>
    <definedName name="fasfsdfsdfasdfsdfsd" localSheetId="0" hidden="1">{#N/A,#N/A,TRUE,"Basic";#N/A,#N/A,TRUE,"EXT-TABLE";#N/A,#N/A,TRUE,"STEEL";#N/A,#N/A,TRUE,"INT-Table";#N/A,#N/A,TRUE,"STEEL";#N/A,#N/A,TRUE,"Door"}</definedName>
    <definedName name="fasfsdfsdfasdfsdfsd" localSheetId="3" hidden="1">{#N/A,#N/A,TRUE,"Basic";#N/A,#N/A,TRUE,"EXT-TABLE";#N/A,#N/A,TRUE,"STEEL";#N/A,#N/A,TRUE,"INT-Table";#N/A,#N/A,TRUE,"STEEL";#N/A,#N/A,TRUE,"Door"}</definedName>
    <definedName name="fasfsdfsdfasdfsdfsd" hidden="1">{#N/A,#N/A,TRUE,"Basic";#N/A,#N/A,TRUE,"EXT-TABLE";#N/A,#N/A,TRUE,"STEEL";#N/A,#N/A,TRUE,"INT-Table";#N/A,#N/A,TRUE,"STEEL";#N/A,#N/A,TRUE,"Door"}</definedName>
    <definedName name="FCode" localSheetId="6" hidden="1">#REF!</definedName>
    <definedName name="FCode" localSheetId="8" hidden="1">#REF!</definedName>
    <definedName name="FCode" localSheetId="10" hidden="1">#REF!</definedName>
    <definedName name="FCode" localSheetId="2" hidden="1">#REF!</definedName>
    <definedName name="FCode" localSheetId="4" hidden="1">#REF!</definedName>
    <definedName name="FCode" localSheetId="5" hidden="1">#REF!</definedName>
    <definedName name="FCode" localSheetId="13" hidden="1">#REF!</definedName>
    <definedName name="FCode" localSheetId="1" hidden="1">#REF!</definedName>
    <definedName name="FCode" localSheetId="7" hidden="1">#REF!</definedName>
    <definedName name="FCode" localSheetId="9" hidden="1">#REF!</definedName>
    <definedName name="FCode" localSheetId="0" hidden="1">#REF!</definedName>
    <definedName name="FCode" localSheetId="17" hidden="1">#REF!</definedName>
    <definedName name="FCode" localSheetId="3" hidden="1">#REF!</definedName>
    <definedName name="FCode" hidden="1">#REF!</definedName>
    <definedName name="fence_BRC_1.2m_L2.4m_dia_7mm">'UNIT PRICE'!$D$241</definedName>
    <definedName name="fence_BRC_1.5m_L2.4m">'UNIT PRICE'!$D$242</definedName>
    <definedName name="fence_BRC_1.9m_L2.4m">'UNIT PRICE'!$D$243</definedName>
    <definedName name="Fill" localSheetId="8" hidden="1">#REF!</definedName>
    <definedName name="Fill" localSheetId="13" hidden="1">#REF!</definedName>
    <definedName name="Fill" localSheetId="9" hidden="1">#REF!</definedName>
    <definedName name="Fill" hidden="1">#REF!</definedName>
    <definedName name="FILLL" localSheetId="8" hidden="1">#REF!</definedName>
    <definedName name="FILLL" localSheetId="13" hidden="1">#REF!</definedName>
    <definedName name="FILLL" localSheetId="9" hidden="1">#REF!</definedName>
    <definedName name="FILLL" hidden="1">#REF!</definedName>
    <definedName name="fire_wood">'UNIT PRICE'!$D$69</definedName>
    <definedName name="fitting_lampu">'UNIT PRICE'!$D$206</definedName>
    <definedName name="fixed_rate_rice_temperature_detector">'UNIT PRICE'!$D$232</definedName>
    <definedName name="fkieifi" hidden="1">[36]H.Satuan!$C$106:$P$132</definedName>
    <definedName name="flintkote_liter">'UNIT PRICE'!$D$77</definedName>
    <definedName name="floor_hardener">'UNIT PRICE'!$D$98</definedName>
    <definedName name="Foreman">'UNIT PRICE'!$D$294</definedName>
    <definedName name="forklift">'UNIT PRICE'!$D$350</definedName>
    <definedName name="fsda" localSheetId="6" hidden="1">{#N/A,#N/A,TRUE,"Basic";#N/A,#N/A,TRUE,"EXT-TABLE";#N/A,#N/A,TRUE,"STEEL";#N/A,#N/A,TRUE,"INT-Table";#N/A,#N/A,TRUE,"STEEL";#N/A,#N/A,TRUE,"Door"}</definedName>
    <definedName name="fsda" localSheetId="8" hidden="1">{#N/A,#N/A,TRUE,"Basic";#N/A,#N/A,TRUE,"EXT-TABLE";#N/A,#N/A,TRUE,"STEEL";#N/A,#N/A,TRUE,"INT-Table";#N/A,#N/A,TRUE,"STEEL";#N/A,#N/A,TRUE,"Door"}</definedName>
    <definedName name="fsda" localSheetId="10" hidden="1">{#N/A,#N/A,TRUE,"Basic";#N/A,#N/A,TRUE,"EXT-TABLE";#N/A,#N/A,TRUE,"STEEL";#N/A,#N/A,TRUE,"INT-Table";#N/A,#N/A,TRUE,"STEEL";#N/A,#N/A,TRUE,"Door"}</definedName>
    <definedName name="fsda" localSheetId="2" hidden="1">{#N/A,#N/A,TRUE,"Basic";#N/A,#N/A,TRUE,"EXT-TABLE";#N/A,#N/A,TRUE,"STEEL";#N/A,#N/A,TRUE,"INT-Table";#N/A,#N/A,TRUE,"STEEL";#N/A,#N/A,TRUE,"Door"}</definedName>
    <definedName name="fsda" localSheetId="4" hidden="1">{#N/A,#N/A,TRUE,"Basic";#N/A,#N/A,TRUE,"EXT-TABLE";#N/A,#N/A,TRUE,"STEEL";#N/A,#N/A,TRUE,"INT-Table";#N/A,#N/A,TRUE,"STEEL";#N/A,#N/A,TRUE,"Door"}</definedName>
    <definedName name="fsda" localSheetId="5" hidden="1">{#N/A,#N/A,TRUE,"Basic";#N/A,#N/A,TRUE,"EXT-TABLE";#N/A,#N/A,TRUE,"STEEL";#N/A,#N/A,TRUE,"INT-Table";#N/A,#N/A,TRUE,"STEEL";#N/A,#N/A,TRUE,"Door"}</definedName>
    <definedName name="fsda" localSheetId="13" hidden="1">{#N/A,#N/A,TRUE,"Basic";#N/A,#N/A,TRUE,"EXT-TABLE";#N/A,#N/A,TRUE,"STEEL";#N/A,#N/A,TRUE,"INT-Table";#N/A,#N/A,TRUE,"STEEL";#N/A,#N/A,TRUE,"Door"}</definedName>
    <definedName name="fsda" localSheetId="1" hidden="1">{#N/A,#N/A,TRUE,"Basic";#N/A,#N/A,TRUE,"EXT-TABLE";#N/A,#N/A,TRUE,"STEEL";#N/A,#N/A,TRUE,"INT-Table";#N/A,#N/A,TRUE,"STEEL";#N/A,#N/A,TRUE,"Door"}</definedName>
    <definedName name="fsda" localSheetId="7" hidden="1">{#N/A,#N/A,TRUE,"Basic";#N/A,#N/A,TRUE,"EXT-TABLE";#N/A,#N/A,TRUE,"STEEL";#N/A,#N/A,TRUE,"INT-Table";#N/A,#N/A,TRUE,"STEEL";#N/A,#N/A,TRUE,"Door"}</definedName>
    <definedName name="fsda" localSheetId="9" hidden="1">{#N/A,#N/A,TRUE,"Basic";#N/A,#N/A,TRUE,"EXT-TABLE";#N/A,#N/A,TRUE,"STEEL";#N/A,#N/A,TRUE,"INT-Table";#N/A,#N/A,TRUE,"STEEL";#N/A,#N/A,TRUE,"Door"}</definedName>
    <definedName name="fsda" localSheetId="0" hidden="1">{#N/A,#N/A,TRUE,"Basic";#N/A,#N/A,TRUE,"EXT-TABLE";#N/A,#N/A,TRUE,"STEEL";#N/A,#N/A,TRUE,"INT-Table";#N/A,#N/A,TRUE,"STEEL";#N/A,#N/A,TRUE,"Door"}</definedName>
    <definedName name="fsda" localSheetId="3" hidden="1">{#N/A,#N/A,TRUE,"Basic";#N/A,#N/A,TRUE,"EXT-TABLE";#N/A,#N/A,TRUE,"STEEL";#N/A,#N/A,TRUE,"INT-Table";#N/A,#N/A,TRUE,"STEEL";#N/A,#N/A,TRUE,"Door"}</definedName>
    <definedName name="fsda" hidden="1">{#N/A,#N/A,TRUE,"Basic";#N/A,#N/A,TRUE,"EXT-TABLE";#N/A,#N/A,TRUE,"STEEL";#N/A,#N/A,TRUE,"INT-Table";#N/A,#N/A,TRUE,"STEEL";#N/A,#N/A,TRUE,"Door"}</definedName>
    <definedName name="fsdf" localSheetId="6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8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10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2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4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5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13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1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7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9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0" hidden="1">{"Offgrid",#N/A,FALSE,"OFFGRID";"Region",#N/A,FALSE,"REGION";"Offgrid -2",#N/A,FALSE,"OFFGRID";"WTP",#N/A,FALSE,"WTP";"WTP -2",#N/A,FALSE,"WTP";"Project",#N/A,FALSE,"PROJECT";"Summary -2",#N/A,FALSE,"SUMMARY"}</definedName>
    <definedName name="fsdf" localSheetId="3" hidden="1">{"Offgrid",#N/A,FALSE,"OFFGRID";"Region",#N/A,FALSE,"REGION";"Offgrid -2",#N/A,FALSE,"OFFGRID";"WTP",#N/A,FALSE,"WTP";"WTP -2",#N/A,FALSE,"WTP";"Project",#N/A,FALSE,"PROJECT";"Summary -2",#N/A,FALSE,"SUMMARY"}</definedName>
    <definedName name="fsdf" hidden="1">{"Offgrid",#N/A,FALSE,"OFFGRID";"Region",#N/A,FALSE,"REGION";"Offgrid -2",#N/A,FALSE,"OFFGRID";"WTP",#N/A,FALSE,"WTP";"WTP -2",#N/A,FALSE,"WTP";"Project",#N/A,FALSE,"PROJECT";"Summary -2",#N/A,FALSE,"SUMMARY"}</definedName>
    <definedName name="Galvanis_bolts_and_nuts">'UNIT PRICE'!$D$41</definedName>
    <definedName name="Galvanis_steel_angle_HTS">'UNIT PRICE'!$D$39</definedName>
    <definedName name="Galvanis_steel_angle_MS">'UNIT PRICE'!$D$40</definedName>
    <definedName name="galvanis_wiremesh_4mm">'UNIT PRICE'!$D$49</definedName>
    <definedName name="genset_5kVA">'UNIT PRICE'!$D$383</definedName>
    <definedName name="gf" hidden="1">[37]H.Satuan!$CF$82</definedName>
    <definedName name="GFF" hidden="1">[38]SEX!$P$7:$P$7</definedName>
    <definedName name="GGHL" localSheetId="17" hidden="1">[19]RAB!#REF!</definedName>
    <definedName name="GGHL" hidden="1">[19]RAB!#REF!</definedName>
    <definedName name="ggt.yy" localSheetId="6" hidden="1">{#N/A,#N/A,FALSE,"Chi tiÆt"}</definedName>
    <definedName name="ggt.yy" localSheetId="8" hidden="1">{#N/A,#N/A,FALSE,"Chi tiÆt"}</definedName>
    <definedName name="ggt.yy" localSheetId="10" hidden="1">{#N/A,#N/A,FALSE,"Chi tiÆt"}</definedName>
    <definedName name="ggt.yy" localSheetId="2" hidden="1">{#N/A,#N/A,FALSE,"Chi tiÆt"}</definedName>
    <definedName name="ggt.yy" localSheetId="4" hidden="1">{#N/A,#N/A,FALSE,"Chi tiÆt"}</definedName>
    <definedName name="ggt.yy" localSheetId="5" hidden="1">{#N/A,#N/A,FALSE,"Chi tiÆt"}</definedName>
    <definedName name="ggt.yy" localSheetId="13" hidden="1">{#N/A,#N/A,FALSE,"Chi tiÆt"}</definedName>
    <definedName name="ggt.yy" localSheetId="1" hidden="1">{#N/A,#N/A,FALSE,"Chi tiÆt"}</definedName>
    <definedName name="ggt.yy" localSheetId="7" hidden="1">{#N/A,#N/A,FALSE,"Chi tiÆt"}</definedName>
    <definedName name="ggt.yy" localSheetId="9" hidden="1">{#N/A,#N/A,FALSE,"Chi tiÆt"}</definedName>
    <definedName name="ggt.yy" localSheetId="0" hidden="1">{#N/A,#N/A,FALSE,"Chi tiÆt"}</definedName>
    <definedName name="ggt.yy" localSheetId="3" hidden="1">{#N/A,#N/A,FALSE,"Chi tiÆt"}</definedName>
    <definedName name="ggt.yy" hidden="1">{#N/A,#N/A,FALSE,"Chi tiÆt"}</definedName>
    <definedName name="glazed_ceramic_20.25">'UNIT PRICE'!$D$91</definedName>
    <definedName name="gogon" hidden="1">'[39]Master 1.0'!$K$203:$CX$203</definedName>
    <definedName name="grandel_door_double_swing">'UNIT PRICE'!#REF!</definedName>
    <definedName name="grandel_window">'UNIT PRICE'!#REF!</definedName>
    <definedName name="granite_floor_300x300">'UNIT PRICE'!$D$89</definedName>
    <definedName name="granite_floor_300x600">'UNIT PRICE'!$D$90</definedName>
    <definedName name="granite_floor_600x600">'UNIT PRICE'!$D$88</definedName>
    <definedName name="granite_plint_tiles_100x300">'UNIT PRICE'!$D$94</definedName>
    <definedName name="granite_plint_tiles_100x400">'UNIT PRICE'!$D$93</definedName>
    <definedName name="granite_wall_400x400">'UNIT PRICE'!$D$87</definedName>
    <definedName name="gravel">'UNIT PRICE'!$D$18</definedName>
    <definedName name="Grendel_for_Door">'UNIT PRICE'!$D$156</definedName>
    <definedName name="grendel_for_door_double_swing">'UNIT PRICE'!$D$157</definedName>
    <definedName name="Grendel_for_WIndow">'UNIT PRICE'!$D$158</definedName>
    <definedName name="grill_oil_pit">'UNIT PRICE'!$D$285</definedName>
    <definedName name="gsdgs" localSheetId="8" hidden="1">#REF!</definedName>
    <definedName name="gsdgs" localSheetId="13" hidden="1">#REF!</definedName>
    <definedName name="gsdgs" localSheetId="9" hidden="1">#REF!</definedName>
    <definedName name="gsdgs" hidden="1">#REF!</definedName>
    <definedName name="GV" localSheetId="6" hidden="1">{#N/A,#N/A,FALSE,"CCTV"}</definedName>
    <definedName name="GV" localSheetId="8" hidden="1">{#N/A,#N/A,FALSE,"CCTV"}</definedName>
    <definedName name="GV" localSheetId="10" hidden="1">{#N/A,#N/A,FALSE,"CCTV"}</definedName>
    <definedName name="GV" localSheetId="2" hidden="1">{#N/A,#N/A,FALSE,"CCTV"}</definedName>
    <definedName name="GV" localSheetId="4" hidden="1">{#N/A,#N/A,FALSE,"CCTV"}</definedName>
    <definedName name="GV" localSheetId="5" hidden="1">{#N/A,#N/A,FALSE,"CCTV"}</definedName>
    <definedName name="GV" localSheetId="13" hidden="1">{#N/A,#N/A,FALSE,"CCTV"}</definedName>
    <definedName name="GV" localSheetId="1" hidden="1">{#N/A,#N/A,FALSE,"CCTV"}</definedName>
    <definedName name="GV" localSheetId="7" hidden="1">{#N/A,#N/A,FALSE,"CCTV"}</definedName>
    <definedName name="GV" localSheetId="9" hidden="1">{#N/A,#N/A,FALSE,"CCTV"}</definedName>
    <definedName name="GV" localSheetId="0" hidden="1">{#N/A,#N/A,FALSE,"CCTV"}</definedName>
    <definedName name="GV" localSheetId="3" hidden="1">{#N/A,#N/A,FALSE,"CCTV"}</definedName>
    <definedName name="GV" hidden="1">{#N/A,#N/A,FALSE,"CCTV"}</definedName>
    <definedName name="gypsum_board_9mm">'UNIT PRICE'!$D$171</definedName>
    <definedName name="HALO" localSheetId="13" hidden="1">#REF!</definedName>
    <definedName name="HALO" hidden="1">#REF!</definedName>
    <definedName name="hammer">'UNIT PRICE'!$D$378</definedName>
    <definedName name="hand_bor_machine">'UNIT PRICE'!$D$381</definedName>
    <definedName name="handrail_tangga">'UNIT PRICE'!$D$222</definedName>
    <definedName name="haRSATOK" localSheetId="8" hidden="1">#REF!</definedName>
    <definedName name="haRSATOK" localSheetId="13" hidden="1">#REF!</definedName>
    <definedName name="haRSATOK" localSheetId="9" hidden="1">#REF!</definedName>
    <definedName name="haRSATOK" hidden="1">#REF!</definedName>
    <definedName name="haspel_dia1.2m_tinggi0.9m">'UNIT PRICE'!$D$288</definedName>
    <definedName name="helper_juru_ukur">'UNIT PRICE'!$D$321</definedName>
    <definedName name="helper_operator">'UNIT PRICE'!$D$324</definedName>
    <definedName name="HiddenRows" localSheetId="6" hidden="1">#REF!</definedName>
    <definedName name="HiddenRows" localSheetId="8" hidden="1">#REF!</definedName>
    <definedName name="HiddenRows" localSheetId="10" hidden="1">#REF!</definedName>
    <definedName name="HiddenRows" localSheetId="2" hidden="1">#REF!</definedName>
    <definedName name="HiddenRows" localSheetId="4" hidden="1">#REF!</definedName>
    <definedName name="HiddenRows" localSheetId="5" hidden="1">#REF!</definedName>
    <definedName name="HiddenRows" localSheetId="13" hidden="1">#REF!</definedName>
    <definedName name="HiddenRows" localSheetId="1" hidden="1">#REF!</definedName>
    <definedName name="HiddenRows" localSheetId="7" hidden="1">#REF!</definedName>
    <definedName name="HiddenRows" localSheetId="9" hidden="1">#REF!</definedName>
    <definedName name="HiddenRows" localSheetId="0" hidden="1">#REF!</definedName>
    <definedName name="HiddenRows" localSheetId="17" hidden="1">#REF!</definedName>
    <definedName name="HiddenRows" localSheetId="3" hidden="1">#REF!</definedName>
    <definedName name="HiddenRows" hidden="1">#REF!</definedName>
    <definedName name="hinge_for_door">'UNIT PRICE'!$D$154</definedName>
    <definedName name="hinge_for_window">'UNIT PRICE'!$D$155</definedName>
    <definedName name="hinge_window">'UNIT PRICE'!#REF!</definedName>
    <definedName name="hjhj" localSheetId="8" hidden="1">[40]Mobilisasi!$G$27:$G$33</definedName>
    <definedName name="hjhj" localSheetId="9" hidden="1">[40]Mobilisasi!$G$27:$G$33</definedName>
    <definedName name="hjhj" hidden="1">[40]Mobilisasi!$G$27:$G$33</definedName>
    <definedName name="hollow_steel_40.40.2">'UNIT PRICE'!#REF!</definedName>
    <definedName name="hollow_steel_60.60.2">'UNIT PRICE'!#REF!</definedName>
    <definedName name="horizontal_frame_scaf">'UNIT PRICE'!$D$387</definedName>
    <definedName name="hot_mix">'UNIT PRICE'!$D$266</definedName>
    <definedName name="HTML_CodePage" hidden="1">950</definedName>
    <definedName name="HTML_Control" localSheetId="6" hidden="1">{"'Sheet1'!$L$16"}</definedName>
    <definedName name="HTML_Control" localSheetId="8" hidden="1">{"'Sheet1'!$L$16"}</definedName>
    <definedName name="HTML_Control" localSheetId="10" hidden="1">{"'Sheet1'!$L$16"}</definedName>
    <definedName name="HTML_Control" localSheetId="2" hidden="1">{"'Sheet1'!$L$16"}</definedName>
    <definedName name="HTML_Control" localSheetId="4" hidden="1">{"'Sheet1'!$L$16"}</definedName>
    <definedName name="HTML_Control" localSheetId="5" hidden="1">{"'Sheet1'!$L$16"}</definedName>
    <definedName name="HTML_Control" localSheetId="13" hidden="1">{"'Sheet1'!$L$16"}</definedName>
    <definedName name="HTML_Control" localSheetId="1" hidden="1">{"'Sheet1'!$L$16"}</definedName>
    <definedName name="HTML_Control" localSheetId="7" hidden="1">{"'Sheet1'!$L$16"}</definedName>
    <definedName name="HTML_Control" localSheetId="9" hidden="1">{"'Sheet1'!$L$16"}</definedName>
    <definedName name="HTML_Control" localSheetId="0" hidden="1">{"'Sheet1'!$L$16"}</definedName>
    <definedName name="HTML_Control" localSheetId="3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uy" localSheetId="6" hidden="1">{"'Sheet1'!$L$16"}</definedName>
    <definedName name="huy" localSheetId="8" hidden="1">{"'Sheet1'!$L$16"}</definedName>
    <definedName name="huy" localSheetId="10" hidden="1">{"'Sheet1'!$L$16"}</definedName>
    <definedName name="huy" localSheetId="2" hidden="1">{"'Sheet1'!$L$16"}</definedName>
    <definedName name="huy" localSheetId="4" hidden="1">{"'Sheet1'!$L$16"}</definedName>
    <definedName name="huy" localSheetId="5" hidden="1">{"'Sheet1'!$L$16"}</definedName>
    <definedName name="huy" localSheetId="13" hidden="1">{"'Sheet1'!$L$16"}</definedName>
    <definedName name="huy" localSheetId="1" hidden="1">{"'Sheet1'!$L$16"}</definedName>
    <definedName name="huy" localSheetId="7" hidden="1">{"'Sheet1'!$L$16"}</definedName>
    <definedName name="huy" localSheetId="9" hidden="1">{"'Sheet1'!$L$16"}</definedName>
    <definedName name="huy" localSheetId="0" hidden="1">{"'Sheet1'!$L$16"}</definedName>
    <definedName name="huy" localSheetId="3" hidden="1">{"'Sheet1'!$L$16"}</definedName>
    <definedName name="huy" hidden="1">{"'Sheet1'!$L$16"}</definedName>
    <definedName name="hw" localSheetId="6" hidden="1">{#N/A,#N/A,FALSE,"REK-S-TPL";#N/A,#N/A,FALSE,"REK-TPML";#N/A,#N/A,FALSE,"RAB-TEMPEL"}</definedName>
    <definedName name="hw" localSheetId="8" hidden="1">{#N/A,#N/A,FALSE,"REK-S-TPL";#N/A,#N/A,FALSE,"REK-TPML";#N/A,#N/A,FALSE,"RAB-TEMPEL"}</definedName>
    <definedName name="hw" localSheetId="10" hidden="1">{#N/A,#N/A,FALSE,"REK-S-TPL";#N/A,#N/A,FALSE,"REK-TPML";#N/A,#N/A,FALSE,"RAB-TEMPEL"}</definedName>
    <definedName name="hw" localSheetId="2" hidden="1">{#N/A,#N/A,FALSE,"REK-S-TPL";#N/A,#N/A,FALSE,"REK-TPML";#N/A,#N/A,FALSE,"RAB-TEMPEL"}</definedName>
    <definedName name="hw" localSheetId="4" hidden="1">{#N/A,#N/A,FALSE,"REK-S-TPL";#N/A,#N/A,FALSE,"REK-TPML";#N/A,#N/A,FALSE,"RAB-TEMPEL"}</definedName>
    <definedName name="hw" localSheetId="5" hidden="1">{#N/A,#N/A,FALSE,"REK-S-TPL";#N/A,#N/A,FALSE,"REK-TPML";#N/A,#N/A,FALSE,"RAB-TEMPEL"}</definedName>
    <definedName name="hw" localSheetId="13" hidden="1">{#N/A,#N/A,FALSE,"REK-S-TPL";#N/A,#N/A,FALSE,"REK-TPML";#N/A,#N/A,FALSE,"RAB-TEMPEL"}</definedName>
    <definedName name="hw" localSheetId="1" hidden="1">{#N/A,#N/A,FALSE,"REK-S-TPL";#N/A,#N/A,FALSE,"REK-TPML";#N/A,#N/A,FALSE,"RAB-TEMPEL"}</definedName>
    <definedName name="hw" localSheetId="7" hidden="1">{#N/A,#N/A,FALSE,"REK-S-TPL";#N/A,#N/A,FALSE,"REK-TPML";#N/A,#N/A,FALSE,"RAB-TEMPEL"}</definedName>
    <definedName name="hw" localSheetId="9" hidden="1">{#N/A,#N/A,FALSE,"REK-S-TPL";#N/A,#N/A,FALSE,"REK-TPML";#N/A,#N/A,FALSE,"RAB-TEMPEL"}</definedName>
    <definedName name="hw" localSheetId="0" hidden="1">{#N/A,#N/A,FALSE,"REK-S-TPL";#N/A,#N/A,FALSE,"REK-TPML";#N/A,#N/A,FALSE,"RAB-TEMPEL"}</definedName>
    <definedName name="hw" localSheetId="3" hidden="1">{#N/A,#N/A,FALSE,"REK-S-TPL";#N/A,#N/A,FALSE,"REK-TPML";#N/A,#N/A,FALSE,"RAB-TEMPEL"}</definedName>
    <definedName name="hw" hidden="1">{#N/A,#N/A,FALSE,"REK-S-TPL";#N/A,#N/A,FALSE,"REK-TPML";#N/A,#N/A,FALSE,"RAB-TEMPEL"}</definedName>
    <definedName name="ii" localSheetId="6" hidden="1">{#N/A,#N/A,FALSE,"CCTV"}</definedName>
    <definedName name="ii" localSheetId="8" hidden="1">{#N/A,#N/A,FALSE,"CCTV"}</definedName>
    <definedName name="ii" localSheetId="10" hidden="1">{#N/A,#N/A,FALSE,"CCTV"}</definedName>
    <definedName name="ii" localSheetId="2" hidden="1">{#N/A,#N/A,FALSE,"CCTV"}</definedName>
    <definedName name="ii" localSheetId="4" hidden="1">{#N/A,#N/A,FALSE,"CCTV"}</definedName>
    <definedName name="ii" localSheetId="5" hidden="1">{#N/A,#N/A,FALSE,"CCTV"}</definedName>
    <definedName name="ii" localSheetId="13" hidden="1">{#N/A,#N/A,FALSE,"CCTV"}</definedName>
    <definedName name="ii" localSheetId="1" hidden="1">{#N/A,#N/A,FALSE,"CCTV"}</definedName>
    <definedName name="ii" localSheetId="7" hidden="1">{#N/A,#N/A,FALSE,"CCTV"}</definedName>
    <definedName name="ii" localSheetId="9" hidden="1">{#N/A,#N/A,FALSE,"CCTV"}</definedName>
    <definedName name="ii" localSheetId="0" hidden="1">{#N/A,#N/A,FALSE,"CCTV"}</definedName>
    <definedName name="ii" localSheetId="3" hidden="1">{#N/A,#N/A,FALSE,"CCTV"}</definedName>
    <definedName name="ii" hidden="1">{#N/A,#N/A,FALSE,"CCTV"}</definedName>
    <definedName name="ijuk_kg">'UNIT PRICE'!$D$68</definedName>
    <definedName name="installator">'UNIT PRICE'!$D$310</definedName>
    <definedName name="Insul" localSheetId="6" hidden="1">{#N/A,#N/A,FALSE,"M.42"}</definedName>
    <definedName name="Insul" localSheetId="8" hidden="1">{#N/A,#N/A,FALSE,"M.42"}</definedName>
    <definedName name="Insul" localSheetId="10" hidden="1">{#N/A,#N/A,FALSE,"M.42"}</definedName>
    <definedName name="Insul" localSheetId="2" hidden="1">{#N/A,#N/A,FALSE,"M.42"}</definedName>
    <definedName name="Insul" localSheetId="4" hidden="1">{#N/A,#N/A,FALSE,"M.42"}</definedName>
    <definedName name="Insul" localSheetId="5" hidden="1">{#N/A,#N/A,FALSE,"M.42"}</definedName>
    <definedName name="Insul" localSheetId="13" hidden="1">{#N/A,#N/A,FALSE,"M.42"}</definedName>
    <definedName name="Insul" localSheetId="1" hidden="1">{#N/A,#N/A,FALSE,"M.42"}</definedName>
    <definedName name="Insul" localSheetId="7" hidden="1">{#N/A,#N/A,FALSE,"M.42"}</definedName>
    <definedName name="Insul" localSheetId="9" hidden="1">{#N/A,#N/A,FALSE,"M.42"}</definedName>
    <definedName name="Insul" localSheetId="0" hidden="1">{#N/A,#N/A,FALSE,"M.42"}</definedName>
    <definedName name="Insul" localSheetId="3" hidden="1">{#N/A,#N/A,FALSE,"M.42"}</definedName>
    <definedName name="Insul" hidden="1">{#N/A,#N/A,FALSE,"M.42"}</definedName>
    <definedName name="insulation_test_equipment">'UNIT PRICE'!$D$374</definedName>
    <definedName name="jack_base_scafollding">'UNIT PRICE'!$D$385</definedName>
    <definedName name="jack_hammer">'UNIT PRICE'!$D$341</definedName>
    <definedName name="jack_hydrolic">'UNIT PRICE'!$D$349</definedName>
    <definedName name="jangan" localSheetId="6" hidden="1">[41]H.Satuan!#REF!</definedName>
    <definedName name="jangan" localSheetId="8" hidden="1">[41]H.Satuan!#REF!</definedName>
    <definedName name="jangan" localSheetId="10" hidden="1">[41]H.Satuan!#REF!</definedName>
    <definedName name="jangan" localSheetId="2" hidden="1">[41]H.Satuan!#REF!</definedName>
    <definedName name="jangan" localSheetId="4" hidden="1">[41]H.Satuan!#REF!</definedName>
    <definedName name="jangan" localSheetId="5" hidden="1">[41]H.Satuan!#REF!</definedName>
    <definedName name="jangan" localSheetId="13" hidden="1">[41]H.Satuan!#REF!</definedName>
    <definedName name="jangan" localSheetId="1" hidden="1">[41]H.Satuan!#REF!</definedName>
    <definedName name="jangan" localSheetId="7" hidden="1">[41]H.Satuan!#REF!</definedName>
    <definedName name="jangan" localSheetId="9" hidden="1">[41]H.Satuan!#REF!</definedName>
    <definedName name="jangan" localSheetId="0" hidden="1">[41]H.Satuan!#REF!</definedName>
    <definedName name="jangan" localSheetId="17" hidden="1">[41]H.Satuan!#REF!</definedName>
    <definedName name="jangan" localSheetId="3" hidden="1">[41]H.Satuan!#REF!</definedName>
    <definedName name="jangan" hidden="1">[41]H.Satuan!#REF!</definedName>
    <definedName name="jet_washer_setara_toto">'UNIT PRICE'!$D$138</definedName>
    <definedName name="juru_ukur">'UNIT PRICE'!$D$320</definedName>
    <definedName name="K_100">AHS!$G$485</definedName>
    <definedName name="K_100_2">AHS!$G$499</definedName>
    <definedName name="K_175">AHS!$G$517</definedName>
    <definedName name="K_225">AHS!$G$536</definedName>
    <definedName name="K_250">AHS!$G$555</definedName>
    <definedName name="K_300">AHS!$G$573</definedName>
    <definedName name="K_350">AHS!$G$591</definedName>
    <definedName name="K_500">AHS!$G$609</definedName>
    <definedName name="kabel_NYM_3x2.5">'UNIT PRICE'!$D$216</definedName>
    <definedName name="kaca_bening_m2">'UNIT PRICE'!$D$148</definedName>
    <definedName name="kansteen_10x20x60">'UNIT PRICE'!$D$259</definedName>
    <definedName name="kansteen_25x30x50">'UNIT PRICE'!$D$260</definedName>
    <definedName name="Kap_lampu_jalan_cobra_250W">'UNIT PRICE'!$D$217</definedName>
    <definedName name="Kap_lampu_jalan_setara_philip_son.T.70W">'UNIT PRICE'!$D$219</definedName>
    <definedName name="kawat_anyam">'UNIT PRICE'!$D$53</definedName>
    <definedName name="KESUGIHAN" localSheetId="6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8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10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2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4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5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13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1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7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9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0" hidden="1">{"Offgrid",#N/A,FALSE,"OFFGRID";"Region",#N/A,FALSE,"REGION";"Offgrid -2",#N/A,FALSE,"OFFGRID";"WTP",#N/A,FALSE,"WTP";"WTP -2",#N/A,FALSE,"WTP";"Project",#N/A,FALSE,"PROJECT";"Summary -2",#N/A,FALSE,"SUMMARY"}</definedName>
    <definedName name="KESUGIHAN" localSheetId="3" hidden="1">{"Offgrid",#N/A,FALSE,"OFFGRID";"Region",#N/A,FALSE,"REGION";"Offgrid -2",#N/A,FALSE,"OFFGRID";"WTP",#N/A,FALSE,"WTP";"WTP -2",#N/A,FALSE,"WTP";"Project",#N/A,FALSE,"PROJECT";"Summary -2",#N/A,FALSE,"SUMMARY"}</definedName>
    <definedName name="KESUGIHAN" hidden="1">{"Offgrid",#N/A,FALSE,"OFFGRID";"Region",#N/A,FALSE,"REGION";"Offgrid -2",#N/A,FALSE,"OFFGRID";"WTP",#N/A,FALSE,"WTP";"WTP -2",#N/A,FALSE,"WTP";"Project",#N/A,FALSE,"PROJECT";"Summary -2",#N/A,FALSE,"SUMMARY"}</definedName>
    <definedName name="KEY" localSheetId="13" hidden="1">#REF!</definedName>
    <definedName name="KEY" hidden="1">#REF!</definedName>
    <definedName name="kinerja" localSheetId="6" hidden="1">{#N/A,#N/A,FALSE,"M.32"}</definedName>
    <definedName name="kinerja" localSheetId="8" hidden="1">{#N/A,#N/A,FALSE,"M.32"}</definedName>
    <definedName name="kinerja" localSheetId="10" hidden="1">{#N/A,#N/A,FALSE,"M.32"}</definedName>
    <definedName name="kinerja" localSheetId="2" hidden="1">{#N/A,#N/A,FALSE,"M.32"}</definedName>
    <definedName name="kinerja" localSheetId="4" hidden="1">{#N/A,#N/A,FALSE,"M.32"}</definedName>
    <definedName name="kinerja" localSheetId="5" hidden="1">{#N/A,#N/A,FALSE,"M.32"}</definedName>
    <definedName name="kinerja" localSheetId="13" hidden="1">{#N/A,#N/A,FALSE,"M.32"}</definedName>
    <definedName name="kinerja" localSheetId="1" hidden="1">{#N/A,#N/A,FALSE,"M.32"}</definedName>
    <definedName name="kinerja" localSheetId="7" hidden="1">{#N/A,#N/A,FALSE,"M.32"}</definedName>
    <definedName name="kinerja" localSheetId="9" hidden="1">{#N/A,#N/A,FALSE,"M.32"}</definedName>
    <definedName name="kinerja" localSheetId="0" hidden="1">{#N/A,#N/A,FALSE,"M.32"}</definedName>
    <definedName name="kinerja" localSheetId="3" hidden="1">{#N/A,#N/A,FALSE,"M.32"}</definedName>
    <definedName name="kinerja" hidden="1">{#N/A,#N/A,FALSE,"M.32"}</definedName>
    <definedName name="kinerja_1" localSheetId="6" hidden="1">{#N/A,#N/A,FALSE,"M.42"}</definedName>
    <definedName name="kinerja_1" localSheetId="8" hidden="1">{#N/A,#N/A,FALSE,"M.42"}</definedName>
    <definedName name="kinerja_1" localSheetId="10" hidden="1">{#N/A,#N/A,FALSE,"M.42"}</definedName>
    <definedName name="kinerja_1" localSheetId="2" hidden="1">{#N/A,#N/A,FALSE,"M.42"}</definedName>
    <definedName name="kinerja_1" localSheetId="4" hidden="1">{#N/A,#N/A,FALSE,"M.42"}</definedName>
    <definedName name="kinerja_1" localSheetId="5" hidden="1">{#N/A,#N/A,FALSE,"M.42"}</definedName>
    <definedName name="kinerja_1" localSheetId="13" hidden="1">{#N/A,#N/A,FALSE,"M.42"}</definedName>
    <definedName name="kinerja_1" localSheetId="1" hidden="1">{#N/A,#N/A,FALSE,"M.42"}</definedName>
    <definedName name="kinerja_1" localSheetId="7" hidden="1">{#N/A,#N/A,FALSE,"M.42"}</definedName>
    <definedName name="kinerja_1" localSheetId="9" hidden="1">{#N/A,#N/A,FALSE,"M.42"}</definedName>
    <definedName name="kinerja_1" localSheetId="0" hidden="1">{#N/A,#N/A,FALSE,"M.42"}</definedName>
    <definedName name="kinerja_1" localSheetId="3" hidden="1">{#N/A,#N/A,FALSE,"M.42"}</definedName>
    <definedName name="kinerja_1" hidden="1">{#N/A,#N/A,FALSE,"M.42"}</definedName>
    <definedName name="kitchen_sink_stainless">'UNIT PRICE'!$D$135</definedName>
    <definedName name="kju" localSheetId="6" hidden="1">{#N/A,#N/A,FALSE,"Chi tiÆt"}</definedName>
    <definedName name="kju" localSheetId="8" hidden="1">{#N/A,#N/A,FALSE,"Chi tiÆt"}</definedName>
    <definedName name="kju" localSheetId="10" hidden="1">{#N/A,#N/A,FALSE,"Chi tiÆt"}</definedName>
    <definedName name="kju" localSheetId="2" hidden="1">{#N/A,#N/A,FALSE,"Chi tiÆt"}</definedName>
    <definedName name="kju" localSheetId="4" hidden="1">{#N/A,#N/A,FALSE,"Chi tiÆt"}</definedName>
    <definedName name="kju" localSheetId="5" hidden="1">{#N/A,#N/A,FALSE,"Chi tiÆt"}</definedName>
    <definedName name="kju" localSheetId="13" hidden="1">{#N/A,#N/A,FALSE,"Chi tiÆt"}</definedName>
    <definedName name="kju" localSheetId="1" hidden="1">{#N/A,#N/A,FALSE,"Chi tiÆt"}</definedName>
    <definedName name="kju" localSheetId="7" hidden="1">{#N/A,#N/A,FALSE,"Chi tiÆt"}</definedName>
    <definedName name="kju" localSheetId="9" hidden="1">{#N/A,#N/A,FALSE,"Chi tiÆt"}</definedName>
    <definedName name="kju" localSheetId="0" hidden="1">{#N/A,#N/A,FALSE,"Chi tiÆt"}</definedName>
    <definedName name="kju" localSheetId="3" hidden="1">{#N/A,#N/A,FALSE,"Chi tiÆt"}</definedName>
    <definedName name="kju" hidden="1">{#N/A,#N/A,FALSE,"Chi tiÆt"}</definedName>
    <definedName name="knee_0.5">'UNIT PRICE'!$D$107</definedName>
    <definedName name="knee_1">'UNIT PRICE'!$D$108</definedName>
    <definedName name="knee_2in">'UNIT PRICE'!$D$109</definedName>
    <definedName name="knee_3">'UNIT PRICE'!$D$110</definedName>
    <definedName name="knee_4in">'UNIT PRICE'!$D$111</definedName>
    <definedName name="kran_cuci_piring">'UNIT PRICE'!$D$136</definedName>
    <definedName name="kran_ledeng_standar">'UNIT PRICE'!$D$137</definedName>
    <definedName name="kuas_rol">'UNIT PRICE'!$D$80</definedName>
    <definedName name="kunci_tanam_pintu">'UNIT PRICE'!$D$153</definedName>
    <definedName name="kusen_alumunium_m">'UNIT PRICE'!$D$146</definedName>
    <definedName name="kusen_Kayu_Samarinda_m">'UNIT PRICE'!$D$147</definedName>
    <definedName name="l" localSheetId="6" hidden="1">{"Offgrid",#N/A,FALSE,"OFFGRID";"Region",#N/A,FALSE,"REGION";"Offgrid -2",#N/A,FALSE,"OFFGRID";"WTP",#N/A,FALSE,"WTP";"WTP -2",#N/A,FALSE,"WTP";"Project",#N/A,FALSE,"PROJECT";"Summary -2",#N/A,FALSE,"SUMMARY"}</definedName>
    <definedName name="l" localSheetId="8" hidden="1">{"Offgrid",#N/A,FALSE,"OFFGRID";"Region",#N/A,FALSE,"REGION";"Offgrid -2",#N/A,FALSE,"OFFGRID";"WTP",#N/A,FALSE,"WTP";"WTP -2",#N/A,FALSE,"WTP";"Project",#N/A,FALSE,"PROJECT";"Summary -2",#N/A,FALSE,"SUMMARY"}</definedName>
    <definedName name="l" localSheetId="10" hidden="1">{"Offgrid",#N/A,FALSE,"OFFGRID";"Region",#N/A,FALSE,"REGION";"Offgrid -2",#N/A,FALSE,"OFFGRID";"WTP",#N/A,FALSE,"WTP";"WTP -2",#N/A,FALSE,"WTP";"Project",#N/A,FALSE,"PROJECT";"Summary -2",#N/A,FALSE,"SUMMARY"}</definedName>
    <definedName name="l" localSheetId="2" hidden="1">{"Offgrid",#N/A,FALSE,"OFFGRID";"Region",#N/A,FALSE,"REGION";"Offgrid -2",#N/A,FALSE,"OFFGRID";"WTP",#N/A,FALSE,"WTP";"WTP -2",#N/A,FALSE,"WTP";"Project",#N/A,FALSE,"PROJECT";"Summary -2",#N/A,FALSE,"SUMMARY"}</definedName>
    <definedName name="l" localSheetId="4" hidden="1">{"Offgrid",#N/A,FALSE,"OFFGRID";"Region",#N/A,FALSE,"REGION";"Offgrid -2",#N/A,FALSE,"OFFGRID";"WTP",#N/A,FALSE,"WTP";"WTP -2",#N/A,FALSE,"WTP";"Project",#N/A,FALSE,"PROJECT";"Summary -2",#N/A,FALSE,"SUMMARY"}</definedName>
    <definedName name="l" localSheetId="5" hidden="1">{"Offgrid",#N/A,FALSE,"OFFGRID";"Region",#N/A,FALSE,"REGION";"Offgrid -2",#N/A,FALSE,"OFFGRID";"WTP",#N/A,FALSE,"WTP";"WTP -2",#N/A,FALSE,"WTP";"Project",#N/A,FALSE,"PROJECT";"Summary -2",#N/A,FALSE,"SUMMARY"}</definedName>
    <definedName name="l" localSheetId="13" hidden="1">{"Offgrid",#N/A,FALSE,"OFFGRID";"Region",#N/A,FALSE,"REGION";"Offgrid -2",#N/A,FALSE,"OFFGRID";"WTP",#N/A,FALSE,"WTP";"WTP -2",#N/A,FALSE,"WTP";"Project",#N/A,FALSE,"PROJECT";"Summary -2",#N/A,FALSE,"SUMMARY"}</definedName>
    <definedName name="l" localSheetId="1" hidden="1">{"Offgrid",#N/A,FALSE,"OFFGRID";"Region",#N/A,FALSE,"REGION";"Offgrid -2",#N/A,FALSE,"OFFGRID";"WTP",#N/A,FALSE,"WTP";"WTP -2",#N/A,FALSE,"WTP";"Project",#N/A,FALSE,"PROJECT";"Summary -2",#N/A,FALSE,"SUMMARY"}</definedName>
    <definedName name="l" localSheetId="7" hidden="1">{"Offgrid",#N/A,FALSE,"OFFGRID";"Region",#N/A,FALSE,"REGION";"Offgrid -2",#N/A,FALSE,"OFFGRID";"WTP",#N/A,FALSE,"WTP";"WTP -2",#N/A,FALSE,"WTP";"Project",#N/A,FALSE,"PROJECT";"Summary -2",#N/A,FALSE,"SUMMARY"}</definedName>
    <definedName name="l" localSheetId="9" hidden="1">{"Offgrid",#N/A,FALSE,"OFFGRID";"Region",#N/A,FALSE,"REGION";"Offgrid -2",#N/A,FALSE,"OFFGRID";"WTP",#N/A,FALSE,"WTP";"WTP -2",#N/A,FALSE,"WTP";"Project",#N/A,FALSE,"PROJECT";"Summary -2",#N/A,FALSE,"SUMMARY"}</definedName>
    <definedName name="l" localSheetId="0" hidden="1">{"Offgrid",#N/A,FALSE,"OFFGRID";"Region",#N/A,FALSE,"REGION";"Offgrid -2",#N/A,FALSE,"OFFGRID";"WTP",#N/A,FALSE,"WTP";"WTP -2",#N/A,FALSE,"WTP";"Project",#N/A,FALSE,"PROJECT";"Summary -2",#N/A,FALSE,"SUMMARY"}</definedName>
    <definedName name="l" localSheetId="3" hidden="1">{"Offgrid",#N/A,FALSE,"OFFGRID";"Region",#N/A,FALSE,"REGION";"Offgrid -2",#N/A,FALSE,"OFFGRID";"WTP",#N/A,FALSE,"WTP";"WTP -2",#N/A,FALSE,"WTP";"Project",#N/A,FALSE,"PROJECT";"Summary -2",#N/A,FALSE,"SUMMARY"}</definedName>
    <definedName name="l" hidden="1">{"Offgrid",#N/A,FALSE,"OFFGRID";"Region",#N/A,FALSE,"REGION";"Offgrid -2",#N/A,FALSE,"OFFGRID";"WTP",#N/A,FALSE,"WTP";"WTP -2",#N/A,FALSE,"WTP";"Project",#N/A,FALSE,"PROJECT";"Summary -2",#N/A,FALSE,"SUMMARY"}</definedName>
    <definedName name="lampu_led_10_watt_philips">'UNIT PRICE'!$D$199</definedName>
    <definedName name="lampu_LED_9_watt">'UNIT PRICE'!$D$205</definedName>
    <definedName name="lampu_philip_250W">'UNIT PRICE'!$D$197</definedName>
    <definedName name="lampu_SON.70.W_philip">'UNIT PRICE'!$D$198</definedName>
    <definedName name="lampu_SON_T_150W">'UNIT PRICE'!$D$201</definedName>
    <definedName name="lampu_sorot_250W">'UNIT PRICE'!$D$200</definedName>
    <definedName name="lampu_TL_18_watt">'UNIT PRICE'!$D$191</definedName>
    <definedName name="Langsir_material_bukit_atau_RAwa_0_500m_Kg">AHS!$G$3175</definedName>
    <definedName name="Langsir_material_bukit_atau_RAwa_1000_1500m_Kg">AHS!$G$3187</definedName>
    <definedName name="Langsir_material_bukit_atau_RAwa_500_1000m_Kg">AHS!$G$3181</definedName>
    <definedName name="Langsir_material_datar_0_500m_Kg">AHS!$G$3133</definedName>
    <definedName name="Langsir_material_datar_1000_1500m_Kg">AHS!$G$3143</definedName>
    <definedName name="Langsir_material_datar_500_1000m_Kg">AHS!$G$3138</definedName>
    <definedName name="Langsir_material_datar_dan_Klotok_0_500m_Kg">AHS!$G$3150</definedName>
    <definedName name="Langsir_material_datar_dan_Klotok_1000_1500m_Kg">AHS!$G$3166</definedName>
    <definedName name="Langsir_material_datar_dan_Klotok_500_1000m_Kg">AHS!$G$3158</definedName>
    <definedName name="lansir_k_100">'1'!$D$10</definedName>
    <definedName name="lansir_k_225">'1'!$D$23</definedName>
    <definedName name="lansir_k300">'1'!$D$35</definedName>
    <definedName name="laporan_pengujian">'UNIT PRICE'!$D$402</definedName>
    <definedName name="las_machine_day">'UNIT PRICE'!#REF!</definedName>
    <definedName name="las_wire">'UNIT PRICE'!$D$30</definedName>
    <definedName name="lavatory_basin_inc_spectacles">'UNIT PRICE'!$D$132</definedName>
    <definedName name="lem_pipa">'UNIT PRICE'!$D$101</definedName>
    <definedName name="linggis_ulir_dia_1.4in_1in">'UNIT PRICE'!$D$391</definedName>
    <definedName name="Lisa" localSheetId="6" hidden="1">{#N/A,#N/A,FALSE,"REK-S-TPL";#N/A,#N/A,FALSE,"REK-TPML";#N/A,#N/A,FALSE,"RAB-TEMPEL"}</definedName>
    <definedName name="Lisa" localSheetId="8" hidden="1">{#N/A,#N/A,FALSE,"REK-S-TPL";#N/A,#N/A,FALSE,"REK-TPML";#N/A,#N/A,FALSE,"RAB-TEMPEL"}</definedName>
    <definedName name="Lisa" localSheetId="10" hidden="1">{#N/A,#N/A,FALSE,"REK-S-TPL";#N/A,#N/A,FALSE,"REK-TPML";#N/A,#N/A,FALSE,"RAB-TEMPEL"}</definedName>
    <definedName name="Lisa" localSheetId="2" hidden="1">{#N/A,#N/A,FALSE,"REK-S-TPL";#N/A,#N/A,FALSE,"REK-TPML";#N/A,#N/A,FALSE,"RAB-TEMPEL"}</definedName>
    <definedName name="Lisa" localSheetId="4" hidden="1">{#N/A,#N/A,FALSE,"REK-S-TPL";#N/A,#N/A,FALSE,"REK-TPML";#N/A,#N/A,FALSE,"RAB-TEMPEL"}</definedName>
    <definedName name="Lisa" localSheetId="5" hidden="1">{#N/A,#N/A,FALSE,"REK-S-TPL";#N/A,#N/A,FALSE,"REK-TPML";#N/A,#N/A,FALSE,"RAB-TEMPEL"}</definedName>
    <definedName name="Lisa" localSheetId="13" hidden="1">{#N/A,#N/A,FALSE,"REK-S-TPL";#N/A,#N/A,FALSE,"REK-TPML";#N/A,#N/A,FALSE,"RAB-TEMPEL"}</definedName>
    <definedName name="Lisa" localSheetId="1" hidden="1">{#N/A,#N/A,FALSE,"REK-S-TPL";#N/A,#N/A,FALSE,"REK-TPML";#N/A,#N/A,FALSE,"RAB-TEMPEL"}</definedName>
    <definedName name="Lisa" localSheetId="7" hidden="1">{#N/A,#N/A,FALSE,"REK-S-TPL";#N/A,#N/A,FALSE,"REK-TPML";#N/A,#N/A,FALSE,"RAB-TEMPEL"}</definedName>
    <definedName name="Lisa" localSheetId="9" hidden="1">{#N/A,#N/A,FALSE,"REK-S-TPL";#N/A,#N/A,FALSE,"REK-TPML";#N/A,#N/A,FALSE,"RAB-TEMPEL"}</definedName>
    <definedName name="Lisa" localSheetId="0" hidden="1">{#N/A,#N/A,FALSE,"REK-S-TPL";#N/A,#N/A,FALSE,"REK-TPML";#N/A,#N/A,FALSE,"RAB-TEMPEL"}</definedName>
    <definedName name="Lisa" localSheetId="3" hidden="1">{#N/A,#N/A,FALSE,"REK-S-TPL";#N/A,#N/A,FALSE,"REK-TPML";#N/A,#N/A,FALSE,"RAB-TEMPEL"}</definedName>
    <definedName name="Lisa" hidden="1">{#N/A,#N/A,FALSE,"REK-S-TPL";#N/A,#N/A,FALSE,"REK-TPML";#N/A,#N/A,FALSE,"RAB-TEMPEL"}</definedName>
    <definedName name="list_profil_gypsum">'UNIT PRICE'!$D$176</definedName>
    <definedName name="list01" localSheetId="6" hidden="1">{#N/A,#N/A,TRUE,"Basic";#N/A,#N/A,TRUE,"EXT-TABLE";#N/A,#N/A,TRUE,"STEEL";#N/A,#N/A,TRUE,"INT-Table";#N/A,#N/A,TRUE,"STEEL";#N/A,#N/A,TRUE,"Door"}</definedName>
    <definedName name="list01" localSheetId="8" hidden="1">{#N/A,#N/A,TRUE,"Basic";#N/A,#N/A,TRUE,"EXT-TABLE";#N/A,#N/A,TRUE,"STEEL";#N/A,#N/A,TRUE,"INT-Table";#N/A,#N/A,TRUE,"STEEL";#N/A,#N/A,TRUE,"Door"}</definedName>
    <definedName name="list01" localSheetId="10" hidden="1">{#N/A,#N/A,TRUE,"Basic";#N/A,#N/A,TRUE,"EXT-TABLE";#N/A,#N/A,TRUE,"STEEL";#N/A,#N/A,TRUE,"INT-Table";#N/A,#N/A,TRUE,"STEEL";#N/A,#N/A,TRUE,"Door"}</definedName>
    <definedName name="list01" localSheetId="2" hidden="1">{#N/A,#N/A,TRUE,"Basic";#N/A,#N/A,TRUE,"EXT-TABLE";#N/A,#N/A,TRUE,"STEEL";#N/A,#N/A,TRUE,"INT-Table";#N/A,#N/A,TRUE,"STEEL";#N/A,#N/A,TRUE,"Door"}</definedName>
    <definedName name="list01" localSheetId="4" hidden="1">{#N/A,#N/A,TRUE,"Basic";#N/A,#N/A,TRUE,"EXT-TABLE";#N/A,#N/A,TRUE,"STEEL";#N/A,#N/A,TRUE,"INT-Table";#N/A,#N/A,TRUE,"STEEL";#N/A,#N/A,TRUE,"Door"}</definedName>
    <definedName name="list01" localSheetId="5" hidden="1">{#N/A,#N/A,TRUE,"Basic";#N/A,#N/A,TRUE,"EXT-TABLE";#N/A,#N/A,TRUE,"STEEL";#N/A,#N/A,TRUE,"INT-Table";#N/A,#N/A,TRUE,"STEEL";#N/A,#N/A,TRUE,"Door"}</definedName>
    <definedName name="list01" localSheetId="13" hidden="1">{#N/A,#N/A,TRUE,"Basic";#N/A,#N/A,TRUE,"EXT-TABLE";#N/A,#N/A,TRUE,"STEEL";#N/A,#N/A,TRUE,"INT-Table";#N/A,#N/A,TRUE,"STEEL";#N/A,#N/A,TRUE,"Door"}</definedName>
    <definedName name="list01" localSheetId="1" hidden="1">{#N/A,#N/A,TRUE,"Basic";#N/A,#N/A,TRUE,"EXT-TABLE";#N/A,#N/A,TRUE,"STEEL";#N/A,#N/A,TRUE,"INT-Table";#N/A,#N/A,TRUE,"STEEL";#N/A,#N/A,TRUE,"Door"}</definedName>
    <definedName name="list01" localSheetId="7" hidden="1">{#N/A,#N/A,TRUE,"Basic";#N/A,#N/A,TRUE,"EXT-TABLE";#N/A,#N/A,TRUE,"STEEL";#N/A,#N/A,TRUE,"INT-Table";#N/A,#N/A,TRUE,"STEEL";#N/A,#N/A,TRUE,"Door"}</definedName>
    <definedName name="list01" localSheetId="9" hidden="1">{#N/A,#N/A,TRUE,"Basic";#N/A,#N/A,TRUE,"EXT-TABLE";#N/A,#N/A,TRUE,"STEEL";#N/A,#N/A,TRUE,"INT-Table";#N/A,#N/A,TRUE,"STEEL";#N/A,#N/A,TRUE,"Door"}</definedName>
    <definedName name="list01" localSheetId="0" hidden="1">{#N/A,#N/A,TRUE,"Basic";#N/A,#N/A,TRUE,"EXT-TABLE";#N/A,#N/A,TRUE,"STEEL";#N/A,#N/A,TRUE,"INT-Table";#N/A,#N/A,TRUE,"STEEL";#N/A,#N/A,TRUE,"Door"}</definedName>
    <definedName name="list01" localSheetId="3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2" localSheetId="6" hidden="1">{#N/A,#N/A,TRUE,"Basic";#N/A,#N/A,TRUE,"EXT-TABLE";#N/A,#N/A,TRUE,"STEEL";#N/A,#N/A,TRUE,"INT-Table";#N/A,#N/A,TRUE,"STEEL";#N/A,#N/A,TRUE,"Door"}</definedName>
    <definedName name="list02" localSheetId="8" hidden="1">{#N/A,#N/A,TRUE,"Basic";#N/A,#N/A,TRUE,"EXT-TABLE";#N/A,#N/A,TRUE,"STEEL";#N/A,#N/A,TRUE,"INT-Table";#N/A,#N/A,TRUE,"STEEL";#N/A,#N/A,TRUE,"Door"}</definedName>
    <definedName name="list02" localSheetId="10" hidden="1">{#N/A,#N/A,TRUE,"Basic";#N/A,#N/A,TRUE,"EXT-TABLE";#N/A,#N/A,TRUE,"STEEL";#N/A,#N/A,TRUE,"INT-Table";#N/A,#N/A,TRUE,"STEEL";#N/A,#N/A,TRUE,"Door"}</definedName>
    <definedName name="list02" localSheetId="2" hidden="1">{#N/A,#N/A,TRUE,"Basic";#N/A,#N/A,TRUE,"EXT-TABLE";#N/A,#N/A,TRUE,"STEEL";#N/A,#N/A,TRUE,"INT-Table";#N/A,#N/A,TRUE,"STEEL";#N/A,#N/A,TRUE,"Door"}</definedName>
    <definedName name="list02" localSheetId="4" hidden="1">{#N/A,#N/A,TRUE,"Basic";#N/A,#N/A,TRUE,"EXT-TABLE";#N/A,#N/A,TRUE,"STEEL";#N/A,#N/A,TRUE,"INT-Table";#N/A,#N/A,TRUE,"STEEL";#N/A,#N/A,TRUE,"Door"}</definedName>
    <definedName name="list02" localSheetId="5" hidden="1">{#N/A,#N/A,TRUE,"Basic";#N/A,#N/A,TRUE,"EXT-TABLE";#N/A,#N/A,TRUE,"STEEL";#N/A,#N/A,TRUE,"INT-Table";#N/A,#N/A,TRUE,"STEEL";#N/A,#N/A,TRUE,"Door"}</definedName>
    <definedName name="list02" localSheetId="13" hidden="1">{#N/A,#N/A,TRUE,"Basic";#N/A,#N/A,TRUE,"EXT-TABLE";#N/A,#N/A,TRUE,"STEEL";#N/A,#N/A,TRUE,"INT-Table";#N/A,#N/A,TRUE,"STEEL";#N/A,#N/A,TRUE,"Door"}</definedName>
    <definedName name="list02" localSheetId="1" hidden="1">{#N/A,#N/A,TRUE,"Basic";#N/A,#N/A,TRUE,"EXT-TABLE";#N/A,#N/A,TRUE,"STEEL";#N/A,#N/A,TRUE,"INT-Table";#N/A,#N/A,TRUE,"STEEL";#N/A,#N/A,TRUE,"Door"}</definedName>
    <definedName name="list02" localSheetId="7" hidden="1">{#N/A,#N/A,TRUE,"Basic";#N/A,#N/A,TRUE,"EXT-TABLE";#N/A,#N/A,TRUE,"STEEL";#N/A,#N/A,TRUE,"INT-Table";#N/A,#N/A,TRUE,"STEEL";#N/A,#N/A,TRUE,"Door"}</definedName>
    <definedName name="list02" localSheetId="9" hidden="1">{#N/A,#N/A,TRUE,"Basic";#N/A,#N/A,TRUE,"EXT-TABLE";#N/A,#N/A,TRUE,"STEEL";#N/A,#N/A,TRUE,"INT-Table";#N/A,#N/A,TRUE,"STEEL";#N/A,#N/A,TRUE,"Door"}</definedName>
    <definedName name="list02" localSheetId="0" hidden="1">{#N/A,#N/A,TRUE,"Basic";#N/A,#N/A,TRUE,"EXT-TABLE";#N/A,#N/A,TRUE,"STEEL";#N/A,#N/A,TRUE,"INT-Table";#N/A,#N/A,TRUE,"STEEL";#N/A,#N/A,TRUE,"Door"}</definedName>
    <definedName name="list02" localSheetId="3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plank_GRC">'UNIT PRICE'!$D$175</definedName>
    <definedName name="ljhklj" localSheetId="6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8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10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2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4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5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13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1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7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9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0" hidden="1">{"Offgrid",#N/A,FALSE,"OFFGRID";"Region",#N/A,FALSE,"REGION";"Offgrid -2",#N/A,FALSE,"OFFGRID";"WTP",#N/A,FALSE,"WTP";"WTP -2",#N/A,FALSE,"WTP";"Project",#N/A,FALSE,"PROJECT";"Summary -2",#N/A,FALSE,"SUMMARY"}</definedName>
    <definedName name="ljhklj" localSheetId="3" hidden="1">{"Offgrid",#N/A,FALSE,"OFFGRID";"Region",#N/A,FALSE,"REGION";"Offgrid -2",#N/A,FALSE,"OFFGRID";"WTP",#N/A,FALSE,"WTP";"WTP -2",#N/A,FALSE,"WTP";"Project",#N/A,FALSE,"PROJECT";"Summary -2",#N/A,FALSE,"SUMMARY"}</definedName>
    <definedName name="ljhklj" hidden="1">{"Offgrid",#N/A,FALSE,"OFFGRID";"Region",#N/A,FALSE,"REGION";"Offgrid -2",#N/A,FALSE,"OFFGRID";"WTP",#N/A,FALSE,"WTP";"WTP -2",#N/A,FALSE,"WTP";"Project",#N/A,FALSE,"PROJECT";"Summary -2",#N/A,FALSE,"SUMMARY"}</definedName>
    <definedName name="lk" localSheetId="6" hidden="1">{#N/A,#N/A,FALSE,"CCTV"}</definedName>
    <definedName name="lk" localSheetId="8" hidden="1">{#N/A,#N/A,FALSE,"CCTV"}</definedName>
    <definedName name="lk" localSheetId="10" hidden="1">{#N/A,#N/A,FALSE,"CCTV"}</definedName>
    <definedName name="lk" localSheetId="2" hidden="1">{#N/A,#N/A,FALSE,"CCTV"}</definedName>
    <definedName name="lk" localSheetId="4" hidden="1">{#N/A,#N/A,FALSE,"CCTV"}</definedName>
    <definedName name="lk" localSheetId="5" hidden="1">{#N/A,#N/A,FALSE,"CCTV"}</definedName>
    <definedName name="lk" localSheetId="13" hidden="1">{#N/A,#N/A,FALSE,"CCTV"}</definedName>
    <definedName name="lk" localSheetId="1" hidden="1">{#N/A,#N/A,FALSE,"CCTV"}</definedName>
    <definedName name="lk" localSheetId="7" hidden="1">{#N/A,#N/A,FALSE,"CCTV"}</definedName>
    <definedName name="lk" localSheetId="9" hidden="1">{#N/A,#N/A,FALSE,"CCTV"}</definedName>
    <definedName name="lk" localSheetId="0" hidden="1">{#N/A,#N/A,FALSE,"CCTV"}</definedName>
    <definedName name="lk" localSheetId="3" hidden="1">{#N/A,#N/A,FALSE,"CCTV"}</definedName>
    <definedName name="lk" hidden="1">{#N/A,#N/A,FALSE,"CCTV"}</definedName>
    <definedName name="llfoeo" localSheetId="6" hidden="1">[36]H.Satuan!#REF!</definedName>
    <definedName name="llfoeo" localSheetId="8" hidden="1">[36]H.Satuan!#REF!</definedName>
    <definedName name="llfoeo" localSheetId="10" hidden="1">[36]H.Satuan!#REF!</definedName>
    <definedName name="llfoeo" localSheetId="2" hidden="1">[36]H.Satuan!#REF!</definedName>
    <definedName name="llfoeo" localSheetId="4" hidden="1">[36]H.Satuan!#REF!</definedName>
    <definedName name="llfoeo" localSheetId="5" hidden="1">[36]H.Satuan!#REF!</definedName>
    <definedName name="llfoeo" localSheetId="13" hidden="1">[36]H.Satuan!#REF!</definedName>
    <definedName name="llfoeo" localSheetId="1" hidden="1">[36]H.Satuan!#REF!</definedName>
    <definedName name="llfoeo" localSheetId="7" hidden="1">[36]H.Satuan!#REF!</definedName>
    <definedName name="llfoeo" localSheetId="9" hidden="1">[36]H.Satuan!#REF!</definedName>
    <definedName name="llfoeo" localSheetId="0" hidden="1">[36]H.Satuan!#REF!</definedName>
    <definedName name="llfoeo" localSheetId="17" hidden="1">[36]H.Satuan!#REF!</definedName>
    <definedName name="llfoeo" localSheetId="3" hidden="1">[36]H.Satuan!#REF!</definedName>
    <definedName name="llfoeo" hidden="1">[36]H.Satuan!#REF!</definedName>
    <definedName name="lmpp" hidden="1">'[42]HARGA MATERIAL'!$H$32:$Y$35</definedName>
    <definedName name="louvre_frame_window">'UNIT PRICE'!$D$145</definedName>
    <definedName name="main_frame_scaffolding_1.9m">'UNIT PRICE'!$D$384</definedName>
    <definedName name="master_control_fire_alarm">'UNIT PRICE'!$D$233</definedName>
    <definedName name="mechanic">'UNIT PRICE'!$D$305</definedName>
    <definedName name="meranti_beam_5.7">'UNIT PRICE'!$D$58</definedName>
    <definedName name="meranti_beam_6.12">'UNIT PRICE'!$D$57</definedName>
    <definedName name="meranti_beam_8.12">'UNIT PRICE'!$D$59</definedName>
    <definedName name="mesin_press_day">'UNIT PRICE'!$D$361</definedName>
    <definedName name="minyak_bekisting">'UNIT PRICE'!$D$70</definedName>
    <definedName name="mkm" localSheetId="8" hidden="1">#REF!</definedName>
    <definedName name="mkm" localSheetId="13" hidden="1">#REF!</definedName>
    <definedName name="mkm" localSheetId="9" hidden="1">#REF!</definedName>
    <definedName name="mkm" hidden="1">#REF!</definedName>
    <definedName name="mlbng" localSheetId="6" hidden="1">'[3]TRNS-C1'!#REF!</definedName>
    <definedName name="mlbng" localSheetId="8" hidden="1">'[3]TRNS-C1'!#REF!</definedName>
    <definedName name="mlbng" localSheetId="10" hidden="1">'[3]TRNS-C1'!#REF!</definedName>
    <definedName name="mlbng" localSheetId="2" hidden="1">'[3]TRNS-C1'!#REF!</definedName>
    <definedName name="mlbng" localSheetId="4" hidden="1">'[3]TRNS-C1'!#REF!</definedName>
    <definedName name="mlbng" localSheetId="5" hidden="1">'[3]TRNS-C1'!#REF!</definedName>
    <definedName name="mlbng" localSheetId="13" hidden="1">'[3]TRNS-C1'!#REF!</definedName>
    <definedName name="mlbng" localSheetId="1" hidden="1">'[3]TRNS-C1'!#REF!</definedName>
    <definedName name="mlbng" localSheetId="7" hidden="1">'[3]TRNS-C1'!#REF!</definedName>
    <definedName name="mlbng" localSheetId="9" hidden="1">'[3]TRNS-C1'!#REF!</definedName>
    <definedName name="mlbng" localSheetId="0" hidden="1">'[3]TRNS-C1'!#REF!</definedName>
    <definedName name="mlbng" localSheetId="17" hidden="1">'[29]TRNS-C1'!#REF!</definedName>
    <definedName name="mlbng" localSheetId="3" hidden="1">'[3]TRNS-C1'!#REF!</definedName>
    <definedName name="mlbng" hidden="1">'[29]TRNS-C1'!#REF!</definedName>
    <definedName name="mmc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d" localSheetId="6" hidden="1">{#N/A,#N/A,FALSE,"M.32"}</definedName>
    <definedName name="mmd" localSheetId="8" hidden="1">{#N/A,#N/A,FALSE,"M.32"}</definedName>
    <definedName name="mmd" localSheetId="10" hidden="1">{#N/A,#N/A,FALSE,"M.32"}</definedName>
    <definedName name="mmd" localSheetId="2" hidden="1">{#N/A,#N/A,FALSE,"M.32"}</definedName>
    <definedName name="mmd" localSheetId="4" hidden="1">{#N/A,#N/A,FALSE,"M.32"}</definedName>
    <definedName name="mmd" localSheetId="5" hidden="1">{#N/A,#N/A,FALSE,"M.32"}</definedName>
    <definedName name="mmd" localSheetId="13" hidden="1">{#N/A,#N/A,FALSE,"M.32"}</definedName>
    <definedName name="mmd" localSheetId="1" hidden="1">{#N/A,#N/A,FALSE,"M.32"}</definedName>
    <definedName name="mmd" localSheetId="7" hidden="1">{#N/A,#N/A,FALSE,"M.32"}</definedName>
    <definedName name="mmd" localSheetId="9" hidden="1">{#N/A,#N/A,FALSE,"M.32"}</definedName>
    <definedName name="mmd" localSheetId="0" hidden="1">{#N/A,#N/A,FALSE,"M.32"}</definedName>
    <definedName name="mmd" localSheetId="3" hidden="1">{#N/A,#N/A,FALSE,"M.32"}</definedName>
    <definedName name="mmd" hidden="1">{#N/A,#N/A,FALSE,"M.32"}</definedName>
    <definedName name="mobile_unit_powder_fire_extinghuister">'UNIT PRICE'!$D$235</definedName>
    <definedName name="molen_mechine_0.5m3day">'UNIT PRICE'!$D$328</definedName>
    <definedName name="n" localSheetId="6" hidden="1">{"Offgrid",#N/A,FALSE,"OFFGRID";"Region",#N/A,FALSE,"REGION";"Offgrid -2",#N/A,FALSE,"OFFGRID";"WTP",#N/A,FALSE,"WTP";"WTP -2",#N/A,FALSE,"WTP";"Project",#N/A,FALSE,"PROJECT";"Summary -2",#N/A,FALSE,"SUMMARY"}</definedName>
    <definedName name="n" localSheetId="8" hidden="1">{"Offgrid",#N/A,FALSE,"OFFGRID";"Region",#N/A,FALSE,"REGION";"Offgrid -2",#N/A,FALSE,"OFFGRID";"WTP",#N/A,FALSE,"WTP";"WTP -2",#N/A,FALSE,"WTP";"Project",#N/A,FALSE,"PROJECT";"Summary -2",#N/A,FALSE,"SUMMARY"}</definedName>
    <definedName name="n" localSheetId="10" hidden="1">{"Offgrid",#N/A,FALSE,"OFFGRID";"Region",#N/A,FALSE,"REGION";"Offgrid -2",#N/A,FALSE,"OFFGRID";"WTP",#N/A,FALSE,"WTP";"WTP -2",#N/A,FALSE,"WTP";"Project",#N/A,FALSE,"PROJECT";"Summary -2",#N/A,FALSE,"SUMMARY"}</definedName>
    <definedName name="n" localSheetId="2" hidden="1">{"Offgrid",#N/A,FALSE,"OFFGRID";"Region",#N/A,FALSE,"REGION";"Offgrid -2",#N/A,FALSE,"OFFGRID";"WTP",#N/A,FALSE,"WTP";"WTP -2",#N/A,FALSE,"WTP";"Project",#N/A,FALSE,"PROJECT";"Summary -2",#N/A,FALSE,"SUMMARY"}</definedName>
    <definedName name="n" localSheetId="4" hidden="1">{"Offgrid",#N/A,FALSE,"OFFGRID";"Region",#N/A,FALSE,"REGION";"Offgrid -2",#N/A,FALSE,"OFFGRID";"WTP",#N/A,FALSE,"WTP";"WTP -2",#N/A,FALSE,"WTP";"Project",#N/A,FALSE,"PROJECT";"Summary -2",#N/A,FALSE,"SUMMARY"}</definedName>
    <definedName name="n" localSheetId="5" hidden="1">{"Offgrid",#N/A,FALSE,"OFFGRID";"Region",#N/A,FALSE,"REGION";"Offgrid -2",#N/A,FALSE,"OFFGRID";"WTP",#N/A,FALSE,"WTP";"WTP -2",#N/A,FALSE,"WTP";"Project",#N/A,FALSE,"PROJECT";"Summary -2",#N/A,FALSE,"SUMMARY"}</definedName>
    <definedName name="n" localSheetId="13" hidden="1">{"Offgrid",#N/A,FALSE,"OFFGRID";"Region",#N/A,FALSE,"REGION";"Offgrid -2",#N/A,FALSE,"OFFGRID";"WTP",#N/A,FALSE,"WTP";"WTP -2",#N/A,FALSE,"WTP";"Project",#N/A,FALSE,"PROJECT";"Summary -2",#N/A,FALSE,"SUMMARY"}</definedName>
    <definedName name="n" localSheetId="1" hidden="1">{"Offgrid",#N/A,FALSE,"OFFGRID";"Region",#N/A,FALSE,"REGION";"Offgrid -2",#N/A,FALSE,"OFFGRID";"WTP",#N/A,FALSE,"WTP";"WTP -2",#N/A,FALSE,"WTP";"Project",#N/A,FALSE,"PROJECT";"Summary -2",#N/A,FALSE,"SUMMARY"}</definedName>
    <definedName name="n" localSheetId="7" hidden="1">{"Offgrid",#N/A,FALSE,"OFFGRID";"Region",#N/A,FALSE,"REGION";"Offgrid -2",#N/A,FALSE,"OFFGRID";"WTP",#N/A,FALSE,"WTP";"WTP -2",#N/A,FALSE,"WTP";"Project",#N/A,FALSE,"PROJECT";"Summary -2",#N/A,FALSE,"SUMMARY"}</definedName>
    <definedName name="n" localSheetId="9" hidden="1">{"Offgrid",#N/A,FALSE,"OFFGRID";"Region",#N/A,FALSE,"REGION";"Offgrid -2",#N/A,FALSE,"OFFGRID";"WTP",#N/A,FALSE,"WTP";"WTP -2",#N/A,FALSE,"WTP";"Project",#N/A,FALSE,"PROJECT";"Summary -2",#N/A,FALSE,"SUMMARY"}</definedName>
    <definedName name="n" localSheetId="0" hidden="1">{"Offgrid",#N/A,FALSE,"OFFGRID";"Region",#N/A,FALSE,"REGION";"Offgrid -2",#N/A,FALSE,"OFFGRID";"WTP",#N/A,FALSE,"WTP";"WTP -2",#N/A,FALSE,"WTP";"Project",#N/A,FALSE,"PROJECT";"Summary -2",#N/A,FALSE,"SUMMARY"}</definedName>
    <definedName name="n" localSheetId="3" hidden="1">{"Offgrid",#N/A,FALSE,"OFFGRID";"Region",#N/A,FALSE,"REGION";"Offgrid -2",#N/A,FALSE,"OFFGRID";"WTP",#N/A,FALSE,"WTP";"WTP -2",#N/A,FALSE,"WTP";"Project",#N/A,FALSE,"PROJECT";"Summary -2",#N/A,FALSE,"SUMMARY"}</definedName>
    <definedName name="n" hidden="1">{"Offgrid",#N/A,FALSE,"OFFGRID";"Region",#N/A,FALSE,"REGION";"Offgrid -2",#N/A,FALSE,"OFFGRID";"WTP",#N/A,FALSE,"WTP";"WTP -2",#N/A,FALSE,"WTP";"Project",#N/A,FALSE,"PROJECT";"Summary -2",#N/A,FALSE,"SUMMARY"}</definedName>
    <definedName name="nail">'UNIT PRICE'!$D$31</definedName>
    <definedName name="nail_asbestos">'UNIT PRICE'!$D$32</definedName>
    <definedName name="nail_drat">'UNIT PRICE'!$D$34</definedName>
    <definedName name="nail_screw">'UNIT PRICE'!$D$33</definedName>
    <definedName name="naturally_paint_menibesi">'UNIT PRICE'!$D$76</definedName>
    <definedName name="naturally_paint_menikayu">'UNIT PRICE'!$D$75</definedName>
    <definedName name="ne" localSheetId="6" hidden="1">{"Offgrid",#N/A,FALSE,"OFFGRID";"Region",#N/A,FALSE,"REGION";"Offgrid -2",#N/A,FALSE,"OFFGRID";"WTP",#N/A,FALSE,"WTP";"WTP -2",#N/A,FALSE,"WTP";"Project",#N/A,FALSE,"PROJECT";"Summary -2",#N/A,FALSE,"SUMMARY"}</definedName>
    <definedName name="ne" localSheetId="8" hidden="1">{"Offgrid",#N/A,FALSE,"OFFGRID";"Region",#N/A,FALSE,"REGION";"Offgrid -2",#N/A,FALSE,"OFFGRID";"WTP",#N/A,FALSE,"WTP";"WTP -2",#N/A,FALSE,"WTP";"Project",#N/A,FALSE,"PROJECT";"Summary -2",#N/A,FALSE,"SUMMARY"}</definedName>
    <definedName name="ne" localSheetId="10" hidden="1">{"Offgrid",#N/A,FALSE,"OFFGRID";"Region",#N/A,FALSE,"REGION";"Offgrid -2",#N/A,FALSE,"OFFGRID";"WTP",#N/A,FALSE,"WTP";"WTP -2",#N/A,FALSE,"WTP";"Project",#N/A,FALSE,"PROJECT";"Summary -2",#N/A,FALSE,"SUMMARY"}</definedName>
    <definedName name="ne" localSheetId="2" hidden="1">{"Offgrid",#N/A,FALSE,"OFFGRID";"Region",#N/A,FALSE,"REGION";"Offgrid -2",#N/A,FALSE,"OFFGRID";"WTP",#N/A,FALSE,"WTP";"WTP -2",#N/A,FALSE,"WTP";"Project",#N/A,FALSE,"PROJECT";"Summary -2",#N/A,FALSE,"SUMMARY"}</definedName>
    <definedName name="ne" localSheetId="4" hidden="1">{"Offgrid",#N/A,FALSE,"OFFGRID";"Region",#N/A,FALSE,"REGION";"Offgrid -2",#N/A,FALSE,"OFFGRID";"WTP",#N/A,FALSE,"WTP";"WTP -2",#N/A,FALSE,"WTP";"Project",#N/A,FALSE,"PROJECT";"Summary -2",#N/A,FALSE,"SUMMARY"}</definedName>
    <definedName name="ne" localSheetId="5" hidden="1">{"Offgrid",#N/A,FALSE,"OFFGRID";"Region",#N/A,FALSE,"REGION";"Offgrid -2",#N/A,FALSE,"OFFGRID";"WTP",#N/A,FALSE,"WTP";"WTP -2",#N/A,FALSE,"WTP";"Project",#N/A,FALSE,"PROJECT";"Summary -2",#N/A,FALSE,"SUMMARY"}</definedName>
    <definedName name="ne" localSheetId="13" hidden="1">{"Offgrid",#N/A,FALSE,"OFFGRID";"Region",#N/A,FALSE,"REGION";"Offgrid -2",#N/A,FALSE,"OFFGRID";"WTP",#N/A,FALSE,"WTP";"WTP -2",#N/A,FALSE,"WTP";"Project",#N/A,FALSE,"PROJECT";"Summary -2",#N/A,FALSE,"SUMMARY"}</definedName>
    <definedName name="ne" localSheetId="1" hidden="1">{"Offgrid",#N/A,FALSE,"OFFGRID";"Region",#N/A,FALSE,"REGION";"Offgrid -2",#N/A,FALSE,"OFFGRID";"WTP",#N/A,FALSE,"WTP";"WTP -2",#N/A,FALSE,"WTP";"Project",#N/A,FALSE,"PROJECT";"Summary -2",#N/A,FALSE,"SUMMARY"}</definedName>
    <definedName name="ne" localSheetId="7" hidden="1">{"Offgrid",#N/A,FALSE,"OFFGRID";"Region",#N/A,FALSE,"REGION";"Offgrid -2",#N/A,FALSE,"OFFGRID";"WTP",#N/A,FALSE,"WTP";"WTP -2",#N/A,FALSE,"WTP";"Project",#N/A,FALSE,"PROJECT";"Summary -2",#N/A,FALSE,"SUMMARY"}</definedName>
    <definedName name="ne" localSheetId="9" hidden="1">{"Offgrid",#N/A,FALSE,"OFFGRID";"Region",#N/A,FALSE,"REGION";"Offgrid -2",#N/A,FALSE,"OFFGRID";"WTP",#N/A,FALSE,"WTP";"WTP -2",#N/A,FALSE,"WTP";"Project",#N/A,FALSE,"PROJECT";"Summary -2",#N/A,FALSE,"SUMMARY"}</definedName>
    <definedName name="ne" localSheetId="0" hidden="1">{"Offgrid",#N/A,FALSE,"OFFGRID";"Region",#N/A,FALSE,"REGION";"Offgrid -2",#N/A,FALSE,"OFFGRID";"WTP",#N/A,FALSE,"WTP";"WTP -2",#N/A,FALSE,"WTP";"Project",#N/A,FALSE,"PROJECT";"Summary -2",#N/A,FALSE,"SUMMARY"}</definedName>
    <definedName name="ne" localSheetId="3" hidden="1">{"Offgrid",#N/A,FALSE,"OFFGRID";"Region",#N/A,FALSE,"REGION";"Offgrid -2",#N/A,FALSE,"OFFGRID";"WTP",#N/A,FALSE,"WTP";"WTP -2",#N/A,FALSE,"WTP";"Project",#N/A,FALSE,"PROJECT";"Summary -2",#N/A,FALSE,"SUMMARY"}</definedName>
    <definedName name="ne" hidden="1">{"Offgrid",#N/A,FALSE,"OFFGRID";"Region",#N/A,FALSE,"REGION";"Offgrid -2",#N/A,FALSE,"OFFGRID";"WTP",#N/A,FALSE,"WTP";"WTP -2",#N/A,FALSE,"WTP";"Project",#N/A,FALSE,"PROJECT";"Summary -2",#N/A,FALSE,"SUMMARY"}</definedName>
    <definedName name="NEWNAME" localSheetId="6" hidden="1">{#N/A,#N/A,FALSE,"CCTV"}</definedName>
    <definedName name="NEWNAME" localSheetId="8" hidden="1">{#N/A,#N/A,FALSE,"CCTV"}</definedName>
    <definedName name="NEWNAME" localSheetId="10" hidden="1">{#N/A,#N/A,FALSE,"CCTV"}</definedName>
    <definedName name="NEWNAME" localSheetId="2" hidden="1">{#N/A,#N/A,FALSE,"CCTV"}</definedName>
    <definedName name="NEWNAME" localSheetId="4" hidden="1">{#N/A,#N/A,FALSE,"CCTV"}</definedName>
    <definedName name="NEWNAME" localSheetId="5" hidden="1">{#N/A,#N/A,FALSE,"CCTV"}</definedName>
    <definedName name="NEWNAME" localSheetId="13" hidden="1">{#N/A,#N/A,FALSE,"CCTV"}</definedName>
    <definedName name="NEWNAME" localSheetId="1" hidden="1">{#N/A,#N/A,FALSE,"CCTV"}</definedName>
    <definedName name="NEWNAME" localSheetId="7" hidden="1">{#N/A,#N/A,FALSE,"CCTV"}</definedName>
    <definedName name="NEWNAME" localSheetId="9" hidden="1">{#N/A,#N/A,FALSE,"CCTV"}</definedName>
    <definedName name="NEWNAME" localSheetId="0" hidden="1">{#N/A,#N/A,FALSE,"CCTV"}</definedName>
    <definedName name="NEWNAME" localSheetId="3" hidden="1">{#N/A,#N/A,FALSE,"CCTV"}</definedName>
    <definedName name="NEWNAME" hidden="1">{#N/A,#N/A,FALSE,"CCTV"}</definedName>
    <definedName name="ni" localSheetId="6" hidden="1">{#N/A,#N/A,FALSE,"M.42"}</definedName>
    <definedName name="ni" localSheetId="8" hidden="1">{#N/A,#N/A,FALSE,"M.42"}</definedName>
    <definedName name="ni" localSheetId="10" hidden="1">{#N/A,#N/A,FALSE,"M.42"}</definedName>
    <definedName name="ni" localSheetId="2" hidden="1">{#N/A,#N/A,FALSE,"M.42"}</definedName>
    <definedName name="ni" localSheetId="4" hidden="1">{#N/A,#N/A,FALSE,"M.42"}</definedName>
    <definedName name="ni" localSheetId="5" hidden="1">{#N/A,#N/A,FALSE,"M.42"}</definedName>
    <definedName name="ni" localSheetId="13" hidden="1">{#N/A,#N/A,FALSE,"M.42"}</definedName>
    <definedName name="ni" localSheetId="1" hidden="1">{#N/A,#N/A,FALSE,"M.42"}</definedName>
    <definedName name="ni" localSheetId="7" hidden="1">{#N/A,#N/A,FALSE,"M.42"}</definedName>
    <definedName name="ni" localSheetId="9" hidden="1">{#N/A,#N/A,FALSE,"M.42"}</definedName>
    <definedName name="ni" localSheetId="0" hidden="1">{#N/A,#N/A,FALSE,"M.42"}</definedName>
    <definedName name="ni" localSheetId="3" hidden="1">{#N/A,#N/A,FALSE,"M.42"}</definedName>
    <definedName name="ni" hidden="1">{#N/A,#N/A,FALSE,"M.42"}</definedName>
    <definedName name="nnm" localSheetId="6" hidden="1">{#N/A,#N/A,FALSE,"M.43"}</definedName>
    <definedName name="nnm" localSheetId="8" hidden="1">{#N/A,#N/A,FALSE,"M.43"}</definedName>
    <definedName name="nnm" localSheetId="10" hidden="1">{#N/A,#N/A,FALSE,"M.43"}</definedName>
    <definedName name="nnm" localSheetId="2" hidden="1">{#N/A,#N/A,FALSE,"M.43"}</definedName>
    <definedName name="nnm" localSheetId="4" hidden="1">{#N/A,#N/A,FALSE,"M.43"}</definedName>
    <definedName name="nnm" localSheetId="5" hidden="1">{#N/A,#N/A,FALSE,"M.43"}</definedName>
    <definedName name="nnm" localSheetId="13" hidden="1">{#N/A,#N/A,FALSE,"M.43"}</definedName>
    <definedName name="nnm" localSheetId="1" hidden="1">{#N/A,#N/A,FALSE,"M.43"}</definedName>
    <definedName name="nnm" localSheetId="7" hidden="1">{#N/A,#N/A,FALSE,"M.43"}</definedName>
    <definedName name="nnm" localSheetId="9" hidden="1">{#N/A,#N/A,FALSE,"M.43"}</definedName>
    <definedName name="nnm" localSheetId="0" hidden="1">{#N/A,#N/A,FALSE,"M.43"}</definedName>
    <definedName name="nnm" localSheetId="3" hidden="1">{#N/A,#N/A,FALSE,"M.43"}</definedName>
    <definedName name="nnm" hidden="1">{#N/A,#N/A,FALSE,"M.43"}</definedName>
    <definedName name="nnnm" localSheetId="6" hidden="1">{#N/A,#N/A,FALSE,"M.42"}</definedName>
    <definedName name="nnnm" localSheetId="8" hidden="1">{#N/A,#N/A,FALSE,"M.42"}</definedName>
    <definedName name="nnnm" localSheetId="10" hidden="1">{#N/A,#N/A,FALSE,"M.42"}</definedName>
    <definedName name="nnnm" localSheetId="2" hidden="1">{#N/A,#N/A,FALSE,"M.42"}</definedName>
    <definedName name="nnnm" localSheetId="4" hidden="1">{#N/A,#N/A,FALSE,"M.42"}</definedName>
    <definedName name="nnnm" localSheetId="5" hidden="1">{#N/A,#N/A,FALSE,"M.42"}</definedName>
    <definedName name="nnnm" localSheetId="13" hidden="1">{#N/A,#N/A,FALSE,"M.42"}</definedName>
    <definedName name="nnnm" localSheetId="1" hidden="1">{#N/A,#N/A,FALSE,"M.42"}</definedName>
    <definedName name="nnnm" localSheetId="7" hidden="1">{#N/A,#N/A,FALSE,"M.42"}</definedName>
    <definedName name="nnnm" localSheetId="9" hidden="1">{#N/A,#N/A,FALSE,"M.42"}</definedName>
    <definedName name="nnnm" localSheetId="0" hidden="1">{#N/A,#N/A,FALSE,"M.42"}</definedName>
    <definedName name="nnnm" localSheetId="3" hidden="1">{#N/A,#N/A,FALSE,"M.42"}</definedName>
    <definedName name="nnnm" hidden="1">{#N/A,#N/A,FALSE,"M.42"}</definedName>
    <definedName name="nok_onduline">'UNIT PRICE'!$D$167</definedName>
    <definedName name="nok_spandek_colorbond">'UNIT PRICE'!$D$166</definedName>
    <definedName name="nok_standar_hiten">'UNIT PRICE'!$D$165</definedName>
    <definedName name="oil_machine">'UNIT PRICE'!$D$250</definedName>
    <definedName name="oil_machine_hidrolis">'UNIT PRICE'!$D$251</definedName>
    <definedName name="oke" hidden="1">'[43]HARGA MATERIAL'!$G$27:$X$33</definedName>
    <definedName name="OMC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perator">'UNIT PRICE'!$D$323</definedName>
    <definedName name="Operator_mesin_stringing">'UNIT PRICE'!$D$322</definedName>
    <definedName name="OrderTable" localSheetId="6" hidden="1">#REF!</definedName>
    <definedName name="OrderTable" localSheetId="8" hidden="1">#REF!</definedName>
    <definedName name="OrderTable" localSheetId="10" hidden="1">#REF!</definedName>
    <definedName name="OrderTable" localSheetId="2" hidden="1">#REF!</definedName>
    <definedName name="OrderTable" localSheetId="4" hidden="1">#REF!</definedName>
    <definedName name="OrderTable" localSheetId="5" hidden="1">#REF!</definedName>
    <definedName name="OrderTable" localSheetId="13" hidden="1">#REF!</definedName>
    <definedName name="OrderTable" localSheetId="1" hidden="1">#REF!</definedName>
    <definedName name="OrderTable" localSheetId="7" hidden="1">#REF!</definedName>
    <definedName name="OrderTable" localSheetId="9" hidden="1">#REF!</definedName>
    <definedName name="OrderTable" localSheetId="0" hidden="1">#REF!</definedName>
    <definedName name="OrderTable" localSheetId="17" hidden="1">#REF!</definedName>
    <definedName name="OrderTable" localSheetId="3" hidden="1">#REF!</definedName>
    <definedName name="OrderTable" hidden="1">#REF!</definedName>
    <definedName name="Pahat_besi_beton_ujung_lancip">'UNIT PRICE'!$D$392</definedName>
    <definedName name="paint_steel">'UNIT PRICE'!$D$71</definedName>
    <definedName name="paint_wall_emulsi">'UNIT PRICE'!$D$73</definedName>
    <definedName name="paint_wall_watershield">'UNIT PRICE'!$D$74</definedName>
    <definedName name="paint_wooden">'UNIT PRICE'!$D$72</definedName>
    <definedName name="paint_worker">'UNIT PRICE'!$D$304</definedName>
    <definedName name="paint_worker_chief">'UNIT PRICE'!$D$299</definedName>
    <definedName name="Pal_Workbook_GUID" hidden="1">"HGNVVB9W5C6PFQH5VBC1XYJC"</definedName>
    <definedName name="palm_fibre">'UNIT PRICE'!$D$282</definedName>
    <definedName name="panel_acoustic">'UNIT PRICE'!$D$169</definedName>
    <definedName name="panel_box_MCB">'UNIT PRICE'!$D$228</definedName>
    <definedName name="PC">'UNIT PRICE'!$D$8</definedName>
    <definedName name="PC_Color">'UNIT PRICE'!$D$9</definedName>
    <definedName name="pelumas_alat_berat">'UNIT PRICE'!$D$253</definedName>
    <definedName name="penangkal_petir_radius_125_setara_thomas">'UNIT PRICE'!$D$225</definedName>
    <definedName name="persiapan" hidden="1">'[43]HARGA MATERIAL'!$E$27:$E$33</definedName>
    <definedName name="Philip" localSheetId="6" hidden="1">{#N/A,#N/A,FALSE,"REK-S-TPL";#N/A,#N/A,FALSE,"REK-TPML";#N/A,#N/A,FALSE,"RAB-TEMPEL"}</definedName>
    <definedName name="Philip" localSheetId="8" hidden="1">{#N/A,#N/A,FALSE,"REK-S-TPL";#N/A,#N/A,FALSE,"REK-TPML";#N/A,#N/A,FALSE,"RAB-TEMPEL"}</definedName>
    <definedName name="Philip" localSheetId="10" hidden="1">{#N/A,#N/A,FALSE,"REK-S-TPL";#N/A,#N/A,FALSE,"REK-TPML";#N/A,#N/A,FALSE,"RAB-TEMPEL"}</definedName>
    <definedName name="Philip" localSheetId="2" hidden="1">{#N/A,#N/A,FALSE,"REK-S-TPL";#N/A,#N/A,FALSE,"REK-TPML";#N/A,#N/A,FALSE,"RAB-TEMPEL"}</definedName>
    <definedName name="Philip" localSheetId="4" hidden="1">{#N/A,#N/A,FALSE,"REK-S-TPL";#N/A,#N/A,FALSE,"REK-TPML";#N/A,#N/A,FALSE,"RAB-TEMPEL"}</definedName>
    <definedName name="Philip" localSheetId="5" hidden="1">{#N/A,#N/A,FALSE,"REK-S-TPL";#N/A,#N/A,FALSE,"REK-TPML";#N/A,#N/A,FALSE,"RAB-TEMPEL"}</definedName>
    <definedName name="Philip" localSheetId="13" hidden="1">{#N/A,#N/A,FALSE,"REK-S-TPL";#N/A,#N/A,FALSE,"REK-TPML";#N/A,#N/A,FALSE,"RAB-TEMPEL"}</definedName>
    <definedName name="Philip" localSheetId="1" hidden="1">{#N/A,#N/A,FALSE,"REK-S-TPL";#N/A,#N/A,FALSE,"REK-TPML";#N/A,#N/A,FALSE,"RAB-TEMPEL"}</definedName>
    <definedName name="Philip" localSheetId="7" hidden="1">{#N/A,#N/A,FALSE,"REK-S-TPL";#N/A,#N/A,FALSE,"REK-TPML";#N/A,#N/A,FALSE,"RAB-TEMPEL"}</definedName>
    <definedName name="Philip" localSheetId="9" hidden="1">{#N/A,#N/A,FALSE,"REK-S-TPL";#N/A,#N/A,FALSE,"REK-TPML";#N/A,#N/A,FALSE,"RAB-TEMPEL"}</definedName>
    <definedName name="Philip" localSheetId="0" hidden="1">{#N/A,#N/A,FALSE,"REK-S-TPL";#N/A,#N/A,FALSE,"REK-TPML";#N/A,#N/A,FALSE,"RAB-TEMPEL"}</definedName>
    <definedName name="Philip" localSheetId="3" hidden="1">{#N/A,#N/A,FALSE,"REK-S-TPL";#N/A,#N/A,FALSE,"REK-TPML";#N/A,#N/A,FALSE,"RAB-TEMPEL"}</definedName>
    <definedName name="Philip" hidden="1">{#N/A,#N/A,FALSE,"REK-S-TPL";#N/A,#N/A,FALSE,"REK-TPML";#N/A,#N/A,FALSE,"RAB-TEMPEL"}</definedName>
    <definedName name="pile_connection">'UNIT PRICE'!$D$340</definedName>
    <definedName name="pile_driver_hammer_hour">'UNIT PRICE'!$D$354</definedName>
    <definedName name="pintu_swing_BRC_single_1.5m_l_2.4m">'UNIT PRICE'!$D$247</definedName>
    <definedName name="Pipa_GIP_2in_6m">'UNIT PRICE'!$D$118</definedName>
    <definedName name="Pipa_GIP_sambungan2_unit">'UNIT PRICE'!$D$119</definedName>
    <definedName name="pipa_tape">'UNIT PRICE'!$D$254</definedName>
    <definedName name="pipe_concrete_30cm">'UNIT PRICE'!$D$258</definedName>
    <definedName name="pipe_tremi">'UNIT PRICE'!$D$330</definedName>
    <definedName name="plafon_luar_lambersiring_and_installation">'UNIT PRICE'!$D$174</definedName>
    <definedName name="plafond_asbes_m2">'UNIT PRICE'!$D$161</definedName>
    <definedName name="plafond_main.tee">'UNIT PRICE'!$D$170</definedName>
    <definedName name="plain_meranti_2.20">'UNIT PRICE'!$D$55</definedName>
    <definedName name="plamur_wall">'UNIT PRICE'!$D$82</definedName>
    <definedName name="plamur_wood">'UNIT PRICE'!$D$83</definedName>
    <definedName name="plank_meranti_3.20">'UNIT PRICE'!$D$56</definedName>
    <definedName name="plastic_terpal_m2">'UNIT PRICE'!$D$291</definedName>
    <definedName name="plat_bordes_6mm">'UNIT PRICE'!#REF!</definedName>
    <definedName name="plumber">'UNIT PRICE'!$D$308</definedName>
    <definedName name="plumber_chief">'UNIT PRICE'!$D$300</definedName>
    <definedName name="plywood_12mm">'UNIT PRICE'!$D$63</definedName>
    <definedName name="plywood_18mm">'UNIT PRICE'!$D$64</definedName>
    <definedName name="plywood_4mm">'UNIT PRICE'!$D$61</definedName>
    <definedName name="plywood_9mm">'UNIT PRICE'!$D$62</definedName>
    <definedName name="pohon_mangga_tinggi_50_70">'UNIT PRICE'!$D$280</definedName>
    <definedName name="polished_steel_sandpaper">'UNIT PRICE'!#REF!</definedName>
    <definedName name="polished_wooden_sandpaper">'UNIT PRICE'!#REF!</definedName>
    <definedName name="pomc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a_submersible_cap_150.ltr_menit_unit">'UNIT PRICE'!$D$226</definedName>
    <definedName name="portable_fire_extinghuiser">'UNIT PRICE'!$D$234</definedName>
    <definedName name="portable_type_6kg">'UNIT PRICE'!$D$236</definedName>
    <definedName name="Prem" localSheetId="8" hidden="1">[44]A!#REF!</definedName>
    <definedName name="Prem" localSheetId="13" hidden="1">[44]A!#REF!</definedName>
    <definedName name="Prem" localSheetId="9" hidden="1">[44]A!#REF!</definedName>
    <definedName name="Prem" hidden="1">[44]A!#REF!</definedName>
    <definedName name="ProdForm" localSheetId="6" hidden="1">#REF!</definedName>
    <definedName name="ProdForm" localSheetId="8" hidden="1">#REF!</definedName>
    <definedName name="ProdForm" localSheetId="10" hidden="1">#REF!</definedName>
    <definedName name="ProdForm" localSheetId="2" hidden="1">#REF!</definedName>
    <definedName name="ProdForm" localSheetId="4" hidden="1">#REF!</definedName>
    <definedName name="ProdForm" localSheetId="5" hidden="1">#REF!</definedName>
    <definedName name="ProdForm" localSheetId="13" hidden="1">#REF!</definedName>
    <definedName name="ProdForm" localSheetId="1" hidden="1">#REF!</definedName>
    <definedName name="ProdForm" localSheetId="7" hidden="1">#REF!</definedName>
    <definedName name="ProdForm" localSheetId="9" hidden="1">#REF!</definedName>
    <definedName name="ProdForm" localSheetId="0" hidden="1">#REF!</definedName>
    <definedName name="ProdForm" localSheetId="17" hidden="1">#REF!</definedName>
    <definedName name="ProdForm" localSheetId="3" hidden="1">#REF!</definedName>
    <definedName name="ProdForm" hidden="1">#REF!</definedName>
    <definedName name="Product" localSheetId="6" hidden="1">#REF!</definedName>
    <definedName name="Product" localSheetId="8" hidden="1">#REF!</definedName>
    <definedName name="Product" localSheetId="10" hidden="1">#REF!</definedName>
    <definedName name="Product" localSheetId="2" hidden="1">#REF!</definedName>
    <definedName name="Product" localSheetId="4" hidden="1">#REF!</definedName>
    <definedName name="Product" localSheetId="5" hidden="1">#REF!</definedName>
    <definedName name="Product" localSheetId="13" hidden="1">#REF!</definedName>
    <definedName name="Product" localSheetId="1" hidden="1">#REF!</definedName>
    <definedName name="Product" localSheetId="7" hidden="1">#REF!</definedName>
    <definedName name="Product" localSheetId="9" hidden="1">#REF!</definedName>
    <definedName name="Product" localSheetId="0" hidden="1">#REF!</definedName>
    <definedName name="Product" localSheetId="17" hidden="1">#REF!</definedName>
    <definedName name="Product" localSheetId="3" hidden="1">#REF!</definedName>
    <definedName name="Product" hidden="1">#REF!</definedName>
    <definedName name="Profil_IWF">'UNIT PRICE'!$D$35</definedName>
    <definedName name="Profil_kanal">'UNIT PRICE'!$D$36</definedName>
    <definedName name="profil_siku_kg">'UNIT PRICE'!$D$37</definedName>
    <definedName name="pully">'UNIT PRICE'!$D$357</definedName>
    <definedName name="pupuk_kandang_7kg">'UNIT PRICE'!$D$279</definedName>
    <definedName name="pvc_dia0.5">'UNIT PRICE'!$D$112</definedName>
    <definedName name="pvc_dia1">'UNIT PRICE'!$D$113</definedName>
    <definedName name="pvc_dia2">'UNIT PRICE'!$D$114</definedName>
    <definedName name="pvc_dia3">'UNIT PRICE'!$D$115</definedName>
    <definedName name="pvc_dia4">'UNIT PRICE'!$D$116</definedName>
    <definedName name="pvc_dia6">'UNIT PRICE'!$D$117</definedName>
    <definedName name="qq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q" localSheetId="6" hidden="1">{#N/A,#N/A,FALSE,"M.42"}</definedName>
    <definedName name="qqq" localSheetId="8" hidden="1">{#N/A,#N/A,FALSE,"M.42"}</definedName>
    <definedName name="qqq" localSheetId="10" hidden="1">{#N/A,#N/A,FALSE,"M.42"}</definedName>
    <definedName name="qqq" localSheetId="2" hidden="1">{#N/A,#N/A,FALSE,"M.42"}</definedName>
    <definedName name="qqq" localSheetId="4" hidden="1">{#N/A,#N/A,FALSE,"M.42"}</definedName>
    <definedName name="qqq" localSheetId="5" hidden="1">{#N/A,#N/A,FALSE,"M.42"}</definedName>
    <definedName name="qqq" localSheetId="13" hidden="1">{#N/A,#N/A,FALSE,"M.42"}</definedName>
    <definedName name="qqq" localSheetId="1" hidden="1">{#N/A,#N/A,FALSE,"M.42"}</definedName>
    <definedName name="qqq" localSheetId="7" hidden="1">{#N/A,#N/A,FALSE,"M.42"}</definedName>
    <definedName name="qqq" localSheetId="9" hidden="1">{#N/A,#N/A,FALSE,"M.42"}</definedName>
    <definedName name="qqq" localSheetId="0" hidden="1">{#N/A,#N/A,FALSE,"M.42"}</definedName>
    <definedName name="qqq" localSheetId="3" hidden="1">{#N/A,#N/A,FALSE,"M.42"}</definedName>
    <definedName name="qqq" hidden="1">{#N/A,#N/A,FALSE,"M.42"}</definedName>
    <definedName name="qqqqq" localSheetId="6" hidden="1">{#N/A,#N/A,TRUE,"Basic";#N/A,#N/A,TRUE,"EXT-TABLE";#N/A,#N/A,TRUE,"STEEL";#N/A,#N/A,TRUE,"INT-Table";#N/A,#N/A,TRUE,"STEEL";#N/A,#N/A,TRUE,"Door"}</definedName>
    <definedName name="qqqqq" localSheetId="8" hidden="1">{#N/A,#N/A,TRUE,"Basic";#N/A,#N/A,TRUE,"EXT-TABLE";#N/A,#N/A,TRUE,"STEEL";#N/A,#N/A,TRUE,"INT-Table";#N/A,#N/A,TRUE,"STEEL";#N/A,#N/A,TRUE,"Door"}</definedName>
    <definedName name="qqqqq" localSheetId="10" hidden="1">{#N/A,#N/A,TRUE,"Basic";#N/A,#N/A,TRUE,"EXT-TABLE";#N/A,#N/A,TRUE,"STEEL";#N/A,#N/A,TRUE,"INT-Table";#N/A,#N/A,TRUE,"STEEL";#N/A,#N/A,TRUE,"Door"}</definedName>
    <definedName name="qqqqq" localSheetId="2" hidden="1">{#N/A,#N/A,TRUE,"Basic";#N/A,#N/A,TRUE,"EXT-TABLE";#N/A,#N/A,TRUE,"STEEL";#N/A,#N/A,TRUE,"INT-Table";#N/A,#N/A,TRUE,"STEEL";#N/A,#N/A,TRUE,"Door"}</definedName>
    <definedName name="qqqqq" localSheetId="4" hidden="1">{#N/A,#N/A,TRUE,"Basic";#N/A,#N/A,TRUE,"EXT-TABLE";#N/A,#N/A,TRUE,"STEEL";#N/A,#N/A,TRUE,"INT-Table";#N/A,#N/A,TRUE,"STEEL";#N/A,#N/A,TRUE,"Door"}</definedName>
    <definedName name="qqqqq" localSheetId="5" hidden="1">{#N/A,#N/A,TRUE,"Basic";#N/A,#N/A,TRUE,"EXT-TABLE";#N/A,#N/A,TRUE,"STEEL";#N/A,#N/A,TRUE,"INT-Table";#N/A,#N/A,TRUE,"STEEL";#N/A,#N/A,TRUE,"Door"}</definedName>
    <definedName name="qqqqq" localSheetId="13" hidden="1">{#N/A,#N/A,TRUE,"Basic";#N/A,#N/A,TRUE,"EXT-TABLE";#N/A,#N/A,TRUE,"STEEL";#N/A,#N/A,TRUE,"INT-Table";#N/A,#N/A,TRUE,"STEEL";#N/A,#N/A,TRUE,"Door"}</definedName>
    <definedName name="qqqqq" localSheetId="1" hidden="1">{#N/A,#N/A,TRUE,"Basic";#N/A,#N/A,TRUE,"EXT-TABLE";#N/A,#N/A,TRUE,"STEEL";#N/A,#N/A,TRUE,"INT-Table";#N/A,#N/A,TRUE,"STEEL";#N/A,#N/A,TRUE,"Door"}</definedName>
    <definedName name="qqqqq" localSheetId="7" hidden="1">{#N/A,#N/A,TRUE,"Basic";#N/A,#N/A,TRUE,"EXT-TABLE";#N/A,#N/A,TRUE,"STEEL";#N/A,#N/A,TRUE,"INT-Table";#N/A,#N/A,TRUE,"STEEL";#N/A,#N/A,TRUE,"Door"}</definedName>
    <definedName name="qqqqq" localSheetId="9" hidden="1">{#N/A,#N/A,TRUE,"Basic";#N/A,#N/A,TRUE,"EXT-TABLE";#N/A,#N/A,TRUE,"STEEL";#N/A,#N/A,TRUE,"INT-Table";#N/A,#N/A,TRUE,"STEEL";#N/A,#N/A,TRUE,"Door"}</definedName>
    <definedName name="qqqqq" localSheetId="0" hidden="1">{#N/A,#N/A,TRUE,"Basic";#N/A,#N/A,TRUE,"EXT-TABLE";#N/A,#N/A,TRUE,"STEEL";#N/A,#N/A,TRUE,"INT-Table";#N/A,#N/A,TRUE,"STEEL";#N/A,#N/A,TRUE,"Door"}</definedName>
    <definedName name="qqqqq" localSheetId="3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RY.3" hidden="1">'[45]Agregat Halus &amp; Kasar'!$I$12:$I$20</definedName>
    <definedName name="qu" localSheetId="6" hidden="1">{"Offgrid",#N/A,FALSE,"OFFGRID";"Region",#N/A,FALSE,"REGION";"Offgrid -2",#N/A,FALSE,"OFFGRID";"WTP",#N/A,FALSE,"WTP";"WTP -2",#N/A,FALSE,"WTP";"Project",#N/A,FALSE,"PROJECT";"Summary -2",#N/A,FALSE,"SUMMARY"}</definedName>
    <definedName name="qu" localSheetId="8" hidden="1">{"Offgrid",#N/A,FALSE,"OFFGRID";"Region",#N/A,FALSE,"REGION";"Offgrid -2",#N/A,FALSE,"OFFGRID";"WTP",#N/A,FALSE,"WTP";"WTP -2",#N/A,FALSE,"WTP";"Project",#N/A,FALSE,"PROJECT";"Summary -2",#N/A,FALSE,"SUMMARY"}</definedName>
    <definedName name="qu" localSheetId="10" hidden="1">{"Offgrid",#N/A,FALSE,"OFFGRID";"Region",#N/A,FALSE,"REGION";"Offgrid -2",#N/A,FALSE,"OFFGRID";"WTP",#N/A,FALSE,"WTP";"WTP -2",#N/A,FALSE,"WTP";"Project",#N/A,FALSE,"PROJECT";"Summary -2",#N/A,FALSE,"SUMMARY"}</definedName>
    <definedName name="qu" localSheetId="2" hidden="1">{"Offgrid",#N/A,FALSE,"OFFGRID";"Region",#N/A,FALSE,"REGION";"Offgrid -2",#N/A,FALSE,"OFFGRID";"WTP",#N/A,FALSE,"WTP";"WTP -2",#N/A,FALSE,"WTP";"Project",#N/A,FALSE,"PROJECT";"Summary -2",#N/A,FALSE,"SUMMARY"}</definedName>
    <definedName name="qu" localSheetId="4" hidden="1">{"Offgrid",#N/A,FALSE,"OFFGRID";"Region",#N/A,FALSE,"REGION";"Offgrid -2",#N/A,FALSE,"OFFGRID";"WTP",#N/A,FALSE,"WTP";"WTP -2",#N/A,FALSE,"WTP";"Project",#N/A,FALSE,"PROJECT";"Summary -2",#N/A,FALSE,"SUMMARY"}</definedName>
    <definedName name="qu" localSheetId="5" hidden="1">{"Offgrid",#N/A,FALSE,"OFFGRID";"Region",#N/A,FALSE,"REGION";"Offgrid -2",#N/A,FALSE,"OFFGRID";"WTP",#N/A,FALSE,"WTP";"WTP -2",#N/A,FALSE,"WTP";"Project",#N/A,FALSE,"PROJECT";"Summary -2",#N/A,FALSE,"SUMMARY"}</definedName>
    <definedName name="qu" localSheetId="13" hidden="1">{"Offgrid",#N/A,FALSE,"OFFGRID";"Region",#N/A,FALSE,"REGION";"Offgrid -2",#N/A,FALSE,"OFFGRID";"WTP",#N/A,FALSE,"WTP";"WTP -2",#N/A,FALSE,"WTP";"Project",#N/A,FALSE,"PROJECT";"Summary -2",#N/A,FALSE,"SUMMARY"}</definedName>
    <definedName name="qu" localSheetId="1" hidden="1">{"Offgrid",#N/A,FALSE,"OFFGRID";"Region",#N/A,FALSE,"REGION";"Offgrid -2",#N/A,FALSE,"OFFGRID";"WTP",#N/A,FALSE,"WTP";"WTP -2",#N/A,FALSE,"WTP";"Project",#N/A,FALSE,"PROJECT";"Summary -2",#N/A,FALSE,"SUMMARY"}</definedName>
    <definedName name="qu" localSheetId="7" hidden="1">{"Offgrid",#N/A,FALSE,"OFFGRID";"Region",#N/A,FALSE,"REGION";"Offgrid -2",#N/A,FALSE,"OFFGRID";"WTP",#N/A,FALSE,"WTP";"WTP -2",#N/A,FALSE,"WTP";"Project",#N/A,FALSE,"PROJECT";"Summary -2",#N/A,FALSE,"SUMMARY"}</definedName>
    <definedName name="qu" localSheetId="9" hidden="1">{"Offgrid",#N/A,FALSE,"OFFGRID";"Region",#N/A,FALSE,"REGION";"Offgrid -2",#N/A,FALSE,"OFFGRID";"WTP",#N/A,FALSE,"WTP";"WTP -2",#N/A,FALSE,"WTP";"Project",#N/A,FALSE,"PROJECT";"Summary -2",#N/A,FALSE,"SUMMARY"}</definedName>
    <definedName name="qu" localSheetId="0" hidden="1">{"Offgrid",#N/A,FALSE,"OFFGRID";"Region",#N/A,FALSE,"REGION";"Offgrid -2",#N/A,FALSE,"OFFGRID";"WTP",#N/A,FALSE,"WTP";"WTP -2",#N/A,FALSE,"WTP";"Project",#N/A,FALSE,"PROJECT";"Summary -2",#N/A,FALSE,"SUMMARY"}</definedName>
    <definedName name="qu" localSheetId="3" hidden="1">{"Offgrid",#N/A,FALSE,"OFFGRID";"Region",#N/A,FALSE,"REGION";"Offgrid -2",#N/A,FALSE,"OFFGRID";"WTP",#N/A,FALSE,"WTP";"WTP -2",#N/A,FALSE,"WTP";"Project",#N/A,FALSE,"PROJECT";"Summary -2",#N/A,FALSE,"SUMMARY"}</definedName>
    <definedName name="qu" hidden="1">{"Offgrid",#N/A,FALSE,"OFFGRID";"Region",#N/A,FALSE,"REGION";"Offgrid -2",#N/A,FALSE,"OFFGRID";"WTP",#N/A,FALSE,"WTP";"WTP -2",#N/A,FALSE,"WTP";"Project",#N/A,FALSE,"PROJECT";"Summary -2",#N/A,FALSE,"SUMMARY"}</definedName>
    <definedName name="QWERQWE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AB" localSheetId="13" hidden="1">[46]ANALISA!#REF!</definedName>
    <definedName name="RAB" hidden="1">[46]ANALISA!#REF!</definedName>
    <definedName name="raised_floor">'UNIT PRICE'!$D$99</definedName>
    <definedName name="Rangka_Plafond_besi_Hollow_Galvanis_m2">'UNIT PRICE'!$D$173</definedName>
    <definedName name="RCArea" localSheetId="6" hidden="1">#REF!</definedName>
    <definedName name="RCArea" localSheetId="8" hidden="1">#REF!</definedName>
    <definedName name="RCArea" localSheetId="10" hidden="1">#REF!</definedName>
    <definedName name="RCArea" localSheetId="2" hidden="1">#REF!</definedName>
    <definedName name="RCArea" localSheetId="4" hidden="1">#REF!</definedName>
    <definedName name="RCArea" localSheetId="5" hidden="1">#REF!</definedName>
    <definedName name="RCArea" localSheetId="13" hidden="1">#REF!</definedName>
    <definedName name="RCArea" localSheetId="1" hidden="1">#REF!</definedName>
    <definedName name="RCArea" localSheetId="7" hidden="1">#REF!</definedName>
    <definedName name="RCArea" localSheetId="9" hidden="1">#REF!</definedName>
    <definedName name="RCArea" localSheetId="0" hidden="1">#REF!</definedName>
    <definedName name="RCArea" localSheetId="17" hidden="1">#REF!</definedName>
    <definedName name="RCArea" localSheetId="3" hidden="1">#REF!</definedName>
    <definedName name="RCArea" hidden="1">#REF!</definedName>
    <definedName name="red_brick">'UNIT PRICE'!$D$10</definedName>
    <definedName name="REVISI01" localSheetId="6" hidden="1">{#N/A,#N/A,FALSE,"REK-S-TPL";#N/A,#N/A,FALSE,"REK-TPML";#N/A,#N/A,FALSE,"RAB-TEMPEL"}</definedName>
    <definedName name="REVISI01" localSheetId="8" hidden="1">{#N/A,#N/A,FALSE,"REK-S-TPL";#N/A,#N/A,FALSE,"REK-TPML";#N/A,#N/A,FALSE,"RAB-TEMPEL"}</definedName>
    <definedName name="REVISI01" localSheetId="10" hidden="1">{#N/A,#N/A,FALSE,"REK-S-TPL";#N/A,#N/A,FALSE,"REK-TPML";#N/A,#N/A,FALSE,"RAB-TEMPEL"}</definedName>
    <definedName name="REVISI01" localSheetId="2" hidden="1">{#N/A,#N/A,FALSE,"REK-S-TPL";#N/A,#N/A,FALSE,"REK-TPML";#N/A,#N/A,FALSE,"RAB-TEMPEL"}</definedName>
    <definedName name="REVISI01" localSheetId="4" hidden="1">{#N/A,#N/A,FALSE,"REK-S-TPL";#N/A,#N/A,FALSE,"REK-TPML";#N/A,#N/A,FALSE,"RAB-TEMPEL"}</definedName>
    <definedName name="REVISI01" localSheetId="5" hidden="1">{#N/A,#N/A,FALSE,"REK-S-TPL";#N/A,#N/A,FALSE,"REK-TPML";#N/A,#N/A,FALSE,"RAB-TEMPEL"}</definedName>
    <definedName name="REVISI01" localSheetId="13" hidden="1">{#N/A,#N/A,FALSE,"REK-S-TPL";#N/A,#N/A,FALSE,"REK-TPML";#N/A,#N/A,FALSE,"RAB-TEMPEL"}</definedName>
    <definedName name="REVISI01" localSheetId="1" hidden="1">{#N/A,#N/A,FALSE,"REK-S-TPL";#N/A,#N/A,FALSE,"REK-TPML";#N/A,#N/A,FALSE,"RAB-TEMPEL"}</definedName>
    <definedName name="REVISI01" localSheetId="7" hidden="1">{#N/A,#N/A,FALSE,"REK-S-TPL";#N/A,#N/A,FALSE,"REK-TPML";#N/A,#N/A,FALSE,"RAB-TEMPEL"}</definedName>
    <definedName name="REVISI01" localSheetId="9" hidden="1">{#N/A,#N/A,FALSE,"REK-S-TPL";#N/A,#N/A,FALSE,"REK-TPML";#N/A,#N/A,FALSE,"RAB-TEMPEL"}</definedName>
    <definedName name="REVISI01" localSheetId="0" hidden="1">{#N/A,#N/A,FALSE,"REK-S-TPL";#N/A,#N/A,FALSE,"REK-TPML";#N/A,#N/A,FALSE,"RAB-TEMPEL"}</definedName>
    <definedName name="REVISI01" localSheetId="3" hidden="1">{#N/A,#N/A,FALSE,"REK-S-TPL";#N/A,#N/A,FALSE,"REK-TPML";#N/A,#N/A,FALSE,"RAB-TEMPEL"}</definedName>
    <definedName name="REVISI01" hidden="1">{#N/A,#N/A,FALSE,"REK-S-TPL";#N/A,#N/A,FALSE,"REK-TPML";#N/A,#N/A,FALSE,"RAB-TEMPEL"}</definedName>
    <definedName name="RF" localSheetId="6" hidden="1">{#N/A,#N/A,FALSE,"CCTV"}</definedName>
    <definedName name="RF" localSheetId="8" hidden="1">{#N/A,#N/A,FALSE,"CCTV"}</definedName>
    <definedName name="RF" localSheetId="10" hidden="1">{#N/A,#N/A,FALSE,"CCTV"}</definedName>
    <definedName name="RF" localSheetId="2" hidden="1">{#N/A,#N/A,FALSE,"CCTV"}</definedName>
    <definedName name="RF" localSheetId="4" hidden="1">{#N/A,#N/A,FALSE,"CCTV"}</definedName>
    <definedName name="RF" localSheetId="5" hidden="1">{#N/A,#N/A,FALSE,"CCTV"}</definedName>
    <definedName name="RF" localSheetId="13" hidden="1">{#N/A,#N/A,FALSE,"CCTV"}</definedName>
    <definedName name="RF" localSheetId="1" hidden="1">{#N/A,#N/A,FALSE,"CCTV"}</definedName>
    <definedName name="RF" localSheetId="7" hidden="1">{#N/A,#N/A,FALSE,"CCTV"}</definedName>
    <definedName name="RF" localSheetId="9" hidden="1">{#N/A,#N/A,FALSE,"CCTV"}</definedName>
    <definedName name="RF" localSheetId="0" hidden="1">{#N/A,#N/A,FALSE,"CCTV"}</definedName>
    <definedName name="RF" localSheetId="3" hidden="1">{#N/A,#N/A,FALSE,"CCTV"}</definedName>
    <definedName name="RF" hidden="1">{#N/A,#N/A,FALSE,"CCTV"}</definedName>
    <definedName name="rinci" localSheetId="6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8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10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2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4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5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13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1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7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9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0" hidden="1">{"Offgrid",#N/A,FALSE,"OFFGRID";"Region",#N/A,FALSE,"REGION";"Offgrid -2",#N/A,FALSE,"OFFGRID";"WTP",#N/A,FALSE,"WTP";"WTP -2",#N/A,FALSE,"WTP";"Project",#N/A,FALSE,"PROJECT";"Summary -2",#N/A,FALSE,"SUMMARY"}</definedName>
    <definedName name="rinci" localSheetId="3" hidden="1">{"Offgrid",#N/A,FALSE,"OFFGRID";"Region",#N/A,FALSE,"REGION";"Offgrid -2",#N/A,FALSE,"OFFGRID";"WTP",#N/A,FALSE,"WTP";"WTP -2",#N/A,FALSE,"WTP";"Project",#N/A,FALSE,"PROJECT";"Summary -2",#N/A,FALSE,"SUMMARY"}</definedName>
    <definedName name="rinci" hidden="1">{"Offgrid",#N/A,FALSE,"OFFGRID";"Region",#N/A,FALSE,"REGION";"Offgrid -2",#N/A,FALSE,"OFFGRID";"WTP",#N/A,FALSE,"WTP";"WTP -2",#N/A,FALSE,"WTP";"Project",#N/A,FALSE,"PROJECT";"Summary -2",#N/A,FALSE,"SUMMARY"}</definedName>
    <definedName name="roofing_klip_lock">'UNIT PRICE'!$D$162</definedName>
    <definedName name="roofing_Onduline_sheet">'UNIT PRICE'!$D$164</definedName>
    <definedName name="roofing_spandek_colorbond">'UNIT PRICE'!$D$163</definedName>
    <definedName name="rope_fiber">'UNIT PRICE'!$D$290</definedName>
    <definedName name="roster_22.22">'UNIT PRICE'!$D$12</definedName>
    <definedName name="rumput_gajah_mini">'UNIT PRICE'!$D$281</definedName>
    <definedName name="RWL" localSheetId="6" hidden="1">{"Offgrid",#N/A,FALSE,"OFFGRID";"Region",#N/A,FALSE,"REGION";"Offgrid -2",#N/A,FALSE,"OFFGRID";"WTP",#N/A,FALSE,"WTP";"WTP -2",#N/A,FALSE,"WTP";"Project",#N/A,FALSE,"PROJECT";"Summary -2",#N/A,FALSE,"SUMMARY"}</definedName>
    <definedName name="RWL" localSheetId="8" hidden="1">{"Offgrid",#N/A,FALSE,"OFFGRID";"Region",#N/A,FALSE,"REGION";"Offgrid -2",#N/A,FALSE,"OFFGRID";"WTP",#N/A,FALSE,"WTP";"WTP -2",#N/A,FALSE,"WTP";"Project",#N/A,FALSE,"PROJECT";"Summary -2",#N/A,FALSE,"SUMMARY"}</definedName>
    <definedName name="RWL" localSheetId="10" hidden="1">{"Offgrid",#N/A,FALSE,"OFFGRID";"Region",#N/A,FALSE,"REGION";"Offgrid -2",#N/A,FALSE,"OFFGRID";"WTP",#N/A,FALSE,"WTP";"WTP -2",#N/A,FALSE,"WTP";"Project",#N/A,FALSE,"PROJECT";"Summary -2",#N/A,FALSE,"SUMMARY"}</definedName>
    <definedName name="RWL" localSheetId="2" hidden="1">{"Offgrid",#N/A,FALSE,"OFFGRID";"Region",#N/A,FALSE,"REGION";"Offgrid -2",#N/A,FALSE,"OFFGRID";"WTP",#N/A,FALSE,"WTP";"WTP -2",#N/A,FALSE,"WTP";"Project",#N/A,FALSE,"PROJECT";"Summary -2",#N/A,FALSE,"SUMMARY"}</definedName>
    <definedName name="RWL" localSheetId="4" hidden="1">{"Offgrid",#N/A,FALSE,"OFFGRID";"Region",#N/A,FALSE,"REGION";"Offgrid -2",#N/A,FALSE,"OFFGRID";"WTP",#N/A,FALSE,"WTP";"WTP -2",#N/A,FALSE,"WTP";"Project",#N/A,FALSE,"PROJECT";"Summary -2",#N/A,FALSE,"SUMMARY"}</definedName>
    <definedName name="RWL" localSheetId="5" hidden="1">{"Offgrid",#N/A,FALSE,"OFFGRID";"Region",#N/A,FALSE,"REGION";"Offgrid -2",#N/A,FALSE,"OFFGRID";"WTP",#N/A,FALSE,"WTP";"WTP -2",#N/A,FALSE,"WTP";"Project",#N/A,FALSE,"PROJECT";"Summary -2",#N/A,FALSE,"SUMMARY"}</definedName>
    <definedName name="RWL" localSheetId="13" hidden="1">{"Offgrid",#N/A,FALSE,"OFFGRID";"Region",#N/A,FALSE,"REGION";"Offgrid -2",#N/A,FALSE,"OFFGRID";"WTP",#N/A,FALSE,"WTP";"WTP -2",#N/A,FALSE,"WTP";"Project",#N/A,FALSE,"PROJECT";"Summary -2",#N/A,FALSE,"SUMMARY"}</definedName>
    <definedName name="RWL" localSheetId="1" hidden="1">{"Offgrid",#N/A,FALSE,"OFFGRID";"Region",#N/A,FALSE,"REGION";"Offgrid -2",#N/A,FALSE,"OFFGRID";"WTP",#N/A,FALSE,"WTP";"WTP -2",#N/A,FALSE,"WTP";"Project",#N/A,FALSE,"PROJECT";"Summary -2",#N/A,FALSE,"SUMMARY"}</definedName>
    <definedName name="RWL" localSheetId="7" hidden="1">{"Offgrid",#N/A,FALSE,"OFFGRID";"Region",#N/A,FALSE,"REGION";"Offgrid -2",#N/A,FALSE,"OFFGRID";"WTP",#N/A,FALSE,"WTP";"WTP -2",#N/A,FALSE,"WTP";"Project",#N/A,FALSE,"PROJECT";"Summary -2",#N/A,FALSE,"SUMMARY"}</definedName>
    <definedName name="RWL" localSheetId="9" hidden="1">{"Offgrid",#N/A,FALSE,"OFFGRID";"Region",#N/A,FALSE,"REGION";"Offgrid -2",#N/A,FALSE,"OFFGRID";"WTP",#N/A,FALSE,"WTP";"WTP -2",#N/A,FALSE,"WTP";"Project",#N/A,FALSE,"PROJECT";"Summary -2",#N/A,FALSE,"SUMMARY"}</definedName>
    <definedName name="RWL" localSheetId="0" hidden="1">{"Offgrid",#N/A,FALSE,"OFFGRID";"Region",#N/A,FALSE,"REGION";"Offgrid -2",#N/A,FALSE,"OFFGRID";"WTP",#N/A,FALSE,"WTP";"WTP -2",#N/A,FALSE,"WTP";"Project",#N/A,FALSE,"PROJECT";"Summary -2",#N/A,FALSE,"SUMMARY"}</definedName>
    <definedName name="RWL" localSheetId="3" hidden="1">{"Offgrid",#N/A,FALSE,"OFFGRID";"Region",#N/A,FALSE,"REGION";"Offgrid -2",#N/A,FALSE,"OFFGRID";"WTP",#N/A,FALSE,"WTP";"WTP -2",#N/A,FALSE,"WTP";"Project",#N/A,FALSE,"PROJECT";"Summary -2",#N/A,FALSE,"SUMMARY"}</definedName>
    <definedName name="RWL" hidden="1">{"Offgrid",#N/A,FALSE,"OFFGRID";"Region",#N/A,FALSE,"REGION";"Offgrid -2",#N/A,FALSE,"OFFGRID";"WTP",#N/A,FALSE,"WTP";"WTP -2",#N/A,FALSE,"WTP";"Project",#N/A,FALSE,"PROJECT";"Summary -2",#N/A,FALSE,"SUMMARY"}</definedName>
    <definedName name="sagging_equipment">'UNIT PRICE'!$D$366</definedName>
    <definedName name="saklar_double_brocco">'UNIT PRICE'!$D$210</definedName>
    <definedName name="saklar_fourth_clipsal_classic">'UNIT PRICE'!$D$213</definedName>
    <definedName name="saklar_triple_clipsal_classic">'UNIT PRICE'!$D$212</definedName>
    <definedName name="saklar_tunggal">'UNIT PRICE'!$D$209</definedName>
    <definedName name="sand">'UNIT PRICE'!$D$21</definedName>
    <definedName name="sand_beton">'UNIT PRICE'!$D$24</definedName>
    <definedName name="sand_cone_test">'UNIT PRICE'!$D$405</definedName>
    <definedName name="sand_pasang">'UNIT PRICE'!$D$22</definedName>
    <definedName name="sand_urug">'UNIT PRICE'!$D$23</definedName>
    <definedName name="sda" localSheetId="8" hidden="1">#REF!</definedName>
    <definedName name="sda" localSheetId="13" hidden="1">#REF!</definedName>
    <definedName name="sda" localSheetId="9" hidden="1">#REF!</definedName>
    <definedName name="sda" hidden="1">#REF!</definedName>
    <definedName name="self_drilling_screw_dia.4">'UNIT PRICE'!$D$48</definedName>
    <definedName name="self_drilling_screw_dia.6">'UNIT PRICE'!$D$47</definedName>
    <definedName name="serat_fiber">'UNIT PRICE'!$D$185</definedName>
    <definedName name="sewa_Klotok_per_day">'UNIT PRICE'!$D$367</definedName>
    <definedName name="SHET" localSheetId="6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8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10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2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4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5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13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1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7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9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0" hidden="1">{"Offgrid",#N/A,FALSE,"OFFGRID";"Region",#N/A,FALSE,"REGION";"Offgrid -2",#N/A,FALSE,"OFFGRID";"WTP",#N/A,FALSE,"WTP";"WTP -2",#N/A,FALSE,"WTP";"Project",#N/A,FALSE,"PROJECT";"Summary -2",#N/A,FALSE,"SUMMARY"}</definedName>
    <definedName name="SHET" localSheetId="3" hidden="1">{"Offgrid",#N/A,FALSE,"OFFGRID";"Region",#N/A,FALSE,"REGION";"Offgrid -2",#N/A,FALSE,"OFFGRID";"WTP",#N/A,FALSE,"WTP";"WTP -2",#N/A,FALSE,"WTP";"Project",#N/A,FALSE,"PROJECT";"Summary -2",#N/A,FALSE,"SUMMARY"}</definedName>
    <definedName name="SHET" hidden="1">{"Offgrid",#N/A,FALSE,"OFFGRID";"Region",#N/A,FALSE,"REGION";"Offgrid -2",#N/A,FALSE,"OFFGRID";"WTP",#N/A,FALSE,"WTP";"WTP -2",#N/A,FALSE,"WTP";"Project",#N/A,FALSE,"PROJECT";"Summary -2",#N/A,FALSE,"SUMMARY"}</definedName>
    <definedName name="singkup">'UNIT PRICE'!$D$390</definedName>
    <definedName name="single_gate_BRC_h1.9m_l1.1m">'UNIT PRICE'!$D$245</definedName>
    <definedName name="sirtu">'UNIT PRICE'!$D$19</definedName>
    <definedName name="sjd" localSheetId="6" hidden="1">{"Offgrid",#N/A,FALSE,"OFFGRID";"Region",#N/A,FALSE,"REGION";"Offgrid -2",#N/A,FALSE,"OFFGRID";"WTP",#N/A,FALSE,"WTP";"WTP -2",#N/A,FALSE,"WTP";"Project",#N/A,FALSE,"PROJECT";"Summary -2",#N/A,FALSE,"SUMMARY"}</definedName>
    <definedName name="sjd" localSheetId="8" hidden="1">{"Offgrid",#N/A,FALSE,"OFFGRID";"Region",#N/A,FALSE,"REGION";"Offgrid -2",#N/A,FALSE,"OFFGRID";"WTP",#N/A,FALSE,"WTP";"WTP -2",#N/A,FALSE,"WTP";"Project",#N/A,FALSE,"PROJECT";"Summary -2",#N/A,FALSE,"SUMMARY"}</definedName>
    <definedName name="sjd" localSheetId="10" hidden="1">{"Offgrid",#N/A,FALSE,"OFFGRID";"Region",#N/A,FALSE,"REGION";"Offgrid -2",#N/A,FALSE,"OFFGRID";"WTP",#N/A,FALSE,"WTP";"WTP -2",#N/A,FALSE,"WTP";"Project",#N/A,FALSE,"PROJECT";"Summary -2",#N/A,FALSE,"SUMMARY"}</definedName>
    <definedName name="sjd" localSheetId="2" hidden="1">{"Offgrid",#N/A,FALSE,"OFFGRID";"Region",#N/A,FALSE,"REGION";"Offgrid -2",#N/A,FALSE,"OFFGRID";"WTP",#N/A,FALSE,"WTP";"WTP -2",#N/A,FALSE,"WTP";"Project",#N/A,FALSE,"PROJECT";"Summary -2",#N/A,FALSE,"SUMMARY"}</definedName>
    <definedName name="sjd" localSheetId="4" hidden="1">{"Offgrid",#N/A,FALSE,"OFFGRID";"Region",#N/A,FALSE,"REGION";"Offgrid -2",#N/A,FALSE,"OFFGRID";"WTP",#N/A,FALSE,"WTP";"WTP -2",#N/A,FALSE,"WTP";"Project",#N/A,FALSE,"PROJECT";"Summary -2",#N/A,FALSE,"SUMMARY"}</definedName>
    <definedName name="sjd" localSheetId="5" hidden="1">{"Offgrid",#N/A,FALSE,"OFFGRID";"Region",#N/A,FALSE,"REGION";"Offgrid -2",#N/A,FALSE,"OFFGRID";"WTP",#N/A,FALSE,"WTP";"WTP -2",#N/A,FALSE,"WTP";"Project",#N/A,FALSE,"PROJECT";"Summary -2",#N/A,FALSE,"SUMMARY"}</definedName>
    <definedName name="sjd" localSheetId="13" hidden="1">{"Offgrid",#N/A,FALSE,"OFFGRID";"Region",#N/A,FALSE,"REGION";"Offgrid -2",#N/A,FALSE,"OFFGRID";"WTP",#N/A,FALSE,"WTP";"WTP -2",#N/A,FALSE,"WTP";"Project",#N/A,FALSE,"PROJECT";"Summary -2",#N/A,FALSE,"SUMMARY"}</definedName>
    <definedName name="sjd" localSheetId="1" hidden="1">{"Offgrid",#N/A,FALSE,"OFFGRID";"Region",#N/A,FALSE,"REGION";"Offgrid -2",#N/A,FALSE,"OFFGRID";"WTP",#N/A,FALSE,"WTP";"WTP -2",#N/A,FALSE,"WTP";"Project",#N/A,FALSE,"PROJECT";"Summary -2",#N/A,FALSE,"SUMMARY"}</definedName>
    <definedName name="sjd" localSheetId="7" hidden="1">{"Offgrid",#N/A,FALSE,"OFFGRID";"Region",#N/A,FALSE,"REGION";"Offgrid -2",#N/A,FALSE,"OFFGRID";"WTP",#N/A,FALSE,"WTP";"WTP -2",#N/A,FALSE,"WTP";"Project",#N/A,FALSE,"PROJECT";"Summary -2",#N/A,FALSE,"SUMMARY"}</definedName>
    <definedName name="sjd" localSheetId="9" hidden="1">{"Offgrid",#N/A,FALSE,"OFFGRID";"Region",#N/A,FALSE,"REGION";"Offgrid -2",#N/A,FALSE,"OFFGRID";"WTP",#N/A,FALSE,"WTP";"WTP -2",#N/A,FALSE,"WTP";"Project",#N/A,FALSE,"PROJECT";"Summary -2",#N/A,FALSE,"SUMMARY"}</definedName>
    <definedName name="sjd" localSheetId="0" hidden="1">{"Offgrid",#N/A,FALSE,"OFFGRID";"Region",#N/A,FALSE,"REGION";"Offgrid -2",#N/A,FALSE,"OFFGRID";"WTP",#N/A,FALSE,"WTP";"WTP -2",#N/A,FALSE,"WTP";"Project",#N/A,FALSE,"PROJECT";"Summary -2",#N/A,FALSE,"SUMMARY"}</definedName>
    <definedName name="sjd" localSheetId="3" hidden="1">{"Offgrid",#N/A,FALSE,"OFFGRID";"Region",#N/A,FALSE,"REGION";"Offgrid -2",#N/A,FALSE,"OFFGRID";"WTP",#N/A,FALSE,"WTP";"WTP -2",#N/A,FALSE,"WTP";"Project",#N/A,FALSE,"PROJECT";"Summary -2",#N/A,FALSE,"SUMMARY"}</definedName>
    <definedName name="sjd" hidden="1">{"Offgrid",#N/A,FALSE,"OFFGRID";"Region",#N/A,FALSE,"REGION";"Offgrid -2",#N/A,FALSE,"OFFGRID";"WTP",#N/A,FALSE,"WTP";"WTP -2",#N/A,FALSE,"WTP";"Project",#N/A,FALSE,"PROJECT";"Summary -2",#N/A,FALSE,"SUMMARY"}</definedName>
    <definedName name="skill_worker">'UNIT PRICE'!$D$319</definedName>
    <definedName name="slah" localSheetId="6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8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10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2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4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5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13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1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7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9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0" hidden="1">{"Offgrid",#N/A,FALSE,"OFFGRID";"Region",#N/A,FALSE,"REGION";"Offgrid -2",#N/A,FALSE,"OFFGRID";"WTP",#N/A,FALSE,"WTP";"WTP -2",#N/A,FALSE,"WTP";"Project",#N/A,FALSE,"PROJECT";"Summary -2",#N/A,FALSE,"SUMMARY"}</definedName>
    <definedName name="slah" localSheetId="3" hidden="1">{"Offgrid",#N/A,FALSE,"OFFGRID";"Region",#N/A,FALSE,"REGION";"Offgrid -2",#N/A,FALSE,"OFFGRID";"WTP",#N/A,FALSE,"WTP";"WTP -2",#N/A,FALSE,"WTP";"Project",#N/A,FALSE,"PROJECT";"Summary -2",#N/A,FALSE,"SUMMARY"}</definedName>
    <definedName name="slah" hidden="1">{"Offgrid",#N/A,FALSE,"OFFGRID";"Region",#N/A,FALSE,"REGION";"Offgrid -2",#N/A,FALSE,"OFFGRID";"WTP",#N/A,FALSE,"WTP";"WTP -2",#N/A,FALSE,"WTP";"Project",#N/A,FALSE,"PROJECT";"Summary -2",#N/A,FALSE,"SUMMARY"}</definedName>
    <definedName name="sling">'UNIT PRICE'!$D$289</definedName>
    <definedName name="sling_day">'UNIT PRICE'!$D$370</definedName>
    <definedName name="smoke_detector">'UNIT PRICE'!$D$231</definedName>
    <definedName name="soil">'UNIT PRICE'!$D$26</definedName>
    <definedName name="soil_tes_laboratorium">'UNIT PRICE'!$D$398</definedName>
    <definedName name="Soil_test_boring">'UNIT PRICE'!$D$396</definedName>
    <definedName name="soil_test_sondir">'UNIT PRICE'!$D$401</definedName>
    <definedName name="solar_industri">'UNIT PRICE'!$D$252</definedName>
    <definedName name="sort" localSheetId="8" hidden="1">#REF!</definedName>
    <definedName name="sort" localSheetId="13" hidden="1">#REF!</definedName>
    <definedName name="sort" localSheetId="9" hidden="1">#REF!</definedName>
    <definedName name="sort" hidden="1">#REF!</definedName>
    <definedName name="SpecialPrice" localSheetId="6" hidden="1">#REF!</definedName>
    <definedName name="SpecialPrice" localSheetId="8" hidden="1">#REF!</definedName>
    <definedName name="SpecialPrice" localSheetId="10" hidden="1">#REF!</definedName>
    <definedName name="SpecialPrice" localSheetId="2" hidden="1">#REF!</definedName>
    <definedName name="SpecialPrice" localSheetId="4" hidden="1">#REF!</definedName>
    <definedName name="SpecialPrice" localSheetId="5" hidden="1">#REF!</definedName>
    <definedName name="SpecialPrice" localSheetId="13" hidden="1">#REF!</definedName>
    <definedName name="SpecialPrice" localSheetId="1" hidden="1">#REF!</definedName>
    <definedName name="SpecialPrice" localSheetId="7" hidden="1">#REF!</definedName>
    <definedName name="SpecialPrice" localSheetId="9" hidden="1">#REF!</definedName>
    <definedName name="SpecialPrice" localSheetId="0" hidden="1">#REF!</definedName>
    <definedName name="SpecialPrice" localSheetId="17" hidden="1">#REF!</definedName>
    <definedName name="SpecialPrice" localSheetId="3" hidden="1">#REF!</definedName>
    <definedName name="SpecialPrice" hidden="1">#REF!</definedName>
    <definedName name="spiral_staircase">'UNIT PRICE'!$D$223</definedName>
    <definedName name="split_1.2">'UNIT PRICE'!$D$15</definedName>
    <definedName name="split_2.3">'UNIT PRICE'!$D$16</definedName>
    <definedName name="split_3.5">'UNIT PRICE'!$D$17</definedName>
    <definedName name="spp" localSheetId="8" hidden="1">#REF!</definedName>
    <definedName name="spp" localSheetId="13" hidden="1">#REF!</definedName>
    <definedName name="spp" localSheetId="9" hidden="1">#REF!</definedName>
    <definedName name="spp" hidden="1">#REF!</definedName>
    <definedName name="squatting_water_closed_complete">'UNIT PRICE'!$D$130</definedName>
    <definedName name="ss" localSheetId="6" hidden="1">{#N/A,#N/A,FALSE,"Chi tiÆt"}</definedName>
    <definedName name="ss" localSheetId="8" hidden="1">{#N/A,#N/A,FALSE,"Chi tiÆt"}</definedName>
    <definedName name="ss" localSheetId="10" hidden="1">{#N/A,#N/A,FALSE,"Chi tiÆt"}</definedName>
    <definedName name="ss" localSheetId="2" hidden="1">{#N/A,#N/A,FALSE,"Chi tiÆt"}</definedName>
    <definedName name="ss" localSheetId="4" hidden="1">{#N/A,#N/A,FALSE,"Chi tiÆt"}</definedName>
    <definedName name="ss" localSheetId="5" hidden="1">{#N/A,#N/A,FALSE,"Chi tiÆt"}</definedName>
    <definedName name="ss" localSheetId="13" hidden="1">{#N/A,#N/A,FALSE,"Chi tiÆt"}</definedName>
    <definedName name="ss" localSheetId="1" hidden="1">{#N/A,#N/A,FALSE,"Chi tiÆt"}</definedName>
    <definedName name="ss" localSheetId="7" hidden="1">{#N/A,#N/A,FALSE,"Chi tiÆt"}</definedName>
    <definedName name="ss" localSheetId="9" hidden="1">{#N/A,#N/A,FALSE,"Chi tiÆt"}</definedName>
    <definedName name="ss" localSheetId="0" hidden="1">{#N/A,#N/A,FALSE,"Chi tiÆt"}</definedName>
    <definedName name="ss" localSheetId="3" hidden="1">{#N/A,#N/A,FALSE,"Chi tiÆt"}</definedName>
    <definedName name="ss" hidden="1">{#N/A,#N/A,FALSE,"Chi tiÆt"}</definedName>
    <definedName name="stamper">'UNIT PRICE'!$D$337</definedName>
    <definedName name="steel_chisel">'UNIT PRICE'!$D$379</definedName>
    <definedName name="steel_folding_door_m2">'UNIT PRICE'!$D$141</definedName>
    <definedName name="steel_L50x50x5">'UNIT PRICE'!#REF!</definedName>
    <definedName name="steel_pipe_2in_6m">'UNIT PRICE'!$D$120</definedName>
    <definedName name="steel_pipe_3in_6m">'UNIT PRICE'!$D$121</definedName>
    <definedName name="steel_saw">'UNIT PRICE'!$D$377</definedName>
    <definedName name="steel_worker">'UNIT PRICE'!$D$302</definedName>
    <definedName name="steel_worker_chief">'UNIT PRICE'!$D$297</definedName>
    <definedName name="steel_worker_erection">'UNIT PRICE'!$D$317</definedName>
    <definedName name="stepnosing_100x400">'UNIT PRICE'!$D$96</definedName>
    <definedName name="stop_kontak">'UNIT PRICE'!$D$208</definedName>
    <definedName name="stop_kontak_include_install_wiring">'UNIT PRICE'!$D$181</definedName>
    <definedName name="stringing_equipment">'UNIT PRICE'!$D$365</definedName>
    <definedName name="stringing_worker">'UNIT PRICE'!$D$318</definedName>
    <definedName name="strip_plat_20.3">'UNIT PRICE'!#REF!</definedName>
    <definedName name="sumur_bor_per_m">'UNIT PRICE'!$D$406</definedName>
    <definedName name="supervisor">'UNIT PRICE'!$D$294</definedName>
    <definedName name="supervisor_Asli">'UNIT PRICE'!$D$295</definedName>
    <definedName name="support_equipment_key.safety_belt">'UNIT PRICE'!$D$336</definedName>
    <definedName name="supporting_earthing_device">'UNIT PRICE'!$D$375</definedName>
    <definedName name="supporting_equip_welder_cutting">'UNIT PRICE'!$D$388</definedName>
    <definedName name="surveyor">'UNIT PRICE'!$D$313</definedName>
    <definedName name="t" localSheetId="6" hidden="1">{"Offgrid",#N/A,FALSE,"OFFGRID";"Region",#N/A,FALSE,"REGION";"Offgrid -2",#N/A,FALSE,"OFFGRID";"WTP",#N/A,FALSE,"WTP";"WTP -2",#N/A,FALSE,"WTP";"Project",#N/A,FALSE,"PROJECT";"Summary -2",#N/A,FALSE,"SUMMARY"}</definedName>
    <definedName name="t" localSheetId="8" hidden="1">{"Offgrid",#N/A,FALSE,"OFFGRID";"Region",#N/A,FALSE,"REGION";"Offgrid -2",#N/A,FALSE,"OFFGRID";"WTP",#N/A,FALSE,"WTP";"WTP -2",#N/A,FALSE,"WTP";"Project",#N/A,FALSE,"PROJECT";"Summary -2",#N/A,FALSE,"SUMMARY"}</definedName>
    <definedName name="t" localSheetId="10" hidden="1">{"Offgrid",#N/A,FALSE,"OFFGRID";"Region",#N/A,FALSE,"REGION";"Offgrid -2",#N/A,FALSE,"OFFGRID";"WTP",#N/A,FALSE,"WTP";"WTP -2",#N/A,FALSE,"WTP";"Project",#N/A,FALSE,"PROJECT";"Summary -2",#N/A,FALSE,"SUMMARY"}</definedName>
    <definedName name="t" localSheetId="2" hidden="1">{"Offgrid",#N/A,FALSE,"OFFGRID";"Region",#N/A,FALSE,"REGION";"Offgrid -2",#N/A,FALSE,"OFFGRID";"WTP",#N/A,FALSE,"WTP";"WTP -2",#N/A,FALSE,"WTP";"Project",#N/A,FALSE,"PROJECT";"Summary -2",#N/A,FALSE,"SUMMARY"}</definedName>
    <definedName name="t" localSheetId="4" hidden="1">{"Offgrid",#N/A,FALSE,"OFFGRID";"Region",#N/A,FALSE,"REGION";"Offgrid -2",#N/A,FALSE,"OFFGRID";"WTP",#N/A,FALSE,"WTP";"WTP -2",#N/A,FALSE,"WTP";"Project",#N/A,FALSE,"PROJECT";"Summary -2",#N/A,FALSE,"SUMMARY"}</definedName>
    <definedName name="t" localSheetId="5" hidden="1">{"Offgrid",#N/A,FALSE,"OFFGRID";"Region",#N/A,FALSE,"REGION";"Offgrid -2",#N/A,FALSE,"OFFGRID";"WTP",#N/A,FALSE,"WTP";"WTP -2",#N/A,FALSE,"WTP";"Project",#N/A,FALSE,"PROJECT";"Summary -2",#N/A,FALSE,"SUMMARY"}</definedName>
    <definedName name="t" localSheetId="13" hidden="1">{"Offgrid",#N/A,FALSE,"OFFGRID";"Region",#N/A,FALSE,"REGION";"Offgrid -2",#N/A,FALSE,"OFFGRID";"WTP",#N/A,FALSE,"WTP";"WTP -2",#N/A,FALSE,"WTP";"Project",#N/A,FALSE,"PROJECT";"Summary -2",#N/A,FALSE,"SUMMARY"}</definedName>
    <definedName name="t" localSheetId="1" hidden="1">{"Offgrid",#N/A,FALSE,"OFFGRID";"Region",#N/A,FALSE,"REGION";"Offgrid -2",#N/A,FALSE,"OFFGRID";"WTP",#N/A,FALSE,"WTP";"WTP -2",#N/A,FALSE,"WTP";"Project",#N/A,FALSE,"PROJECT";"Summary -2",#N/A,FALSE,"SUMMARY"}</definedName>
    <definedName name="t" localSheetId="7" hidden="1">{"Offgrid",#N/A,FALSE,"OFFGRID";"Region",#N/A,FALSE,"REGION";"Offgrid -2",#N/A,FALSE,"OFFGRID";"WTP",#N/A,FALSE,"WTP";"WTP -2",#N/A,FALSE,"WTP";"Project",#N/A,FALSE,"PROJECT";"Summary -2",#N/A,FALSE,"SUMMARY"}</definedName>
    <definedName name="t" localSheetId="9" hidden="1">{"Offgrid",#N/A,FALSE,"OFFGRID";"Region",#N/A,FALSE,"REGION";"Offgrid -2",#N/A,FALSE,"OFFGRID";"WTP",#N/A,FALSE,"WTP";"WTP -2",#N/A,FALSE,"WTP";"Project",#N/A,FALSE,"PROJECT";"Summary -2",#N/A,FALSE,"SUMMARY"}</definedName>
    <definedName name="t" localSheetId="0" hidden="1">{"Offgrid",#N/A,FALSE,"OFFGRID";"Region",#N/A,FALSE,"REGION";"Offgrid -2",#N/A,FALSE,"OFFGRID";"WTP",#N/A,FALSE,"WTP";"WTP -2",#N/A,FALSE,"WTP";"Project",#N/A,FALSE,"PROJECT";"Summary -2",#N/A,FALSE,"SUMMARY"}</definedName>
    <definedName name="t" localSheetId="3" hidden="1">{"Offgrid",#N/A,FALSE,"OFFGRID";"Region",#N/A,FALSE,"REGION";"Offgrid -2",#N/A,FALSE,"OFFGRID";"WTP",#N/A,FALSE,"WTP";"WTP -2",#N/A,FALSE,"WTP";"Project",#N/A,FALSE,"PROJECT";"Summary -2",#N/A,FALSE,"SUMMARY"}</definedName>
    <definedName name="t" hidden="1">{"Offgrid",#N/A,FALSE,"OFFGRID";"Region",#N/A,FALSE,"REGION";"Offgrid -2",#N/A,FALSE,"OFFGRID";"WTP",#N/A,FALSE,"WTP";"WTP -2",#N/A,FALSE,"WTP";"Project",#N/A,FALSE,"PROJECT";"Summary -2",#N/A,FALSE,"SUMMARY"}</definedName>
    <definedName name="T.L_2x36W_include_armateur">'UNIT PRICE'!$D$193</definedName>
    <definedName name="T.L_36W_include_armateur">'UNIT PRICE'!$D$192</definedName>
    <definedName name="T.L_CDL_E27_23W">'UNIT PRICE'!$D$195</definedName>
    <definedName name="T.L_CDL_E27_8W">'UNIT PRICE'!$D$194</definedName>
    <definedName name="table" localSheetId="6" hidden="1">[36]H.Satuan!#REF!</definedName>
    <definedName name="table" localSheetId="8" hidden="1">[36]H.Satuan!#REF!</definedName>
    <definedName name="table" localSheetId="10" hidden="1">[36]H.Satuan!#REF!</definedName>
    <definedName name="table" localSheetId="2" hidden="1">[36]H.Satuan!#REF!</definedName>
    <definedName name="table" localSheetId="4" hidden="1">[36]H.Satuan!#REF!</definedName>
    <definedName name="table" localSheetId="5" hidden="1">[36]H.Satuan!#REF!</definedName>
    <definedName name="table" localSheetId="13" hidden="1">[36]H.Satuan!#REF!</definedName>
    <definedName name="table" localSheetId="1" hidden="1">[36]H.Satuan!#REF!</definedName>
    <definedName name="table" localSheetId="7" hidden="1">[36]H.Satuan!#REF!</definedName>
    <definedName name="table" localSheetId="9" hidden="1">[36]H.Satuan!#REF!</definedName>
    <definedName name="table" localSheetId="0" hidden="1">[36]H.Satuan!#REF!</definedName>
    <definedName name="table" localSheetId="17" hidden="1">[36]H.Satuan!#REF!</definedName>
    <definedName name="table" localSheetId="3" hidden="1">[36]H.Satuan!#REF!</definedName>
    <definedName name="table" hidden="1">[36]H.Satuan!#REF!</definedName>
    <definedName name="talang_jurai_zincalume">'UNIT PRICE'!$D$168</definedName>
    <definedName name="tanah_humus">'UNIT PRICE'!$D$25</definedName>
    <definedName name="tanaman_teh">'UNIT PRICE'!$D$283</definedName>
    <definedName name="tandem_roller">'UNIT PRICE'!$D$348</definedName>
    <definedName name="tanjd" localSheetId="6" hidden="1">[36]H.Satuan!#REF!</definedName>
    <definedName name="tanjd" localSheetId="8" hidden="1">[36]H.Satuan!#REF!</definedName>
    <definedName name="tanjd" localSheetId="10" hidden="1">[36]H.Satuan!#REF!</definedName>
    <definedName name="tanjd" localSheetId="2" hidden="1">[36]H.Satuan!#REF!</definedName>
    <definedName name="tanjd" localSheetId="4" hidden="1">[36]H.Satuan!#REF!</definedName>
    <definedName name="tanjd" localSheetId="5" hidden="1">[36]H.Satuan!#REF!</definedName>
    <definedName name="tanjd" localSheetId="13" hidden="1">[36]H.Satuan!#REF!</definedName>
    <definedName name="tanjd" localSheetId="1" hidden="1">[36]H.Satuan!#REF!</definedName>
    <definedName name="tanjd" localSheetId="7" hidden="1">[36]H.Satuan!#REF!</definedName>
    <definedName name="tanjd" localSheetId="9" hidden="1">[36]H.Satuan!#REF!</definedName>
    <definedName name="tanjd" localSheetId="0" hidden="1">[36]H.Satuan!#REF!</definedName>
    <definedName name="tanjd" localSheetId="17" hidden="1">[36]H.Satuan!#REF!</definedName>
    <definedName name="tanjd" localSheetId="3" hidden="1">[36]H.Satuan!#REF!</definedName>
    <definedName name="tanjd" hidden="1">[36]H.Satuan!#REF!</definedName>
    <definedName name="tasik" localSheetId="6" hidden="1">'[3]TRNS-C1'!#REF!</definedName>
    <definedName name="tasik" localSheetId="8" hidden="1">'[3]TRNS-C1'!#REF!</definedName>
    <definedName name="tasik" localSheetId="10" hidden="1">'[3]TRNS-C1'!#REF!</definedName>
    <definedName name="tasik" localSheetId="2" hidden="1">'[3]TRNS-C1'!#REF!</definedName>
    <definedName name="tasik" localSheetId="4" hidden="1">'[3]TRNS-C1'!#REF!</definedName>
    <definedName name="tasik" localSheetId="5" hidden="1">'[3]TRNS-C1'!#REF!</definedName>
    <definedName name="tasik" localSheetId="13" hidden="1">'[3]TRNS-C1'!#REF!</definedName>
    <definedName name="tasik" localSheetId="1" hidden="1">'[3]TRNS-C1'!#REF!</definedName>
    <definedName name="tasik" localSheetId="7" hidden="1">'[3]TRNS-C1'!#REF!</definedName>
    <definedName name="tasik" localSheetId="9" hidden="1">'[3]TRNS-C1'!#REF!</definedName>
    <definedName name="tasik" localSheetId="0" hidden="1">'[3]TRNS-C1'!#REF!</definedName>
    <definedName name="tasik" localSheetId="17" hidden="1">'[29]TRNS-C1'!#REF!</definedName>
    <definedName name="tasik" localSheetId="3" hidden="1">'[3]TRNS-C1'!#REF!</definedName>
    <definedName name="tasik" hidden="1">'[29]TRNS-C1'!#REF!</definedName>
    <definedName name="tbl_ProdInfo" localSheetId="6" hidden="1">#REF!</definedName>
    <definedName name="tbl_ProdInfo" localSheetId="8" hidden="1">#REF!</definedName>
    <definedName name="tbl_ProdInfo" localSheetId="10" hidden="1">#REF!</definedName>
    <definedName name="tbl_ProdInfo" localSheetId="2" hidden="1">#REF!</definedName>
    <definedName name="tbl_ProdInfo" localSheetId="4" hidden="1">#REF!</definedName>
    <definedName name="tbl_ProdInfo" localSheetId="5" hidden="1">#REF!</definedName>
    <definedName name="tbl_ProdInfo" localSheetId="13" hidden="1">#REF!</definedName>
    <definedName name="tbl_ProdInfo" localSheetId="1" hidden="1">#REF!</definedName>
    <definedName name="tbl_ProdInfo" localSheetId="7" hidden="1">#REF!</definedName>
    <definedName name="tbl_ProdInfo" localSheetId="9" hidden="1">#REF!</definedName>
    <definedName name="tbl_ProdInfo" localSheetId="0" hidden="1">#REF!</definedName>
    <definedName name="tbl_ProdInfo" localSheetId="17" hidden="1">#REF!</definedName>
    <definedName name="tbl_ProdInfo" localSheetId="3" hidden="1">#REF!</definedName>
    <definedName name="tbl_ProdInfo" hidden="1">#REF!</definedName>
    <definedName name="teakwood_double_door">'UNIT PRICE'!$D$144</definedName>
    <definedName name="technician">'UNIT PRICE'!$D$316</definedName>
    <definedName name="tepung_gypsum">'UNIT PRICE'!$D$177</definedName>
    <definedName name="ter" localSheetId="6" hidden="1">[47]H.Satuan!#REF!</definedName>
    <definedName name="ter" localSheetId="8" hidden="1">[47]H.Satuan!#REF!</definedName>
    <definedName name="ter" localSheetId="10" hidden="1">[47]H.Satuan!#REF!</definedName>
    <definedName name="ter" localSheetId="2" hidden="1">[47]H.Satuan!#REF!</definedName>
    <definedName name="ter" localSheetId="4" hidden="1">[47]H.Satuan!#REF!</definedName>
    <definedName name="ter" localSheetId="5" hidden="1">[47]H.Satuan!#REF!</definedName>
    <definedName name="ter" localSheetId="13" hidden="1">[47]H.Satuan!#REF!</definedName>
    <definedName name="ter" localSheetId="1" hidden="1">[47]H.Satuan!#REF!</definedName>
    <definedName name="ter" localSheetId="7" hidden="1">[47]H.Satuan!#REF!</definedName>
    <definedName name="ter" localSheetId="9" hidden="1">[47]H.Satuan!#REF!</definedName>
    <definedName name="ter" localSheetId="0" hidden="1">[47]H.Satuan!#REF!</definedName>
    <definedName name="ter" localSheetId="17" hidden="1">[47]H.Satuan!#REF!</definedName>
    <definedName name="ter" localSheetId="3" hidden="1">[47]H.Satuan!#REF!</definedName>
    <definedName name="ter" hidden="1">[47]H.Satuan!#REF!</definedName>
    <definedName name="TERBILANG_ADIZA" localSheetId="17" hidden="1">[13]RAB!#REF!</definedName>
    <definedName name="TERBILANG_ADIZA" hidden="1">[13]RAB!#REF!</definedName>
    <definedName name="test" localSheetId="6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8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10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2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4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5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13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1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7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9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0" hidden="1">{"Offgrid",#N/A,FALSE,"OFFGRID";"Region",#N/A,FALSE,"REGION";"Offgrid -2",#N/A,FALSE,"OFFGRID";"WTP",#N/A,FALSE,"WTP";"WTP -2",#N/A,FALSE,"WTP";"Project",#N/A,FALSE,"PROJECT";"Summary -2",#N/A,FALSE,"SUMMARY"}</definedName>
    <definedName name="test" localSheetId="3" hidden="1">{"Offgrid",#N/A,FALSE,"OFFGRID";"Region",#N/A,FALSE,"REGION";"Offgrid -2",#N/A,FALSE,"OFFGRID";"WTP",#N/A,FALSE,"WTP";"WTP -2",#N/A,FALSE,"WTP";"Project",#N/A,FALSE,"PROJECT";"Summary -2",#N/A,FALSE,"SUMMARY"}</definedName>
    <definedName name="test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6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8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10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2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4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5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13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1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7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9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0" hidden="1">{"Offgrid",#N/A,FALSE,"OFFGRID";"Region",#N/A,FALSE,"REGION";"Offgrid -2",#N/A,FALSE,"OFFGRID";"WTP",#N/A,FALSE,"WTP";"WTP -2",#N/A,FALSE,"WTP";"Project",#N/A,FALSE,"PROJECT";"Summary -2",#N/A,FALSE,"SUMMARY"}</definedName>
    <definedName name="test1" localSheetId="3" hidden="1">{"Offgrid",#N/A,FALSE,"OFFGRID";"Region",#N/A,FALSE,"REGION";"Offgrid -2",#N/A,FALSE,"OFFGRID";"WTP",#N/A,FALSE,"WTP";"WTP -2",#N/A,FALSE,"WTP";"Project",#N/A,FALSE,"PROJECT";"Summary -2",#N/A,FALSE,"SUMMARY"}</definedName>
    <definedName name="test1" hidden="1">{"Offgrid",#N/A,FALSE,"OFFGRID";"Region",#N/A,FALSE,"REGION";"Offgrid -2",#N/A,FALSE,"OFFGRID";"WTP",#N/A,FALSE,"WTP";"WTP -2",#N/A,FALSE,"WTP";"Project",#N/A,FALSE,"PROJECT";"Summary -2",#N/A,FALSE,"SUMMARY"}</definedName>
    <definedName name="th" localSheetId="6" hidden="1">{"Offgrid",#N/A,FALSE,"OFFGRID";"Region",#N/A,FALSE,"REGION";"Offgrid -2",#N/A,FALSE,"OFFGRID";"WTP",#N/A,FALSE,"WTP";"WTP -2",#N/A,FALSE,"WTP";"Project",#N/A,FALSE,"PROJECT";"Summary -2",#N/A,FALSE,"SUMMARY"}</definedName>
    <definedName name="th" localSheetId="8" hidden="1">{"Offgrid",#N/A,FALSE,"OFFGRID";"Region",#N/A,FALSE,"REGION";"Offgrid -2",#N/A,FALSE,"OFFGRID";"WTP",#N/A,FALSE,"WTP";"WTP -2",#N/A,FALSE,"WTP";"Project",#N/A,FALSE,"PROJECT";"Summary -2",#N/A,FALSE,"SUMMARY"}</definedName>
    <definedName name="th" localSheetId="10" hidden="1">{"Offgrid",#N/A,FALSE,"OFFGRID";"Region",#N/A,FALSE,"REGION";"Offgrid -2",#N/A,FALSE,"OFFGRID";"WTP",#N/A,FALSE,"WTP";"WTP -2",#N/A,FALSE,"WTP";"Project",#N/A,FALSE,"PROJECT";"Summary -2",#N/A,FALSE,"SUMMARY"}</definedName>
    <definedName name="th" localSheetId="2" hidden="1">{"Offgrid",#N/A,FALSE,"OFFGRID";"Region",#N/A,FALSE,"REGION";"Offgrid -2",#N/A,FALSE,"OFFGRID";"WTP",#N/A,FALSE,"WTP";"WTP -2",#N/A,FALSE,"WTP";"Project",#N/A,FALSE,"PROJECT";"Summary -2",#N/A,FALSE,"SUMMARY"}</definedName>
    <definedName name="th" localSheetId="4" hidden="1">{"Offgrid",#N/A,FALSE,"OFFGRID";"Region",#N/A,FALSE,"REGION";"Offgrid -2",#N/A,FALSE,"OFFGRID";"WTP",#N/A,FALSE,"WTP";"WTP -2",#N/A,FALSE,"WTP";"Project",#N/A,FALSE,"PROJECT";"Summary -2",#N/A,FALSE,"SUMMARY"}</definedName>
    <definedName name="th" localSheetId="5" hidden="1">{"Offgrid",#N/A,FALSE,"OFFGRID";"Region",#N/A,FALSE,"REGION";"Offgrid -2",#N/A,FALSE,"OFFGRID";"WTP",#N/A,FALSE,"WTP";"WTP -2",#N/A,FALSE,"WTP";"Project",#N/A,FALSE,"PROJECT";"Summary -2",#N/A,FALSE,"SUMMARY"}</definedName>
    <definedName name="th" localSheetId="13" hidden="1">{"Offgrid",#N/A,FALSE,"OFFGRID";"Region",#N/A,FALSE,"REGION";"Offgrid -2",#N/A,FALSE,"OFFGRID";"WTP",#N/A,FALSE,"WTP";"WTP -2",#N/A,FALSE,"WTP";"Project",#N/A,FALSE,"PROJECT";"Summary -2",#N/A,FALSE,"SUMMARY"}</definedName>
    <definedName name="th" localSheetId="1" hidden="1">{"Offgrid",#N/A,FALSE,"OFFGRID";"Region",#N/A,FALSE,"REGION";"Offgrid -2",#N/A,FALSE,"OFFGRID";"WTP",#N/A,FALSE,"WTP";"WTP -2",#N/A,FALSE,"WTP";"Project",#N/A,FALSE,"PROJECT";"Summary -2",#N/A,FALSE,"SUMMARY"}</definedName>
    <definedName name="th" localSheetId="7" hidden="1">{"Offgrid",#N/A,FALSE,"OFFGRID";"Region",#N/A,FALSE,"REGION";"Offgrid -2",#N/A,FALSE,"OFFGRID";"WTP",#N/A,FALSE,"WTP";"WTP -2",#N/A,FALSE,"WTP";"Project",#N/A,FALSE,"PROJECT";"Summary -2",#N/A,FALSE,"SUMMARY"}</definedName>
    <definedName name="th" localSheetId="9" hidden="1">{"Offgrid",#N/A,FALSE,"OFFGRID";"Region",#N/A,FALSE,"REGION";"Offgrid -2",#N/A,FALSE,"OFFGRID";"WTP",#N/A,FALSE,"WTP";"WTP -2",#N/A,FALSE,"WTP";"Project",#N/A,FALSE,"PROJECT";"Summary -2",#N/A,FALSE,"SUMMARY"}</definedName>
    <definedName name="th" localSheetId="0" hidden="1">{"Offgrid",#N/A,FALSE,"OFFGRID";"Region",#N/A,FALSE,"REGION";"Offgrid -2",#N/A,FALSE,"OFFGRID";"WTP",#N/A,FALSE,"WTP";"WTP -2",#N/A,FALSE,"WTP";"Project",#N/A,FALSE,"PROJECT";"Summary -2",#N/A,FALSE,"SUMMARY"}</definedName>
    <definedName name="th" localSheetId="3" hidden="1">{"Offgrid",#N/A,FALSE,"OFFGRID";"Region",#N/A,FALSE,"REGION";"Offgrid -2",#N/A,FALSE,"OFFGRID";"WTP",#N/A,FALSE,"WTP";"WTP -2",#N/A,FALSE,"WTP";"Project",#N/A,FALSE,"PROJECT";"Summary -2",#N/A,FALSE,"SUMMARY"}</definedName>
    <definedName name="th" hidden="1">{"Offgrid",#N/A,FALSE,"OFFGRID";"Region",#N/A,FALSE,"REGION";"Offgrid -2",#N/A,FALSE,"OFFGRID";"WTP",#N/A,FALSE,"WTP";"WTP -2",#N/A,FALSE,"WTP";"Project",#N/A,FALSE,"PROJECT";"Summary -2",#N/A,FALSE,"SUMMARY"}</definedName>
    <definedName name="theodolit">'UNIT PRICE'!$D$338</definedName>
    <definedName name="thinner">'UNIT PRICE'!$D$79</definedName>
    <definedName name="thom" localSheetId="6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8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10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2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4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5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13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1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7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9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0" hidden="1">{"Offgrid",#N/A,FALSE,"OFFGRID";"Region",#N/A,FALSE,"REGION";"Offgrid -2",#N/A,FALSE,"OFFGRID";"WTP",#N/A,FALSE,"WTP";"WTP -2",#N/A,FALSE,"WTP";"Project",#N/A,FALSE,"PROJECT";"Summary -2",#N/A,FALSE,"SUMMARY"}</definedName>
    <definedName name="thom" localSheetId="3" hidden="1">{"Offgrid",#N/A,FALSE,"OFFGRID";"Region",#N/A,FALSE,"REGION";"Offgrid -2",#N/A,FALSE,"OFFGRID";"WTP",#N/A,FALSE,"WTP";"WTP -2",#N/A,FALSE,"WTP";"Project",#N/A,FALSE,"PROJECT";"Summary -2",#N/A,FALSE,"SUMMARY"}</definedName>
    <definedName name="thom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6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8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10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2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4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5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13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1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7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9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0" hidden="1">{"Offgrid",#N/A,FALSE,"OFFGRID";"Region",#N/A,FALSE,"REGION";"Offgrid -2",#N/A,FALSE,"OFFGRID";"WTP",#N/A,FALSE,"WTP";"WTP -2",#N/A,FALSE,"WTP";"Project",#N/A,FALSE,"PROJECT";"Summary -2",#N/A,FALSE,"SUMMARY"}</definedName>
    <definedName name="thomson" localSheetId="3" hidden="1">{"Offgrid",#N/A,FALSE,"OFFGRID";"Region",#N/A,FALSE,"REGION";"Offgrid -2",#N/A,FALSE,"OFFGRID";"WTP",#N/A,FALSE,"WTP";"WTP -2",#N/A,FALSE,"WTP";"Project",#N/A,FALSE,"PROJECT";"Summary -2",#N/A,FALSE,"SUMMARY"}</definedName>
    <definedName name="thomson" hidden="1">{"Offgrid",#N/A,FALSE,"OFFGRID";"Region",#N/A,FALSE,"REGION";"Offgrid -2",#N/A,FALSE,"OFFGRID";"WTP",#N/A,FALSE,"WTP";"WTP -2",#N/A,FALSE,"WTP";"Project",#N/A,FALSE,"PROJECT";"Summary -2",#N/A,FALSE,"SUMMARY"}</definedName>
    <definedName name="tiang_BRC_1.2">'UNIT PRICE'!$D$238</definedName>
    <definedName name="tiang_BRC_1.5">'UNIT PRICE'!$D$239</definedName>
    <definedName name="tiang_BRC_1.9">'UNIT PRICE'!$D$240</definedName>
    <definedName name="tiang_lampu_octogonal_6m">'UNIT PRICE'!$D$220</definedName>
    <definedName name="tiang_lampu_octogonal_9m">'UNIT PRICE'!$D$218</definedName>
    <definedName name="tiang_pancang_m">'UNIT PRICE'!$D$264</definedName>
    <definedName name="tripod">'UNIT PRICE'!$D$342</definedName>
    <definedName name="tripod_7m">'UNIT PRICE'!$D$353</definedName>
    <definedName name="truc_crane_35t_day">'UNIT PRICE'!$D$364</definedName>
    <definedName name="Truck_crane_cap_5t_hour">'UNIT PRICE'!$D$356</definedName>
    <definedName name="TY" localSheetId="8" hidden="1">#REF!</definedName>
    <definedName name="TY" localSheetId="13" hidden="1">#REF!</definedName>
    <definedName name="TY" localSheetId="9" hidden="1">#REF!</definedName>
    <definedName name="TY" hidden="1">#REF!</definedName>
    <definedName name="U_ditch_1000.1000">'UNIT PRICE'!$D$270</definedName>
    <definedName name="U_ditch_1000.1200">'UNIT PRICE'!$D$273</definedName>
    <definedName name="U_ditch_1200.1200">'UNIT PRICE'!$D$271</definedName>
    <definedName name="U_ditch_400.400_1.2m">'UNIT PRICE'!$D$268</definedName>
    <definedName name="U_ditch_600.600">'UNIT PRICE'!$D$269</definedName>
    <definedName name="U_ditch_800.800">'UNIT PRICE'!$D$272</definedName>
    <definedName name="UI" localSheetId="8" hidden="1">#REF!</definedName>
    <definedName name="UI" localSheetId="13" hidden="1">#REF!</definedName>
    <definedName name="UI" localSheetId="9" hidden="1">#REF!</definedName>
    <definedName name="UI" hidden="1">#REF!</definedName>
    <definedName name="ujghj" localSheetId="6" hidden="1">{#N/A,#N/A,FALSE,"Chi tiÆt"}</definedName>
    <definedName name="ujghj" localSheetId="8" hidden="1">{#N/A,#N/A,FALSE,"Chi tiÆt"}</definedName>
    <definedName name="ujghj" localSheetId="10" hidden="1">{#N/A,#N/A,FALSE,"Chi tiÆt"}</definedName>
    <definedName name="ujghj" localSheetId="2" hidden="1">{#N/A,#N/A,FALSE,"Chi tiÆt"}</definedName>
    <definedName name="ujghj" localSheetId="4" hidden="1">{#N/A,#N/A,FALSE,"Chi tiÆt"}</definedName>
    <definedName name="ujghj" localSheetId="5" hidden="1">{#N/A,#N/A,FALSE,"Chi tiÆt"}</definedName>
    <definedName name="ujghj" localSheetId="13" hidden="1">{#N/A,#N/A,FALSE,"Chi tiÆt"}</definedName>
    <definedName name="ujghj" localSheetId="1" hidden="1">{#N/A,#N/A,FALSE,"Chi tiÆt"}</definedName>
    <definedName name="ujghj" localSheetId="7" hidden="1">{#N/A,#N/A,FALSE,"Chi tiÆt"}</definedName>
    <definedName name="ujghj" localSheetId="9" hidden="1">{#N/A,#N/A,FALSE,"Chi tiÆt"}</definedName>
    <definedName name="ujghj" localSheetId="0" hidden="1">{#N/A,#N/A,FALSE,"Chi tiÆt"}</definedName>
    <definedName name="ujghj" localSheetId="3" hidden="1">{#N/A,#N/A,FALSE,"Chi tiÆt"}</definedName>
    <definedName name="ujghj" hidden="1">{#N/A,#N/A,FALSE,"Chi tiÆt"}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rinoir">'UNIT PRICE'!$D$131</definedName>
    <definedName name="valve_1_in">'UNIT PRICE'!$D$123</definedName>
    <definedName name="vffsfs" localSheetId="6" hidden="1">{#N/A,#N/A,TRUE,"Basic";#N/A,#N/A,TRUE,"EXT-TABLE";#N/A,#N/A,TRUE,"STEEL";#N/A,#N/A,TRUE,"INT-Table";#N/A,#N/A,TRUE,"STEEL";#N/A,#N/A,TRUE,"Door"}</definedName>
    <definedName name="vffsfs" localSheetId="8" hidden="1">{#N/A,#N/A,TRUE,"Basic";#N/A,#N/A,TRUE,"EXT-TABLE";#N/A,#N/A,TRUE,"STEEL";#N/A,#N/A,TRUE,"INT-Table";#N/A,#N/A,TRUE,"STEEL";#N/A,#N/A,TRUE,"Door"}</definedName>
    <definedName name="vffsfs" localSheetId="10" hidden="1">{#N/A,#N/A,TRUE,"Basic";#N/A,#N/A,TRUE,"EXT-TABLE";#N/A,#N/A,TRUE,"STEEL";#N/A,#N/A,TRUE,"INT-Table";#N/A,#N/A,TRUE,"STEEL";#N/A,#N/A,TRUE,"Door"}</definedName>
    <definedName name="vffsfs" localSheetId="2" hidden="1">{#N/A,#N/A,TRUE,"Basic";#N/A,#N/A,TRUE,"EXT-TABLE";#N/A,#N/A,TRUE,"STEEL";#N/A,#N/A,TRUE,"INT-Table";#N/A,#N/A,TRUE,"STEEL";#N/A,#N/A,TRUE,"Door"}</definedName>
    <definedName name="vffsfs" localSheetId="4" hidden="1">{#N/A,#N/A,TRUE,"Basic";#N/A,#N/A,TRUE,"EXT-TABLE";#N/A,#N/A,TRUE,"STEEL";#N/A,#N/A,TRUE,"INT-Table";#N/A,#N/A,TRUE,"STEEL";#N/A,#N/A,TRUE,"Door"}</definedName>
    <definedName name="vffsfs" localSheetId="5" hidden="1">{#N/A,#N/A,TRUE,"Basic";#N/A,#N/A,TRUE,"EXT-TABLE";#N/A,#N/A,TRUE,"STEEL";#N/A,#N/A,TRUE,"INT-Table";#N/A,#N/A,TRUE,"STEEL";#N/A,#N/A,TRUE,"Door"}</definedName>
    <definedName name="vffsfs" localSheetId="13" hidden="1">{#N/A,#N/A,TRUE,"Basic";#N/A,#N/A,TRUE,"EXT-TABLE";#N/A,#N/A,TRUE,"STEEL";#N/A,#N/A,TRUE,"INT-Table";#N/A,#N/A,TRUE,"STEEL";#N/A,#N/A,TRUE,"Door"}</definedName>
    <definedName name="vffsfs" localSheetId="1" hidden="1">{#N/A,#N/A,TRUE,"Basic";#N/A,#N/A,TRUE,"EXT-TABLE";#N/A,#N/A,TRUE,"STEEL";#N/A,#N/A,TRUE,"INT-Table";#N/A,#N/A,TRUE,"STEEL";#N/A,#N/A,TRUE,"Door"}</definedName>
    <definedName name="vffsfs" localSheetId="7" hidden="1">{#N/A,#N/A,TRUE,"Basic";#N/A,#N/A,TRUE,"EXT-TABLE";#N/A,#N/A,TRUE,"STEEL";#N/A,#N/A,TRUE,"INT-Table";#N/A,#N/A,TRUE,"STEEL";#N/A,#N/A,TRUE,"Door"}</definedName>
    <definedName name="vffsfs" localSheetId="9" hidden="1">{#N/A,#N/A,TRUE,"Basic";#N/A,#N/A,TRUE,"EXT-TABLE";#N/A,#N/A,TRUE,"STEEL";#N/A,#N/A,TRUE,"INT-Table";#N/A,#N/A,TRUE,"STEEL";#N/A,#N/A,TRUE,"Door"}</definedName>
    <definedName name="vffsfs" localSheetId="0" hidden="1">{#N/A,#N/A,TRUE,"Basic";#N/A,#N/A,TRUE,"EXT-TABLE";#N/A,#N/A,TRUE,"STEEL";#N/A,#N/A,TRUE,"INT-Table";#N/A,#N/A,TRUE,"STEEL";#N/A,#N/A,TRUE,"Door"}</definedName>
    <definedName name="vffsfs" localSheetId="3" hidden="1">{#N/A,#N/A,TRUE,"Basic";#N/A,#N/A,TRUE,"EXT-TABLE";#N/A,#N/A,TRUE,"STEEL";#N/A,#N/A,TRUE,"INT-Table";#N/A,#N/A,TRUE,"STEEL";#N/A,#N/A,TRUE,"Door"}</definedName>
    <definedName name="vffsfs" hidden="1">{#N/A,#N/A,TRUE,"Basic";#N/A,#N/A,TRUE,"EXT-TABLE";#N/A,#N/A,TRUE,"STEEL";#N/A,#N/A,TRUE,"INT-Table";#N/A,#N/A,TRUE,"STEEL";#N/A,#N/A,TRUE,"Door"}</definedName>
    <definedName name="vibro_roller">'UNIT PRICE'!$D$343</definedName>
    <definedName name="VVV" localSheetId="8" hidden="1">[1]LOADDAT!#REF!</definedName>
    <definedName name="VVV" localSheetId="13" hidden="1">[1]LOADDAT!#REF!</definedName>
    <definedName name="VVV" localSheetId="9" hidden="1">[1]LOADDAT!#REF!</definedName>
    <definedName name="VVV" hidden="1">[1]LOADDAT!#REF!</definedName>
    <definedName name="vynyl_lantai_kayu_jati_kw1_inc_installation_m2">'UNIT PRICE'!$D$97</definedName>
    <definedName name="WARTO" localSheetId="6" hidden="1">{#N/A,#N/A,FALSE,"REK";#N/A,#N/A,FALSE,"rab"}</definedName>
    <definedName name="WARTO" localSheetId="8" hidden="1">{#N/A,#N/A,FALSE,"REK";#N/A,#N/A,FALSE,"rab"}</definedName>
    <definedName name="WARTO" localSheetId="10" hidden="1">{#N/A,#N/A,FALSE,"REK";#N/A,#N/A,FALSE,"rab"}</definedName>
    <definedName name="WARTO" localSheetId="2" hidden="1">{#N/A,#N/A,FALSE,"REK";#N/A,#N/A,FALSE,"rab"}</definedName>
    <definedName name="WARTO" localSheetId="4" hidden="1">{#N/A,#N/A,FALSE,"REK";#N/A,#N/A,FALSE,"rab"}</definedName>
    <definedName name="WARTO" localSheetId="5" hidden="1">{#N/A,#N/A,FALSE,"REK";#N/A,#N/A,FALSE,"rab"}</definedName>
    <definedName name="WARTO" localSheetId="13" hidden="1">{#N/A,#N/A,FALSE,"REK";#N/A,#N/A,FALSE,"rab"}</definedName>
    <definedName name="WARTO" localSheetId="1" hidden="1">{#N/A,#N/A,FALSE,"REK";#N/A,#N/A,FALSE,"rab"}</definedName>
    <definedName name="WARTO" localSheetId="7" hidden="1">{#N/A,#N/A,FALSE,"REK";#N/A,#N/A,FALSE,"rab"}</definedName>
    <definedName name="WARTO" localSheetId="9" hidden="1">{#N/A,#N/A,FALSE,"REK";#N/A,#N/A,FALSE,"rab"}</definedName>
    <definedName name="WARTO" localSheetId="0" hidden="1">{#N/A,#N/A,FALSE,"REK";#N/A,#N/A,FALSE,"rab"}</definedName>
    <definedName name="WARTO" localSheetId="3" hidden="1">{#N/A,#N/A,FALSE,"REK";#N/A,#N/A,FALSE,"rab"}</definedName>
    <definedName name="WARTO" hidden="1">{#N/A,#N/A,FALSE,"REK";#N/A,#N/A,FALSE,"rab"}</definedName>
    <definedName name="wash_basin">'UNIT PRICE'!$D$133</definedName>
    <definedName name="water">'UNIT PRICE'!$D$249</definedName>
    <definedName name="water_jet_pump_DAB">'UNIT PRICE'!$D$380</definedName>
    <definedName name="water_pump_30_m3">'UNIT PRICE'!$D$363</definedName>
    <definedName name="water_torn_2m3">'UNIT PRICE'!$D$124</definedName>
    <definedName name="water_truck_2jam_hari">'UNIT PRICE'!$D$344</definedName>
    <definedName name="waterproofing">'UNIT PRICE'!$D$78</definedName>
    <definedName name="WE" localSheetId="6" hidden="1">{#N/A,#N/A,FALSE,"CCTV"}</definedName>
    <definedName name="WE" localSheetId="8" hidden="1">{#N/A,#N/A,FALSE,"CCTV"}</definedName>
    <definedName name="WE" localSheetId="10" hidden="1">{#N/A,#N/A,FALSE,"CCTV"}</definedName>
    <definedName name="WE" localSheetId="2" hidden="1">{#N/A,#N/A,FALSE,"CCTV"}</definedName>
    <definedName name="WE" localSheetId="4" hidden="1">{#N/A,#N/A,FALSE,"CCTV"}</definedName>
    <definedName name="WE" localSheetId="5" hidden="1">{#N/A,#N/A,FALSE,"CCTV"}</definedName>
    <definedName name="WE" localSheetId="13" hidden="1">{#N/A,#N/A,FALSE,"CCTV"}</definedName>
    <definedName name="WE" localSheetId="1" hidden="1">{#N/A,#N/A,FALSE,"CCTV"}</definedName>
    <definedName name="WE" localSheetId="7" hidden="1">{#N/A,#N/A,FALSE,"CCTV"}</definedName>
    <definedName name="WE" localSheetId="9" hidden="1">{#N/A,#N/A,FALSE,"CCTV"}</definedName>
    <definedName name="WE" localSheetId="0" hidden="1">{#N/A,#N/A,FALSE,"CCTV"}</definedName>
    <definedName name="WE" localSheetId="3" hidden="1">{#N/A,#N/A,FALSE,"CCTV"}</definedName>
    <definedName name="WE" hidden="1">{#N/A,#N/A,FALSE,"CCTV"}</definedName>
    <definedName name="wedus" localSheetId="13" hidden="1">#REF!</definedName>
    <definedName name="wedus" hidden="1">#REF!</definedName>
    <definedName name="welder">'UNIT PRICE'!$D$309</definedName>
    <definedName name="welding_machine_day">'UNIT PRICE'!$D$382</definedName>
    <definedName name="WERD" localSheetId="8" hidden="1">#REF!</definedName>
    <definedName name="WERD" localSheetId="13" hidden="1">#REF!</definedName>
    <definedName name="WERD" localSheetId="9" hidden="1">#REF!</definedName>
    <definedName name="WERD" hidden="1">#REF!</definedName>
    <definedName name="weredfghv" hidden="1">[35]A!$H$11:$AS$11</definedName>
    <definedName name="WERQWREQW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inch_manchine_cap_3_5_ton_day">'UNIT PRICE'!$D$369</definedName>
    <definedName name="wind_hook_for_window">'UNIT PRICE'!$D$159</definedName>
    <definedName name="window_glass.frame.alumunium">'UNIT PRICE'!$D$149</definedName>
    <definedName name="wiremesh_M5_lembar">'UNIT PRICE'!$D$50</definedName>
    <definedName name="wiremesh_M6_2.1m_54m_rol">'UNIT PRICE'!$D$51</definedName>
    <definedName name="WIWID5" localSheetId="13" hidden="1">'[48]struktur tdk dipakai'!#REF!</definedName>
    <definedName name="WIWID5" hidden="1">'[48]struktur tdk dipakai'!#REF!</definedName>
    <definedName name="wooden">'UNIT PRICE'!$D$65</definedName>
    <definedName name="worker">'UNIT PRICE'!$D$293</definedName>
    <definedName name="WRITE" localSheetId="6" hidden="1">{#N/A,#N/A,FALSE,"CCTV"}</definedName>
    <definedName name="WRITE" localSheetId="8" hidden="1">{#N/A,#N/A,FALSE,"CCTV"}</definedName>
    <definedName name="WRITE" localSheetId="10" hidden="1">{#N/A,#N/A,FALSE,"CCTV"}</definedName>
    <definedName name="WRITE" localSheetId="2" hidden="1">{#N/A,#N/A,FALSE,"CCTV"}</definedName>
    <definedName name="WRITE" localSheetId="4" hidden="1">{#N/A,#N/A,FALSE,"CCTV"}</definedName>
    <definedName name="WRITE" localSheetId="5" hidden="1">{#N/A,#N/A,FALSE,"CCTV"}</definedName>
    <definedName name="WRITE" localSheetId="13" hidden="1">{#N/A,#N/A,FALSE,"CCTV"}</definedName>
    <definedName name="WRITE" localSheetId="1" hidden="1">{#N/A,#N/A,FALSE,"CCTV"}</definedName>
    <definedName name="WRITE" localSheetId="7" hidden="1">{#N/A,#N/A,FALSE,"CCTV"}</definedName>
    <definedName name="WRITE" localSheetId="9" hidden="1">{#N/A,#N/A,FALSE,"CCTV"}</definedName>
    <definedName name="WRITE" localSheetId="0" hidden="1">{#N/A,#N/A,FALSE,"CCTV"}</definedName>
    <definedName name="WRITE" localSheetId="3" hidden="1">{#N/A,#N/A,FALSE,"CCTV"}</definedName>
    <definedName name="WRITE" hidden="1">{#N/A,#N/A,FALSE,"CCTV"}</definedName>
    <definedName name="wrn.AAA." localSheetId="6" hidden="1">{#N/A,#N/A,FALSE,"REK";#N/A,#N/A,FALSE,"Bq-ARS"}</definedName>
    <definedName name="wrn.AAA." localSheetId="8" hidden="1">{#N/A,#N/A,FALSE,"REK";#N/A,#N/A,FALSE,"Bq-ARS"}</definedName>
    <definedName name="wrn.AAA." localSheetId="10" hidden="1">{#N/A,#N/A,FALSE,"REK";#N/A,#N/A,FALSE,"Bq-ARS"}</definedName>
    <definedName name="wrn.AAA." localSheetId="2" hidden="1">{#N/A,#N/A,FALSE,"REK";#N/A,#N/A,FALSE,"Bq-ARS"}</definedName>
    <definedName name="wrn.AAA." localSheetId="4" hidden="1">{#N/A,#N/A,FALSE,"REK";#N/A,#N/A,FALSE,"Bq-ARS"}</definedName>
    <definedName name="wrn.AAA." localSheetId="5" hidden="1">{#N/A,#N/A,FALSE,"REK";#N/A,#N/A,FALSE,"Bq-ARS"}</definedName>
    <definedName name="wrn.AAA." localSheetId="13" hidden="1">{#N/A,#N/A,FALSE,"REK";#N/A,#N/A,FALSE,"Bq-ARS"}</definedName>
    <definedName name="wrn.AAA." localSheetId="1" hidden="1">{#N/A,#N/A,FALSE,"REK";#N/A,#N/A,FALSE,"Bq-ARS"}</definedName>
    <definedName name="wrn.AAA." localSheetId="7" hidden="1">{#N/A,#N/A,FALSE,"REK";#N/A,#N/A,FALSE,"Bq-ARS"}</definedName>
    <definedName name="wrn.AAA." localSheetId="9" hidden="1">{#N/A,#N/A,FALSE,"REK";#N/A,#N/A,FALSE,"Bq-ARS"}</definedName>
    <definedName name="wrn.AAA." localSheetId="0" hidden="1">{#N/A,#N/A,FALSE,"REK";#N/A,#N/A,FALSE,"Bq-ARS"}</definedName>
    <definedName name="wrn.AAA." localSheetId="3" hidden="1">{#N/A,#N/A,FALSE,"REK";#N/A,#N/A,FALSE,"Bq-ARS"}</definedName>
    <definedName name="wrn.AAA." hidden="1">{#N/A,#N/A,FALSE,"REK";#N/A,#N/A,FALSE,"Bq-ARS"}</definedName>
    <definedName name="wrn.AAA.1" localSheetId="6" hidden="1">{#N/A,#N/A,FALSE,"REK";#N/A,#N/A,FALSE,"Bq-ARS"}</definedName>
    <definedName name="wrn.AAA.1" localSheetId="8" hidden="1">{#N/A,#N/A,FALSE,"REK";#N/A,#N/A,FALSE,"Bq-ARS"}</definedName>
    <definedName name="wrn.AAA.1" localSheetId="10" hidden="1">{#N/A,#N/A,FALSE,"REK";#N/A,#N/A,FALSE,"Bq-ARS"}</definedName>
    <definedName name="wrn.AAA.1" localSheetId="2" hidden="1">{#N/A,#N/A,FALSE,"REK";#N/A,#N/A,FALSE,"Bq-ARS"}</definedName>
    <definedName name="wrn.AAA.1" localSheetId="4" hidden="1">{#N/A,#N/A,FALSE,"REK";#N/A,#N/A,FALSE,"Bq-ARS"}</definedName>
    <definedName name="wrn.AAA.1" localSheetId="5" hidden="1">{#N/A,#N/A,FALSE,"REK";#N/A,#N/A,FALSE,"Bq-ARS"}</definedName>
    <definedName name="wrn.AAA.1" localSheetId="13" hidden="1">{#N/A,#N/A,FALSE,"REK";#N/A,#N/A,FALSE,"Bq-ARS"}</definedName>
    <definedName name="wrn.AAA.1" localSheetId="1" hidden="1">{#N/A,#N/A,FALSE,"REK";#N/A,#N/A,FALSE,"Bq-ARS"}</definedName>
    <definedName name="wrn.AAA.1" localSheetId="7" hidden="1">{#N/A,#N/A,FALSE,"REK";#N/A,#N/A,FALSE,"Bq-ARS"}</definedName>
    <definedName name="wrn.AAA.1" localSheetId="9" hidden="1">{#N/A,#N/A,FALSE,"REK";#N/A,#N/A,FALSE,"Bq-ARS"}</definedName>
    <definedName name="wrn.AAA.1" localSheetId="0" hidden="1">{#N/A,#N/A,FALSE,"REK";#N/A,#N/A,FALSE,"Bq-ARS"}</definedName>
    <definedName name="wrn.AAA.1" localSheetId="3" hidden="1">{#N/A,#N/A,FALSE,"REK";#N/A,#N/A,FALSE,"Bq-ARS"}</definedName>
    <definedName name="wrn.AAA.1" hidden="1">{#N/A,#N/A,FALSE,"REK";#N/A,#N/A,FALSE,"Bq-ARS"}</definedName>
    <definedName name="wrn.AAA.2" localSheetId="6" hidden="1">{#N/A,#N/A,FALSE,"REK";#N/A,#N/A,FALSE,"Bq-ARS"}</definedName>
    <definedName name="wrn.AAA.2" localSheetId="8" hidden="1">{#N/A,#N/A,FALSE,"REK";#N/A,#N/A,FALSE,"Bq-ARS"}</definedName>
    <definedName name="wrn.AAA.2" localSheetId="10" hidden="1">{#N/A,#N/A,FALSE,"REK";#N/A,#N/A,FALSE,"Bq-ARS"}</definedName>
    <definedName name="wrn.AAA.2" localSheetId="2" hidden="1">{#N/A,#N/A,FALSE,"REK";#N/A,#N/A,FALSE,"Bq-ARS"}</definedName>
    <definedName name="wrn.AAA.2" localSheetId="4" hidden="1">{#N/A,#N/A,FALSE,"REK";#N/A,#N/A,FALSE,"Bq-ARS"}</definedName>
    <definedName name="wrn.AAA.2" localSheetId="5" hidden="1">{#N/A,#N/A,FALSE,"REK";#N/A,#N/A,FALSE,"Bq-ARS"}</definedName>
    <definedName name="wrn.AAA.2" localSheetId="13" hidden="1">{#N/A,#N/A,FALSE,"REK";#N/A,#N/A,FALSE,"Bq-ARS"}</definedName>
    <definedName name="wrn.AAA.2" localSheetId="1" hidden="1">{#N/A,#N/A,FALSE,"REK";#N/A,#N/A,FALSE,"Bq-ARS"}</definedName>
    <definedName name="wrn.AAA.2" localSheetId="7" hidden="1">{#N/A,#N/A,FALSE,"REK";#N/A,#N/A,FALSE,"Bq-ARS"}</definedName>
    <definedName name="wrn.AAA.2" localSheetId="9" hidden="1">{#N/A,#N/A,FALSE,"REK";#N/A,#N/A,FALSE,"Bq-ARS"}</definedName>
    <definedName name="wrn.AAA.2" localSheetId="0" hidden="1">{#N/A,#N/A,FALSE,"REK";#N/A,#N/A,FALSE,"Bq-ARS"}</definedName>
    <definedName name="wrn.AAA.2" localSheetId="3" hidden="1">{#N/A,#N/A,FALSE,"REK";#N/A,#N/A,FALSE,"Bq-ARS"}</definedName>
    <definedName name="wrn.AAA.2" hidden="1">{#N/A,#N/A,FALSE,"REK";#N/A,#N/A,FALSE,"Bq-ARS"}</definedName>
    <definedName name="wrn.BM." localSheetId="6" hidden="1">{#N/A,#N/A,FALSE,"CCTV"}</definedName>
    <definedName name="wrn.BM." localSheetId="8" hidden="1">{#N/A,#N/A,FALSE,"CCTV"}</definedName>
    <definedName name="wrn.BM." localSheetId="10" hidden="1">{#N/A,#N/A,FALSE,"CCTV"}</definedName>
    <definedName name="wrn.BM." localSheetId="2" hidden="1">{#N/A,#N/A,FALSE,"CCTV"}</definedName>
    <definedName name="wrn.BM." localSheetId="4" hidden="1">{#N/A,#N/A,FALSE,"CCTV"}</definedName>
    <definedName name="wrn.BM." localSheetId="5" hidden="1">{#N/A,#N/A,FALSE,"CCTV"}</definedName>
    <definedName name="wrn.BM." localSheetId="13" hidden="1">{#N/A,#N/A,FALSE,"CCTV"}</definedName>
    <definedName name="wrn.BM." localSheetId="1" hidden="1">{#N/A,#N/A,FALSE,"CCTV"}</definedName>
    <definedName name="wrn.BM." localSheetId="7" hidden="1">{#N/A,#N/A,FALSE,"CCTV"}</definedName>
    <definedName name="wrn.BM." localSheetId="9" hidden="1">{#N/A,#N/A,FALSE,"CCTV"}</definedName>
    <definedName name="wrn.BM." localSheetId="0" hidden="1">{#N/A,#N/A,FALSE,"CCTV"}</definedName>
    <definedName name="wrn.BM." localSheetId="3" hidden="1">{#N/A,#N/A,FALSE,"CCTV"}</definedName>
    <definedName name="wrn.BM." hidden="1">{#N/A,#N/A,FALSE,"CCTV"}</definedName>
    <definedName name="wrn.chi._.tiÆt." localSheetId="6" hidden="1">{#N/A,#N/A,FALSE,"Chi tiÆt"}</definedName>
    <definedName name="wrn.chi._.tiÆt." localSheetId="8" hidden="1">{#N/A,#N/A,FALSE,"Chi tiÆt"}</definedName>
    <definedName name="wrn.chi._.tiÆt." localSheetId="10" hidden="1">{#N/A,#N/A,FALSE,"Chi tiÆt"}</definedName>
    <definedName name="wrn.chi._.tiÆt." localSheetId="2" hidden="1">{#N/A,#N/A,FALSE,"Chi tiÆt"}</definedName>
    <definedName name="wrn.chi._.tiÆt." localSheetId="4" hidden="1">{#N/A,#N/A,FALSE,"Chi tiÆt"}</definedName>
    <definedName name="wrn.chi._.tiÆt." localSheetId="5" hidden="1">{#N/A,#N/A,FALSE,"Chi tiÆt"}</definedName>
    <definedName name="wrn.chi._.tiÆt." localSheetId="13" hidden="1">{#N/A,#N/A,FALSE,"Chi tiÆt"}</definedName>
    <definedName name="wrn.chi._.tiÆt." localSheetId="1" hidden="1">{#N/A,#N/A,FALSE,"Chi tiÆt"}</definedName>
    <definedName name="wrn.chi._.tiÆt." localSheetId="7" hidden="1">{#N/A,#N/A,FALSE,"Chi tiÆt"}</definedName>
    <definedName name="wrn.chi._.tiÆt." localSheetId="9" hidden="1">{#N/A,#N/A,FALSE,"Chi tiÆt"}</definedName>
    <definedName name="wrn.chi._.tiÆt." localSheetId="0" hidden="1">{#N/A,#N/A,FALSE,"Chi tiÆt"}</definedName>
    <definedName name="wrn.chi._.tiÆt." localSheetId="17" hidden="1">{#N/A,#N/A,FALSE,"Chi tiÆt"}</definedName>
    <definedName name="wrn.chi._.tiÆt." localSheetId="3" hidden="1">{#N/A,#N/A,FALSE,"Chi tiÆt"}</definedName>
    <definedName name="wrn.chi._.tiÆt." hidden="1">{#N/A,#N/A,FALSE,"Chi tiÆt"}</definedName>
    <definedName name="wrn.Full._.Report." localSheetId="6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8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4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7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9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0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3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M.01." localSheetId="6" hidden="1">{#N/A,#N/A,FALSE,"M.01"}</definedName>
    <definedName name="wrn.M.01." localSheetId="8" hidden="1">{#N/A,#N/A,FALSE,"M.01"}</definedName>
    <definedName name="wrn.M.01." localSheetId="10" hidden="1">{#N/A,#N/A,FALSE,"M.01"}</definedName>
    <definedName name="wrn.M.01." localSheetId="2" hidden="1">{#N/A,#N/A,FALSE,"M.01"}</definedName>
    <definedName name="wrn.M.01." localSheetId="4" hidden="1">{#N/A,#N/A,FALSE,"M.01"}</definedName>
    <definedName name="wrn.M.01." localSheetId="5" hidden="1">{#N/A,#N/A,FALSE,"M.01"}</definedName>
    <definedName name="wrn.M.01." localSheetId="13" hidden="1">{#N/A,#N/A,FALSE,"M.01"}</definedName>
    <definedName name="wrn.M.01." localSheetId="1" hidden="1">{#N/A,#N/A,FALSE,"M.01"}</definedName>
    <definedName name="wrn.M.01." localSheetId="7" hidden="1">{#N/A,#N/A,FALSE,"M.01"}</definedName>
    <definedName name="wrn.M.01." localSheetId="9" hidden="1">{#N/A,#N/A,FALSE,"M.01"}</definedName>
    <definedName name="wrn.M.01." localSheetId="0" hidden="1">{#N/A,#N/A,FALSE,"M.01"}</definedName>
    <definedName name="wrn.M.01." localSheetId="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8" hidden="1">{#N/A,#N/A,FALSE,"M.01";#N/A,#N/A,FALSE,"M.01"}</definedName>
    <definedName name="wrn.M.01D." localSheetId="10" hidden="1">{#N/A,#N/A,FALSE,"M.01";#N/A,#N/A,FALSE,"M.01"}</definedName>
    <definedName name="wrn.M.01D." localSheetId="2" hidden="1">{#N/A,#N/A,FALSE,"M.01";#N/A,#N/A,FALSE,"M.01"}</definedName>
    <definedName name="wrn.M.01D." localSheetId="4" hidden="1">{#N/A,#N/A,FALSE,"M.01";#N/A,#N/A,FALSE,"M.01"}</definedName>
    <definedName name="wrn.M.01D." localSheetId="5" hidden="1">{#N/A,#N/A,FALSE,"M.01";#N/A,#N/A,FALSE,"M.01"}</definedName>
    <definedName name="wrn.M.01D." localSheetId="13" hidden="1">{#N/A,#N/A,FALSE,"M.01";#N/A,#N/A,FALSE,"M.01"}</definedName>
    <definedName name="wrn.M.01D." localSheetId="1" hidden="1">{#N/A,#N/A,FALSE,"M.01";#N/A,#N/A,FALSE,"M.01"}</definedName>
    <definedName name="wrn.M.01D." localSheetId="7" hidden="1">{#N/A,#N/A,FALSE,"M.01";#N/A,#N/A,FALSE,"M.01"}</definedName>
    <definedName name="wrn.M.01D." localSheetId="9" hidden="1">{#N/A,#N/A,FALSE,"M.01";#N/A,#N/A,FALSE,"M.01"}</definedName>
    <definedName name="wrn.M.01D." localSheetId="0" hidden="1">{#N/A,#N/A,FALSE,"M.01";#N/A,#N/A,FALSE,"M.01"}</definedName>
    <definedName name="wrn.M.01D." localSheetId="3" hidden="1">{#N/A,#N/A,FALSE,"M.01";#N/A,#N/A,FALSE,"M.01"}</definedName>
    <definedName name="wrn.M.01D." hidden="1">{#N/A,#N/A,FALSE,"M.01";#N/A,#N/A,FALSE,"M.01"}</definedName>
    <definedName name="wrn.M.02." localSheetId="6" hidden="1">{#N/A,#N/A,FALSE,"M.02"}</definedName>
    <definedName name="wrn.M.02." localSheetId="8" hidden="1">{#N/A,#N/A,FALSE,"M.02"}</definedName>
    <definedName name="wrn.M.02." localSheetId="10" hidden="1">{#N/A,#N/A,FALSE,"M.02"}</definedName>
    <definedName name="wrn.M.02." localSheetId="2" hidden="1">{#N/A,#N/A,FALSE,"M.02"}</definedName>
    <definedName name="wrn.M.02." localSheetId="4" hidden="1">{#N/A,#N/A,FALSE,"M.02"}</definedName>
    <definedName name="wrn.M.02." localSheetId="5" hidden="1">{#N/A,#N/A,FALSE,"M.02"}</definedName>
    <definedName name="wrn.M.02." localSheetId="13" hidden="1">{#N/A,#N/A,FALSE,"M.02"}</definedName>
    <definedName name="wrn.M.02." localSheetId="1" hidden="1">{#N/A,#N/A,FALSE,"M.02"}</definedName>
    <definedName name="wrn.M.02." localSheetId="7" hidden="1">{#N/A,#N/A,FALSE,"M.02"}</definedName>
    <definedName name="wrn.M.02." localSheetId="9" hidden="1">{#N/A,#N/A,FALSE,"M.02"}</definedName>
    <definedName name="wrn.M.02." localSheetId="0" hidden="1">{#N/A,#N/A,FALSE,"M.02"}</definedName>
    <definedName name="wrn.M.02." localSheetId="3" hidden="1">{#N/A,#N/A,FALSE,"M.02"}</definedName>
    <definedName name="wrn.M.02." hidden="1">{#N/A,#N/A,FALSE,"M.02"}</definedName>
    <definedName name="wrn.M.31." localSheetId="6" hidden="1">{#N/A,#N/A,FALSE,"M.31"}</definedName>
    <definedName name="wrn.M.31." localSheetId="8" hidden="1">{#N/A,#N/A,FALSE,"M.31"}</definedName>
    <definedName name="wrn.M.31." localSheetId="10" hidden="1">{#N/A,#N/A,FALSE,"M.31"}</definedName>
    <definedName name="wrn.M.31." localSheetId="2" hidden="1">{#N/A,#N/A,FALSE,"M.31"}</definedName>
    <definedName name="wrn.M.31." localSheetId="4" hidden="1">{#N/A,#N/A,FALSE,"M.31"}</definedName>
    <definedName name="wrn.M.31." localSheetId="5" hidden="1">{#N/A,#N/A,FALSE,"M.31"}</definedName>
    <definedName name="wrn.M.31." localSheetId="13" hidden="1">{#N/A,#N/A,FALSE,"M.31"}</definedName>
    <definedName name="wrn.M.31." localSheetId="1" hidden="1">{#N/A,#N/A,FALSE,"M.31"}</definedName>
    <definedName name="wrn.M.31." localSheetId="7" hidden="1">{#N/A,#N/A,FALSE,"M.31"}</definedName>
    <definedName name="wrn.M.31." localSheetId="9" hidden="1">{#N/A,#N/A,FALSE,"M.31"}</definedName>
    <definedName name="wrn.M.31." localSheetId="0" hidden="1">{#N/A,#N/A,FALSE,"M.31"}</definedName>
    <definedName name="wrn.M.31." localSheetId="3" hidden="1">{#N/A,#N/A,FALSE,"M.31"}</definedName>
    <definedName name="wrn.M.31." hidden="1">{#N/A,#N/A,FALSE,"M.31"}</definedName>
    <definedName name="wrn.M.32." localSheetId="6" hidden="1">{#N/A,#N/A,FALSE,"M.32"}</definedName>
    <definedName name="wrn.M.32." localSheetId="8" hidden="1">{#N/A,#N/A,FALSE,"M.32"}</definedName>
    <definedName name="wrn.M.32." localSheetId="10" hidden="1">{#N/A,#N/A,FALSE,"M.32"}</definedName>
    <definedName name="wrn.M.32." localSheetId="2" hidden="1">{#N/A,#N/A,FALSE,"M.32"}</definedName>
    <definedName name="wrn.M.32." localSheetId="4" hidden="1">{#N/A,#N/A,FALSE,"M.32"}</definedName>
    <definedName name="wrn.M.32." localSheetId="5" hidden="1">{#N/A,#N/A,FALSE,"M.32"}</definedName>
    <definedName name="wrn.M.32." localSheetId="13" hidden="1">{#N/A,#N/A,FALSE,"M.32"}</definedName>
    <definedName name="wrn.M.32." localSheetId="1" hidden="1">{#N/A,#N/A,FALSE,"M.32"}</definedName>
    <definedName name="wrn.M.32." localSheetId="7" hidden="1">{#N/A,#N/A,FALSE,"M.32"}</definedName>
    <definedName name="wrn.M.32." localSheetId="9" hidden="1">{#N/A,#N/A,FALSE,"M.32"}</definedName>
    <definedName name="wrn.M.32." localSheetId="0" hidden="1">{#N/A,#N/A,FALSE,"M.32"}</definedName>
    <definedName name="wrn.M.32." localSheetId="3" hidden="1">{#N/A,#N/A,FALSE,"M.32"}</definedName>
    <definedName name="wrn.M.32." hidden="1">{#N/A,#N/A,FALSE,"M.32"}</definedName>
    <definedName name="wrn.M.33." localSheetId="6" hidden="1">{#N/A,#N/A,FALSE,"M.33"}</definedName>
    <definedName name="wrn.M.33." localSheetId="8" hidden="1">{#N/A,#N/A,FALSE,"M.33"}</definedName>
    <definedName name="wrn.M.33." localSheetId="10" hidden="1">{#N/A,#N/A,FALSE,"M.33"}</definedName>
    <definedName name="wrn.M.33." localSheetId="2" hidden="1">{#N/A,#N/A,FALSE,"M.33"}</definedName>
    <definedName name="wrn.M.33." localSheetId="4" hidden="1">{#N/A,#N/A,FALSE,"M.33"}</definedName>
    <definedName name="wrn.M.33." localSheetId="5" hidden="1">{#N/A,#N/A,FALSE,"M.33"}</definedName>
    <definedName name="wrn.M.33." localSheetId="13" hidden="1">{#N/A,#N/A,FALSE,"M.33"}</definedName>
    <definedName name="wrn.M.33." localSheetId="1" hidden="1">{#N/A,#N/A,FALSE,"M.33"}</definedName>
    <definedName name="wrn.M.33." localSheetId="7" hidden="1">{#N/A,#N/A,FALSE,"M.33"}</definedName>
    <definedName name="wrn.M.33." localSheetId="9" hidden="1">{#N/A,#N/A,FALSE,"M.33"}</definedName>
    <definedName name="wrn.M.33." localSheetId="0" hidden="1">{#N/A,#N/A,FALSE,"M.33"}</definedName>
    <definedName name="wrn.M.33." localSheetId="3" hidden="1">{#N/A,#N/A,FALSE,"M.33"}</definedName>
    <definedName name="wrn.M.33." hidden="1">{#N/A,#N/A,FALSE,"M.33"}</definedName>
    <definedName name="wrn.M.34." localSheetId="6" hidden="1">{#N/A,#N/A,FALSE,"M.34"}</definedName>
    <definedName name="wrn.M.34." localSheetId="8" hidden="1">{#N/A,#N/A,FALSE,"M.34"}</definedName>
    <definedName name="wrn.M.34." localSheetId="10" hidden="1">{#N/A,#N/A,FALSE,"M.34"}</definedName>
    <definedName name="wrn.M.34." localSheetId="2" hidden="1">{#N/A,#N/A,FALSE,"M.34"}</definedName>
    <definedName name="wrn.M.34." localSheetId="4" hidden="1">{#N/A,#N/A,FALSE,"M.34"}</definedName>
    <definedName name="wrn.M.34." localSheetId="5" hidden="1">{#N/A,#N/A,FALSE,"M.34"}</definedName>
    <definedName name="wrn.M.34." localSheetId="13" hidden="1">{#N/A,#N/A,FALSE,"M.34"}</definedName>
    <definedName name="wrn.M.34." localSheetId="1" hidden="1">{#N/A,#N/A,FALSE,"M.34"}</definedName>
    <definedName name="wrn.M.34." localSheetId="7" hidden="1">{#N/A,#N/A,FALSE,"M.34"}</definedName>
    <definedName name="wrn.M.34." localSheetId="9" hidden="1">{#N/A,#N/A,FALSE,"M.34"}</definedName>
    <definedName name="wrn.M.34." localSheetId="0" hidden="1">{#N/A,#N/A,FALSE,"M.34"}</definedName>
    <definedName name="wrn.M.34." localSheetId="3" hidden="1">{#N/A,#N/A,FALSE,"M.34"}</definedName>
    <definedName name="wrn.M.34." hidden="1">{#N/A,#N/A,FALSE,"M.34"}</definedName>
    <definedName name="wrn.M.41." localSheetId="6" hidden="1">{#N/A,#N/A,FALSE,"M.41"}</definedName>
    <definedName name="wrn.M.41." localSheetId="8" hidden="1">{#N/A,#N/A,FALSE,"M.41"}</definedName>
    <definedName name="wrn.M.41." localSheetId="10" hidden="1">{#N/A,#N/A,FALSE,"M.41"}</definedName>
    <definedName name="wrn.M.41." localSheetId="2" hidden="1">{#N/A,#N/A,FALSE,"M.41"}</definedName>
    <definedName name="wrn.M.41." localSheetId="4" hidden="1">{#N/A,#N/A,FALSE,"M.41"}</definedName>
    <definedName name="wrn.M.41." localSheetId="5" hidden="1">{#N/A,#N/A,FALSE,"M.41"}</definedName>
    <definedName name="wrn.M.41." localSheetId="13" hidden="1">{#N/A,#N/A,FALSE,"M.41"}</definedName>
    <definedName name="wrn.M.41." localSheetId="1" hidden="1">{#N/A,#N/A,FALSE,"M.41"}</definedName>
    <definedName name="wrn.M.41." localSheetId="7" hidden="1">{#N/A,#N/A,FALSE,"M.41"}</definedName>
    <definedName name="wrn.M.41." localSheetId="9" hidden="1">{#N/A,#N/A,FALSE,"M.41"}</definedName>
    <definedName name="wrn.M.41." localSheetId="0" hidden="1">{#N/A,#N/A,FALSE,"M.41"}</definedName>
    <definedName name="wrn.M.41." localSheetId="3" hidden="1">{#N/A,#N/A,FALSE,"M.41"}</definedName>
    <definedName name="wrn.M.41." hidden="1">{#N/A,#N/A,FALSE,"M.41"}</definedName>
    <definedName name="wrn.M.42" localSheetId="6" hidden="1">{#N/A,#N/A,FALSE,"M.41"}</definedName>
    <definedName name="wrn.M.42" localSheetId="8" hidden="1">{#N/A,#N/A,FALSE,"M.41"}</definedName>
    <definedName name="wrn.M.42" localSheetId="10" hidden="1">{#N/A,#N/A,FALSE,"M.41"}</definedName>
    <definedName name="wrn.M.42" localSheetId="2" hidden="1">{#N/A,#N/A,FALSE,"M.41"}</definedName>
    <definedName name="wrn.M.42" localSheetId="4" hidden="1">{#N/A,#N/A,FALSE,"M.41"}</definedName>
    <definedName name="wrn.M.42" localSheetId="5" hidden="1">{#N/A,#N/A,FALSE,"M.41"}</definedName>
    <definedName name="wrn.M.42" localSheetId="13" hidden="1">{#N/A,#N/A,FALSE,"M.41"}</definedName>
    <definedName name="wrn.M.42" localSheetId="1" hidden="1">{#N/A,#N/A,FALSE,"M.41"}</definedName>
    <definedName name="wrn.M.42" localSheetId="7" hidden="1">{#N/A,#N/A,FALSE,"M.41"}</definedName>
    <definedName name="wrn.M.42" localSheetId="9" hidden="1">{#N/A,#N/A,FALSE,"M.41"}</definedName>
    <definedName name="wrn.M.42" localSheetId="0" hidden="1">{#N/A,#N/A,FALSE,"M.41"}</definedName>
    <definedName name="wrn.M.42" localSheetId="3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8" hidden="1">{#N/A,#N/A,FALSE,"M.42"}</definedName>
    <definedName name="wrn.M.42." localSheetId="10" hidden="1">{#N/A,#N/A,FALSE,"M.42"}</definedName>
    <definedName name="wrn.M.42." localSheetId="2" hidden="1">{#N/A,#N/A,FALSE,"M.42"}</definedName>
    <definedName name="wrn.M.42." localSheetId="4" hidden="1">{#N/A,#N/A,FALSE,"M.42"}</definedName>
    <definedName name="wrn.M.42." localSheetId="5" hidden="1">{#N/A,#N/A,FALSE,"M.42"}</definedName>
    <definedName name="wrn.M.42." localSheetId="13" hidden="1">{#N/A,#N/A,FALSE,"M.42"}</definedName>
    <definedName name="wrn.M.42." localSheetId="1" hidden="1">{#N/A,#N/A,FALSE,"M.42"}</definedName>
    <definedName name="wrn.M.42." localSheetId="7" hidden="1">{#N/A,#N/A,FALSE,"M.42"}</definedName>
    <definedName name="wrn.M.42." localSheetId="9" hidden="1">{#N/A,#N/A,FALSE,"M.42"}</definedName>
    <definedName name="wrn.M.42." localSheetId="0" hidden="1">{#N/A,#N/A,FALSE,"M.42"}</definedName>
    <definedName name="wrn.M.42." localSheetId="3" hidden="1">{#N/A,#N/A,FALSE,"M.42"}</definedName>
    <definedName name="wrn.M.42." hidden="1">{#N/A,#N/A,FALSE,"M.42"}</definedName>
    <definedName name="wrn.M.43." localSheetId="6" hidden="1">{#N/A,#N/A,FALSE,"M.43"}</definedName>
    <definedName name="wrn.M.43." localSheetId="8" hidden="1">{#N/A,#N/A,FALSE,"M.43"}</definedName>
    <definedName name="wrn.M.43." localSheetId="10" hidden="1">{#N/A,#N/A,FALSE,"M.43"}</definedName>
    <definedName name="wrn.M.43." localSheetId="2" hidden="1">{#N/A,#N/A,FALSE,"M.43"}</definedName>
    <definedName name="wrn.M.43." localSheetId="4" hidden="1">{#N/A,#N/A,FALSE,"M.43"}</definedName>
    <definedName name="wrn.M.43." localSheetId="5" hidden="1">{#N/A,#N/A,FALSE,"M.43"}</definedName>
    <definedName name="wrn.M.43." localSheetId="13" hidden="1">{#N/A,#N/A,FALSE,"M.43"}</definedName>
    <definedName name="wrn.M.43." localSheetId="1" hidden="1">{#N/A,#N/A,FALSE,"M.43"}</definedName>
    <definedName name="wrn.M.43." localSheetId="7" hidden="1">{#N/A,#N/A,FALSE,"M.43"}</definedName>
    <definedName name="wrn.M.43." localSheetId="9" hidden="1">{#N/A,#N/A,FALSE,"M.43"}</definedName>
    <definedName name="wrn.M.43." localSheetId="0" hidden="1">{#N/A,#N/A,FALSE,"M.43"}</definedName>
    <definedName name="wrn.M.43." localSheetId="3" hidden="1">{#N/A,#N/A,FALSE,"M.43"}</definedName>
    <definedName name="wrn.M.43." hidden="1">{#N/A,#N/A,FALSE,"M.43"}</definedName>
    <definedName name="wrn.Report." localSheetId="6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8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10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2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4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5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13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1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7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9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0" hidden="1">{"Offgrid",#N/A,FALSE,"OFFGRID";"Region",#N/A,FALSE,"REGION";"Offgrid -2",#N/A,FALSE,"OFFGRID";"WTP",#N/A,FALSE,"WTP";"WTP -2",#N/A,FALSE,"WTP";"Project",#N/A,FALSE,"PROJECT";"Summary -2",#N/A,FALSE,"SUMMARY"}</definedName>
    <definedName name="wrn.Report." localSheetId="3" hidden="1">{"Offgrid",#N/A,FALSE,"OFFGRID";"Region",#N/A,FALSE,"REGION";"Offgrid -2",#N/A,FALSE,"OFFGRID";"WTP",#N/A,FALSE,"WTP";"WTP -2",#N/A,FALSE,"WTP";"Project",#N/A,FALSE,"PROJECT";"Summary -2",#N/A,FALSE,"SUMMARY"}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tpl." localSheetId="6" hidden="1">{#N/A,#N/A,FALSE,"REK-S-TPL";#N/A,#N/A,FALSE,"REK-TPML";#N/A,#N/A,FALSE,"RAB-TEMPEL"}</definedName>
    <definedName name="wrn.rtpl." localSheetId="8" hidden="1">{#N/A,#N/A,FALSE,"REK-S-TPL";#N/A,#N/A,FALSE,"REK-TPML";#N/A,#N/A,FALSE,"RAB-TEMPEL"}</definedName>
    <definedName name="wrn.rtpl." localSheetId="10" hidden="1">{#N/A,#N/A,FALSE,"REK-S-TPL";#N/A,#N/A,FALSE,"REK-TPML";#N/A,#N/A,FALSE,"RAB-TEMPEL"}</definedName>
    <definedName name="wrn.rtpl." localSheetId="2" hidden="1">{#N/A,#N/A,FALSE,"REK-S-TPL";#N/A,#N/A,FALSE,"REK-TPML";#N/A,#N/A,FALSE,"RAB-TEMPEL"}</definedName>
    <definedName name="wrn.rtpl." localSheetId="4" hidden="1">{#N/A,#N/A,FALSE,"REK-S-TPL";#N/A,#N/A,FALSE,"REK-TPML";#N/A,#N/A,FALSE,"RAB-TEMPEL"}</definedName>
    <definedName name="wrn.rtpl." localSheetId="5" hidden="1">{#N/A,#N/A,FALSE,"REK-S-TPL";#N/A,#N/A,FALSE,"REK-TPML";#N/A,#N/A,FALSE,"RAB-TEMPEL"}</definedName>
    <definedName name="wrn.rtpl." localSheetId="13" hidden="1">{#N/A,#N/A,FALSE,"REK-S-TPL";#N/A,#N/A,FALSE,"REK-TPML";#N/A,#N/A,FALSE,"RAB-TEMPEL"}</definedName>
    <definedName name="wrn.rtpl." localSheetId="1" hidden="1">{#N/A,#N/A,FALSE,"REK-S-TPL";#N/A,#N/A,FALSE,"REK-TPML";#N/A,#N/A,FALSE,"RAB-TEMPEL"}</definedName>
    <definedName name="wrn.rtpl." localSheetId="7" hidden="1">{#N/A,#N/A,FALSE,"REK-S-TPL";#N/A,#N/A,FALSE,"REK-TPML";#N/A,#N/A,FALSE,"RAB-TEMPEL"}</definedName>
    <definedName name="wrn.rtpl." localSheetId="9" hidden="1">{#N/A,#N/A,FALSE,"REK-S-TPL";#N/A,#N/A,FALSE,"REK-TPML";#N/A,#N/A,FALSE,"RAB-TEMPEL"}</definedName>
    <definedName name="wrn.rtpl." localSheetId="0" hidden="1">{#N/A,#N/A,FALSE,"REK-S-TPL";#N/A,#N/A,FALSE,"REK-TPML";#N/A,#N/A,FALSE,"RAB-TEMPEL"}</definedName>
    <definedName name="wrn.rtpl." localSheetId="3" hidden="1">{#N/A,#N/A,FALSE,"REK-S-TPL";#N/A,#N/A,FALSE,"REK-TPML";#N/A,#N/A,FALSE,"RAB-TEMPEL"}</definedName>
    <definedName name="wrn.rtpl." hidden="1">{#N/A,#N/A,FALSE,"REK-S-TPL";#N/A,#N/A,FALSE,"REK-TPML";#N/A,#N/A,FALSE,"RAB-TEMPEL"}</definedName>
    <definedName name="wrn.rtpl.1" localSheetId="6" hidden="1">{#N/A,#N/A,FALSE,"REK-S-TPL";#N/A,#N/A,FALSE,"REK-TPML";#N/A,#N/A,FALSE,"RAB-TEMPEL"}</definedName>
    <definedName name="wrn.rtpl.1" localSheetId="8" hidden="1">{#N/A,#N/A,FALSE,"REK-S-TPL";#N/A,#N/A,FALSE,"REK-TPML";#N/A,#N/A,FALSE,"RAB-TEMPEL"}</definedName>
    <definedName name="wrn.rtpl.1" localSheetId="10" hidden="1">{#N/A,#N/A,FALSE,"REK-S-TPL";#N/A,#N/A,FALSE,"REK-TPML";#N/A,#N/A,FALSE,"RAB-TEMPEL"}</definedName>
    <definedName name="wrn.rtpl.1" localSheetId="2" hidden="1">{#N/A,#N/A,FALSE,"REK-S-TPL";#N/A,#N/A,FALSE,"REK-TPML";#N/A,#N/A,FALSE,"RAB-TEMPEL"}</definedName>
    <definedName name="wrn.rtpl.1" localSheetId="4" hidden="1">{#N/A,#N/A,FALSE,"REK-S-TPL";#N/A,#N/A,FALSE,"REK-TPML";#N/A,#N/A,FALSE,"RAB-TEMPEL"}</definedName>
    <definedName name="wrn.rtpl.1" localSheetId="5" hidden="1">{#N/A,#N/A,FALSE,"REK-S-TPL";#N/A,#N/A,FALSE,"REK-TPML";#N/A,#N/A,FALSE,"RAB-TEMPEL"}</definedName>
    <definedName name="wrn.rtpl.1" localSheetId="13" hidden="1">{#N/A,#N/A,FALSE,"REK-S-TPL";#N/A,#N/A,FALSE,"REK-TPML";#N/A,#N/A,FALSE,"RAB-TEMPEL"}</definedName>
    <definedName name="wrn.rtpl.1" localSheetId="1" hidden="1">{#N/A,#N/A,FALSE,"REK-S-TPL";#N/A,#N/A,FALSE,"REK-TPML";#N/A,#N/A,FALSE,"RAB-TEMPEL"}</definedName>
    <definedName name="wrn.rtpl.1" localSheetId="7" hidden="1">{#N/A,#N/A,FALSE,"REK-S-TPL";#N/A,#N/A,FALSE,"REK-TPML";#N/A,#N/A,FALSE,"RAB-TEMPEL"}</definedName>
    <definedName name="wrn.rtpl.1" localSheetId="9" hidden="1">{#N/A,#N/A,FALSE,"REK-S-TPL";#N/A,#N/A,FALSE,"REK-TPML";#N/A,#N/A,FALSE,"RAB-TEMPEL"}</definedName>
    <definedName name="wrn.rtpl.1" localSheetId="0" hidden="1">{#N/A,#N/A,FALSE,"REK-S-TPL";#N/A,#N/A,FALSE,"REK-TPML";#N/A,#N/A,FALSE,"RAB-TEMPEL"}</definedName>
    <definedName name="wrn.rtpl.1" localSheetId="3" hidden="1">{#N/A,#N/A,FALSE,"REK-S-TPL";#N/A,#N/A,FALSE,"REK-TPML";#N/A,#N/A,FALSE,"RAB-TEMPEL"}</definedName>
    <definedName name="wrn.rtpl.1" hidden="1">{#N/A,#N/A,FALSE,"REK-S-TPL";#N/A,#N/A,FALSE,"REK-TPML";#N/A,#N/A,FALSE,"RAB-TEMPEL"}</definedName>
    <definedName name="wrn.rtpl.2" localSheetId="6" hidden="1">{#N/A,#N/A,FALSE,"REK-S-TPL";#N/A,#N/A,FALSE,"REK-TPML";#N/A,#N/A,FALSE,"RAB-TEMPEL"}</definedName>
    <definedName name="wrn.rtpl.2" localSheetId="8" hidden="1">{#N/A,#N/A,FALSE,"REK-S-TPL";#N/A,#N/A,FALSE,"REK-TPML";#N/A,#N/A,FALSE,"RAB-TEMPEL"}</definedName>
    <definedName name="wrn.rtpl.2" localSheetId="10" hidden="1">{#N/A,#N/A,FALSE,"REK-S-TPL";#N/A,#N/A,FALSE,"REK-TPML";#N/A,#N/A,FALSE,"RAB-TEMPEL"}</definedName>
    <definedName name="wrn.rtpl.2" localSheetId="2" hidden="1">{#N/A,#N/A,FALSE,"REK-S-TPL";#N/A,#N/A,FALSE,"REK-TPML";#N/A,#N/A,FALSE,"RAB-TEMPEL"}</definedName>
    <definedName name="wrn.rtpl.2" localSheetId="4" hidden="1">{#N/A,#N/A,FALSE,"REK-S-TPL";#N/A,#N/A,FALSE,"REK-TPML";#N/A,#N/A,FALSE,"RAB-TEMPEL"}</definedName>
    <definedName name="wrn.rtpl.2" localSheetId="5" hidden="1">{#N/A,#N/A,FALSE,"REK-S-TPL";#N/A,#N/A,FALSE,"REK-TPML";#N/A,#N/A,FALSE,"RAB-TEMPEL"}</definedName>
    <definedName name="wrn.rtpl.2" localSheetId="13" hidden="1">{#N/A,#N/A,FALSE,"REK-S-TPL";#N/A,#N/A,FALSE,"REK-TPML";#N/A,#N/A,FALSE,"RAB-TEMPEL"}</definedName>
    <definedName name="wrn.rtpl.2" localSheetId="1" hidden="1">{#N/A,#N/A,FALSE,"REK-S-TPL";#N/A,#N/A,FALSE,"REK-TPML";#N/A,#N/A,FALSE,"RAB-TEMPEL"}</definedName>
    <definedName name="wrn.rtpl.2" localSheetId="7" hidden="1">{#N/A,#N/A,FALSE,"REK-S-TPL";#N/A,#N/A,FALSE,"REK-TPML";#N/A,#N/A,FALSE,"RAB-TEMPEL"}</definedName>
    <definedName name="wrn.rtpl.2" localSheetId="9" hidden="1">{#N/A,#N/A,FALSE,"REK-S-TPL";#N/A,#N/A,FALSE,"REK-TPML";#N/A,#N/A,FALSE,"RAB-TEMPEL"}</definedName>
    <definedName name="wrn.rtpl.2" localSheetId="0" hidden="1">{#N/A,#N/A,FALSE,"REK-S-TPL";#N/A,#N/A,FALSE,"REK-TPML";#N/A,#N/A,FALSE,"RAB-TEMPEL"}</definedName>
    <definedName name="wrn.rtpl.2" localSheetId="3" hidden="1">{#N/A,#N/A,FALSE,"REK-S-TPL";#N/A,#N/A,FALSE,"REK-TPML";#N/A,#N/A,FALSE,"RAB-TEMPEL"}</definedName>
    <definedName name="wrn.rtpl.2" hidden="1">{#N/A,#N/A,FALSE,"REK-S-TPL";#N/A,#N/A,FALSE,"REK-TPML";#N/A,#N/A,FALSE,"RAB-TEMPEL"}</definedName>
    <definedName name="wrn.rtpl.3" localSheetId="6" hidden="1">{#N/A,#N/A,FALSE,"REK-S-TPL";#N/A,#N/A,FALSE,"REK-TPML";#N/A,#N/A,FALSE,"RAB-TEMPEL"}</definedName>
    <definedName name="wrn.rtpl.3" localSheetId="8" hidden="1">{#N/A,#N/A,FALSE,"REK-S-TPL";#N/A,#N/A,FALSE,"REK-TPML";#N/A,#N/A,FALSE,"RAB-TEMPEL"}</definedName>
    <definedName name="wrn.rtpl.3" localSheetId="10" hidden="1">{#N/A,#N/A,FALSE,"REK-S-TPL";#N/A,#N/A,FALSE,"REK-TPML";#N/A,#N/A,FALSE,"RAB-TEMPEL"}</definedName>
    <definedName name="wrn.rtpl.3" localSheetId="2" hidden="1">{#N/A,#N/A,FALSE,"REK-S-TPL";#N/A,#N/A,FALSE,"REK-TPML";#N/A,#N/A,FALSE,"RAB-TEMPEL"}</definedName>
    <definedName name="wrn.rtpl.3" localSheetId="4" hidden="1">{#N/A,#N/A,FALSE,"REK-S-TPL";#N/A,#N/A,FALSE,"REK-TPML";#N/A,#N/A,FALSE,"RAB-TEMPEL"}</definedName>
    <definedName name="wrn.rtpl.3" localSheetId="5" hidden="1">{#N/A,#N/A,FALSE,"REK-S-TPL";#N/A,#N/A,FALSE,"REK-TPML";#N/A,#N/A,FALSE,"RAB-TEMPEL"}</definedName>
    <definedName name="wrn.rtpl.3" localSheetId="13" hidden="1">{#N/A,#N/A,FALSE,"REK-S-TPL";#N/A,#N/A,FALSE,"REK-TPML";#N/A,#N/A,FALSE,"RAB-TEMPEL"}</definedName>
    <definedName name="wrn.rtpl.3" localSheetId="1" hidden="1">{#N/A,#N/A,FALSE,"REK-S-TPL";#N/A,#N/A,FALSE,"REK-TPML";#N/A,#N/A,FALSE,"RAB-TEMPEL"}</definedName>
    <definedName name="wrn.rtpl.3" localSheetId="7" hidden="1">{#N/A,#N/A,FALSE,"REK-S-TPL";#N/A,#N/A,FALSE,"REK-TPML";#N/A,#N/A,FALSE,"RAB-TEMPEL"}</definedName>
    <definedName name="wrn.rtpl.3" localSheetId="9" hidden="1">{#N/A,#N/A,FALSE,"REK-S-TPL";#N/A,#N/A,FALSE,"REK-TPML";#N/A,#N/A,FALSE,"RAB-TEMPEL"}</definedName>
    <definedName name="wrn.rtpl.3" localSheetId="0" hidden="1">{#N/A,#N/A,FALSE,"REK-S-TPL";#N/A,#N/A,FALSE,"REK-TPML";#N/A,#N/A,FALSE,"RAB-TEMPEL"}</definedName>
    <definedName name="wrn.rtpl.3" localSheetId="3" hidden="1">{#N/A,#N/A,FALSE,"REK-S-TPL";#N/A,#N/A,FALSE,"REK-TPML";#N/A,#N/A,FALSE,"RAB-TEMPEL"}</definedName>
    <definedName name="wrn.rtpl.3" hidden="1">{#N/A,#N/A,FALSE,"REK-S-TPL";#N/A,#N/A,FALSE,"REK-TPML";#N/A,#N/A,FALSE,"RAB-TEMPEL"}</definedName>
    <definedName name="wrn.ry." localSheetId="6" hidden="1">{#N/A,#N/A,FALSE,"REK";#N/A,#N/A,FALSE,"rab"}</definedName>
    <definedName name="wrn.ry." localSheetId="8" hidden="1">{#N/A,#N/A,FALSE,"REK";#N/A,#N/A,FALSE,"rab"}</definedName>
    <definedName name="wrn.ry." localSheetId="10" hidden="1">{#N/A,#N/A,FALSE,"REK";#N/A,#N/A,FALSE,"rab"}</definedName>
    <definedName name="wrn.ry." localSheetId="2" hidden="1">{#N/A,#N/A,FALSE,"REK";#N/A,#N/A,FALSE,"rab"}</definedName>
    <definedName name="wrn.ry." localSheetId="4" hidden="1">{#N/A,#N/A,FALSE,"REK";#N/A,#N/A,FALSE,"rab"}</definedName>
    <definedName name="wrn.ry." localSheetId="5" hidden="1">{#N/A,#N/A,FALSE,"REK";#N/A,#N/A,FALSE,"rab"}</definedName>
    <definedName name="wrn.ry." localSheetId="13" hidden="1">{#N/A,#N/A,FALSE,"REK";#N/A,#N/A,FALSE,"rab"}</definedName>
    <definedName name="wrn.ry." localSheetId="1" hidden="1">{#N/A,#N/A,FALSE,"REK";#N/A,#N/A,FALSE,"rab"}</definedName>
    <definedName name="wrn.ry." localSheetId="7" hidden="1">{#N/A,#N/A,FALSE,"REK";#N/A,#N/A,FALSE,"rab"}</definedName>
    <definedName name="wrn.ry." localSheetId="9" hidden="1">{#N/A,#N/A,FALSE,"REK";#N/A,#N/A,FALSE,"rab"}</definedName>
    <definedName name="wrn.ry." localSheetId="0" hidden="1">{#N/A,#N/A,FALSE,"REK";#N/A,#N/A,FALSE,"rab"}</definedName>
    <definedName name="wrn.ry." localSheetId="3" hidden="1">{#N/A,#N/A,FALSE,"REK";#N/A,#N/A,FALSE,"rab"}</definedName>
    <definedName name="wrn.ry." hidden="1">{#N/A,#N/A,FALSE,"REK";#N/A,#N/A,FALSE,"rab"}</definedName>
    <definedName name="wrn.ry.1" localSheetId="6" hidden="1">{#N/A,#N/A,FALSE,"REK";#N/A,#N/A,FALSE,"rab"}</definedName>
    <definedName name="wrn.ry.1" localSheetId="8" hidden="1">{#N/A,#N/A,FALSE,"REK";#N/A,#N/A,FALSE,"rab"}</definedName>
    <definedName name="wrn.ry.1" localSheetId="10" hidden="1">{#N/A,#N/A,FALSE,"REK";#N/A,#N/A,FALSE,"rab"}</definedName>
    <definedName name="wrn.ry.1" localSheetId="2" hidden="1">{#N/A,#N/A,FALSE,"REK";#N/A,#N/A,FALSE,"rab"}</definedName>
    <definedName name="wrn.ry.1" localSheetId="4" hidden="1">{#N/A,#N/A,FALSE,"REK";#N/A,#N/A,FALSE,"rab"}</definedName>
    <definedName name="wrn.ry.1" localSheetId="5" hidden="1">{#N/A,#N/A,FALSE,"REK";#N/A,#N/A,FALSE,"rab"}</definedName>
    <definedName name="wrn.ry.1" localSheetId="13" hidden="1">{#N/A,#N/A,FALSE,"REK";#N/A,#N/A,FALSE,"rab"}</definedName>
    <definedName name="wrn.ry.1" localSheetId="1" hidden="1">{#N/A,#N/A,FALSE,"REK";#N/A,#N/A,FALSE,"rab"}</definedName>
    <definedName name="wrn.ry.1" localSheetId="7" hidden="1">{#N/A,#N/A,FALSE,"REK";#N/A,#N/A,FALSE,"rab"}</definedName>
    <definedName name="wrn.ry.1" localSheetId="9" hidden="1">{#N/A,#N/A,FALSE,"REK";#N/A,#N/A,FALSE,"rab"}</definedName>
    <definedName name="wrn.ry.1" localSheetId="0" hidden="1">{#N/A,#N/A,FALSE,"REK";#N/A,#N/A,FALSE,"rab"}</definedName>
    <definedName name="wrn.ry.1" localSheetId="3" hidden="1">{#N/A,#N/A,FALSE,"REK";#N/A,#N/A,FALSE,"rab"}</definedName>
    <definedName name="wrn.ry.1" hidden="1">{#N/A,#N/A,FALSE,"REK";#N/A,#N/A,FALSE,"rab"}</definedName>
    <definedName name="wrn.ry.3" localSheetId="6" hidden="1">{#N/A,#N/A,FALSE,"REK";#N/A,#N/A,FALSE,"rab"}</definedName>
    <definedName name="wrn.ry.3" localSheetId="8" hidden="1">{#N/A,#N/A,FALSE,"REK";#N/A,#N/A,FALSE,"rab"}</definedName>
    <definedName name="wrn.ry.3" localSheetId="10" hidden="1">{#N/A,#N/A,FALSE,"REK";#N/A,#N/A,FALSE,"rab"}</definedName>
    <definedName name="wrn.ry.3" localSheetId="2" hidden="1">{#N/A,#N/A,FALSE,"REK";#N/A,#N/A,FALSE,"rab"}</definedName>
    <definedName name="wrn.ry.3" localSheetId="4" hidden="1">{#N/A,#N/A,FALSE,"REK";#N/A,#N/A,FALSE,"rab"}</definedName>
    <definedName name="wrn.ry.3" localSheetId="5" hidden="1">{#N/A,#N/A,FALSE,"REK";#N/A,#N/A,FALSE,"rab"}</definedName>
    <definedName name="wrn.ry.3" localSheetId="13" hidden="1">{#N/A,#N/A,FALSE,"REK";#N/A,#N/A,FALSE,"rab"}</definedName>
    <definedName name="wrn.ry.3" localSheetId="1" hidden="1">{#N/A,#N/A,FALSE,"REK";#N/A,#N/A,FALSE,"rab"}</definedName>
    <definedName name="wrn.ry.3" localSheetId="7" hidden="1">{#N/A,#N/A,FALSE,"REK";#N/A,#N/A,FALSE,"rab"}</definedName>
    <definedName name="wrn.ry.3" localSheetId="9" hidden="1">{#N/A,#N/A,FALSE,"REK";#N/A,#N/A,FALSE,"rab"}</definedName>
    <definedName name="wrn.ry.3" localSheetId="0" hidden="1">{#N/A,#N/A,FALSE,"REK";#N/A,#N/A,FALSE,"rab"}</definedName>
    <definedName name="wrn.ry.3" localSheetId="3" hidden="1">{#N/A,#N/A,FALSE,"REK";#N/A,#N/A,FALSE,"rab"}</definedName>
    <definedName name="wrn.ry.3" hidden="1">{#N/A,#N/A,FALSE,"REK";#N/A,#N/A,FALSE,"rab"}</definedName>
    <definedName name="wrn.semuanya." localSheetId="6" hidden="1">{#N/A,#N/A,FALSE,"REKAP";#N/A,#N/A,FALSE,"ITEM"}</definedName>
    <definedName name="wrn.semuanya." localSheetId="8" hidden="1">{#N/A,#N/A,FALSE,"REKAP";#N/A,#N/A,FALSE,"ITEM"}</definedName>
    <definedName name="wrn.semuanya." localSheetId="10" hidden="1">{#N/A,#N/A,FALSE,"REKAP";#N/A,#N/A,FALSE,"ITEM"}</definedName>
    <definedName name="wrn.semuanya." localSheetId="2" hidden="1">{#N/A,#N/A,FALSE,"REKAP";#N/A,#N/A,FALSE,"ITEM"}</definedName>
    <definedName name="wrn.semuanya." localSheetId="4" hidden="1">{#N/A,#N/A,FALSE,"REKAP";#N/A,#N/A,FALSE,"ITEM"}</definedName>
    <definedName name="wrn.semuanya." localSheetId="5" hidden="1">{#N/A,#N/A,FALSE,"REKAP";#N/A,#N/A,FALSE,"ITEM"}</definedName>
    <definedName name="wrn.semuanya." localSheetId="13" hidden="1">{#N/A,#N/A,FALSE,"REKAP";#N/A,#N/A,FALSE,"ITEM"}</definedName>
    <definedName name="wrn.semuanya." localSheetId="1" hidden="1">{#N/A,#N/A,FALSE,"REKAP";#N/A,#N/A,FALSE,"ITEM"}</definedName>
    <definedName name="wrn.semuanya." localSheetId="7" hidden="1">{#N/A,#N/A,FALSE,"REKAP";#N/A,#N/A,FALSE,"ITEM"}</definedName>
    <definedName name="wrn.semuanya." localSheetId="9" hidden="1">{#N/A,#N/A,FALSE,"REKAP";#N/A,#N/A,FALSE,"ITEM"}</definedName>
    <definedName name="wrn.semuanya." localSheetId="0" hidden="1">{#N/A,#N/A,FALSE,"REKAP";#N/A,#N/A,FALSE,"ITEM"}</definedName>
    <definedName name="wrn.semuanya." localSheetId="3" hidden="1">{#N/A,#N/A,FALSE,"REKAP";#N/A,#N/A,FALSE,"ITEM"}</definedName>
    <definedName name="wrn.semuanya." hidden="1">{#N/A,#N/A,FALSE,"REKAP";#N/A,#N/A,FALSE,"ITEM"}</definedName>
    <definedName name="xxxx" localSheetId="6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8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10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2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4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5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13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1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7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9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0" hidden="1">{"Offgrid",#N/A,FALSE,"OFFGRID";"Region",#N/A,FALSE,"REGION";"Offgrid -2",#N/A,FALSE,"OFFGRID";"WTP",#N/A,FALSE,"WTP";"WTP -2",#N/A,FALSE,"WTP";"Project",#N/A,FALSE,"PROJECT";"Summary -2",#N/A,FALSE,"SUMMARY"}</definedName>
    <definedName name="xxxx" localSheetId="3" hidden="1">{"Offgrid",#N/A,FALSE,"OFFGRID";"Region",#N/A,FALSE,"REGION";"Offgrid -2",#N/A,FALSE,"OFFGRID";"WTP",#N/A,FALSE,"WTP";"WTP -2",#N/A,FALSE,"WTP";"Project",#N/A,FALSE,"PROJECT";"Summary -2",#N/A,FALSE,"SUMMARY"}</definedName>
    <definedName name="xxxx" hidden="1">{"Offgrid",#N/A,FALSE,"OFFGRID";"Region",#N/A,FALSE,"REGION";"Offgrid -2",#N/A,FALSE,"OFFGRID";"WTP",#N/A,FALSE,"WTP";"WTP -2",#N/A,FALSE,"WTP";"Project",#N/A,FALSE,"PROJECT";"Summary -2",#N/A,FALSE,"SUMMARY"}</definedName>
    <definedName name="yayuk" localSheetId="6" hidden="1">#REF!</definedName>
    <definedName name="yayuk" localSheetId="8" hidden="1">#REF!</definedName>
    <definedName name="yayuk" localSheetId="10" hidden="1">#REF!</definedName>
    <definedName name="yayuk" localSheetId="2" hidden="1">#REF!</definedName>
    <definedName name="yayuk" localSheetId="4" hidden="1">#REF!</definedName>
    <definedName name="yayuk" localSheetId="5" hidden="1">#REF!</definedName>
    <definedName name="yayuk" localSheetId="13" hidden="1">#REF!</definedName>
    <definedName name="yayuk" localSheetId="1" hidden="1">#REF!</definedName>
    <definedName name="yayuk" localSheetId="7" hidden="1">#REF!</definedName>
    <definedName name="yayuk" localSheetId="9" hidden="1">#REF!</definedName>
    <definedName name="yayuk" localSheetId="0" hidden="1">#REF!</definedName>
    <definedName name="yayuk" localSheetId="17" hidden="1">#REF!</definedName>
    <definedName name="yayuk" localSheetId="3" hidden="1">#REF!</definedName>
    <definedName name="yayuk" hidden="1">#REF!</definedName>
    <definedName name="ynkim" localSheetId="6" hidden="1">{#N/A,#N/A,TRUE,"Basic";#N/A,#N/A,TRUE,"EXT-TABLE";#N/A,#N/A,TRUE,"STEEL";#N/A,#N/A,TRUE,"INT-Table";#N/A,#N/A,TRUE,"STEEL";#N/A,#N/A,TRUE,"Door"}</definedName>
    <definedName name="ynkim" localSheetId="8" hidden="1">{#N/A,#N/A,TRUE,"Basic";#N/A,#N/A,TRUE,"EXT-TABLE";#N/A,#N/A,TRUE,"STEEL";#N/A,#N/A,TRUE,"INT-Table";#N/A,#N/A,TRUE,"STEEL";#N/A,#N/A,TRUE,"Door"}</definedName>
    <definedName name="ynkim" localSheetId="10" hidden="1">{#N/A,#N/A,TRUE,"Basic";#N/A,#N/A,TRUE,"EXT-TABLE";#N/A,#N/A,TRUE,"STEEL";#N/A,#N/A,TRUE,"INT-Table";#N/A,#N/A,TRUE,"STEEL";#N/A,#N/A,TRUE,"Door"}</definedName>
    <definedName name="ynkim" localSheetId="2" hidden="1">{#N/A,#N/A,TRUE,"Basic";#N/A,#N/A,TRUE,"EXT-TABLE";#N/A,#N/A,TRUE,"STEEL";#N/A,#N/A,TRUE,"INT-Table";#N/A,#N/A,TRUE,"STEEL";#N/A,#N/A,TRUE,"Door"}</definedName>
    <definedName name="ynkim" localSheetId="4" hidden="1">{#N/A,#N/A,TRUE,"Basic";#N/A,#N/A,TRUE,"EXT-TABLE";#N/A,#N/A,TRUE,"STEEL";#N/A,#N/A,TRUE,"INT-Table";#N/A,#N/A,TRUE,"STEEL";#N/A,#N/A,TRUE,"Door"}</definedName>
    <definedName name="ynkim" localSheetId="5" hidden="1">{#N/A,#N/A,TRUE,"Basic";#N/A,#N/A,TRUE,"EXT-TABLE";#N/A,#N/A,TRUE,"STEEL";#N/A,#N/A,TRUE,"INT-Table";#N/A,#N/A,TRUE,"STEEL";#N/A,#N/A,TRUE,"Door"}</definedName>
    <definedName name="ynkim" localSheetId="13" hidden="1">{#N/A,#N/A,TRUE,"Basic";#N/A,#N/A,TRUE,"EXT-TABLE";#N/A,#N/A,TRUE,"STEEL";#N/A,#N/A,TRUE,"INT-Table";#N/A,#N/A,TRUE,"STEEL";#N/A,#N/A,TRUE,"Door"}</definedName>
    <definedName name="ynkim" localSheetId="1" hidden="1">{#N/A,#N/A,TRUE,"Basic";#N/A,#N/A,TRUE,"EXT-TABLE";#N/A,#N/A,TRUE,"STEEL";#N/A,#N/A,TRUE,"INT-Table";#N/A,#N/A,TRUE,"STEEL";#N/A,#N/A,TRUE,"Door"}</definedName>
    <definedName name="ynkim" localSheetId="7" hidden="1">{#N/A,#N/A,TRUE,"Basic";#N/A,#N/A,TRUE,"EXT-TABLE";#N/A,#N/A,TRUE,"STEEL";#N/A,#N/A,TRUE,"INT-Table";#N/A,#N/A,TRUE,"STEEL";#N/A,#N/A,TRUE,"Door"}</definedName>
    <definedName name="ynkim" localSheetId="9" hidden="1">{#N/A,#N/A,TRUE,"Basic";#N/A,#N/A,TRUE,"EXT-TABLE";#N/A,#N/A,TRUE,"STEEL";#N/A,#N/A,TRUE,"INT-Table";#N/A,#N/A,TRUE,"STEEL";#N/A,#N/A,TRUE,"Door"}</definedName>
    <definedName name="ynkim" localSheetId="0" hidden="1">{#N/A,#N/A,TRUE,"Basic";#N/A,#N/A,TRUE,"EXT-TABLE";#N/A,#N/A,TRUE,"STEEL";#N/A,#N/A,TRUE,"INT-Table";#N/A,#N/A,TRUE,"STEEL";#N/A,#N/A,TRUE,"Door"}</definedName>
    <definedName name="ynkim" localSheetId="3" hidden="1">{#N/A,#N/A,TRUE,"Basic";#N/A,#N/A,TRUE,"EXT-TABLE";#N/A,#N/A,TRUE,"STEEL";#N/A,#N/A,TRUE,"INT-Table";#N/A,#N/A,TRUE,"STEEL";#N/A,#N/A,TRUE,"Door"}</definedName>
    <definedName name="ynkim" hidden="1">{#N/A,#N/A,TRUE,"Basic";#N/A,#N/A,TRUE,"EXT-TABLE";#N/A,#N/A,TRUE,"STEEL";#N/A,#N/A,TRUE,"INT-Table";#N/A,#N/A,TRUE,"STEEL";#N/A,#N/A,TRUE,"Door"}</definedName>
    <definedName name="Z_4900D912_D400_4A61_8DD9_12CD5711EDE2_.wvu.FilterData" localSheetId="13" hidden="1">'[28]HRG BAHAN &amp; UPAH okk'!#REF!</definedName>
    <definedName name="Z_4900D912_D400_4A61_8DD9_12CD5711EDE2_.wvu.FilterData" hidden="1">'[28]HRG BAHAN &amp; UPAH okk'!#REF!</definedName>
    <definedName name="Z_4A4DBCF5_6E02_43D6_8F4D_223D21633DB8_.wvu.PrintArea" localSheetId="8" hidden="1">#REF!</definedName>
    <definedName name="Z_4A4DBCF5_6E02_43D6_8F4D_223D21633DB8_.wvu.PrintArea" localSheetId="13" hidden="1">#REF!</definedName>
    <definedName name="Z_4A4DBCF5_6E02_43D6_8F4D_223D21633DB8_.wvu.PrintArea" localSheetId="9" hidden="1">#REF!</definedName>
    <definedName name="Z_4A4DBCF5_6E02_43D6_8F4D_223D21633DB8_.wvu.PrintArea" hidden="1">#REF!</definedName>
    <definedName name="Z_4A4DBCF5_6E02_43D6_8F4D_223D21633DB8_.wvu.Rows" hidden="1">'[49]Analisa SNI STANDART '!$A$155:$IV$155,'[49]Analisa SNI STANDART '!$A$3144:$IV$3431</definedName>
    <definedName name="Z_5107985B_0AF1_481E_8B01_41E5AE471770_.wvu.FilterData" localSheetId="8" hidden="1">'[28]HRG BAHAN &amp; UPAH okk'!#REF!</definedName>
    <definedName name="Z_5107985B_0AF1_481E_8B01_41E5AE471770_.wvu.FilterData" localSheetId="13" hidden="1">'[28]HRG BAHAN &amp; UPAH okk'!#REF!</definedName>
    <definedName name="Z_5107985B_0AF1_481E_8B01_41E5AE471770_.wvu.FilterData" localSheetId="9" hidden="1">'[28]HRG BAHAN &amp; UPAH okk'!#REF!</definedName>
    <definedName name="Z_5107985B_0AF1_481E_8B01_41E5AE471770_.wvu.FilterData" hidden="1">'[28]HRG BAHAN &amp; UPAH okk'!#REF!</definedName>
    <definedName name="Z_60C09D59_E1B8_4DE0_84A5_C4D52EC877AC_.wvu.Rows" hidden="1">'[28]Analis Kusen okk'!$A$17:$IV$20,'[28]Analis Kusen okk'!$A$25:$IV$26,'[28]Analis Kusen okk'!$A$28:$IV$30,'[28]Analis Kusen okk'!$A$33:$IV$42,'[28]Analis Kusen okk'!$A$44:$IV$44,'[28]Analis Kusen okk'!$A$47:$IV$50,'[28]Analis Kusen okk'!$A$52:$IV$60,'[28]Analis Kusen okk'!$A$65:$IV$67,'[28]Analis Kusen okk'!$A$143:$IV$878</definedName>
    <definedName name="Z_905CC869_795C_4E5E_B879_52BB42470404_.wvu.FilterData" localSheetId="8" hidden="1">'[28]HRG BAHAN &amp; UPAH okk'!#REF!</definedName>
    <definedName name="Z_905CC869_795C_4E5E_B879_52BB42470404_.wvu.FilterData" localSheetId="13" hidden="1">'[28]HRG BAHAN &amp; UPAH okk'!#REF!</definedName>
    <definedName name="Z_905CC869_795C_4E5E_B879_52BB42470404_.wvu.FilterData" localSheetId="9" hidden="1">'[28]HRG BAHAN &amp; UPAH okk'!#REF!</definedName>
    <definedName name="Z_905CC869_795C_4E5E_B879_52BB42470404_.wvu.FilterData" hidden="1">'[28]HRG BAHAN &amp; UPAH okk'!#REF!</definedName>
    <definedName name="Z_951381D6_C6D1_4C6C_A572_59CAF1F656FA_.wvu.Rows" localSheetId="8" hidden="1">#REF!</definedName>
    <definedName name="Z_951381D6_C6D1_4C6C_A572_59CAF1F656FA_.wvu.Rows" localSheetId="13" hidden="1">#REF!</definedName>
    <definedName name="Z_951381D6_C6D1_4C6C_A572_59CAF1F656FA_.wvu.Rows" localSheetId="9" hidden="1">#REF!</definedName>
    <definedName name="Z_951381D6_C6D1_4C6C_A572_59CAF1F656FA_.wvu.Rows" hidden="1">#REF!</definedName>
    <definedName name="Z_C5F07B99_5B9B_4D7E_8E51_7715CFFC23CA_.wvu.Rows" localSheetId="6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8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10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2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4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5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13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1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7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9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0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localSheetId="3" hidden="1">[50]Estimate!$A$32:$IV$42,[50]Estimate!$A$56:$IV$63,[50]Estimate!$A$69:$IV$72,[50]Estimate!$A$85:$IV$90,[50]Estimate!$A$103:$IV$108,[50]Estimate!$A$125:$IV$126,[50]Estimate!$A$142:$IV$147,[50]Estimate!$A$151:$IV$154,[50]Estimate!$A$158:$IV$191,[50]Estimate!$A$193:$IV$194,[50]Estimate!$A$198:$IV$225,[50]Estimate!$A$227:$IV$232,[50]Estimate!$A$253:$IV$254,[50]Estimate!$A$265:$IV$274,[50]Estimate!$A$287:$IV$316,[50]Estimate!$A$319:$IV$354</definedName>
    <definedName name="Z_C5F07B99_5B9B_4D7E_8E51_7715CFFC23CA_.wvu.Rows" hidden="1">[50]Estimate!$32:$42,[50]Estimate!$56:$63,[50]Estimate!$69:$72,[50]Estimate!$85:$90,[50]Estimate!$103:$108,[50]Estimate!$125:$126,[50]Estimate!$142:$147,[50]Estimate!$151:$154,[50]Estimate!$158:$191,[50]Estimate!$193:$194,[50]Estimate!$198:$225,[50]Estimate!$227:$232,[50]Estimate!$253:$254,[50]Estimate!$265:$274,[50]Estimate!$287:$316,[50]Estimate!$319:$354</definedName>
    <definedName name="Z_C68F7E66_DBEE_4C62_8CE7_6B99B31303FC_.wvu.Rows" hidden="1">'[51]AnalisaSIPIL RIIL'!$A$208:$IV$214,'[51]AnalisaSIPIL RIIL'!$A$224:$IV$231,'[51]AnalisaSIPIL RIIL'!$A$468:$IV$482</definedName>
    <definedName name="zinc">'UNIT PRICE'!$D$160</definedName>
    <definedName name="ㄱ미" localSheetId="6" hidden="1">{#N/A,#N/A,TRUE,"Basic";#N/A,#N/A,TRUE,"EXT-TABLE";#N/A,#N/A,TRUE,"STEEL";#N/A,#N/A,TRUE,"INT-Table";#N/A,#N/A,TRUE,"STEEL";#N/A,#N/A,TRUE,"Door"}</definedName>
    <definedName name="ㄱ미" localSheetId="8" hidden="1">{#N/A,#N/A,TRUE,"Basic";#N/A,#N/A,TRUE,"EXT-TABLE";#N/A,#N/A,TRUE,"STEEL";#N/A,#N/A,TRUE,"INT-Table";#N/A,#N/A,TRUE,"STEEL";#N/A,#N/A,TRUE,"Door"}</definedName>
    <definedName name="ㄱ미" localSheetId="10" hidden="1">{#N/A,#N/A,TRUE,"Basic";#N/A,#N/A,TRUE,"EXT-TABLE";#N/A,#N/A,TRUE,"STEEL";#N/A,#N/A,TRUE,"INT-Table";#N/A,#N/A,TRUE,"STEEL";#N/A,#N/A,TRUE,"Door"}</definedName>
    <definedName name="ㄱ미" localSheetId="2" hidden="1">{#N/A,#N/A,TRUE,"Basic";#N/A,#N/A,TRUE,"EXT-TABLE";#N/A,#N/A,TRUE,"STEEL";#N/A,#N/A,TRUE,"INT-Table";#N/A,#N/A,TRUE,"STEEL";#N/A,#N/A,TRUE,"Door"}</definedName>
    <definedName name="ㄱ미" localSheetId="4" hidden="1">{#N/A,#N/A,TRUE,"Basic";#N/A,#N/A,TRUE,"EXT-TABLE";#N/A,#N/A,TRUE,"STEEL";#N/A,#N/A,TRUE,"INT-Table";#N/A,#N/A,TRUE,"STEEL";#N/A,#N/A,TRUE,"Door"}</definedName>
    <definedName name="ㄱ미" localSheetId="5" hidden="1">{#N/A,#N/A,TRUE,"Basic";#N/A,#N/A,TRUE,"EXT-TABLE";#N/A,#N/A,TRUE,"STEEL";#N/A,#N/A,TRUE,"INT-Table";#N/A,#N/A,TRUE,"STEEL";#N/A,#N/A,TRUE,"Door"}</definedName>
    <definedName name="ㄱ미" localSheetId="13" hidden="1">{#N/A,#N/A,TRUE,"Basic";#N/A,#N/A,TRUE,"EXT-TABLE";#N/A,#N/A,TRUE,"STEEL";#N/A,#N/A,TRUE,"INT-Table";#N/A,#N/A,TRUE,"STEEL";#N/A,#N/A,TRUE,"Door"}</definedName>
    <definedName name="ㄱ미" localSheetId="1" hidden="1">{#N/A,#N/A,TRUE,"Basic";#N/A,#N/A,TRUE,"EXT-TABLE";#N/A,#N/A,TRUE,"STEEL";#N/A,#N/A,TRUE,"INT-Table";#N/A,#N/A,TRUE,"STEEL";#N/A,#N/A,TRUE,"Door"}</definedName>
    <definedName name="ㄱ미" localSheetId="7" hidden="1">{#N/A,#N/A,TRUE,"Basic";#N/A,#N/A,TRUE,"EXT-TABLE";#N/A,#N/A,TRUE,"STEEL";#N/A,#N/A,TRUE,"INT-Table";#N/A,#N/A,TRUE,"STEEL";#N/A,#N/A,TRUE,"Door"}</definedName>
    <definedName name="ㄱ미" localSheetId="9" hidden="1">{#N/A,#N/A,TRUE,"Basic";#N/A,#N/A,TRUE,"EXT-TABLE";#N/A,#N/A,TRUE,"STEEL";#N/A,#N/A,TRUE,"INT-Table";#N/A,#N/A,TRUE,"STEEL";#N/A,#N/A,TRUE,"Door"}</definedName>
    <definedName name="ㄱ미" localSheetId="0" hidden="1">{#N/A,#N/A,TRUE,"Basic";#N/A,#N/A,TRUE,"EXT-TABLE";#N/A,#N/A,TRUE,"STEEL";#N/A,#N/A,TRUE,"INT-Table";#N/A,#N/A,TRUE,"STEEL";#N/A,#N/A,TRUE,"Door"}</definedName>
    <definedName name="ㄱ미" localSheetId="3" hidden="1">{#N/A,#N/A,TRUE,"Basic";#N/A,#N/A,TRUE,"EXT-TABLE";#N/A,#N/A,TRUE,"STEEL";#N/A,#N/A,TRUE,"INT-Table";#N/A,#N/A,TRUE,"STEEL";#N/A,#N/A,TRUE,"Door"}</definedName>
    <definedName name="ㄱ미" hidden="1">{#N/A,#N/A,TRUE,"Basic";#N/A,#N/A,TRUE,"EXT-TABLE";#N/A,#N/A,TRUE,"STEEL";#N/A,#N/A,TRUE,"INT-Table";#N/A,#N/A,TRUE,"STEEL";#N/A,#N/A,TRUE,"Door"}</definedName>
    <definedName name="견적SHEET" localSheetId="6" hidden="1">{#N/A,#N/A,FALSE,"CCTV"}</definedName>
    <definedName name="견적SHEET" localSheetId="8" hidden="1">{#N/A,#N/A,FALSE,"CCTV"}</definedName>
    <definedName name="견적SHEET" localSheetId="10" hidden="1">{#N/A,#N/A,FALSE,"CCTV"}</definedName>
    <definedName name="견적SHEET" localSheetId="2" hidden="1">{#N/A,#N/A,FALSE,"CCTV"}</definedName>
    <definedName name="견적SHEET" localSheetId="4" hidden="1">{#N/A,#N/A,FALSE,"CCTV"}</definedName>
    <definedName name="견적SHEET" localSheetId="5" hidden="1">{#N/A,#N/A,FALSE,"CCTV"}</definedName>
    <definedName name="견적SHEET" localSheetId="13" hidden="1">{#N/A,#N/A,FALSE,"CCTV"}</definedName>
    <definedName name="견적SHEET" localSheetId="1" hidden="1">{#N/A,#N/A,FALSE,"CCTV"}</definedName>
    <definedName name="견적SHEET" localSheetId="7" hidden="1">{#N/A,#N/A,FALSE,"CCTV"}</definedName>
    <definedName name="견적SHEET" localSheetId="9" hidden="1">{#N/A,#N/A,FALSE,"CCTV"}</definedName>
    <definedName name="견적SHEET" localSheetId="0" hidden="1">{#N/A,#N/A,FALSE,"CCTV"}</definedName>
    <definedName name="견적SHEET" localSheetId="3" hidden="1">{#N/A,#N/A,FALSE,"CCTV"}</definedName>
    <definedName name="견적SHEET" hidden="1">{#N/A,#N/A,FALSE,"CCTV"}</definedName>
    <definedName name="김" localSheetId="6" hidden="1">{#N/A,#N/A,TRUE,"Basic";#N/A,#N/A,TRUE,"EXT-TABLE";#N/A,#N/A,TRUE,"STEEL";#N/A,#N/A,TRUE,"INT-Table";#N/A,#N/A,TRUE,"STEEL";#N/A,#N/A,TRUE,"Door"}</definedName>
    <definedName name="김" localSheetId="8" hidden="1">{#N/A,#N/A,TRUE,"Basic";#N/A,#N/A,TRUE,"EXT-TABLE";#N/A,#N/A,TRUE,"STEEL";#N/A,#N/A,TRUE,"INT-Table";#N/A,#N/A,TRUE,"STEEL";#N/A,#N/A,TRUE,"Door"}</definedName>
    <definedName name="김" localSheetId="10" hidden="1">{#N/A,#N/A,TRUE,"Basic";#N/A,#N/A,TRUE,"EXT-TABLE";#N/A,#N/A,TRUE,"STEEL";#N/A,#N/A,TRUE,"INT-Table";#N/A,#N/A,TRUE,"STEEL";#N/A,#N/A,TRUE,"Door"}</definedName>
    <definedName name="김" localSheetId="2" hidden="1">{#N/A,#N/A,TRUE,"Basic";#N/A,#N/A,TRUE,"EXT-TABLE";#N/A,#N/A,TRUE,"STEEL";#N/A,#N/A,TRUE,"INT-Table";#N/A,#N/A,TRUE,"STEEL";#N/A,#N/A,TRUE,"Door"}</definedName>
    <definedName name="김" localSheetId="4" hidden="1">{#N/A,#N/A,TRUE,"Basic";#N/A,#N/A,TRUE,"EXT-TABLE";#N/A,#N/A,TRUE,"STEEL";#N/A,#N/A,TRUE,"INT-Table";#N/A,#N/A,TRUE,"STEEL";#N/A,#N/A,TRUE,"Door"}</definedName>
    <definedName name="김" localSheetId="5" hidden="1">{#N/A,#N/A,TRUE,"Basic";#N/A,#N/A,TRUE,"EXT-TABLE";#N/A,#N/A,TRUE,"STEEL";#N/A,#N/A,TRUE,"INT-Table";#N/A,#N/A,TRUE,"STEEL";#N/A,#N/A,TRUE,"Door"}</definedName>
    <definedName name="김" localSheetId="13" hidden="1">{#N/A,#N/A,TRUE,"Basic";#N/A,#N/A,TRUE,"EXT-TABLE";#N/A,#N/A,TRUE,"STEEL";#N/A,#N/A,TRUE,"INT-Table";#N/A,#N/A,TRUE,"STEEL";#N/A,#N/A,TRUE,"Door"}</definedName>
    <definedName name="김" localSheetId="1" hidden="1">{#N/A,#N/A,TRUE,"Basic";#N/A,#N/A,TRUE,"EXT-TABLE";#N/A,#N/A,TRUE,"STEEL";#N/A,#N/A,TRUE,"INT-Table";#N/A,#N/A,TRUE,"STEEL";#N/A,#N/A,TRUE,"Door"}</definedName>
    <definedName name="김" localSheetId="7" hidden="1">{#N/A,#N/A,TRUE,"Basic";#N/A,#N/A,TRUE,"EXT-TABLE";#N/A,#N/A,TRUE,"STEEL";#N/A,#N/A,TRUE,"INT-Table";#N/A,#N/A,TRUE,"STEEL";#N/A,#N/A,TRUE,"Door"}</definedName>
    <definedName name="김" localSheetId="9" hidden="1">{#N/A,#N/A,TRUE,"Basic";#N/A,#N/A,TRUE,"EXT-TABLE";#N/A,#N/A,TRUE,"STEEL";#N/A,#N/A,TRUE,"INT-Table";#N/A,#N/A,TRUE,"STEEL";#N/A,#N/A,TRUE,"Door"}</definedName>
    <definedName name="김" localSheetId="0" hidden="1">{#N/A,#N/A,TRUE,"Basic";#N/A,#N/A,TRUE,"EXT-TABLE";#N/A,#N/A,TRUE,"STEEL";#N/A,#N/A,TRUE,"INT-Table";#N/A,#N/A,TRUE,"STEEL";#N/A,#N/A,TRUE,"Door"}</definedName>
    <definedName name="김" localSheetId="3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1" localSheetId="6" hidden="1">{#N/A,#N/A,TRUE,"Basic";#N/A,#N/A,TRUE,"EXT-TABLE";#N/A,#N/A,TRUE,"STEEL";#N/A,#N/A,TRUE,"INT-Table";#N/A,#N/A,TRUE,"STEEL";#N/A,#N/A,TRUE,"Door"}</definedName>
    <definedName name="김1" localSheetId="8" hidden="1">{#N/A,#N/A,TRUE,"Basic";#N/A,#N/A,TRUE,"EXT-TABLE";#N/A,#N/A,TRUE,"STEEL";#N/A,#N/A,TRUE,"INT-Table";#N/A,#N/A,TRUE,"STEEL";#N/A,#N/A,TRUE,"Door"}</definedName>
    <definedName name="김1" localSheetId="10" hidden="1">{#N/A,#N/A,TRUE,"Basic";#N/A,#N/A,TRUE,"EXT-TABLE";#N/A,#N/A,TRUE,"STEEL";#N/A,#N/A,TRUE,"INT-Table";#N/A,#N/A,TRUE,"STEEL";#N/A,#N/A,TRUE,"Door"}</definedName>
    <definedName name="김1" localSheetId="2" hidden="1">{#N/A,#N/A,TRUE,"Basic";#N/A,#N/A,TRUE,"EXT-TABLE";#N/A,#N/A,TRUE,"STEEL";#N/A,#N/A,TRUE,"INT-Table";#N/A,#N/A,TRUE,"STEEL";#N/A,#N/A,TRUE,"Door"}</definedName>
    <definedName name="김1" localSheetId="4" hidden="1">{#N/A,#N/A,TRUE,"Basic";#N/A,#N/A,TRUE,"EXT-TABLE";#N/A,#N/A,TRUE,"STEEL";#N/A,#N/A,TRUE,"INT-Table";#N/A,#N/A,TRUE,"STEEL";#N/A,#N/A,TRUE,"Door"}</definedName>
    <definedName name="김1" localSheetId="5" hidden="1">{#N/A,#N/A,TRUE,"Basic";#N/A,#N/A,TRUE,"EXT-TABLE";#N/A,#N/A,TRUE,"STEEL";#N/A,#N/A,TRUE,"INT-Table";#N/A,#N/A,TRUE,"STEEL";#N/A,#N/A,TRUE,"Door"}</definedName>
    <definedName name="김1" localSheetId="13" hidden="1">{#N/A,#N/A,TRUE,"Basic";#N/A,#N/A,TRUE,"EXT-TABLE";#N/A,#N/A,TRUE,"STEEL";#N/A,#N/A,TRUE,"INT-Table";#N/A,#N/A,TRUE,"STEEL";#N/A,#N/A,TRUE,"Door"}</definedName>
    <definedName name="김1" localSheetId="1" hidden="1">{#N/A,#N/A,TRUE,"Basic";#N/A,#N/A,TRUE,"EXT-TABLE";#N/A,#N/A,TRUE,"STEEL";#N/A,#N/A,TRUE,"INT-Table";#N/A,#N/A,TRUE,"STEEL";#N/A,#N/A,TRUE,"Door"}</definedName>
    <definedName name="김1" localSheetId="7" hidden="1">{#N/A,#N/A,TRUE,"Basic";#N/A,#N/A,TRUE,"EXT-TABLE";#N/A,#N/A,TRUE,"STEEL";#N/A,#N/A,TRUE,"INT-Table";#N/A,#N/A,TRUE,"STEEL";#N/A,#N/A,TRUE,"Door"}</definedName>
    <definedName name="김1" localSheetId="9" hidden="1">{#N/A,#N/A,TRUE,"Basic";#N/A,#N/A,TRUE,"EXT-TABLE";#N/A,#N/A,TRUE,"STEEL";#N/A,#N/A,TRUE,"INT-Table";#N/A,#N/A,TRUE,"STEEL";#N/A,#N/A,TRUE,"Door"}</definedName>
    <definedName name="김1" localSheetId="0" hidden="1">{#N/A,#N/A,TRUE,"Basic";#N/A,#N/A,TRUE,"EXT-TABLE";#N/A,#N/A,TRUE,"STEEL";#N/A,#N/A,TRUE,"INT-Table";#N/A,#N/A,TRUE,"STEEL";#N/A,#N/A,TRUE,"Door"}</definedName>
    <definedName name="김1" localSheetId="3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3" localSheetId="6" hidden="1">{#N/A,#N/A,TRUE,"Basic";#N/A,#N/A,TRUE,"EXT-TABLE";#N/A,#N/A,TRUE,"STEEL";#N/A,#N/A,TRUE,"INT-Table";#N/A,#N/A,TRUE,"STEEL";#N/A,#N/A,TRUE,"Door"}</definedName>
    <definedName name="김3" localSheetId="8" hidden="1">{#N/A,#N/A,TRUE,"Basic";#N/A,#N/A,TRUE,"EXT-TABLE";#N/A,#N/A,TRUE,"STEEL";#N/A,#N/A,TRUE,"INT-Table";#N/A,#N/A,TRUE,"STEEL";#N/A,#N/A,TRUE,"Door"}</definedName>
    <definedName name="김3" localSheetId="10" hidden="1">{#N/A,#N/A,TRUE,"Basic";#N/A,#N/A,TRUE,"EXT-TABLE";#N/A,#N/A,TRUE,"STEEL";#N/A,#N/A,TRUE,"INT-Table";#N/A,#N/A,TRUE,"STEEL";#N/A,#N/A,TRUE,"Door"}</definedName>
    <definedName name="김3" localSheetId="2" hidden="1">{#N/A,#N/A,TRUE,"Basic";#N/A,#N/A,TRUE,"EXT-TABLE";#N/A,#N/A,TRUE,"STEEL";#N/A,#N/A,TRUE,"INT-Table";#N/A,#N/A,TRUE,"STEEL";#N/A,#N/A,TRUE,"Door"}</definedName>
    <definedName name="김3" localSheetId="4" hidden="1">{#N/A,#N/A,TRUE,"Basic";#N/A,#N/A,TRUE,"EXT-TABLE";#N/A,#N/A,TRUE,"STEEL";#N/A,#N/A,TRUE,"INT-Table";#N/A,#N/A,TRUE,"STEEL";#N/A,#N/A,TRUE,"Door"}</definedName>
    <definedName name="김3" localSheetId="5" hidden="1">{#N/A,#N/A,TRUE,"Basic";#N/A,#N/A,TRUE,"EXT-TABLE";#N/A,#N/A,TRUE,"STEEL";#N/A,#N/A,TRUE,"INT-Table";#N/A,#N/A,TRUE,"STEEL";#N/A,#N/A,TRUE,"Door"}</definedName>
    <definedName name="김3" localSheetId="13" hidden="1">{#N/A,#N/A,TRUE,"Basic";#N/A,#N/A,TRUE,"EXT-TABLE";#N/A,#N/A,TRUE,"STEEL";#N/A,#N/A,TRUE,"INT-Table";#N/A,#N/A,TRUE,"STEEL";#N/A,#N/A,TRUE,"Door"}</definedName>
    <definedName name="김3" localSheetId="1" hidden="1">{#N/A,#N/A,TRUE,"Basic";#N/A,#N/A,TRUE,"EXT-TABLE";#N/A,#N/A,TRUE,"STEEL";#N/A,#N/A,TRUE,"INT-Table";#N/A,#N/A,TRUE,"STEEL";#N/A,#N/A,TRUE,"Door"}</definedName>
    <definedName name="김3" localSheetId="7" hidden="1">{#N/A,#N/A,TRUE,"Basic";#N/A,#N/A,TRUE,"EXT-TABLE";#N/A,#N/A,TRUE,"STEEL";#N/A,#N/A,TRUE,"INT-Table";#N/A,#N/A,TRUE,"STEEL";#N/A,#N/A,TRUE,"Door"}</definedName>
    <definedName name="김3" localSheetId="9" hidden="1">{#N/A,#N/A,TRUE,"Basic";#N/A,#N/A,TRUE,"EXT-TABLE";#N/A,#N/A,TRUE,"STEEL";#N/A,#N/A,TRUE,"INT-Table";#N/A,#N/A,TRUE,"STEEL";#N/A,#N/A,TRUE,"Door"}</definedName>
    <definedName name="김3" localSheetId="0" hidden="1">{#N/A,#N/A,TRUE,"Basic";#N/A,#N/A,TRUE,"EXT-TABLE";#N/A,#N/A,TRUE,"STEEL";#N/A,#N/A,TRUE,"INT-Table";#N/A,#N/A,TRUE,"STEEL";#N/A,#N/A,TRUE,"Door"}</definedName>
    <definedName name="김3" localSheetId="3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당초계획" localSheetId="13" hidden="1">#REF!</definedName>
    <definedName name="당초계획" hidden="1">#REF!</definedName>
    <definedName name="도면외주" localSheetId="8" hidden="1">#REF!</definedName>
    <definedName name="도면외주" localSheetId="13" hidden="1">#REF!</definedName>
    <definedName name="도면외주" localSheetId="9" hidden="1">#REF!</definedName>
    <definedName name="도면외주" hidden="1">#REF!</definedName>
    <definedName name="도면용역비" localSheetId="8" hidden="1">#REF!</definedName>
    <definedName name="도면용역비" localSheetId="13" hidden="1">#REF!</definedName>
    <definedName name="도면용역비" localSheetId="9" hidden="1">#REF!</definedName>
    <definedName name="도면용역비" hidden="1">#REF!</definedName>
    <definedName name="수" localSheetId="6" hidden="1">{#N/A,#N/A,TRUE,"Basic";#N/A,#N/A,TRUE,"EXT-TABLE";#N/A,#N/A,TRUE,"STEEL";#N/A,#N/A,TRUE,"INT-Table";#N/A,#N/A,TRUE,"STEEL";#N/A,#N/A,TRUE,"Door"}</definedName>
    <definedName name="수" localSheetId="8" hidden="1">{#N/A,#N/A,TRUE,"Basic";#N/A,#N/A,TRUE,"EXT-TABLE";#N/A,#N/A,TRUE,"STEEL";#N/A,#N/A,TRUE,"INT-Table";#N/A,#N/A,TRUE,"STEEL";#N/A,#N/A,TRUE,"Door"}</definedName>
    <definedName name="수" localSheetId="10" hidden="1">{#N/A,#N/A,TRUE,"Basic";#N/A,#N/A,TRUE,"EXT-TABLE";#N/A,#N/A,TRUE,"STEEL";#N/A,#N/A,TRUE,"INT-Table";#N/A,#N/A,TRUE,"STEEL";#N/A,#N/A,TRUE,"Door"}</definedName>
    <definedName name="수" localSheetId="2" hidden="1">{#N/A,#N/A,TRUE,"Basic";#N/A,#N/A,TRUE,"EXT-TABLE";#N/A,#N/A,TRUE,"STEEL";#N/A,#N/A,TRUE,"INT-Table";#N/A,#N/A,TRUE,"STEEL";#N/A,#N/A,TRUE,"Door"}</definedName>
    <definedName name="수" localSheetId="4" hidden="1">{#N/A,#N/A,TRUE,"Basic";#N/A,#N/A,TRUE,"EXT-TABLE";#N/A,#N/A,TRUE,"STEEL";#N/A,#N/A,TRUE,"INT-Table";#N/A,#N/A,TRUE,"STEEL";#N/A,#N/A,TRUE,"Door"}</definedName>
    <definedName name="수" localSheetId="5" hidden="1">{#N/A,#N/A,TRUE,"Basic";#N/A,#N/A,TRUE,"EXT-TABLE";#N/A,#N/A,TRUE,"STEEL";#N/A,#N/A,TRUE,"INT-Table";#N/A,#N/A,TRUE,"STEEL";#N/A,#N/A,TRUE,"Door"}</definedName>
    <definedName name="수" localSheetId="13" hidden="1">{#N/A,#N/A,TRUE,"Basic";#N/A,#N/A,TRUE,"EXT-TABLE";#N/A,#N/A,TRUE,"STEEL";#N/A,#N/A,TRUE,"INT-Table";#N/A,#N/A,TRUE,"STEEL";#N/A,#N/A,TRUE,"Door"}</definedName>
    <definedName name="수" localSheetId="1" hidden="1">{#N/A,#N/A,TRUE,"Basic";#N/A,#N/A,TRUE,"EXT-TABLE";#N/A,#N/A,TRUE,"STEEL";#N/A,#N/A,TRUE,"INT-Table";#N/A,#N/A,TRUE,"STEEL";#N/A,#N/A,TRUE,"Door"}</definedName>
    <definedName name="수" localSheetId="7" hidden="1">{#N/A,#N/A,TRUE,"Basic";#N/A,#N/A,TRUE,"EXT-TABLE";#N/A,#N/A,TRUE,"STEEL";#N/A,#N/A,TRUE,"INT-Table";#N/A,#N/A,TRUE,"STEEL";#N/A,#N/A,TRUE,"Door"}</definedName>
    <definedName name="수" localSheetId="9" hidden="1">{#N/A,#N/A,TRUE,"Basic";#N/A,#N/A,TRUE,"EXT-TABLE";#N/A,#N/A,TRUE,"STEEL";#N/A,#N/A,TRUE,"INT-Table";#N/A,#N/A,TRUE,"STEEL";#N/A,#N/A,TRUE,"Door"}</definedName>
    <definedName name="수" localSheetId="0" hidden="1">{#N/A,#N/A,TRUE,"Basic";#N/A,#N/A,TRUE,"EXT-TABLE";#N/A,#N/A,TRUE,"STEEL";#N/A,#N/A,TRUE,"INT-Table";#N/A,#N/A,TRUE,"STEEL";#N/A,#N/A,TRUE,"Door"}</definedName>
    <definedName name="수" localSheetId="3" hidden="1">{#N/A,#N/A,TRUE,"Basic";#N/A,#N/A,TRUE,"EXT-TABLE";#N/A,#N/A,TRUE,"STEEL";#N/A,#N/A,TRUE,"INT-Table";#N/A,#N/A,TRUE,"STEEL";#N/A,#N/A,TRUE,"Door"}</definedName>
    <definedName name="수" hidden="1">{#N/A,#N/A,TRUE,"Basic";#N/A,#N/A,TRUE,"EXT-TABLE";#N/A,#N/A,TRUE,"STEEL";#N/A,#N/A,TRUE,"INT-Table";#N/A,#N/A,TRUE,"STEEL";#N/A,#N/A,TRUE,"Door"}</definedName>
    <definedName name="전계장금액" localSheetId="13" hidden="1">#REF!</definedName>
    <definedName name="전계장금액" hidden="1">#REF!</definedName>
  </definedNames>
  <calcPr calcId="162913"/>
  <fileRecoveryPr autoRecover="0"/>
</workbook>
</file>

<file path=xl/calcChain.xml><?xml version="1.0" encoding="utf-8"?>
<calcChain xmlns="http://schemas.openxmlformats.org/spreadsheetml/2006/main">
  <c r="I136" i="73" l="1"/>
  <c r="G24" i="75" l="1"/>
  <c r="N141" i="73"/>
  <c r="J45" i="72"/>
  <c r="J40" i="72"/>
  <c r="J35" i="72"/>
  <c r="O101" i="74" l="1"/>
  <c r="K8" i="73" l="1"/>
  <c r="K9" i="71"/>
  <c r="K11" i="70"/>
  <c r="L9" i="68"/>
  <c r="L2" i="66"/>
  <c r="K8" i="72"/>
  <c r="H93" i="73" l="1"/>
  <c r="H92" i="73"/>
  <c r="J17" i="64" l="1"/>
  <c r="D383" i="10" l="1"/>
  <c r="I383" i="10"/>
  <c r="F1258" i="37"/>
  <c r="F80" i="37"/>
  <c r="F45" i="72" l="1"/>
  <c r="F44" i="72"/>
  <c r="F43" i="72"/>
  <c r="F14" i="72"/>
  <c r="F12" i="72"/>
  <c r="I45" i="72"/>
  <c r="I44" i="72"/>
  <c r="I43" i="72"/>
  <c r="I14" i="72"/>
  <c r="I12" i="72"/>
  <c r="H14" i="72"/>
  <c r="I16" i="68"/>
  <c r="G16" i="68" s="1"/>
  <c r="I15" i="68"/>
  <c r="G15" i="68" s="1"/>
  <c r="I14" i="68"/>
  <c r="J14" i="68" s="1"/>
  <c r="F17" i="75"/>
  <c r="F14" i="71"/>
  <c r="I14" i="71"/>
  <c r="B3" i="71"/>
  <c r="H14" i="71"/>
  <c r="J16" i="68" l="1"/>
  <c r="G14" i="68"/>
  <c r="J15" i="68"/>
  <c r="I15" i="72"/>
  <c r="F127" i="73"/>
  <c r="F111" i="73"/>
  <c r="F96" i="73"/>
  <c r="F95" i="73"/>
  <c r="F94" i="73"/>
  <c r="F93" i="73"/>
  <c r="F92" i="73"/>
  <c r="F46" i="73"/>
  <c r="F16" i="73"/>
  <c r="K3653" i="37"/>
  <c r="M3653" i="37" s="1"/>
  <c r="E3653" i="37" s="1"/>
  <c r="K3652" i="37"/>
  <c r="M3652" i="37" s="1"/>
  <c r="E3652" i="37" s="1"/>
  <c r="K3649" i="37"/>
  <c r="M3649" i="37" s="1"/>
  <c r="E3649" i="37" s="1"/>
  <c r="K3648" i="37"/>
  <c r="M3648" i="37" s="1"/>
  <c r="E3648" i="37" s="1"/>
  <c r="I127" i="73"/>
  <c r="I111" i="73"/>
  <c r="I3252" i="37"/>
  <c r="M3289" i="37"/>
  <c r="E3289" i="37" s="1"/>
  <c r="M3288" i="37"/>
  <c r="E3288" i="37" s="1"/>
  <c r="M3285" i="37"/>
  <c r="E3285" i="37" s="1"/>
  <c r="M3284" i="37"/>
  <c r="E3284" i="37" s="1"/>
  <c r="K3276" i="37"/>
  <c r="I3276" i="37"/>
  <c r="M3276" i="37" s="1"/>
  <c r="E3276" i="37" s="1"/>
  <c r="I3275" i="37"/>
  <c r="M3275" i="37" s="1"/>
  <c r="E3275" i="37" s="1"/>
  <c r="K3274" i="37"/>
  <c r="I3274" i="37"/>
  <c r="M3274" i="37" s="1"/>
  <c r="E3274" i="37" s="1"/>
  <c r="K3271" i="37"/>
  <c r="M3271" i="37" s="1"/>
  <c r="E3271" i="37" s="1"/>
  <c r="K3270" i="37"/>
  <c r="I3270" i="37"/>
  <c r="K3269" i="37"/>
  <c r="I3269" i="37"/>
  <c r="K3268" i="37"/>
  <c r="I3268" i="37"/>
  <c r="I3267" i="37"/>
  <c r="M3267" i="37" s="1"/>
  <c r="E3267" i="37" s="1"/>
  <c r="I3249" i="37"/>
  <c r="M3249" i="37" s="1"/>
  <c r="E3249" i="37" s="1"/>
  <c r="I3250" i="37"/>
  <c r="I3251" i="37"/>
  <c r="K3250" i="37"/>
  <c r="K3251" i="37"/>
  <c r="K3252" i="37"/>
  <c r="I3253" i="37"/>
  <c r="K3253" i="37"/>
  <c r="M3256" i="37"/>
  <c r="E3256" i="37" s="1"/>
  <c r="I3257" i="37"/>
  <c r="M3257" i="37" s="1"/>
  <c r="E3257" i="37" s="1"/>
  <c r="I3258" i="37"/>
  <c r="M3258" i="37" s="1"/>
  <c r="E3258" i="37" s="1"/>
  <c r="K3466" i="37"/>
  <c r="M3466" i="37" s="1"/>
  <c r="K3465" i="37"/>
  <c r="M3465" i="37" s="1"/>
  <c r="E3467" i="37" s="1"/>
  <c r="K3462" i="37"/>
  <c r="M3462" i="37" s="1"/>
  <c r="K3461" i="37"/>
  <c r="M3461" i="37" s="1"/>
  <c r="K3460" i="37"/>
  <c r="M3460" i="37" s="1"/>
  <c r="E3462" i="37" s="1"/>
  <c r="G3466" i="37"/>
  <c r="G3465" i="37"/>
  <c r="K3456" i="37"/>
  <c r="M3456" i="37" s="1"/>
  <c r="E3458" i="37" s="1"/>
  <c r="K3455" i="37"/>
  <c r="M3455" i="37" s="1"/>
  <c r="E3457" i="37" s="1"/>
  <c r="K3452" i="37"/>
  <c r="M3452" i="37" s="1"/>
  <c r="E3454" i="37" s="1"/>
  <c r="K3451" i="37"/>
  <c r="M3451" i="37" s="1"/>
  <c r="E3453" i="37" s="1"/>
  <c r="K3450" i="37"/>
  <c r="M3450" i="37" s="1"/>
  <c r="E3452" i="37" s="1"/>
  <c r="K3446" i="37"/>
  <c r="M3446" i="37" s="1"/>
  <c r="E3448" i="37" s="1"/>
  <c r="K3443" i="37"/>
  <c r="M3443" i="37" s="1"/>
  <c r="E3445" i="37" s="1"/>
  <c r="K3442" i="37"/>
  <c r="M3442" i="37" s="1"/>
  <c r="E3444" i="37" s="1"/>
  <c r="K3438" i="37"/>
  <c r="M3438" i="37" s="1"/>
  <c r="E3440" i="37" s="1"/>
  <c r="K3435" i="37"/>
  <c r="M3435" i="37" s="1"/>
  <c r="E3437" i="37" s="1"/>
  <c r="K3434" i="37"/>
  <c r="M3434" i="37" s="1"/>
  <c r="E3436" i="37" s="1"/>
  <c r="K3430" i="37"/>
  <c r="M3430" i="37" s="1"/>
  <c r="E3432" i="37" s="1"/>
  <c r="K3427" i="37"/>
  <c r="M3427" i="37" s="1"/>
  <c r="E3429" i="37" s="1"/>
  <c r="K3426" i="37"/>
  <c r="M3426" i="37" s="1"/>
  <c r="E3428" i="37" s="1"/>
  <c r="K3415" i="37"/>
  <c r="M3415" i="37" s="1"/>
  <c r="E3417" i="37" s="1"/>
  <c r="K3412" i="37"/>
  <c r="M3412" i="37" s="1"/>
  <c r="E3414" i="37" s="1"/>
  <c r="K3411" i="37"/>
  <c r="M3411" i="37" s="1"/>
  <c r="E3413" i="37" s="1"/>
  <c r="K3407" i="37"/>
  <c r="M3407" i="37" s="1"/>
  <c r="E3409" i="37" s="1"/>
  <c r="K3404" i="37"/>
  <c r="M3404" i="37" s="1"/>
  <c r="E3406" i="37" s="1"/>
  <c r="K3403" i="37"/>
  <c r="M3403" i="37" s="1"/>
  <c r="E3405" i="37" s="1"/>
  <c r="K3399" i="37"/>
  <c r="M3399" i="37" s="1"/>
  <c r="E3401" i="37" s="1"/>
  <c r="K3396" i="37"/>
  <c r="M3396" i="37" s="1"/>
  <c r="E3398" i="37" s="1"/>
  <c r="K3395" i="37"/>
  <c r="M3395" i="37" s="1"/>
  <c r="E3397" i="37" s="1"/>
  <c r="K3383" i="37"/>
  <c r="M3383" i="37" s="1"/>
  <c r="E3385" i="37" s="1"/>
  <c r="K3380" i="37"/>
  <c r="M3380" i="37" s="1"/>
  <c r="E3382" i="37" s="1"/>
  <c r="K3379" i="37"/>
  <c r="M3379" i="37" s="1"/>
  <c r="E3381" i="37" s="1"/>
  <c r="F3385" i="37"/>
  <c r="G3384" i="37"/>
  <c r="G3383" i="37"/>
  <c r="K3391" i="37"/>
  <c r="M3391" i="37" s="1"/>
  <c r="E3393" i="37" s="1"/>
  <c r="K3388" i="37"/>
  <c r="M3388" i="37" s="1"/>
  <c r="E3390" i="37" s="1"/>
  <c r="K3387" i="37"/>
  <c r="M3387" i="37" s="1"/>
  <c r="E3389" i="37" s="1"/>
  <c r="K3375" i="37"/>
  <c r="M3375" i="37" s="1"/>
  <c r="E3377" i="37" s="1"/>
  <c r="K3372" i="37"/>
  <c r="M3372" i="37" s="1"/>
  <c r="E3374" i="37" s="1"/>
  <c r="K3371" i="37"/>
  <c r="M3371" i="37" s="1"/>
  <c r="E3373" i="37" s="1"/>
  <c r="K3367" i="37"/>
  <c r="M3367" i="37" s="1"/>
  <c r="E3369" i="37" s="1"/>
  <c r="K3364" i="37"/>
  <c r="M3364" i="37" s="1"/>
  <c r="E3366" i="37" s="1"/>
  <c r="K3363" i="37"/>
  <c r="M3363" i="37" s="1"/>
  <c r="E3365" i="37" s="1"/>
  <c r="K3362" i="37"/>
  <c r="M3362" i="37" s="1"/>
  <c r="E3364" i="37" s="1"/>
  <c r="F3369" i="37"/>
  <c r="G3368" i="37"/>
  <c r="G3367" i="37"/>
  <c r="K3357" i="37"/>
  <c r="M3357" i="37" s="1"/>
  <c r="E3359" i="37" s="1"/>
  <c r="K3354" i="37"/>
  <c r="M3354" i="37" s="1"/>
  <c r="E3356" i="37" s="1"/>
  <c r="K3353" i="37"/>
  <c r="M3353" i="37" s="1"/>
  <c r="E3355" i="37" s="1"/>
  <c r="K3352" i="37"/>
  <c r="M3352" i="37" s="1"/>
  <c r="E3354" i="37" s="1"/>
  <c r="K3347" i="37"/>
  <c r="M3347" i="37" s="1"/>
  <c r="E3349" i="37" s="1"/>
  <c r="K3344" i="37"/>
  <c r="M3344" i="37" s="1"/>
  <c r="E3346" i="37" s="1"/>
  <c r="K3343" i="37"/>
  <c r="M3343" i="37" s="1"/>
  <c r="E3345" i="37" s="1"/>
  <c r="K3342" i="37"/>
  <c r="M3342" i="37" s="1"/>
  <c r="E3344" i="37" s="1"/>
  <c r="K3337" i="37"/>
  <c r="M3337" i="37" s="1"/>
  <c r="E3339" i="37" s="1"/>
  <c r="K3334" i="37"/>
  <c r="M3334" i="37" s="1"/>
  <c r="E3336" i="37" s="1"/>
  <c r="K3333" i="37"/>
  <c r="M3333" i="37" s="1"/>
  <c r="E3335" i="37" s="1"/>
  <c r="K3332" i="37"/>
  <c r="M3332" i="37" s="1"/>
  <c r="E3334" i="37" s="1"/>
  <c r="K3327" i="37"/>
  <c r="M3327" i="37" s="1"/>
  <c r="E3329" i="37" s="1"/>
  <c r="K3324" i="37"/>
  <c r="M3324" i="37" s="1"/>
  <c r="E3326" i="37" s="1"/>
  <c r="K3323" i="37"/>
  <c r="M3323" i="37" s="1"/>
  <c r="E3325" i="37" s="1"/>
  <c r="K3322" i="37"/>
  <c r="M3322" i="37" s="1"/>
  <c r="E3324" i="37" s="1"/>
  <c r="K3317" i="37"/>
  <c r="M3317" i="37" s="1"/>
  <c r="E3319" i="37" s="1"/>
  <c r="K3314" i="37"/>
  <c r="M3314" i="37" s="1"/>
  <c r="E3316" i="37" s="1"/>
  <c r="K3313" i="37"/>
  <c r="M3313" i="37" s="1"/>
  <c r="E3315" i="37" s="1"/>
  <c r="K3312" i="37"/>
  <c r="M3312" i="37" s="1"/>
  <c r="E3314" i="37" s="1"/>
  <c r="F3329" i="37"/>
  <c r="G3328" i="37"/>
  <c r="G3327" i="37"/>
  <c r="K3307" i="37"/>
  <c r="M3307" i="37" s="1"/>
  <c r="E3309" i="37" s="1"/>
  <c r="K3304" i="37"/>
  <c r="M3304" i="37" s="1"/>
  <c r="E3306" i="37" s="1"/>
  <c r="K3303" i="37"/>
  <c r="M3303" i="37" s="1"/>
  <c r="E3305" i="37" s="1"/>
  <c r="K3302" i="37"/>
  <c r="M3302" i="37" s="1"/>
  <c r="E3304" i="37" s="1"/>
  <c r="K3297" i="37"/>
  <c r="M3297" i="37" s="1"/>
  <c r="E3299" i="37" s="1"/>
  <c r="K3294" i="37"/>
  <c r="M3294" i="37" s="1"/>
  <c r="E3296" i="37" s="1"/>
  <c r="K3293" i="37"/>
  <c r="M3293" i="37" s="1"/>
  <c r="E3295" i="37" s="1"/>
  <c r="K3292" i="37"/>
  <c r="M3292" i="37" s="1"/>
  <c r="E3294" i="37" s="1"/>
  <c r="F3309" i="37"/>
  <c r="G3308" i="37"/>
  <c r="G3307" i="37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F3299" i="37"/>
  <c r="J377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D347" i="10" s="1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I336" i="10"/>
  <c r="M3251" i="37" l="1"/>
  <c r="E3251" i="37" s="1"/>
  <c r="M3253" i="37"/>
  <c r="E3253" i="37" s="1"/>
  <c r="M3269" i="37"/>
  <c r="E3269" i="37" s="1"/>
  <c r="M3268" i="37"/>
  <c r="E3268" i="37" s="1"/>
  <c r="M3252" i="37"/>
  <c r="E3252" i="37" s="1"/>
  <c r="M3250" i="37"/>
  <c r="E3250" i="37" s="1"/>
  <c r="M3270" i="37"/>
  <c r="E3270" i="37" s="1"/>
  <c r="E3468" i="37"/>
  <c r="E3463" i="37"/>
  <c r="E3464" i="37"/>
  <c r="G3385" i="37"/>
  <c r="G3369" i="37"/>
  <c r="G3329" i="37"/>
  <c r="G3309" i="37"/>
  <c r="H94" i="73"/>
  <c r="I94" i="73" s="1"/>
  <c r="I96" i="73"/>
  <c r="I95" i="73"/>
  <c r="I93" i="73"/>
  <c r="I92" i="73"/>
  <c r="I46" i="73"/>
  <c r="I16" i="73"/>
  <c r="I72" i="73"/>
  <c r="I71" i="73"/>
  <c r="I54" i="73"/>
  <c r="K99" i="74" l="1"/>
  <c r="K98" i="74"/>
  <c r="K97" i="74"/>
  <c r="K100" i="74" s="1"/>
  <c r="K94" i="74"/>
  <c r="K93" i="74"/>
  <c r="K92" i="74"/>
  <c r="K91" i="74"/>
  <c r="K90" i="74"/>
  <c r="K89" i="74"/>
  <c r="K86" i="74"/>
  <c r="K85" i="74"/>
  <c r="K84" i="74"/>
  <c r="K83" i="74"/>
  <c r="K82" i="74"/>
  <c r="K81" i="74"/>
  <c r="K78" i="74"/>
  <c r="K77" i="74"/>
  <c r="K76" i="74"/>
  <c r="K75" i="74"/>
  <c r="K74" i="74"/>
  <c r="K73" i="74"/>
  <c r="K70" i="74"/>
  <c r="K69" i="74"/>
  <c r="K68" i="74"/>
  <c r="K67" i="74"/>
  <c r="K66" i="74"/>
  <c r="K65" i="74"/>
  <c r="K62" i="74"/>
  <c r="K61" i="74"/>
  <c r="K60" i="74"/>
  <c r="K59" i="74"/>
  <c r="K58" i="74"/>
  <c r="K57" i="74"/>
  <c r="K52" i="74"/>
  <c r="K51" i="74"/>
  <c r="K50" i="74"/>
  <c r="K49" i="74"/>
  <c r="K48" i="74"/>
  <c r="K47" i="74"/>
  <c r="K44" i="74"/>
  <c r="K43" i="74"/>
  <c r="K42" i="74"/>
  <c r="K41" i="74"/>
  <c r="K40" i="74"/>
  <c r="K39" i="74"/>
  <c r="K36" i="74"/>
  <c r="K35" i="74"/>
  <c r="K34" i="74"/>
  <c r="K33" i="74"/>
  <c r="K32" i="74"/>
  <c r="K31" i="74"/>
  <c r="K28" i="74"/>
  <c r="K27" i="74"/>
  <c r="K26" i="74"/>
  <c r="K25" i="74"/>
  <c r="K24" i="74"/>
  <c r="K23" i="74"/>
  <c r="K20" i="74"/>
  <c r="K19" i="74"/>
  <c r="K18" i="74"/>
  <c r="K17" i="74"/>
  <c r="K16" i="74"/>
  <c r="K15" i="74"/>
  <c r="F38" i="75"/>
  <c r="K53" i="74" l="1"/>
  <c r="K95" i="74"/>
  <c r="E107" i="73"/>
  <c r="G127" i="73"/>
  <c r="E43" i="73"/>
  <c r="E42" i="73"/>
  <c r="E41" i="73"/>
  <c r="E40" i="73"/>
  <c r="E39" i="73"/>
  <c r="E38" i="73"/>
  <c r="E34" i="73"/>
  <c r="E33" i="73"/>
  <c r="E32" i="73"/>
  <c r="E31" i="73"/>
  <c r="E30" i="73"/>
  <c r="E29" i="73"/>
  <c r="E28" i="73"/>
  <c r="E27" i="73"/>
  <c r="E26" i="73"/>
  <c r="E24" i="73"/>
  <c r="E25" i="73" s="1"/>
  <c r="E22" i="73"/>
  <c r="E23" i="73" s="1"/>
  <c r="E17" i="73"/>
  <c r="E18" i="73" s="1"/>
  <c r="E109" i="73" s="1"/>
  <c r="C4" i="68"/>
  <c r="B3" i="73"/>
  <c r="B3" i="74"/>
  <c r="B3" i="64"/>
  <c r="E108" i="73" l="1"/>
  <c r="I332" i="10" l="1"/>
  <c r="I249" i="10" l="1"/>
  <c r="I40" i="10"/>
  <c r="I8" i="10"/>
  <c r="D394" i="10"/>
  <c r="D393" i="10"/>
  <c r="J394" i="10"/>
  <c r="J393" i="10"/>
  <c r="J392" i="10"/>
  <c r="I382" i="10"/>
  <c r="I380" i="10"/>
  <c r="I396" i="10"/>
  <c r="I322" i="10"/>
  <c r="I321" i="10"/>
  <c r="I320" i="10"/>
  <c r="I315" i="10"/>
  <c r="I295" i="10"/>
  <c r="B3" i="72"/>
  <c r="F9" i="67" l="1"/>
  <c r="G45" i="72" l="1"/>
  <c r="G44" i="72"/>
  <c r="G43" i="72"/>
  <c r="B1" i="37" l="1"/>
  <c r="A1" i="10"/>
  <c r="G3658" i="37" l="1"/>
  <c r="L3660" i="37"/>
  <c r="J3660" i="37" s="1"/>
  <c r="L3656" i="37"/>
  <c r="J3656" i="37" s="1"/>
  <c r="G12" i="72"/>
  <c r="G1098" i="37"/>
  <c r="K1096" i="37"/>
  <c r="E1096" i="37" s="1"/>
  <c r="K1095" i="37"/>
  <c r="E1095" i="37" s="1"/>
  <c r="G1092" i="37"/>
  <c r="E768" i="37" l="1"/>
  <c r="G14" i="71"/>
  <c r="L3571" i="37"/>
  <c r="N3573" i="37" s="1"/>
  <c r="E3573" i="37" s="1"/>
  <c r="L3570" i="37"/>
  <c r="N3572" i="37" s="1"/>
  <c r="E3572" i="37" s="1"/>
  <c r="L3569" i="37"/>
  <c r="N3571" i="37" s="1"/>
  <c r="E3571" i="37" s="1"/>
  <c r="L3568" i="37"/>
  <c r="N3570" i="37" s="1"/>
  <c r="E3570" i="37" s="1"/>
  <c r="N3578" i="37"/>
  <c r="E3578" i="37" s="1"/>
  <c r="N3577" i="37"/>
  <c r="E3577" i="37" s="1"/>
  <c r="L3579" i="37"/>
  <c r="N3581" i="37" s="1"/>
  <c r="E3581" i="37" s="1"/>
  <c r="N3576" i="37"/>
  <c r="E3576" i="37" s="1"/>
  <c r="G3456" i="37"/>
  <c r="G3455" i="37"/>
  <c r="F3448" i="37"/>
  <c r="F3467" i="37" s="1"/>
  <c r="G3467" i="37" s="1"/>
  <c r="F3440" i="37"/>
  <c r="L3419" i="37"/>
  <c r="N3421" i="37" s="1"/>
  <c r="L3418" i="37"/>
  <c r="N3420" i="37" s="1"/>
  <c r="L3422" i="37"/>
  <c r="N3424" i="37" s="1"/>
  <c r="N3501" i="37"/>
  <c r="E3501" i="37" s="1"/>
  <c r="N3500" i="37"/>
  <c r="E3500" i="37" s="1"/>
  <c r="N3499" i="37"/>
  <c r="E3499" i="37" s="1"/>
  <c r="N3498" i="37"/>
  <c r="E3498" i="37" s="1"/>
  <c r="L3493" i="37"/>
  <c r="N3495" i="37" s="1"/>
  <c r="E3495" i="37" s="1"/>
  <c r="L3492" i="37"/>
  <c r="N3494" i="37" s="1"/>
  <c r="E3494" i="37" s="1"/>
  <c r="F129" i="69"/>
  <c r="G129" i="69" s="1"/>
  <c r="G38" i="67"/>
  <c r="E17" i="75" l="1"/>
  <c r="F130" i="69"/>
  <c r="G130" i="69" s="1"/>
  <c r="G15" i="67"/>
  <c r="G9" i="67"/>
  <c r="H14" i="68" s="1"/>
  <c r="G7" i="67"/>
  <c r="S272" i="67"/>
  <c r="S273" i="67"/>
  <c r="S281" i="67"/>
  <c r="S282" i="67"/>
  <c r="S247" i="67"/>
  <c r="S248" i="67"/>
  <c r="S256" i="67"/>
  <c r="S257" i="67"/>
  <c r="S222" i="67"/>
  <c r="S223" i="67"/>
  <c r="S231" i="67"/>
  <c r="S232" i="67"/>
  <c r="S197" i="67"/>
  <c r="S198" i="67"/>
  <c r="S206" i="67"/>
  <c r="S207" i="67"/>
  <c r="S172" i="67"/>
  <c r="S173" i="67"/>
  <c r="S181" i="67"/>
  <c r="S182" i="67"/>
  <c r="S147" i="67"/>
  <c r="S148" i="67"/>
  <c r="S156" i="67"/>
  <c r="S157" i="67"/>
  <c r="S123" i="67"/>
  <c r="S124" i="67"/>
  <c r="S131" i="67"/>
  <c r="S132" i="67"/>
  <c r="S100" i="67"/>
  <c r="S101" i="67"/>
  <c r="S108" i="67"/>
  <c r="S109" i="67"/>
  <c r="S77" i="67"/>
  <c r="S78" i="67"/>
  <c r="S85" i="67"/>
  <c r="S86" i="67"/>
  <c r="S54" i="67"/>
  <c r="S55" i="67"/>
  <c r="S62" i="67"/>
  <c r="S63" i="67"/>
  <c r="S31" i="67"/>
  <c r="S32" i="67"/>
  <c r="S39" i="67"/>
  <c r="S40" i="67"/>
  <c r="G497" i="67"/>
  <c r="G498" i="67"/>
  <c r="G506" i="67"/>
  <c r="G507" i="67"/>
  <c r="G472" i="67"/>
  <c r="G473" i="67"/>
  <c r="G481" i="67"/>
  <c r="G482" i="67"/>
  <c r="G447" i="67"/>
  <c r="G448" i="67"/>
  <c r="G456" i="67"/>
  <c r="G457" i="67"/>
  <c r="G422" i="67"/>
  <c r="G423" i="67"/>
  <c r="G431" i="67"/>
  <c r="G432" i="67"/>
  <c r="G397" i="67"/>
  <c r="G398" i="67"/>
  <c r="G406" i="67"/>
  <c r="G407" i="67"/>
  <c r="G372" i="67"/>
  <c r="G373" i="67"/>
  <c r="G381" i="67"/>
  <c r="G382" i="67"/>
  <c r="G347" i="67"/>
  <c r="G348" i="67"/>
  <c r="G356" i="67"/>
  <c r="G357" i="67"/>
  <c r="F172" i="67"/>
  <c r="F197" i="67" s="1"/>
  <c r="F222" i="67" s="1"/>
  <c r="F247" i="67" s="1"/>
  <c r="F272" i="67" s="1"/>
  <c r="F297" i="67" s="1"/>
  <c r="F173" i="67"/>
  <c r="F198" i="67" s="1"/>
  <c r="F223" i="67" s="1"/>
  <c r="F248" i="67" s="1"/>
  <c r="F273" i="67" s="1"/>
  <c r="F298" i="67" s="1"/>
  <c r="F180" i="67"/>
  <c r="F205" i="67" s="1"/>
  <c r="F181" i="67"/>
  <c r="F206" i="67" s="1"/>
  <c r="F231" i="67" s="1"/>
  <c r="F256" i="67" s="1"/>
  <c r="F281" i="67" s="1"/>
  <c r="F306" i="67" s="1"/>
  <c r="F182" i="67"/>
  <c r="F207" i="67" s="1"/>
  <c r="F232" i="67" s="1"/>
  <c r="F257" i="67" s="1"/>
  <c r="F282" i="67" s="1"/>
  <c r="F307" i="67" s="1"/>
  <c r="G155" i="67"/>
  <c r="F54" i="67"/>
  <c r="F77" i="67" s="1"/>
  <c r="F55" i="67"/>
  <c r="F78" i="67" s="1"/>
  <c r="F61" i="67"/>
  <c r="G61" i="67" s="1"/>
  <c r="F62" i="67"/>
  <c r="F85" i="67" s="1"/>
  <c r="F63" i="67"/>
  <c r="F86" i="67" s="1"/>
  <c r="F175" i="65"/>
  <c r="F200" i="65" s="1"/>
  <c r="F225" i="65" s="1"/>
  <c r="F250" i="65" s="1"/>
  <c r="F176" i="65"/>
  <c r="F201" i="65" s="1"/>
  <c r="F226" i="65" s="1"/>
  <c r="F251" i="65" s="1"/>
  <c r="F183" i="65"/>
  <c r="F208" i="65" s="1"/>
  <c r="F233" i="65" s="1"/>
  <c r="F258" i="65" s="1"/>
  <c r="F184" i="65"/>
  <c r="F209" i="65" s="1"/>
  <c r="F234" i="65" s="1"/>
  <c r="F259" i="65" s="1"/>
  <c r="F185" i="65"/>
  <c r="F210" i="65" s="1"/>
  <c r="F235" i="65" s="1"/>
  <c r="F260" i="65" s="1"/>
  <c r="I17" i="68" l="1"/>
  <c r="I13" i="68"/>
  <c r="G180" i="67"/>
  <c r="F230" i="67"/>
  <c r="G205" i="67"/>
  <c r="F84" i="67"/>
  <c r="G84" i="67" s="1"/>
  <c r="J17" i="68" l="1"/>
  <c r="G17" i="68"/>
  <c r="H17" i="68" s="1"/>
  <c r="J13" i="68"/>
  <c r="G13" i="68"/>
  <c r="H13" i="68" s="1"/>
  <c r="G230" i="67"/>
  <c r="F255" i="67"/>
  <c r="G255" i="67" l="1"/>
  <c r="F280" i="67"/>
  <c r="G280" i="67" l="1"/>
  <c r="F305" i="67"/>
  <c r="G305" i="67" s="1"/>
  <c r="E783" i="37" l="1"/>
  <c r="G22" i="50" l="1"/>
  <c r="G3505" i="37"/>
  <c r="E496" i="37" l="1"/>
  <c r="E495" i="37"/>
  <c r="E494" i="37"/>
  <c r="E493" i="37"/>
  <c r="E1111" i="37"/>
  <c r="E1110" i="37"/>
  <c r="E38" i="75"/>
  <c r="E40" i="75" s="1"/>
  <c r="F102" i="74"/>
  <c r="I99" i="74"/>
  <c r="I98" i="74"/>
  <c r="I97" i="74"/>
  <c r="I94" i="74"/>
  <c r="I93" i="74"/>
  <c r="I92" i="74"/>
  <c r="I91" i="74"/>
  <c r="I90" i="74"/>
  <c r="I89" i="74"/>
  <c r="I86" i="74"/>
  <c r="I85" i="74"/>
  <c r="I84" i="74"/>
  <c r="I83" i="74"/>
  <c r="I82" i="74"/>
  <c r="I81" i="74"/>
  <c r="I78" i="74"/>
  <c r="I77" i="74"/>
  <c r="I76" i="74"/>
  <c r="I75" i="74"/>
  <c r="I74" i="74"/>
  <c r="I73" i="74"/>
  <c r="I70" i="74"/>
  <c r="I69" i="74"/>
  <c r="I68" i="74"/>
  <c r="I67" i="74"/>
  <c r="I66" i="74"/>
  <c r="I65" i="74"/>
  <c r="I62" i="74"/>
  <c r="I61" i="74"/>
  <c r="I60" i="74"/>
  <c r="I59" i="74"/>
  <c r="Q58" i="74"/>
  <c r="I58" i="74"/>
  <c r="I57" i="74"/>
  <c r="I52" i="74"/>
  <c r="X51" i="74"/>
  <c r="I51" i="74"/>
  <c r="S50" i="74"/>
  <c r="I50" i="74"/>
  <c r="I49" i="74"/>
  <c r="I48" i="74"/>
  <c r="X47" i="74"/>
  <c r="I47" i="74"/>
  <c r="I44" i="74"/>
  <c r="X43" i="74"/>
  <c r="S43" i="74"/>
  <c r="I43" i="74"/>
  <c r="S42" i="74"/>
  <c r="I42" i="74"/>
  <c r="I41" i="74"/>
  <c r="X40" i="74"/>
  <c r="I40" i="74"/>
  <c r="X39" i="74"/>
  <c r="S39" i="74"/>
  <c r="I39" i="74"/>
  <c r="S36" i="74"/>
  <c r="I36" i="74"/>
  <c r="I35" i="74"/>
  <c r="X34" i="74"/>
  <c r="I34" i="74"/>
  <c r="S33" i="74"/>
  <c r="I33" i="74"/>
  <c r="I32" i="74"/>
  <c r="I31" i="74"/>
  <c r="X28" i="74"/>
  <c r="I28" i="74"/>
  <c r="X27" i="74"/>
  <c r="I27" i="74"/>
  <c r="X26" i="74"/>
  <c r="S26" i="74"/>
  <c r="I26" i="74"/>
  <c r="S25" i="74"/>
  <c r="I25" i="74"/>
  <c r="X24" i="74"/>
  <c r="S24" i="74" s="1"/>
  <c r="I24" i="74"/>
  <c r="X23" i="74"/>
  <c r="I23" i="74"/>
  <c r="X20" i="74"/>
  <c r="S20" i="74"/>
  <c r="I20" i="74"/>
  <c r="I19" i="74"/>
  <c r="I18" i="74"/>
  <c r="X17" i="74"/>
  <c r="I17" i="74"/>
  <c r="S16" i="74"/>
  <c r="I16" i="74"/>
  <c r="I15" i="74"/>
  <c r="G111" i="73"/>
  <c r="G96" i="73"/>
  <c r="K95" i="73"/>
  <c r="G95" i="73"/>
  <c r="G93" i="73"/>
  <c r="G92" i="73"/>
  <c r="G72" i="73"/>
  <c r="G71" i="73"/>
  <c r="E54" i="73"/>
  <c r="G54" i="73" s="1"/>
  <c r="K42" i="73"/>
  <c r="E80" i="73" s="1"/>
  <c r="G80" i="73" s="1"/>
  <c r="I80" i="73" s="1"/>
  <c r="K40" i="73"/>
  <c r="K38" i="73"/>
  <c r="E76" i="73" s="1"/>
  <c r="G76" i="73" s="1"/>
  <c r="I76" i="73" s="1"/>
  <c r="E61" i="73"/>
  <c r="G61" i="73" s="1"/>
  <c r="G16" i="73"/>
  <c r="N86" i="70"/>
  <c r="L84" i="69"/>
  <c r="I77" i="69"/>
  <c r="K134" i="68" s="1"/>
  <c r="AF513" i="67"/>
  <c r="X513" i="67"/>
  <c r="P513" i="67"/>
  <c r="D513" i="67"/>
  <c r="AF512" i="67"/>
  <c r="X512" i="67"/>
  <c r="P512" i="67"/>
  <c r="D512" i="67"/>
  <c r="AF511" i="67"/>
  <c r="X511" i="67"/>
  <c r="P511" i="67"/>
  <c r="D511" i="67"/>
  <c r="AF510" i="67"/>
  <c r="X510" i="67"/>
  <c r="P510" i="67"/>
  <c r="D510" i="67"/>
  <c r="AF509" i="67"/>
  <c r="X509" i="67"/>
  <c r="P509" i="67"/>
  <c r="D509" i="67"/>
  <c r="AF508" i="67"/>
  <c r="X508" i="67"/>
  <c r="P508" i="67"/>
  <c r="D508" i="67"/>
  <c r="AK505" i="67"/>
  <c r="AH505" i="67"/>
  <c r="AI505" i="67" s="1"/>
  <c r="AF505" i="67"/>
  <c r="AC505" i="67"/>
  <c r="Z505" i="67"/>
  <c r="AA505" i="67" s="1"/>
  <c r="X505" i="67"/>
  <c r="U505" i="67"/>
  <c r="R505" i="67"/>
  <c r="S505" i="67" s="1"/>
  <c r="P505" i="67"/>
  <c r="I505" i="67"/>
  <c r="F505" i="67"/>
  <c r="G505" i="67" s="1"/>
  <c r="D505" i="67"/>
  <c r="AF504" i="67"/>
  <c r="AC504" i="67"/>
  <c r="X504" i="67"/>
  <c r="U504" i="67"/>
  <c r="P504" i="67"/>
  <c r="I504" i="67" s="1"/>
  <c r="D504" i="67"/>
  <c r="AK503" i="67"/>
  <c r="AF503" i="67"/>
  <c r="X503" i="67"/>
  <c r="U503" i="67"/>
  <c r="P503" i="67"/>
  <c r="I503" i="67" s="1"/>
  <c r="D503" i="67"/>
  <c r="AK502" i="67"/>
  <c r="AF502" i="67"/>
  <c r="AC502" i="67"/>
  <c r="X502" i="67"/>
  <c r="U502" i="67"/>
  <c r="P502" i="67"/>
  <c r="I502" i="67" s="1"/>
  <c r="D502" i="67"/>
  <c r="AK501" i="67"/>
  <c r="AF501" i="67"/>
  <c r="AC501" i="67"/>
  <c r="X501" i="67"/>
  <c r="W501" i="67"/>
  <c r="AE501" i="67" s="1"/>
  <c r="U501" i="67"/>
  <c r="P501" i="67"/>
  <c r="I501" i="67"/>
  <c r="D501" i="67"/>
  <c r="AK500" i="67"/>
  <c r="AF500" i="67"/>
  <c r="AC500" i="67" s="1"/>
  <c r="X500" i="67"/>
  <c r="U500" i="67"/>
  <c r="P500" i="67"/>
  <c r="D500" i="67"/>
  <c r="AK499" i="67"/>
  <c r="AF499" i="67"/>
  <c r="AC499" i="67" s="1"/>
  <c r="X499" i="67"/>
  <c r="U499" i="67"/>
  <c r="P499" i="67"/>
  <c r="I499" i="67"/>
  <c r="D499" i="67"/>
  <c r="AF496" i="67"/>
  <c r="X496" i="67"/>
  <c r="P496" i="67"/>
  <c r="D496" i="67"/>
  <c r="AF495" i="67"/>
  <c r="X495" i="67"/>
  <c r="P495" i="67"/>
  <c r="D495" i="67"/>
  <c r="AF494" i="67"/>
  <c r="X494" i="67"/>
  <c r="P494" i="67"/>
  <c r="D494" i="67"/>
  <c r="AF488" i="67"/>
  <c r="X488" i="67"/>
  <c r="P488" i="67"/>
  <c r="D488" i="67"/>
  <c r="AF487" i="67"/>
  <c r="X487" i="67"/>
  <c r="P487" i="67"/>
  <c r="D487" i="67"/>
  <c r="AF486" i="67"/>
  <c r="X486" i="67"/>
  <c r="P486" i="67"/>
  <c r="D486" i="67"/>
  <c r="AF485" i="67"/>
  <c r="X485" i="67"/>
  <c r="P485" i="67"/>
  <c r="D485" i="67"/>
  <c r="AF484" i="67"/>
  <c r="X484" i="67"/>
  <c r="P484" i="67"/>
  <c r="D484" i="67"/>
  <c r="AF483" i="67"/>
  <c r="X483" i="67"/>
  <c r="P483" i="67"/>
  <c r="D483" i="67"/>
  <c r="AK480" i="67"/>
  <c r="AH480" i="67"/>
  <c r="AI480" i="67" s="1"/>
  <c r="AF480" i="67"/>
  <c r="AC480" i="67"/>
  <c r="Z480" i="67"/>
  <c r="AA480" i="67" s="1"/>
  <c r="X480" i="67"/>
  <c r="U480" i="67"/>
  <c r="R480" i="67"/>
  <c r="S480" i="67" s="1"/>
  <c r="P480" i="67"/>
  <c r="I480" i="67"/>
  <c r="F480" i="67"/>
  <c r="G480" i="67" s="1"/>
  <c r="D480" i="67"/>
  <c r="AF479" i="67"/>
  <c r="AC479" i="67" s="1"/>
  <c r="X479" i="67"/>
  <c r="U479" i="67"/>
  <c r="P479" i="67"/>
  <c r="D479" i="67"/>
  <c r="AF478" i="67"/>
  <c r="AC478" i="67" s="1"/>
  <c r="X478" i="67"/>
  <c r="U478" i="67"/>
  <c r="P478" i="67"/>
  <c r="I478" i="67"/>
  <c r="D478" i="67"/>
  <c r="AF477" i="67"/>
  <c r="AC477" i="67"/>
  <c r="X477" i="67"/>
  <c r="U477" i="67"/>
  <c r="P477" i="67"/>
  <c r="D477" i="67"/>
  <c r="AF476" i="67"/>
  <c r="AC476" i="67"/>
  <c r="X476" i="67"/>
  <c r="W476" i="67"/>
  <c r="AE476" i="67" s="1"/>
  <c r="P476" i="67"/>
  <c r="I476" i="67" s="1"/>
  <c r="D476" i="67"/>
  <c r="AK475" i="67"/>
  <c r="AF475" i="67"/>
  <c r="X475" i="67"/>
  <c r="P475" i="67"/>
  <c r="I475" i="67"/>
  <c r="D475" i="67"/>
  <c r="AK474" i="67" s="1"/>
  <c r="AF474" i="67"/>
  <c r="AC474" i="67"/>
  <c r="X474" i="67"/>
  <c r="P474" i="67"/>
  <c r="I474" i="67" s="1"/>
  <c r="D474" i="67"/>
  <c r="AF471" i="67"/>
  <c r="X471" i="67"/>
  <c r="P471" i="67"/>
  <c r="D471" i="67"/>
  <c r="AF470" i="67"/>
  <c r="X470" i="67"/>
  <c r="P470" i="67"/>
  <c r="D470" i="67"/>
  <c r="AF469" i="67"/>
  <c r="X469" i="67"/>
  <c r="P469" i="67"/>
  <c r="D469" i="67"/>
  <c r="AF463" i="67"/>
  <c r="X463" i="67"/>
  <c r="P463" i="67"/>
  <c r="D463" i="67"/>
  <c r="AF462" i="67"/>
  <c r="X462" i="67"/>
  <c r="P462" i="67"/>
  <c r="D462" i="67"/>
  <c r="AF461" i="67"/>
  <c r="X461" i="67"/>
  <c r="P461" i="67"/>
  <c r="D461" i="67"/>
  <c r="AF460" i="67"/>
  <c r="X460" i="67"/>
  <c r="P460" i="67"/>
  <c r="D460" i="67"/>
  <c r="AF459" i="67"/>
  <c r="X459" i="67"/>
  <c r="P459" i="67"/>
  <c r="D459" i="67"/>
  <c r="AF458" i="67"/>
  <c r="X458" i="67"/>
  <c r="P458" i="67"/>
  <c r="D458" i="67"/>
  <c r="AK455" i="67"/>
  <c r="AH455" i="67"/>
  <c r="AI455" i="67" s="1"/>
  <c r="AF455" i="67"/>
  <c r="AC455" i="67"/>
  <c r="Z455" i="67"/>
  <c r="AA455" i="67" s="1"/>
  <c r="X455" i="67"/>
  <c r="U455" i="67"/>
  <c r="R455" i="67"/>
  <c r="S455" i="67" s="1"/>
  <c r="P455" i="67"/>
  <c r="I455" i="67"/>
  <c r="F455" i="67"/>
  <c r="G455" i="67" s="1"/>
  <c r="D455" i="67"/>
  <c r="AK454" i="67"/>
  <c r="AF454" i="67"/>
  <c r="X454" i="67"/>
  <c r="U454" i="67" s="1"/>
  <c r="P454" i="67"/>
  <c r="I454" i="67"/>
  <c r="D454" i="67"/>
  <c r="AF453" i="67"/>
  <c r="AC453" i="67"/>
  <c r="X453" i="67"/>
  <c r="U453" i="67" s="1"/>
  <c r="P453" i="67"/>
  <c r="I453" i="67"/>
  <c r="D453" i="67"/>
  <c r="AK452" i="67"/>
  <c r="AF452" i="67"/>
  <c r="X452" i="67"/>
  <c r="U452" i="67" s="1"/>
  <c r="P452" i="67"/>
  <c r="I452" i="67"/>
  <c r="D452" i="67"/>
  <c r="AF451" i="67"/>
  <c r="AC451" i="67" s="1"/>
  <c r="X451" i="67"/>
  <c r="W451" i="67"/>
  <c r="AE451" i="67" s="1"/>
  <c r="U451" i="67"/>
  <c r="P451" i="67"/>
  <c r="D451" i="67"/>
  <c r="AK450" i="67" s="1"/>
  <c r="AF450" i="67"/>
  <c r="AC450" i="67"/>
  <c r="X450" i="67"/>
  <c r="P450" i="67"/>
  <c r="I450" i="67"/>
  <c r="D450" i="67"/>
  <c r="AK449" i="67" s="1"/>
  <c r="AF449" i="67"/>
  <c r="AC449" i="67"/>
  <c r="X449" i="67"/>
  <c r="U449" i="67"/>
  <c r="P449" i="67"/>
  <c r="D449" i="67"/>
  <c r="AF446" i="67"/>
  <c r="X446" i="67"/>
  <c r="P446" i="67"/>
  <c r="D446" i="67"/>
  <c r="AF445" i="67"/>
  <c r="X445" i="67"/>
  <c r="P445" i="67"/>
  <c r="D445" i="67"/>
  <c r="AF444" i="67"/>
  <c r="X444" i="67"/>
  <c r="P444" i="67"/>
  <c r="D444" i="67"/>
  <c r="AF438" i="67"/>
  <c r="X438" i="67"/>
  <c r="P438" i="67"/>
  <c r="D438" i="67"/>
  <c r="AF437" i="67"/>
  <c r="X437" i="67"/>
  <c r="P437" i="67"/>
  <c r="D437" i="67"/>
  <c r="AF436" i="67"/>
  <c r="X436" i="67"/>
  <c r="P436" i="67"/>
  <c r="D436" i="67"/>
  <c r="AF435" i="67"/>
  <c r="X435" i="67"/>
  <c r="P435" i="67"/>
  <c r="D435" i="67"/>
  <c r="AF434" i="67"/>
  <c r="X434" i="67"/>
  <c r="P434" i="67"/>
  <c r="D434" i="67"/>
  <c r="AF433" i="67"/>
  <c r="X433" i="67"/>
  <c r="P433" i="67"/>
  <c r="D433" i="67"/>
  <c r="AK430" i="67"/>
  <c r="AH430" i="67"/>
  <c r="AI430" i="67" s="1"/>
  <c r="AF430" i="67"/>
  <c r="AC430" i="67"/>
  <c r="Z430" i="67"/>
  <c r="AA430" i="67" s="1"/>
  <c r="X430" i="67"/>
  <c r="U430" i="67"/>
  <c r="R430" i="67"/>
  <c r="S430" i="67" s="1"/>
  <c r="P430" i="67"/>
  <c r="I430" i="67"/>
  <c r="F430" i="67"/>
  <c r="G430" i="67" s="1"/>
  <c r="D430" i="67"/>
  <c r="AF429" i="67"/>
  <c r="AC429" i="67"/>
  <c r="X429" i="67"/>
  <c r="U429" i="67" s="1"/>
  <c r="P429" i="67"/>
  <c r="I429" i="67"/>
  <c r="D429" i="67"/>
  <c r="AF428" i="67"/>
  <c r="AC428" i="67"/>
  <c r="X428" i="67"/>
  <c r="U428" i="67"/>
  <c r="P428" i="67"/>
  <c r="D428" i="67"/>
  <c r="AF427" i="67"/>
  <c r="AC427" i="67"/>
  <c r="X427" i="67"/>
  <c r="U427" i="67" s="1"/>
  <c r="P427" i="67"/>
  <c r="I427" i="67"/>
  <c r="D427" i="67"/>
  <c r="AF426" i="67"/>
  <c r="AC426" i="67" s="1"/>
  <c r="X426" i="67"/>
  <c r="W426" i="67"/>
  <c r="AE426" i="67" s="1"/>
  <c r="P426" i="67"/>
  <c r="I426" i="67"/>
  <c r="D426" i="67"/>
  <c r="AK425" i="67" s="1"/>
  <c r="AF425" i="67"/>
  <c r="AC425" i="67"/>
  <c r="X425" i="67"/>
  <c r="P425" i="67"/>
  <c r="I425" i="67"/>
  <c r="D425" i="67"/>
  <c r="AK424" i="67"/>
  <c r="AF424" i="67"/>
  <c r="X424" i="67"/>
  <c r="P424" i="67"/>
  <c r="I424" i="67"/>
  <c r="D424" i="67"/>
  <c r="AF421" i="67"/>
  <c r="X421" i="67"/>
  <c r="P421" i="67"/>
  <c r="D421" i="67"/>
  <c r="AF420" i="67"/>
  <c r="X420" i="67"/>
  <c r="P420" i="67"/>
  <c r="D420" i="67"/>
  <c r="AF419" i="67"/>
  <c r="X419" i="67"/>
  <c r="P419" i="67"/>
  <c r="D419" i="67"/>
  <c r="AF413" i="67"/>
  <c r="X413" i="67"/>
  <c r="P413" i="67"/>
  <c r="D413" i="67"/>
  <c r="AF412" i="67"/>
  <c r="X412" i="67"/>
  <c r="P412" i="67"/>
  <c r="D412" i="67"/>
  <c r="AF411" i="67"/>
  <c r="X411" i="67"/>
  <c r="P411" i="67"/>
  <c r="D411" i="67"/>
  <c r="AF410" i="67"/>
  <c r="X410" i="67"/>
  <c r="P410" i="67"/>
  <c r="D410" i="67"/>
  <c r="AF409" i="67"/>
  <c r="X409" i="67"/>
  <c r="P409" i="67"/>
  <c r="D409" i="67"/>
  <c r="AF408" i="67"/>
  <c r="X408" i="67"/>
  <c r="P408" i="67"/>
  <c r="D408" i="67"/>
  <c r="AK405" i="67"/>
  <c r="AH405" i="67"/>
  <c r="AI405" i="67" s="1"/>
  <c r="AF405" i="67"/>
  <c r="AC405" i="67"/>
  <c r="Z405" i="67"/>
  <c r="AA405" i="67" s="1"/>
  <c r="X405" i="67"/>
  <c r="U405" i="67"/>
  <c r="R405" i="67"/>
  <c r="S405" i="67" s="1"/>
  <c r="P405" i="67"/>
  <c r="I405" i="67"/>
  <c r="F405" i="67"/>
  <c r="G405" i="67" s="1"/>
  <c r="D405" i="67"/>
  <c r="AF404" i="67"/>
  <c r="AC404" i="67"/>
  <c r="X404" i="67"/>
  <c r="U404" i="67" s="1"/>
  <c r="P404" i="67"/>
  <c r="I404" i="67"/>
  <c r="D404" i="67"/>
  <c r="AF403" i="67"/>
  <c r="X403" i="67"/>
  <c r="U403" i="67" s="1"/>
  <c r="P403" i="67"/>
  <c r="I403" i="67"/>
  <c r="D403" i="67"/>
  <c r="AF402" i="67"/>
  <c r="AC402" i="67"/>
  <c r="X402" i="67"/>
  <c r="U402" i="67" s="1"/>
  <c r="P402" i="67"/>
  <c r="I402" i="67"/>
  <c r="D402" i="67"/>
  <c r="AF401" i="67"/>
  <c r="AC401" i="67" s="1"/>
  <c r="X401" i="67"/>
  <c r="W401" i="67"/>
  <c r="AE401" i="67" s="1"/>
  <c r="P401" i="67"/>
  <c r="I401" i="67"/>
  <c r="D401" i="67"/>
  <c r="AK400" i="67" s="1"/>
  <c r="AF400" i="67"/>
  <c r="AC400" i="67"/>
  <c r="X400" i="67"/>
  <c r="P400" i="67"/>
  <c r="D400" i="67"/>
  <c r="AK399" i="67" s="1"/>
  <c r="AF399" i="67"/>
  <c r="AC399" i="67"/>
  <c r="X399" i="67"/>
  <c r="P399" i="67"/>
  <c r="I399" i="67"/>
  <c r="D399" i="67"/>
  <c r="AF396" i="67"/>
  <c r="X396" i="67"/>
  <c r="P396" i="67"/>
  <c r="D396" i="67"/>
  <c r="AF395" i="67"/>
  <c r="X395" i="67"/>
  <c r="P395" i="67"/>
  <c r="D395" i="67"/>
  <c r="AF394" i="67"/>
  <c r="X394" i="67"/>
  <c r="P394" i="67"/>
  <c r="D394" i="67"/>
  <c r="AF388" i="67"/>
  <c r="X388" i="67"/>
  <c r="P388" i="67"/>
  <c r="D388" i="67"/>
  <c r="AF387" i="67"/>
  <c r="X387" i="67"/>
  <c r="P387" i="67"/>
  <c r="D387" i="67"/>
  <c r="AF386" i="67"/>
  <c r="X386" i="67"/>
  <c r="P386" i="67"/>
  <c r="D386" i="67"/>
  <c r="AF385" i="67"/>
  <c r="X385" i="67"/>
  <c r="P385" i="67"/>
  <c r="D385" i="67"/>
  <c r="AF384" i="67"/>
  <c r="X384" i="67"/>
  <c r="P384" i="67"/>
  <c r="D384" i="67"/>
  <c r="AF383" i="67"/>
  <c r="X383" i="67"/>
  <c r="P383" i="67"/>
  <c r="D383" i="67"/>
  <c r="AK380" i="67"/>
  <c r="AH380" i="67"/>
  <c r="AI380" i="67" s="1"/>
  <c r="AF380" i="67"/>
  <c r="AC380" i="67"/>
  <c r="Z380" i="67"/>
  <c r="AA380" i="67" s="1"/>
  <c r="X380" i="67"/>
  <c r="U380" i="67"/>
  <c r="R380" i="67"/>
  <c r="S380" i="67" s="1"/>
  <c r="P380" i="67"/>
  <c r="I380" i="67"/>
  <c r="F380" i="67"/>
  <c r="G380" i="67" s="1"/>
  <c r="D380" i="67"/>
  <c r="AF379" i="67"/>
  <c r="AC379" i="67"/>
  <c r="X379" i="67"/>
  <c r="U379" i="67" s="1"/>
  <c r="P379" i="67"/>
  <c r="I379" i="67"/>
  <c r="D379" i="67"/>
  <c r="AF378" i="67"/>
  <c r="AC378" i="67"/>
  <c r="X378" i="67"/>
  <c r="U378" i="67" s="1"/>
  <c r="P378" i="67"/>
  <c r="I378" i="67"/>
  <c r="D378" i="67"/>
  <c r="AF377" i="67"/>
  <c r="AC377" i="67"/>
  <c r="X377" i="67"/>
  <c r="U377" i="67" s="1"/>
  <c r="P377" i="67"/>
  <c r="I377" i="67"/>
  <c r="D377" i="67"/>
  <c r="AF376" i="67"/>
  <c r="AC376" i="67" s="1"/>
  <c r="X376" i="67"/>
  <c r="W376" i="67"/>
  <c r="AE376" i="67" s="1"/>
  <c r="P376" i="67"/>
  <c r="I376" i="67"/>
  <c r="D376" i="67"/>
  <c r="AK375" i="67" s="1"/>
  <c r="AF375" i="67"/>
  <c r="AC375" i="67"/>
  <c r="X375" i="67"/>
  <c r="P375" i="67"/>
  <c r="I375" i="67"/>
  <c r="D375" i="67"/>
  <c r="AK374" i="67" s="1"/>
  <c r="AF374" i="67"/>
  <c r="AC374" i="67"/>
  <c r="X374" i="67"/>
  <c r="P374" i="67"/>
  <c r="I374" i="67"/>
  <c r="D374" i="67"/>
  <c r="AF371" i="67"/>
  <c r="X371" i="67"/>
  <c r="P371" i="67"/>
  <c r="D371" i="67"/>
  <c r="AF370" i="67"/>
  <c r="X370" i="67"/>
  <c r="P370" i="67"/>
  <c r="D370" i="67"/>
  <c r="AF369" i="67"/>
  <c r="X369" i="67"/>
  <c r="P369" i="67"/>
  <c r="D369" i="67"/>
  <c r="AF363" i="67"/>
  <c r="X363" i="67"/>
  <c r="P363" i="67"/>
  <c r="D363" i="67"/>
  <c r="AF362" i="67"/>
  <c r="X362" i="67"/>
  <c r="P362" i="67"/>
  <c r="D362" i="67"/>
  <c r="AF361" i="67"/>
  <c r="X361" i="67"/>
  <c r="P361" i="67"/>
  <c r="D361" i="67"/>
  <c r="AF360" i="67"/>
  <c r="X360" i="67"/>
  <c r="P360" i="67"/>
  <c r="D360" i="67"/>
  <c r="AF359" i="67"/>
  <c r="X359" i="67"/>
  <c r="P359" i="67"/>
  <c r="D359" i="67"/>
  <c r="AF358" i="67"/>
  <c r="X358" i="67"/>
  <c r="P358" i="67"/>
  <c r="D358" i="67"/>
  <c r="AK355" i="67"/>
  <c r="AH355" i="67"/>
  <c r="AI355" i="67" s="1"/>
  <c r="AF355" i="67"/>
  <c r="AC355" i="67"/>
  <c r="Z355" i="67"/>
  <c r="AA355" i="67" s="1"/>
  <c r="X355" i="67"/>
  <c r="U355" i="67"/>
  <c r="R355" i="67"/>
  <c r="S355" i="67" s="1"/>
  <c r="P355" i="67"/>
  <c r="I355" i="67"/>
  <c r="F355" i="67"/>
  <c r="G355" i="67" s="1"/>
  <c r="D355" i="67"/>
  <c r="AF354" i="67"/>
  <c r="AC354" i="67"/>
  <c r="X354" i="67"/>
  <c r="U354" i="67" s="1"/>
  <c r="P354" i="67"/>
  <c r="I354" i="67"/>
  <c r="D354" i="67"/>
  <c r="AF353" i="67"/>
  <c r="AC353" i="67"/>
  <c r="X353" i="67"/>
  <c r="U353" i="67" s="1"/>
  <c r="P353" i="67"/>
  <c r="I353" i="67"/>
  <c r="D353" i="67"/>
  <c r="AF352" i="67"/>
  <c r="AC352" i="67"/>
  <c r="X352" i="67"/>
  <c r="U352" i="67" s="1"/>
  <c r="P352" i="67"/>
  <c r="I352" i="67"/>
  <c r="D352" i="67"/>
  <c r="AF351" i="67"/>
  <c r="AC351" i="67" s="1"/>
  <c r="X351" i="67"/>
  <c r="W351" i="67"/>
  <c r="AE351" i="67" s="1"/>
  <c r="P351" i="67"/>
  <c r="I351" i="67"/>
  <c r="D351" i="67"/>
  <c r="AK350" i="67" s="1"/>
  <c r="AF350" i="67"/>
  <c r="AC350" i="67"/>
  <c r="X350" i="67"/>
  <c r="P350" i="67"/>
  <c r="I350" i="67"/>
  <c r="D350" i="67"/>
  <c r="AK349" i="67" s="1"/>
  <c r="AF349" i="67"/>
  <c r="AC349" i="67"/>
  <c r="X349" i="67"/>
  <c r="P349" i="67"/>
  <c r="I349" i="67"/>
  <c r="D349" i="67"/>
  <c r="AF346" i="67"/>
  <c r="X346" i="67"/>
  <c r="P346" i="67"/>
  <c r="D346" i="67"/>
  <c r="AF345" i="67"/>
  <c r="X345" i="67"/>
  <c r="P345" i="67"/>
  <c r="D345" i="67"/>
  <c r="AF344" i="67"/>
  <c r="X344" i="67"/>
  <c r="P344" i="67"/>
  <c r="D344" i="67"/>
  <c r="AF338" i="67"/>
  <c r="X338" i="67"/>
  <c r="P338" i="67"/>
  <c r="D338" i="67"/>
  <c r="AF337" i="67"/>
  <c r="X337" i="67"/>
  <c r="P337" i="67"/>
  <c r="D337" i="67"/>
  <c r="AF336" i="67"/>
  <c r="X336" i="67"/>
  <c r="P336" i="67"/>
  <c r="D336" i="67"/>
  <c r="AF335" i="67"/>
  <c r="X335" i="67"/>
  <c r="P335" i="67"/>
  <c r="D335" i="67"/>
  <c r="AF334" i="67"/>
  <c r="X334" i="67"/>
  <c r="P334" i="67"/>
  <c r="D334" i="67"/>
  <c r="AF333" i="67"/>
  <c r="X333" i="67"/>
  <c r="P333" i="67"/>
  <c r="D333" i="67"/>
  <c r="AK330" i="67"/>
  <c r="AH330" i="67"/>
  <c r="AI330" i="67" s="1"/>
  <c r="AF330" i="67"/>
  <c r="AC330" i="67"/>
  <c r="Z330" i="67"/>
  <c r="AA330" i="67" s="1"/>
  <c r="X330" i="67"/>
  <c r="U330" i="67"/>
  <c r="R330" i="67"/>
  <c r="S330" i="67" s="1"/>
  <c r="P330" i="67"/>
  <c r="I330" i="67"/>
  <c r="F330" i="67"/>
  <c r="G330" i="67" s="1"/>
  <c r="D330" i="67"/>
  <c r="AF329" i="67"/>
  <c r="AC329" i="67"/>
  <c r="X329" i="67"/>
  <c r="U329" i="67" s="1"/>
  <c r="P329" i="67"/>
  <c r="I329" i="67"/>
  <c r="D329" i="67"/>
  <c r="AF328" i="67"/>
  <c r="AC328" i="67"/>
  <c r="X328" i="67"/>
  <c r="U328" i="67" s="1"/>
  <c r="P328" i="67"/>
  <c r="I328" i="67"/>
  <c r="D328" i="67"/>
  <c r="AF327" i="67"/>
  <c r="AC327" i="67"/>
  <c r="X327" i="67"/>
  <c r="U327" i="67" s="1"/>
  <c r="P327" i="67"/>
  <c r="I327" i="67"/>
  <c r="D327" i="67"/>
  <c r="AF326" i="67"/>
  <c r="AC326" i="67" s="1"/>
  <c r="X326" i="67"/>
  <c r="W326" i="67"/>
  <c r="AE326" i="67" s="1"/>
  <c r="P326" i="67"/>
  <c r="I326" i="67"/>
  <c r="D326" i="67"/>
  <c r="AK325" i="67" s="1"/>
  <c r="AF325" i="67"/>
  <c r="AC325" i="67"/>
  <c r="X325" i="67"/>
  <c r="P325" i="67"/>
  <c r="I325" i="67"/>
  <c r="D325" i="67"/>
  <c r="AK324" i="67" s="1"/>
  <c r="AF324" i="67"/>
  <c r="AC324" i="67"/>
  <c r="X324" i="67"/>
  <c r="P324" i="67"/>
  <c r="I324" i="67"/>
  <c r="D324" i="67"/>
  <c r="AF321" i="67"/>
  <c r="X321" i="67"/>
  <c r="P321" i="67"/>
  <c r="D321" i="67"/>
  <c r="AF320" i="67"/>
  <c r="X320" i="67"/>
  <c r="P320" i="67"/>
  <c r="D320" i="67"/>
  <c r="AF319" i="67"/>
  <c r="X319" i="67"/>
  <c r="P319" i="67"/>
  <c r="D319" i="67"/>
  <c r="AF313" i="67"/>
  <c r="X313" i="67"/>
  <c r="P313" i="67"/>
  <c r="D313" i="67"/>
  <c r="AF312" i="67"/>
  <c r="X312" i="67"/>
  <c r="P312" i="67"/>
  <c r="D312" i="67"/>
  <c r="AF311" i="67"/>
  <c r="X311" i="67"/>
  <c r="P311" i="67"/>
  <c r="D311" i="67"/>
  <c r="AF310" i="67"/>
  <c r="X310" i="67"/>
  <c r="P310" i="67"/>
  <c r="D310" i="67"/>
  <c r="AF309" i="67"/>
  <c r="X309" i="67"/>
  <c r="P309" i="67"/>
  <c r="D309" i="67"/>
  <c r="AF308" i="67"/>
  <c r="X308" i="67"/>
  <c r="P308" i="67"/>
  <c r="D308" i="67"/>
  <c r="AK305" i="67"/>
  <c r="AH305" i="67"/>
  <c r="AI305" i="67" s="1"/>
  <c r="AF305" i="67"/>
  <c r="AC305" i="67"/>
  <c r="Z305" i="67"/>
  <c r="AA305" i="67" s="1"/>
  <c r="X305" i="67"/>
  <c r="U305" i="67"/>
  <c r="R305" i="67"/>
  <c r="S305" i="67" s="1"/>
  <c r="P305" i="67"/>
  <c r="I305" i="67"/>
  <c r="D305" i="67"/>
  <c r="AK304" i="67"/>
  <c r="AF304" i="67"/>
  <c r="AC304" i="67" s="1"/>
  <c r="X304" i="67"/>
  <c r="U304" i="67"/>
  <c r="P304" i="67"/>
  <c r="I304" i="67" s="1"/>
  <c r="D304" i="67"/>
  <c r="AK303" i="67"/>
  <c r="AF303" i="67"/>
  <c r="AC303" i="67" s="1"/>
  <c r="X303" i="67"/>
  <c r="U303" i="67"/>
  <c r="P303" i="67"/>
  <c r="I303" i="67" s="1"/>
  <c r="D303" i="67"/>
  <c r="AK302" i="67"/>
  <c r="AF302" i="67"/>
  <c r="X302" i="67"/>
  <c r="U302" i="67"/>
  <c r="P302" i="67"/>
  <c r="I302" i="67" s="1"/>
  <c r="D302" i="67"/>
  <c r="AK301" i="67"/>
  <c r="AF301" i="67"/>
  <c r="AC301" i="67"/>
  <c r="X301" i="67"/>
  <c r="W301" i="67"/>
  <c r="AE301" i="67" s="1"/>
  <c r="U301" i="67"/>
  <c r="P301" i="67"/>
  <c r="I301" i="67" s="1"/>
  <c r="D301" i="67"/>
  <c r="AK300" i="67"/>
  <c r="AF300" i="67"/>
  <c r="AC300" i="67" s="1"/>
  <c r="X300" i="67"/>
  <c r="U300" i="67"/>
  <c r="P300" i="67"/>
  <c r="I300" i="67" s="1"/>
  <c r="D300" i="67"/>
  <c r="AK299" i="67"/>
  <c r="AF299" i="67"/>
  <c r="X299" i="67"/>
  <c r="U299" i="67"/>
  <c r="P299" i="67"/>
  <c r="I299" i="67" s="1"/>
  <c r="D299" i="67"/>
  <c r="AF296" i="67"/>
  <c r="X296" i="67"/>
  <c r="P296" i="67"/>
  <c r="D296" i="67"/>
  <c r="AF295" i="67"/>
  <c r="X295" i="67"/>
  <c r="P295" i="67"/>
  <c r="D295" i="67"/>
  <c r="AF294" i="67"/>
  <c r="X294" i="67"/>
  <c r="P294" i="67"/>
  <c r="D294" i="67"/>
  <c r="AF288" i="67"/>
  <c r="X288" i="67"/>
  <c r="P288" i="67"/>
  <c r="D288" i="67"/>
  <c r="AF287" i="67"/>
  <c r="X287" i="67"/>
  <c r="P287" i="67"/>
  <c r="D287" i="67"/>
  <c r="AF286" i="67"/>
  <c r="X286" i="67"/>
  <c r="P286" i="67"/>
  <c r="D286" i="67"/>
  <c r="AF285" i="67"/>
  <c r="X285" i="67"/>
  <c r="P285" i="67"/>
  <c r="D285" i="67"/>
  <c r="AF284" i="67"/>
  <c r="X284" i="67"/>
  <c r="P284" i="67"/>
  <c r="D284" i="67"/>
  <c r="AF283" i="67"/>
  <c r="X283" i="67"/>
  <c r="P283" i="67"/>
  <c r="D283" i="67"/>
  <c r="AK280" i="67"/>
  <c r="AH280" i="67"/>
  <c r="AI280" i="67" s="1"/>
  <c r="AF280" i="67"/>
  <c r="AC280" i="67"/>
  <c r="Z280" i="67"/>
  <c r="AA280" i="67" s="1"/>
  <c r="X280" i="67"/>
  <c r="U280" i="67"/>
  <c r="R280" i="67"/>
  <c r="S280" i="67" s="1"/>
  <c r="P280" i="67"/>
  <c r="I280" i="67"/>
  <c r="D280" i="67"/>
  <c r="AF279" i="67"/>
  <c r="AC279" i="67"/>
  <c r="X279" i="67"/>
  <c r="U279" i="67" s="1"/>
  <c r="P279" i="67"/>
  <c r="I279" i="67"/>
  <c r="D279" i="67"/>
  <c r="AK278" i="67" s="1"/>
  <c r="AF278" i="67"/>
  <c r="AC278" i="67"/>
  <c r="X278" i="67"/>
  <c r="U278" i="67" s="1"/>
  <c r="P278" i="67"/>
  <c r="I278" i="67"/>
  <c r="D278" i="67"/>
  <c r="AK277" i="67" s="1"/>
  <c r="AF277" i="67"/>
  <c r="AC277" i="67"/>
  <c r="X277" i="67"/>
  <c r="U277" i="67" s="1"/>
  <c r="P277" i="67"/>
  <c r="I277" i="67"/>
  <c r="D277" i="67"/>
  <c r="AK276" i="67" s="1"/>
  <c r="AF276" i="67"/>
  <c r="X276" i="67"/>
  <c r="W276" i="67"/>
  <c r="U276" i="67" s="1"/>
  <c r="P276" i="67"/>
  <c r="I276" i="67"/>
  <c r="D276" i="67"/>
  <c r="AK275" i="67" s="1"/>
  <c r="AF275" i="67"/>
  <c r="AC275" i="67"/>
  <c r="X275" i="67"/>
  <c r="U275" i="67" s="1"/>
  <c r="P275" i="67"/>
  <c r="I275" i="67"/>
  <c r="D275" i="67"/>
  <c r="AK274" i="67" s="1"/>
  <c r="AF274" i="67"/>
  <c r="AC274" i="67"/>
  <c r="X274" i="67"/>
  <c r="U274" i="67" s="1"/>
  <c r="P274" i="67"/>
  <c r="I274" i="67"/>
  <c r="D274" i="67"/>
  <c r="AF271" i="67"/>
  <c r="X271" i="67"/>
  <c r="P271" i="67"/>
  <c r="D271" i="67"/>
  <c r="AF270" i="67"/>
  <c r="X270" i="67"/>
  <c r="P270" i="67"/>
  <c r="D270" i="67"/>
  <c r="AF269" i="67"/>
  <c r="X269" i="67"/>
  <c r="P269" i="67"/>
  <c r="D269" i="67"/>
  <c r="AF263" i="67"/>
  <c r="X263" i="67"/>
  <c r="P263" i="67"/>
  <c r="AF262" i="67"/>
  <c r="X262" i="67"/>
  <c r="P262" i="67"/>
  <c r="AF261" i="67"/>
  <c r="X261" i="67"/>
  <c r="P261" i="67"/>
  <c r="AF260" i="67"/>
  <c r="X260" i="67"/>
  <c r="P260" i="67"/>
  <c r="AF259" i="67"/>
  <c r="X259" i="67"/>
  <c r="P259" i="67"/>
  <c r="AF258" i="67"/>
  <c r="X258" i="67"/>
  <c r="P258" i="67"/>
  <c r="AK255" i="67"/>
  <c r="AH255" i="67"/>
  <c r="AI255" i="67" s="1"/>
  <c r="AF255" i="67"/>
  <c r="AC255" i="67"/>
  <c r="Z255" i="67"/>
  <c r="AA255" i="67" s="1"/>
  <c r="X255" i="67"/>
  <c r="U255" i="67"/>
  <c r="R255" i="67"/>
  <c r="S255" i="67" s="1"/>
  <c r="P255" i="67"/>
  <c r="I255" i="67"/>
  <c r="AF254" i="67"/>
  <c r="AC254" i="67"/>
  <c r="X254" i="67"/>
  <c r="U254" i="67" s="1"/>
  <c r="P254" i="67"/>
  <c r="I254" i="67"/>
  <c r="AK253" i="67"/>
  <c r="AF253" i="67"/>
  <c r="X253" i="67"/>
  <c r="U253" i="67"/>
  <c r="P253" i="67"/>
  <c r="I253" i="67" s="1"/>
  <c r="AK252" i="67" s="1"/>
  <c r="AF252" i="67"/>
  <c r="AC252" i="67"/>
  <c r="X252" i="67"/>
  <c r="U252" i="67" s="1"/>
  <c r="P252" i="67"/>
  <c r="I252" i="67"/>
  <c r="AK251" i="67"/>
  <c r="AF251" i="67"/>
  <c r="AC251" i="67"/>
  <c r="X251" i="67"/>
  <c r="W251" i="67"/>
  <c r="AE251" i="67" s="1"/>
  <c r="U251" i="67"/>
  <c r="P251" i="67"/>
  <c r="I251" i="67" s="1"/>
  <c r="AF250" i="67"/>
  <c r="AC250" i="67"/>
  <c r="X250" i="67"/>
  <c r="P250" i="67"/>
  <c r="I250" i="67"/>
  <c r="AK249" i="67"/>
  <c r="AF249" i="67"/>
  <c r="X249" i="67"/>
  <c r="U249" i="67"/>
  <c r="P249" i="67"/>
  <c r="I249" i="67" s="1"/>
  <c r="AF246" i="67"/>
  <c r="X246" i="67"/>
  <c r="P246" i="67"/>
  <c r="AF245" i="67"/>
  <c r="X245" i="67"/>
  <c r="P245" i="67"/>
  <c r="AF244" i="67"/>
  <c r="X244" i="67"/>
  <c r="P244" i="67"/>
  <c r="AF238" i="67"/>
  <c r="X238" i="67"/>
  <c r="P238" i="67"/>
  <c r="D238" i="67"/>
  <c r="AF237" i="67"/>
  <c r="X237" i="67"/>
  <c r="P237" i="67"/>
  <c r="D237" i="67"/>
  <c r="AF236" i="67"/>
  <c r="X236" i="67"/>
  <c r="P236" i="67"/>
  <c r="D236" i="67"/>
  <c r="AF235" i="67"/>
  <c r="X235" i="67"/>
  <c r="P235" i="67"/>
  <c r="D235" i="67"/>
  <c r="AF234" i="67"/>
  <c r="X234" i="67"/>
  <c r="P234" i="67"/>
  <c r="D234" i="67"/>
  <c r="AF233" i="67"/>
  <c r="X233" i="67"/>
  <c r="P233" i="67"/>
  <c r="D233" i="67"/>
  <c r="AK230" i="67"/>
  <c r="AH230" i="67"/>
  <c r="AI230" i="67" s="1"/>
  <c r="AF230" i="67"/>
  <c r="AC230" i="67"/>
  <c r="Z230" i="67"/>
  <c r="AA230" i="67" s="1"/>
  <c r="X230" i="67"/>
  <c r="U230" i="67"/>
  <c r="R230" i="67"/>
  <c r="S230" i="67" s="1"/>
  <c r="P230" i="67"/>
  <c r="I230" i="67"/>
  <c r="D230" i="67"/>
  <c r="AF229" i="67"/>
  <c r="AC229" i="67"/>
  <c r="X229" i="67"/>
  <c r="U229" i="67" s="1"/>
  <c r="P229" i="67"/>
  <c r="I229" i="67"/>
  <c r="D229" i="67"/>
  <c r="AK228" i="67" s="1"/>
  <c r="AF228" i="67"/>
  <c r="AC228" i="67"/>
  <c r="X228" i="67"/>
  <c r="U228" i="67" s="1"/>
  <c r="P228" i="67"/>
  <c r="I228" i="67"/>
  <c r="D228" i="67"/>
  <c r="AK227" i="67" s="1"/>
  <c r="AF227" i="67"/>
  <c r="AC227" i="67"/>
  <c r="X227" i="67"/>
  <c r="P227" i="67"/>
  <c r="I227" i="67"/>
  <c r="D227" i="67"/>
  <c r="AF226" i="67"/>
  <c r="AC226" i="67" s="1"/>
  <c r="X226" i="67"/>
  <c r="W226" i="67"/>
  <c r="AE226" i="67" s="1"/>
  <c r="U226" i="67" s="1"/>
  <c r="P226" i="67"/>
  <c r="I226" i="67"/>
  <c r="D226" i="67"/>
  <c r="AK225" i="67" s="1"/>
  <c r="AF225" i="67"/>
  <c r="AC225" i="67"/>
  <c r="X225" i="67"/>
  <c r="U225" i="67" s="1"/>
  <c r="P225" i="67"/>
  <c r="I225" i="67"/>
  <c r="D225" i="67"/>
  <c r="AK224" i="67" s="1"/>
  <c r="AF224" i="67"/>
  <c r="AC224" i="67"/>
  <c r="X224" i="67"/>
  <c r="P224" i="67"/>
  <c r="I224" i="67"/>
  <c r="D224" i="67"/>
  <c r="AF221" i="67"/>
  <c r="X221" i="67"/>
  <c r="P221" i="67"/>
  <c r="D221" i="67"/>
  <c r="AF220" i="67"/>
  <c r="X220" i="67"/>
  <c r="P220" i="67"/>
  <c r="D220" i="67"/>
  <c r="AF219" i="67"/>
  <c r="X219" i="67"/>
  <c r="P219" i="67"/>
  <c r="D219" i="67"/>
  <c r="AF213" i="67"/>
  <c r="X213" i="67"/>
  <c r="P213" i="67"/>
  <c r="D213" i="67"/>
  <c r="AF212" i="67"/>
  <c r="X212" i="67"/>
  <c r="P212" i="67"/>
  <c r="D212" i="67"/>
  <c r="AF211" i="67"/>
  <c r="X211" i="67"/>
  <c r="P211" i="67"/>
  <c r="D211" i="67"/>
  <c r="AF210" i="67"/>
  <c r="X210" i="67"/>
  <c r="P210" i="67"/>
  <c r="D210" i="67"/>
  <c r="AF209" i="67"/>
  <c r="X209" i="67"/>
  <c r="P209" i="67"/>
  <c r="D209" i="67"/>
  <c r="AF208" i="67"/>
  <c r="X208" i="67"/>
  <c r="P208" i="67"/>
  <c r="D208" i="67"/>
  <c r="AK205" i="67"/>
  <c r="AH205" i="67"/>
  <c r="AI205" i="67" s="1"/>
  <c r="AF205" i="67"/>
  <c r="AC205" i="67"/>
  <c r="Z205" i="67"/>
  <c r="AA205" i="67" s="1"/>
  <c r="X205" i="67"/>
  <c r="U205" i="67"/>
  <c r="R205" i="67"/>
  <c r="S205" i="67" s="1"/>
  <c r="P205" i="67"/>
  <c r="I205" i="67"/>
  <c r="D205" i="67"/>
  <c r="AK204" i="67"/>
  <c r="AF204" i="67"/>
  <c r="X204" i="67"/>
  <c r="U204" i="67"/>
  <c r="P204" i="67"/>
  <c r="I204" i="67" s="1"/>
  <c r="D204" i="67"/>
  <c r="AK203" i="67"/>
  <c r="AF203" i="67"/>
  <c r="X203" i="67"/>
  <c r="U203" i="67"/>
  <c r="P203" i="67"/>
  <c r="I203" i="67" s="1"/>
  <c r="D203" i="67"/>
  <c r="AK202" i="67"/>
  <c r="AF202" i="67"/>
  <c r="AC202" i="67" s="1"/>
  <c r="X202" i="67"/>
  <c r="U202" i="67"/>
  <c r="P202" i="67"/>
  <c r="I202" i="67" s="1"/>
  <c r="D202" i="67"/>
  <c r="AK201" i="67"/>
  <c r="AF201" i="67"/>
  <c r="AC201" i="67"/>
  <c r="X201" i="67"/>
  <c r="W201" i="67"/>
  <c r="AE201" i="67" s="1"/>
  <c r="U201" i="67"/>
  <c r="P201" i="67"/>
  <c r="I201" i="67" s="1"/>
  <c r="D201" i="67"/>
  <c r="AK200" i="67"/>
  <c r="AF200" i="67"/>
  <c r="X200" i="67"/>
  <c r="U200" i="67"/>
  <c r="P200" i="67"/>
  <c r="I200" i="67" s="1"/>
  <c r="D200" i="67"/>
  <c r="AK199" i="67"/>
  <c r="AF199" i="67"/>
  <c r="AC199" i="67" s="1"/>
  <c r="X199" i="67"/>
  <c r="U199" i="67"/>
  <c r="P199" i="67"/>
  <c r="I199" i="67" s="1"/>
  <c r="D199" i="67"/>
  <c r="AF196" i="67"/>
  <c r="X196" i="67"/>
  <c r="P196" i="67"/>
  <c r="D196" i="67"/>
  <c r="AF195" i="67"/>
  <c r="X195" i="67"/>
  <c r="P195" i="67"/>
  <c r="D195" i="67"/>
  <c r="AF194" i="67"/>
  <c r="X194" i="67"/>
  <c r="P194" i="67"/>
  <c r="D194" i="67"/>
  <c r="AF188" i="67"/>
  <c r="X188" i="67"/>
  <c r="P188" i="67"/>
  <c r="D188" i="67"/>
  <c r="AF187" i="67"/>
  <c r="X187" i="67"/>
  <c r="P187" i="67"/>
  <c r="D187" i="67"/>
  <c r="AF186" i="67"/>
  <c r="X186" i="67"/>
  <c r="P186" i="67"/>
  <c r="D186" i="67"/>
  <c r="AF185" i="67"/>
  <c r="X185" i="67"/>
  <c r="P185" i="67"/>
  <c r="D185" i="67"/>
  <c r="AF184" i="67"/>
  <c r="X184" i="67"/>
  <c r="P184" i="67"/>
  <c r="D184" i="67"/>
  <c r="AF183" i="67"/>
  <c r="X183" i="67"/>
  <c r="P183" i="67"/>
  <c r="D183" i="67"/>
  <c r="AK180" i="67"/>
  <c r="AH180" i="67"/>
  <c r="AI180" i="67" s="1"/>
  <c r="AF180" i="67"/>
  <c r="AC180" i="67"/>
  <c r="Z180" i="67"/>
  <c r="AA180" i="67" s="1"/>
  <c r="X180" i="67"/>
  <c r="U180" i="67"/>
  <c r="R180" i="67"/>
  <c r="S180" i="67" s="1"/>
  <c r="P180" i="67"/>
  <c r="I180" i="67"/>
  <c r="D180" i="67"/>
  <c r="AK179" i="67" s="1"/>
  <c r="AF179" i="67"/>
  <c r="AC179" i="67"/>
  <c r="X179" i="67"/>
  <c r="U179" i="67" s="1"/>
  <c r="P179" i="67"/>
  <c r="I179" i="67"/>
  <c r="D179" i="67"/>
  <c r="AK178" i="67" s="1"/>
  <c r="AF178" i="67"/>
  <c r="AC178" i="67"/>
  <c r="X178" i="67"/>
  <c r="P178" i="67"/>
  <c r="I178" i="67"/>
  <c r="D178" i="67"/>
  <c r="AF177" i="67"/>
  <c r="AC177" i="67"/>
  <c r="X177" i="67"/>
  <c r="P177" i="67"/>
  <c r="I177" i="67"/>
  <c r="D177" i="67"/>
  <c r="AF176" i="67"/>
  <c r="X176" i="67"/>
  <c r="W176" i="67"/>
  <c r="AE176" i="67" s="1"/>
  <c r="U176" i="67" s="1"/>
  <c r="P176" i="67"/>
  <c r="I176" i="67"/>
  <c r="D176" i="67"/>
  <c r="AK175" i="67" s="1"/>
  <c r="AF175" i="67"/>
  <c r="AC175" i="67"/>
  <c r="X175" i="67"/>
  <c r="P175" i="67"/>
  <c r="I175" i="67"/>
  <c r="D175" i="67"/>
  <c r="AF174" i="67"/>
  <c r="AC174" i="67"/>
  <c r="X174" i="67"/>
  <c r="P174" i="67"/>
  <c r="I174" i="67"/>
  <c r="D174" i="67"/>
  <c r="AF171" i="67"/>
  <c r="X171" i="67"/>
  <c r="P171" i="67"/>
  <c r="D171" i="67"/>
  <c r="AF170" i="67"/>
  <c r="X170" i="67"/>
  <c r="P170" i="67"/>
  <c r="D170" i="67"/>
  <c r="AF169" i="67"/>
  <c r="X169" i="67"/>
  <c r="P169" i="67"/>
  <c r="D169" i="67"/>
  <c r="AF163" i="67"/>
  <c r="X163" i="67"/>
  <c r="P163" i="67"/>
  <c r="D163" i="67"/>
  <c r="AF162" i="67"/>
  <c r="X162" i="67"/>
  <c r="P162" i="67"/>
  <c r="D162" i="67"/>
  <c r="AF161" i="67"/>
  <c r="X161" i="67"/>
  <c r="P161" i="67"/>
  <c r="D161" i="67"/>
  <c r="AF160" i="67"/>
  <c r="X160" i="67"/>
  <c r="P160" i="67"/>
  <c r="D160" i="67"/>
  <c r="AF159" i="67"/>
  <c r="X159" i="67"/>
  <c r="P159" i="67"/>
  <c r="D159" i="67"/>
  <c r="AF158" i="67"/>
  <c r="X158" i="67"/>
  <c r="P158" i="67"/>
  <c r="D158" i="67"/>
  <c r="AK155" i="67"/>
  <c r="AH155" i="67"/>
  <c r="AI155" i="67" s="1"/>
  <c r="AF155" i="67"/>
  <c r="AC155" i="67"/>
  <c r="Z155" i="67"/>
  <c r="AA155" i="67" s="1"/>
  <c r="X155" i="67"/>
  <c r="U155" i="67"/>
  <c r="R155" i="67"/>
  <c r="S155" i="67" s="1"/>
  <c r="P155" i="67"/>
  <c r="I155" i="67"/>
  <c r="D155" i="67"/>
  <c r="AK154" i="67"/>
  <c r="AF154" i="67"/>
  <c r="X154" i="67"/>
  <c r="U154" i="67"/>
  <c r="P154" i="67"/>
  <c r="I154" i="67" s="1"/>
  <c r="D154" i="67"/>
  <c r="AK153" i="67"/>
  <c r="AF153" i="67"/>
  <c r="AC153" i="67" s="1"/>
  <c r="X153" i="67"/>
  <c r="U153" i="67"/>
  <c r="P153" i="67"/>
  <c r="I153" i="67" s="1"/>
  <c r="D153" i="67"/>
  <c r="AK152" i="67"/>
  <c r="AF152" i="67"/>
  <c r="X152" i="67"/>
  <c r="U152" i="67"/>
  <c r="P152" i="67"/>
  <c r="I152" i="67" s="1"/>
  <c r="D152" i="67"/>
  <c r="AK151" i="67"/>
  <c r="AF151" i="67"/>
  <c r="AC151" i="67"/>
  <c r="X151" i="67"/>
  <c r="U151" i="67"/>
  <c r="P151" i="67"/>
  <c r="O151" i="67"/>
  <c r="W151" i="67" s="1"/>
  <c r="AE151" i="67" s="1"/>
  <c r="I151" i="67"/>
  <c r="D151" i="67"/>
  <c r="AF150" i="67"/>
  <c r="AC150" i="67"/>
  <c r="X150" i="67"/>
  <c r="P150" i="67"/>
  <c r="I150" i="67"/>
  <c r="D150" i="67"/>
  <c r="AF149" i="67"/>
  <c r="AC149" i="67"/>
  <c r="X149" i="67"/>
  <c r="U149" i="67" s="1"/>
  <c r="P149" i="67"/>
  <c r="I149" i="67"/>
  <c r="D149" i="67"/>
  <c r="AF146" i="67"/>
  <c r="X146" i="67"/>
  <c r="P146" i="67"/>
  <c r="D146" i="67"/>
  <c r="AF145" i="67"/>
  <c r="X145" i="67"/>
  <c r="P145" i="67"/>
  <c r="D145" i="67"/>
  <c r="AF144" i="67"/>
  <c r="X144" i="67"/>
  <c r="P144" i="67"/>
  <c r="D144" i="67"/>
  <c r="AF138" i="67"/>
  <c r="X138" i="67"/>
  <c r="P138" i="67"/>
  <c r="D138" i="67"/>
  <c r="AF137" i="67"/>
  <c r="X137" i="67"/>
  <c r="P137" i="67"/>
  <c r="D137" i="67"/>
  <c r="AF136" i="67"/>
  <c r="X136" i="67"/>
  <c r="P136" i="67"/>
  <c r="D136" i="67"/>
  <c r="AF135" i="67"/>
  <c r="X135" i="67"/>
  <c r="P135" i="67"/>
  <c r="D135" i="67"/>
  <c r="AF134" i="67"/>
  <c r="X134" i="67"/>
  <c r="P134" i="67"/>
  <c r="D134" i="67"/>
  <c r="AF133" i="67"/>
  <c r="X133" i="67"/>
  <c r="P133" i="67"/>
  <c r="D133" i="67"/>
  <c r="AK130" i="67"/>
  <c r="AH130" i="67"/>
  <c r="AI130" i="67" s="1"/>
  <c r="AF130" i="67"/>
  <c r="AC130" i="67"/>
  <c r="Z130" i="67"/>
  <c r="AA130" i="67" s="1"/>
  <c r="X130" i="67"/>
  <c r="U130" i="67"/>
  <c r="R130" i="67"/>
  <c r="S130" i="67" s="1"/>
  <c r="P130" i="67"/>
  <c r="I130" i="67"/>
  <c r="F130" i="67"/>
  <c r="G130" i="67" s="1"/>
  <c r="D130" i="67"/>
  <c r="AF129" i="67"/>
  <c r="AC129" i="67"/>
  <c r="X129" i="67"/>
  <c r="P129" i="67"/>
  <c r="I129" i="67"/>
  <c r="D129" i="67"/>
  <c r="AF128" i="67"/>
  <c r="AC128" i="67"/>
  <c r="X128" i="67"/>
  <c r="U128" i="67" s="1"/>
  <c r="P128" i="67"/>
  <c r="I128" i="67"/>
  <c r="D128" i="67"/>
  <c r="AF127" i="67"/>
  <c r="AC127" i="67"/>
  <c r="X127" i="67"/>
  <c r="P127" i="67"/>
  <c r="I127" i="67"/>
  <c r="D127" i="67"/>
  <c r="AF126" i="67"/>
  <c r="AC126" i="67"/>
  <c r="X126" i="67"/>
  <c r="U126" i="67" s="1"/>
  <c r="P126" i="67"/>
  <c r="I126" i="67"/>
  <c r="D126" i="67"/>
  <c r="AF125" i="67"/>
  <c r="AC125" i="67"/>
  <c r="X125" i="67"/>
  <c r="P125" i="67"/>
  <c r="I125" i="67"/>
  <c r="D125" i="67"/>
  <c r="AF122" i="67"/>
  <c r="X122" i="67"/>
  <c r="P122" i="67"/>
  <c r="D122" i="67"/>
  <c r="AF121" i="67"/>
  <c r="X121" i="67"/>
  <c r="P121" i="67"/>
  <c r="D121" i="67"/>
  <c r="AF115" i="67"/>
  <c r="X115" i="67"/>
  <c r="P115" i="67"/>
  <c r="D115" i="67"/>
  <c r="AF114" i="67"/>
  <c r="X114" i="67"/>
  <c r="P114" i="67"/>
  <c r="D114" i="67"/>
  <c r="AF113" i="67"/>
  <c r="X113" i="67"/>
  <c r="P113" i="67"/>
  <c r="D113" i="67"/>
  <c r="AF112" i="67"/>
  <c r="X112" i="67"/>
  <c r="P112" i="67"/>
  <c r="D112" i="67"/>
  <c r="AF111" i="67"/>
  <c r="X111" i="67"/>
  <c r="P111" i="67"/>
  <c r="D111" i="67"/>
  <c r="AF110" i="67"/>
  <c r="X110" i="67"/>
  <c r="P110" i="67"/>
  <c r="D110" i="67"/>
  <c r="AK107" i="67"/>
  <c r="AH107" i="67"/>
  <c r="AI107" i="67" s="1"/>
  <c r="AF107" i="67"/>
  <c r="AC107" i="67"/>
  <c r="AA107" i="67"/>
  <c r="Z107" i="67"/>
  <c r="X107" i="67"/>
  <c r="U107" i="67"/>
  <c r="R107" i="67"/>
  <c r="S107" i="67" s="1"/>
  <c r="P107" i="67"/>
  <c r="I107" i="67"/>
  <c r="F107" i="67"/>
  <c r="G107" i="67" s="1"/>
  <c r="D107" i="67"/>
  <c r="AF106" i="67"/>
  <c r="AC106" i="67"/>
  <c r="X106" i="67"/>
  <c r="U106" i="67" s="1"/>
  <c r="P106" i="67"/>
  <c r="I106" i="67"/>
  <c r="D106" i="67"/>
  <c r="AF105" i="67"/>
  <c r="AC105" i="67"/>
  <c r="X105" i="67"/>
  <c r="U105" i="67" s="1"/>
  <c r="P105" i="67"/>
  <c r="I105" i="67"/>
  <c r="D105" i="67"/>
  <c r="AF104" i="67"/>
  <c r="AC104" i="67"/>
  <c r="X104" i="67"/>
  <c r="U104" i="67" s="1"/>
  <c r="P104" i="67"/>
  <c r="I104" i="67"/>
  <c r="D104" i="67"/>
  <c r="AF103" i="67"/>
  <c r="AC103" i="67"/>
  <c r="X103" i="67"/>
  <c r="U103" i="67" s="1"/>
  <c r="P103" i="67"/>
  <c r="I103" i="67"/>
  <c r="D103" i="67"/>
  <c r="AF102" i="67"/>
  <c r="AC102" i="67"/>
  <c r="X102" i="67"/>
  <c r="U102" i="67" s="1"/>
  <c r="P102" i="67"/>
  <c r="I102" i="67"/>
  <c r="D102" i="67"/>
  <c r="AF99" i="67"/>
  <c r="X99" i="67"/>
  <c r="P99" i="67"/>
  <c r="D99" i="67"/>
  <c r="AF98" i="67"/>
  <c r="X98" i="67"/>
  <c r="P98" i="67"/>
  <c r="D98" i="67"/>
  <c r="AF92" i="67"/>
  <c r="X92" i="67"/>
  <c r="P92" i="67"/>
  <c r="D92" i="67"/>
  <c r="AF91" i="67"/>
  <c r="X91" i="67"/>
  <c r="P91" i="67"/>
  <c r="D91" i="67"/>
  <c r="AF90" i="67"/>
  <c r="X90" i="67"/>
  <c r="P90" i="67"/>
  <c r="D90" i="67"/>
  <c r="AF89" i="67"/>
  <c r="X89" i="67"/>
  <c r="P89" i="67"/>
  <c r="D89" i="67"/>
  <c r="AF88" i="67"/>
  <c r="X88" i="67"/>
  <c r="P88" i="67"/>
  <c r="D88" i="67"/>
  <c r="AF87" i="67"/>
  <c r="X87" i="67"/>
  <c r="P87" i="67"/>
  <c r="D87" i="67"/>
  <c r="AK84" i="67"/>
  <c r="AH84" i="67"/>
  <c r="AI84" i="67" s="1"/>
  <c r="AF84" i="67"/>
  <c r="AC84" i="67"/>
  <c r="Z84" i="67"/>
  <c r="AA84" i="67" s="1"/>
  <c r="X84" i="67"/>
  <c r="U84" i="67"/>
  <c r="R84" i="67"/>
  <c r="S84" i="67" s="1"/>
  <c r="P84" i="67"/>
  <c r="I84" i="67"/>
  <c r="D84" i="67"/>
  <c r="AK83" i="67"/>
  <c r="AF83" i="67"/>
  <c r="AC83" i="67" s="1"/>
  <c r="X83" i="67"/>
  <c r="U83" i="67"/>
  <c r="P83" i="67"/>
  <c r="I83" i="67" s="1"/>
  <c r="D83" i="67"/>
  <c r="AK82" i="67"/>
  <c r="AF82" i="67"/>
  <c r="X82" i="67"/>
  <c r="U82" i="67"/>
  <c r="P82" i="67"/>
  <c r="I82" i="67" s="1"/>
  <c r="D82" i="67"/>
  <c r="AK81" i="67"/>
  <c r="AF81" i="67"/>
  <c r="AC81" i="67" s="1"/>
  <c r="X81" i="67"/>
  <c r="U81" i="67"/>
  <c r="P81" i="67"/>
  <c r="I81" i="67" s="1"/>
  <c r="D81" i="67"/>
  <c r="AK80" i="67"/>
  <c r="AF80" i="67"/>
  <c r="AC80" i="67" s="1"/>
  <c r="X80" i="67"/>
  <c r="U80" i="67"/>
  <c r="P80" i="67"/>
  <c r="I80" i="67" s="1"/>
  <c r="D80" i="67"/>
  <c r="AK79" i="67"/>
  <c r="AF79" i="67"/>
  <c r="AC79" i="67" s="1"/>
  <c r="X79" i="67"/>
  <c r="U79" i="67"/>
  <c r="P79" i="67"/>
  <c r="I79" i="67" s="1"/>
  <c r="D79" i="67"/>
  <c r="AF76" i="67"/>
  <c r="X76" i="67"/>
  <c r="P76" i="67"/>
  <c r="D76" i="67"/>
  <c r="AF75" i="67"/>
  <c r="X75" i="67"/>
  <c r="P75" i="67"/>
  <c r="D75" i="67"/>
  <c r="AF69" i="67"/>
  <c r="X69" i="67"/>
  <c r="P69" i="67"/>
  <c r="D69" i="67"/>
  <c r="AF68" i="67"/>
  <c r="X68" i="67"/>
  <c r="P68" i="67"/>
  <c r="D68" i="67"/>
  <c r="AF67" i="67"/>
  <c r="X67" i="67"/>
  <c r="P67" i="67"/>
  <c r="D67" i="67"/>
  <c r="AF66" i="67"/>
  <c r="X66" i="67"/>
  <c r="P66" i="67"/>
  <c r="D66" i="67"/>
  <c r="AF65" i="67"/>
  <c r="X65" i="67"/>
  <c r="P65" i="67"/>
  <c r="D65" i="67"/>
  <c r="AF64" i="67"/>
  <c r="X64" i="67"/>
  <c r="P64" i="67"/>
  <c r="D64" i="67"/>
  <c r="AK61" i="67"/>
  <c r="AH61" i="67"/>
  <c r="AI61" i="67" s="1"/>
  <c r="AF61" i="67"/>
  <c r="AC61" i="67"/>
  <c r="Z61" i="67"/>
  <c r="AA61" i="67" s="1"/>
  <c r="X61" i="67"/>
  <c r="U61" i="67"/>
  <c r="R61" i="67"/>
  <c r="S61" i="67" s="1"/>
  <c r="P61" i="67"/>
  <c r="I61" i="67"/>
  <c r="D61" i="67"/>
  <c r="AF60" i="67"/>
  <c r="AC60" i="67"/>
  <c r="X60" i="67"/>
  <c r="U60" i="67" s="1"/>
  <c r="P60" i="67"/>
  <c r="I60" i="67"/>
  <c r="D60" i="67"/>
  <c r="AK59" i="67" s="1"/>
  <c r="AF59" i="67"/>
  <c r="AC59" i="67"/>
  <c r="X59" i="67"/>
  <c r="U59" i="67" s="1"/>
  <c r="P59" i="67"/>
  <c r="I59" i="67"/>
  <c r="D59" i="67"/>
  <c r="AK58" i="67" s="1"/>
  <c r="AF58" i="67"/>
  <c r="AC58" i="67"/>
  <c r="X58" i="67"/>
  <c r="U58" i="67" s="1"/>
  <c r="P58" i="67"/>
  <c r="I58" i="67"/>
  <c r="D58" i="67"/>
  <c r="AK57" i="67" s="1"/>
  <c r="AF57" i="67"/>
  <c r="AC57" i="67"/>
  <c r="X57" i="67"/>
  <c r="P57" i="67"/>
  <c r="I57" i="67"/>
  <c r="D57" i="67"/>
  <c r="AF56" i="67"/>
  <c r="AC56" i="67"/>
  <c r="AC62" i="67" s="1"/>
  <c r="Y65" i="67" s="1"/>
  <c r="X56" i="67"/>
  <c r="U56" i="67" s="1"/>
  <c r="P56" i="67"/>
  <c r="I56" i="67"/>
  <c r="D56" i="67"/>
  <c r="AF53" i="67"/>
  <c r="X53" i="67"/>
  <c r="P53" i="67"/>
  <c r="D53" i="67"/>
  <c r="AF52" i="67"/>
  <c r="X52" i="67"/>
  <c r="P52" i="67"/>
  <c r="D52" i="67"/>
  <c r="AF46" i="67"/>
  <c r="X46" i="67"/>
  <c r="P46" i="67"/>
  <c r="AF45" i="67"/>
  <c r="X45" i="67"/>
  <c r="P45" i="67"/>
  <c r="AF44" i="67"/>
  <c r="X44" i="67"/>
  <c r="P44" i="67"/>
  <c r="AF43" i="67"/>
  <c r="X43" i="67"/>
  <c r="P43" i="67"/>
  <c r="AF42" i="67"/>
  <c r="X42" i="67"/>
  <c r="P42" i="67"/>
  <c r="AF41" i="67"/>
  <c r="X41" i="67"/>
  <c r="P41" i="67"/>
  <c r="AK38" i="67"/>
  <c r="AH38" i="67"/>
  <c r="AI38" i="67" s="1"/>
  <c r="AF38" i="67"/>
  <c r="AC38" i="67"/>
  <c r="Z38" i="67"/>
  <c r="AA38" i="67" s="1"/>
  <c r="X38" i="67"/>
  <c r="U38" i="67"/>
  <c r="R38" i="67"/>
  <c r="S38" i="67" s="1"/>
  <c r="P38" i="67"/>
  <c r="I38" i="67"/>
  <c r="AK37" i="67" s="1"/>
  <c r="AF37" i="67"/>
  <c r="AC37" i="67"/>
  <c r="X37" i="67"/>
  <c r="U37" i="67" s="1"/>
  <c r="P37" i="67"/>
  <c r="I37" i="67"/>
  <c r="AK36" i="67"/>
  <c r="AF36" i="67"/>
  <c r="AC36" i="67"/>
  <c r="X36" i="67"/>
  <c r="U36" i="67"/>
  <c r="P36" i="67"/>
  <c r="I36" i="67" s="1"/>
  <c r="AK35" i="67" s="1"/>
  <c r="AF35" i="67"/>
  <c r="AC35" i="67"/>
  <c r="X35" i="67"/>
  <c r="U35" i="67"/>
  <c r="P35" i="67"/>
  <c r="I35" i="67" s="1"/>
  <c r="AF34" i="67"/>
  <c r="X34" i="67"/>
  <c r="U34" i="67" s="1"/>
  <c r="P34" i="67"/>
  <c r="I34" i="67" s="1"/>
  <c r="AK33" i="67"/>
  <c r="AF33" i="67"/>
  <c r="X33" i="67"/>
  <c r="U33" i="67"/>
  <c r="P33" i="67"/>
  <c r="I33" i="67"/>
  <c r="AF30" i="67"/>
  <c r="X30" i="67"/>
  <c r="P30" i="67"/>
  <c r="AF29" i="67"/>
  <c r="X29" i="67"/>
  <c r="P29" i="67"/>
  <c r="B9" i="67"/>
  <c r="AF516" i="65"/>
  <c r="X516" i="65"/>
  <c r="P516" i="65"/>
  <c r="D516" i="65"/>
  <c r="AF515" i="65"/>
  <c r="X515" i="65"/>
  <c r="P515" i="65"/>
  <c r="D515" i="65"/>
  <c r="AF514" i="65"/>
  <c r="X514" i="65"/>
  <c r="P514" i="65"/>
  <c r="D514" i="65"/>
  <c r="AF513" i="65"/>
  <c r="X513" i="65"/>
  <c r="P513" i="65"/>
  <c r="D513" i="65"/>
  <c r="AF512" i="65"/>
  <c r="X512" i="65"/>
  <c r="P512" i="65"/>
  <c r="D512" i="65"/>
  <c r="AF511" i="65"/>
  <c r="X511" i="65"/>
  <c r="P511" i="65"/>
  <c r="D511" i="65"/>
  <c r="AK508" i="65"/>
  <c r="AF508" i="65"/>
  <c r="AC508" i="65"/>
  <c r="X508" i="65"/>
  <c r="U508" i="65"/>
  <c r="P508" i="65"/>
  <c r="I508" i="65"/>
  <c r="D508" i="65"/>
  <c r="AF507" i="65"/>
  <c r="AC507" i="65" s="1"/>
  <c r="X507" i="65"/>
  <c r="U507" i="65" s="1"/>
  <c r="P507" i="65"/>
  <c r="I507" i="65" s="1"/>
  <c r="D507" i="65"/>
  <c r="AK506" i="65"/>
  <c r="AF506" i="65"/>
  <c r="X506" i="65"/>
  <c r="U506" i="65" s="1"/>
  <c r="P506" i="65"/>
  <c r="D506" i="65"/>
  <c r="AF505" i="65"/>
  <c r="AC505" i="65" s="1"/>
  <c r="X505" i="65"/>
  <c r="U505" i="65" s="1"/>
  <c r="P505" i="65"/>
  <c r="I505" i="65" s="1"/>
  <c r="D505" i="65"/>
  <c r="AK504" i="65" s="1"/>
  <c r="AF504" i="65"/>
  <c r="AC504" i="65" s="1"/>
  <c r="X504" i="65"/>
  <c r="W504" i="65"/>
  <c r="AE504" i="65" s="1"/>
  <c r="P504" i="65"/>
  <c r="I504" i="65" s="1"/>
  <c r="D504" i="65"/>
  <c r="AK503" i="65" s="1"/>
  <c r="AF503" i="65"/>
  <c r="AC503" i="65" s="1"/>
  <c r="X503" i="65"/>
  <c r="U503" i="65" s="1"/>
  <c r="P503" i="65"/>
  <c r="D503" i="65"/>
  <c r="AK502" i="65" s="1"/>
  <c r="AF502" i="65"/>
  <c r="X502" i="65"/>
  <c r="P502" i="65"/>
  <c r="I502" i="65" s="1"/>
  <c r="D502" i="65"/>
  <c r="AF499" i="65"/>
  <c r="X499" i="65"/>
  <c r="P499" i="65"/>
  <c r="D499" i="65"/>
  <c r="AF498" i="65"/>
  <c r="X498" i="65"/>
  <c r="P498" i="65"/>
  <c r="D498" i="65"/>
  <c r="AF497" i="65"/>
  <c r="X497" i="65"/>
  <c r="P497" i="65"/>
  <c r="D497" i="65"/>
  <c r="AF491" i="65"/>
  <c r="X491" i="65"/>
  <c r="P491" i="65"/>
  <c r="D491" i="65"/>
  <c r="AF490" i="65"/>
  <c r="X490" i="65"/>
  <c r="P490" i="65"/>
  <c r="D490" i="65"/>
  <c r="AF489" i="65"/>
  <c r="X489" i="65"/>
  <c r="P489" i="65"/>
  <c r="D489" i="65"/>
  <c r="AF488" i="65"/>
  <c r="X488" i="65"/>
  <c r="P488" i="65"/>
  <c r="D488" i="65"/>
  <c r="AF487" i="65"/>
  <c r="X487" i="65"/>
  <c r="P487" i="65"/>
  <c r="D487" i="65"/>
  <c r="AF486" i="65"/>
  <c r="X486" i="65"/>
  <c r="P486" i="65"/>
  <c r="D486" i="65"/>
  <c r="AK483" i="65"/>
  <c r="AF483" i="65"/>
  <c r="AC483" i="65"/>
  <c r="X483" i="65"/>
  <c r="U483" i="65"/>
  <c r="P483" i="65"/>
  <c r="I483" i="65"/>
  <c r="D483" i="65"/>
  <c r="AF482" i="65"/>
  <c r="AC482" i="65" s="1"/>
  <c r="X482" i="65"/>
  <c r="U482" i="65" s="1"/>
  <c r="P482" i="65"/>
  <c r="D482" i="65"/>
  <c r="AK481" i="65" s="1"/>
  <c r="AF481" i="65"/>
  <c r="X481" i="65"/>
  <c r="U481" i="65" s="1"/>
  <c r="P481" i="65"/>
  <c r="I481" i="65" s="1"/>
  <c r="D481" i="65"/>
  <c r="AF480" i="65"/>
  <c r="AC480" i="65" s="1"/>
  <c r="X480" i="65"/>
  <c r="U480" i="65" s="1"/>
  <c r="P480" i="65"/>
  <c r="D480" i="65"/>
  <c r="AK479" i="65" s="1"/>
  <c r="AF479" i="65"/>
  <c r="AC479" i="65" s="1"/>
  <c r="X479" i="65"/>
  <c r="W479" i="65"/>
  <c r="AE479" i="65" s="1"/>
  <c r="P479" i="65"/>
  <c r="I479" i="65" s="1"/>
  <c r="D479" i="65"/>
  <c r="AK478" i="65" s="1"/>
  <c r="AF478" i="65"/>
  <c r="X478" i="65"/>
  <c r="U478" i="65" s="1"/>
  <c r="P478" i="65"/>
  <c r="D478" i="65"/>
  <c r="AK477" i="65"/>
  <c r="AF477" i="65"/>
  <c r="AC477" i="65" s="1"/>
  <c r="X477" i="65"/>
  <c r="P477" i="65"/>
  <c r="I477" i="65" s="1"/>
  <c r="D477" i="65"/>
  <c r="AF474" i="65"/>
  <c r="X474" i="65"/>
  <c r="P474" i="65"/>
  <c r="D474" i="65"/>
  <c r="AF473" i="65"/>
  <c r="X473" i="65"/>
  <c r="P473" i="65"/>
  <c r="D473" i="65"/>
  <c r="AF472" i="65"/>
  <c r="X472" i="65"/>
  <c r="P472" i="65"/>
  <c r="D472" i="65"/>
  <c r="AF466" i="65"/>
  <c r="X466" i="65"/>
  <c r="P466" i="65"/>
  <c r="D466" i="65"/>
  <c r="AF465" i="65"/>
  <c r="X465" i="65"/>
  <c r="P465" i="65"/>
  <c r="D465" i="65"/>
  <c r="AF464" i="65"/>
  <c r="X464" i="65"/>
  <c r="P464" i="65"/>
  <c r="D464" i="65"/>
  <c r="AF463" i="65"/>
  <c r="X463" i="65"/>
  <c r="P463" i="65"/>
  <c r="D463" i="65"/>
  <c r="AF462" i="65"/>
  <c r="X462" i="65"/>
  <c r="P462" i="65"/>
  <c r="D462" i="65"/>
  <c r="AF461" i="65"/>
  <c r="X461" i="65"/>
  <c r="P461" i="65"/>
  <c r="D461" i="65"/>
  <c r="AK458" i="65"/>
  <c r="AF458" i="65"/>
  <c r="AC458" i="65"/>
  <c r="X458" i="65"/>
  <c r="U458" i="65"/>
  <c r="P458" i="65"/>
  <c r="I458" i="65"/>
  <c r="D458" i="65"/>
  <c r="AF457" i="65"/>
  <c r="X457" i="65"/>
  <c r="U457" i="65" s="1"/>
  <c r="P457" i="65"/>
  <c r="I457" i="65" s="1"/>
  <c r="D457" i="65"/>
  <c r="AF456" i="65"/>
  <c r="AC456" i="65" s="1"/>
  <c r="X456" i="65"/>
  <c r="U456" i="65" s="1"/>
  <c r="P456" i="65"/>
  <c r="I456" i="65" s="1"/>
  <c r="D456" i="65"/>
  <c r="AF455" i="65"/>
  <c r="X455" i="65"/>
  <c r="U455" i="65" s="1"/>
  <c r="P455" i="65"/>
  <c r="I455" i="65" s="1"/>
  <c r="D455" i="65"/>
  <c r="AF454" i="65"/>
  <c r="AC454" i="65" s="1"/>
  <c r="X454" i="65"/>
  <c r="W454" i="65"/>
  <c r="AE454" i="65" s="1"/>
  <c r="P454" i="65"/>
  <c r="D454" i="65"/>
  <c r="AK453" i="65" s="1"/>
  <c r="AF453" i="65"/>
  <c r="AC453" i="65" s="1"/>
  <c r="X453" i="65"/>
  <c r="P453" i="65"/>
  <c r="I453" i="65" s="1"/>
  <c r="D453" i="65"/>
  <c r="AK452" i="65" s="1"/>
  <c r="AF452" i="65"/>
  <c r="AC452" i="65"/>
  <c r="X452" i="65"/>
  <c r="P452" i="65"/>
  <c r="D452" i="65"/>
  <c r="AF449" i="65"/>
  <c r="X449" i="65"/>
  <c r="P449" i="65"/>
  <c r="D449" i="65"/>
  <c r="AF448" i="65"/>
  <c r="X448" i="65"/>
  <c r="P448" i="65"/>
  <c r="D448" i="65"/>
  <c r="AF447" i="65"/>
  <c r="X447" i="65"/>
  <c r="P447" i="65"/>
  <c r="D447" i="65"/>
  <c r="AF441" i="65"/>
  <c r="X441" i="65"/>
  <c r="P441" i="65"/>
  <c r="D441" i="65"/>
  <c r="AF440" i="65"/>
  <c r="X440" i="65"/>
  <c r="P440" i="65"/>
  <c r="D440" i="65"/>
  <c r="AF439" i="65"/>
  <c r="X439" i="65"/>
  <c r="P439" i="65"/>
  <c r="D439" i="65"/>
  <c r="AF438" i="65"/>
  <c r="X438" i="65"/>
  <c r="P438" i="65"/>
  <c r="D438" i="65"/>
  <c r="AF437" i="65"/>
  <c r="X437" i="65"/>
  <c r="P437" i="65"/>
  <c r="D437" i="65"/>
  <c r="AF436" i="65"/>
  <c r="X436" i="65"/>
  <c r="P436" i="65"/>
  <c r="D436" i="65"/>
  <c r="AK433" i="65"/>
  <c r="AF433" i="65"/>
  <c r="AC433" i="65"/>
  <c r="X433" i="65"/>
  <c r="U433" i="65"/>
  <c r="P433" i="65"/>
  <c r="I433" i="65"/>
  <c r="D433" i="65"/>
  <c r="AK432" i="65" s="1"/>
  <c r="AF432" i="65"/>
  <c r="AC432" i="65" s="1"/>
  <c r="X432" i="65"/>
  <c r="U432" i="65" s="1"/>
  <c r="P432" i="65"/>
  <c r="I432" i="65" s="1"/>
  <c r="D432" i="65"/>
  <c r="AF431" i="65"/>
  <c r="AC431" i="65" s="1"/>
  <c r="X431" i="65"/>
  <c r="U431" i="65" s="1"/>
  <c r="P431" i="65"/>
  <c r="I431" i="65"/>
  <c r="D431" i="65"/>
  <c r="AK430" i="65" s="1"/>
  <c r="AF430" i="65"/>
  <c r="AC430" i="65" s="1"/>
  <c r="X430" i="65"/>
  <c r="U430" i="65" s="1"/>
  <c r="P430" i="65"/>
  <c r="I430" i="65" s="1"/>
  <c r="D430" i="65"/>
  <c r="AF429" i="65"/>
  <c r="AC429" i="65" s="1"/>
  <c r="X429" i="65"/>
  <c r="W429" i="65"/>
  <c r="AE429" i="65" s="1"/>
  <c r="U429" i="65" s="1"/>
  <c r="P429" i="65"/>
  <c r="I429" i="65" s="1"/>
  <c r="D429" i="65"/>
  <c r="AK428" i="65" s="1"/>
  <c r="AF428" i="65"/>
  <c r="AC428" i="65" s="1"/>
  <c r="X428" i="65"/>
  <c r="P428" i="65"/>
  <c r="I428" i="65" s="1"/>
  <c r="D428" i="65"/>
  <c r="AK427" i="65" s="1"/>
  <c r="AF427" i="65"/>
  <c r="AC427" i="65" s="1"/>
  <c r="X427" i="65"/>
  <c r="U427" i="65" s="1"/>
  <c r="P427" i="65"/>
  <c r="I427" i="65"/>
  <c r="D427" i="65"/>
  <c r="AF424" i="65"/>
  <c r="X424" i="65"/>
  <c r="P424" i="65"/>
  <c r="D424" i="65"/>
  <c r="AF423" i="65"/>
  <c r="X423" i="65"/>
  <c r="P423" i="65"/>
  <c r="D423" i="65"/>
  <c r="AF422" i="65"/>
  <c r="X422" i="65"/>
  <c r="P422" i="65"/>
  <c r="D422" i="65"/>
  <c r="AF416" i="65"/>
  <c r="X416" i="65"/>
  <c r="P416" i="65"/>
  <c r="D416" i="65"/>
  <c r="AF415" i="65"/>
  <c r="X415" i="65"/>
  <c r="P415" i="65"/>
  <c r="D415" i="65"/>
  <c r="AF414" i="65"/>
  <c r="X414" i="65"/>
  <c r="P414" i="65"/>
  <c r="D414" i="65"/>
  <c r="AF413" i="65"/>
  <c r="X413" i="65"/>
  <c r="P413" i="65"/>
  <c r="D413" i="65"/>
  <c r="AF412" i="65"/>
  <c r="X412" i="65"/>
  <c r="P412" i="65"/>
  <c r="D412" i="65"/>
  <c r="AF411" i="65"/>
  <c r="X411" i="65"/>
  <c r="P411" i="65"/>
  <c r="D411" i="65"/>
  <c r="AK408" i="65"/>
  <c r="AF408" i="65"/>
  <c r="AC408" i="65"/>
  <c r="X408" i="65"/>
  <c r="U408" i="65"/>
  <c r="P408" i="65"/>
  <c r="I408" i="65"/>
  <c r="D408" i="65"/>
  <c r="AF407" i="65"/>
  <c r="AC407" i="65"/>
  <c r="X407" i="65"/>
  <c r="U407" i="65" s="1"/>
  <c r="P407" i="65"/>
  <c r="I407" i="65" s="1"/>
  <c r="D407" i="65"/>
  <c r="AF406" i="65"/>
  <c r="AC406" i="65"/>
  <c r="X406" i="65"/>
  <c r="U406" i="65" s="1"/>
  <c r="P406" i="65"/>
  <c r="I406" i="65" s="1"/>
  <c r="D406" i="65"/>
  <c r="AF405" i="65"/>
  <c r="AC405" i="65" s="1"/>
  <c r="X405" i="65"/>
  <c r="U405" i="65" s="1"/>
  <c r="P405" i="65"/>
  <c r="I405" i="65" s="1"/>
  <c r="D405" i="65"/>
  <c r="AF404" i="65"/>
  <c r="AC404" i="65" s="1"/>
  <c r="X404" i="65"/>
  <c r="W404" i="65"/>
  <c r="AE404" i="65" s="1"/>
  <c r="P404" i="65"/>
  <c r="I404" i="65"/>
  <c r="D404" i="65"/>
  <c r="AK403" i="65" s="1"/>
  <c r="AF403" i="65"/>
  <c r="AC403" i="65" s="1"/>
  <c r="X403" i="65"/>
  <c r="P403" i="65"/>
  <c r="I403" i="65" s="1"/>
  <c r="D403" i="65"/>
  <c r="AK402" i="65" s="1"/>
  <c r="AF402" i="65"/>
  <c r="AC402" i="65"/>
  <c r="X402" i="65"/>
  <c r="P402" i="65"/>
  <c r="I402" i="65" s="1"/>
  <c r="D402" i="65"/>
  <c r="AF399" i="65"/>
  <c r="X399" i="65"/>
  <c r="P399" i="65"/>
  <c r="D399" i="65"/>
  <c r="AF398" i="65"/>
  <c r="X398" i="65"/>
  <c r="P398" i="65"/>
  <c r="D398" i="65"/>
  <c r="AF397" i="65"/>
  <c r="X397" i="65"/>
  <c r="P397" i="65"/>
  <c r="D397" i="65"/>
  <c r="AF391" i="65"/>
  <c r="X391" i="65"/>
  <c r="P391" i="65"/>
  <c r="D391" i="65"/>
  <c r="AF390" i="65"/>
  <c r="X390" i="65"/>
  <c r="P390" i="65"/>
  <c r="D390" i="65"/>
  <c r="AF389" i="65"/>
  <c r="X389" i="65"/>
  <c r="P389" i="65"/>
  <c r="D389" i="65"/>
  <c r="AF388" i="65"/>
  <c r="X388" i="65"/>
  <c r="P388" i="65"/>
  <c r="D388" i="65"/>
  <c r="AF387" i="65"/>
  <c r="X387" i="65"/>
  <c r="P387" i="65"/>
  <c r="D387" i="65"/>
  <c r="AF386" i="65"/>
  <c r="X386" i="65"/>
  <c r="P386" i="65"/>
  <c r="D386" i="65"/>
  <c r="AK383" i="65"/>
  <c r="AF383" i="65"/>
  <c r="AC383" i="65"/>
  <c r="X383" i="65"/>
  <c r="U383" i="65"/>
  <c r="P383" i="65"/>
  <c r="I383" i="65"/>
  <c r="D383" i="65"/>
  <c r="AF382" i="65"/>
  <c r="AC382" i="65" s="1"/>
  <c r="X382" i="65"/>
  <c r="P382" i="65"/>
  <c r="I382" i="65" s="1"/>
  <c r="D382" i="65"/>
  <c r="AK381" i="65" s="1"/>
  <c r="AF381" i="65"/>
  <c r="AC381" i="65" s="1"/>
  <c r="X381" i="65"/>
  <c r="U381" i="65" s="1"/>
  <c r="P381" i="65"/>
  <c r="I381" i="65"/>
  <c r="D381" i="65"/>
  <c r="AF380" i="65"/>
  <c r="AC380" i="65" s="1"/>
  <c r="X380" i="65"/>
  <c r="P380" i="65"/>
  <c r="I380" i="65" s="1"/>
  <c r="D380" i="65"/>
  <c r="AK379" i="65" s="1"/>
  <c r="AF379" i="65"/>
  <c r="X379" i="65"/>
  <c r="W379" i="65"/>
  <c r="AE379" i="65" s="1"/>
  <c r="P379" i="65"/>
  <c r="I379" i="65" s="1"/>
  <c r="D379" i="65"/>
  <c r="AF378" i="65"/>
  <c r="AC378" i="65"/>
  <c r="X378" i="65"/>
  <c r="U378" i="65" s="1"/>
  <c r="P378" i="65"/>
  <c r="I378" i="65" s="1"/>
  <c r="D378" i="65"/>
  <c r="AF377" i="65"/>
  <c r="AC377" i="65" s="1"/>
  <c r="X377" i="65"/>
  <c r="P377" i="65"/>
  <c r="I377" i="65" s="1"/>
  <c r="D377" i="65"/>
  <c r="AF374" i="65"/>
  <c r="X374" i="65"/>
  <c r="P374" i="65"/>
  <c r="D374" i="65"/>
  <c r="AF373" i="65"/>
  <c r="X373" i="65"/>
  <c r="P373" i="65"/>
  <c r="D373" i="65"/>
  <c r="AF372" i="65"/>
  <c r="X372" i="65"/>
  <c r="P372" i="65"/>
  <c r="D372" i="65"/>
  <c r="AF366" i="65"/>
  <c r="X366" i="65"/>
  <c r="P366" i="65"/>
  <c r="D366" i="65"/>
  <c r="AF365" i="65"/>
  <c r="X365" i="65"/>
  <c r="P365" i="65"/>
  <c r="D365" i="65"/>
  <c r="AF364" i="65"/>
  <c r="X364" i="65"/>
  <c r="P364" i="65"/>
  <c r="D364" i="65"/>
  <c r="AF363" i="65"/>
  <c r="X363" i="65"/>
  <c r="P363" i="65"/>
  <c r="D363" i="65"/>
  <c r="AF362" i="65"/>
  <c r="X362" i="65"/>
  <c r="P362" i="65"/>
  <c r="D362" i="65"/>
  <c r="AF361" i="65"/>
  <c r="X361" i="65"/>
  <c r="P361" i="65"/>
  <c r="D361" i="65"/>
  <c r="AK358" i="65"/>
  <c r="AF358" i="65"/>
  <c r="AC358" i="65"/>
  <c r="X358" i="65"/>
  <c r="U358" i="65"/>
  <c r="P358" i="65"/>
  <c r="I358" i="65"/>
  <c r="D358" i="65"/>
  <c r="AF357" i="65"/>
  <c r="AC357" i="65" s="1"/>
  <c r="X357" i="65"/>
  <c r="U357" i="65" s="1"/>
  <c r="P357" i="65"/>
  <c r="I357" i="65" s="1"/>
  <c r="D357" i="65"/>
  <c r="AF356" i="65"/>
  <c r="AC356" i="65" s="1"/>
  <c r="X356" i="65"/>
  <c r="U356" i="65" s="1"/>
  <c r="P356" i="65"/>
  <c r="I356" i="65" s="1"/>
  <c r="D356" i="65"/>
  <c r="AF355" i="65"/>
  <c r="AC355" i="65" s="1"/>
  <c r="X355" i="65"/>
  <c r="U355" i="65" s="1"/>
  <c r="P355" i="65"/>
  <c r="I355" i="65" s="1"/>
  <c r="D355" i="65"/>
  <c r="AF354" i="65"/>
  <c r="AC354" i="65" s="1"/>
  <c r="X354" i="65"/>
  <c r="W354" i="65"/>
  <c r="AE354" i="65" s="1"/>
  <c r="P354" i="65"/>
  <c r="I354" i="65" s="1"/>
  <c r="D354" i="65"/>
  <c r="AK353" i="65" s="1"/>
  <c r="AF353" i="65"/>
  <c r="AC353" i="65" s="1"/>
  <c r="X353" i="65"/>
  <c r="P353" i="65"/>
  <c r="I353" i="65" s="1"/>
  <c r="D353" i="65"/>
  <c r="AK352" i="65" s="1"/>
  <c r="AF352" i="65"/>
  <c r="AC352" i="65"/>
  <c r="X352" i="65"/>
  <c r="P352" i="65"/>
  <c r="I352" i="65" s="1"/>
  <c r="D352" i="65"/>
  <c r="AF349" i="65"/>
  <c r="X349" i="65"/>
  <c r="P349" i="65"/>
  <c r="D349" i="65"/>
  <c r="AF348" i="65"/>
  <c r="X348" i="65"/>
  <c r="P348" i="65"/>
  <c r="D348" i="65"/>
  <c r="AF347" i="65"/>
  <c r="X347" i="65"/>
  <c r="P347" i="65"/>
  <c r="D347" i="65"/>
  <c r="AF341" i="65"/>
  <c r="X341" i="65"/>
  <c r="P341" i="65"/>
  <c r="D341" i="65"/>
  <c r="AF340" i="65"/>
  <c r="X340" i="65"/>
  <c r="P340" i="65"/>
  <c r="D340" i="65"/>
  <c r="AF339" i="65"/>
  <c r="X339" i="65"/>
  <c r="P339" i="65"/>
  <c r="D339" i="65"/>
  <c r="AF338" i="65"/>
  <c r="X338" i="65"/>
  <c r="P338" i="65"/>
  <c r="D338" i="65"/>
  <c r="AF337" i="65"/>
  <c r="X337" i="65"/>
  <c r="P337" i="65"/>
  <c r="D337" i="65"/>
  <c r="AF336" i="65"/>
  <c r="X336" i="65"/>
  <c r="P336" i="65"/>
  <c r="D336" i="65"/>
  <c r="AK333" i="65"/>
  <c r="AF333" i="65"/>
  <c r="AC333" i="65"/>
  <c r="X333" i="65"/>
  <c r="U333" i="65"/>
  <c r="P333" i="65"/>
  <c r="I333" i="65"/>
  <c r="D333" i="65"/>
  <c r="AK332" i="65" s="1"/>
  <c r="AF332" i="65"/>
  <c r="AC332" i="65" s="1"/>
  <c r="X332" i="65"/>
  <c r="U332" i="65" s="1"/>
  <c r="P332" i="65"/>
  <c r="I332" i="65" s="1"/>
  <c r="D332" i="65"/>
  <c r="AF331" i="65"/>
  <c r="AC331" i="65" s="1"/>
  <c r="X331" i="65"/>
  <c r="P331" i="65"/>
  <c r="I331" i="65"/>
  <c r="D331" i="65"/>
  <c r="AK330" i="65" s="1"/>
  <c r="AF330" i="65"/>
  <c r="AC330" i="65" s="1"/>
  <c r="X330" i="65"/>
  <c r="U330" i="65" s="1"/>
  <c r="P330" i="65"/>
  <c r="I330" i="65" s="1"/>
  <c r="D330" i="65"/>
  <c r="AF329" i="65"/>
  <c r="X329" i="65"/>
  <c r="W329" i="65"/>
  <c r="U329" i="65" s="1"/>
  <c r="P329" i="65"/>
  <c r="I329" i="65" s="1"/>
  <c r="D329" i="65"/>
  <c r="AK328" i="65" s="1"/>
  <c r="AF328" i="65"/>
  <c r="AC328" i="65" s="1"/>
  <c r="X328" i="65"/>
  <c r="P328" i="65"/>
  <c r="I328" i="65"/>
  <c r="D328" i="65"/>
  <c r="AF327" i="65"/>
  <c r="AC327" i="65"/>
  <c r="X327" i="65"/>
  <c r="U327" i="65" s="1"/>
  <c r="P327" i="65"/>
  <c r="I327" i="65" s="1"/>
  <c r="D327" i="65"/>
  <c r="AF324" i="65"/>
  <c r="X324" i="65"/>
  <c r="P324" i="65"/>
  <c r="D324" i="65"/>
  <c r="AF323" i="65"/>
  <c r="X323" i="65"/>
  <c r="P323" i="65"/>
  <c r="D323" i="65"/>
  <c r="AF322" i="65"/>
  <c r="X322" i="65"/>
  <c r="P322" i="65"/>
  <c r="D322" i="65"/>
  <c r="AF316" i="65"/>
  <c r="X316" i="65"/>
  <c r="P316" i="65"/>
  <c r="D316" i="65"/>
  <c r="AF315" i="65"/>
  <c r="X315" i="65"/>
  <c r="P315" i="65"/>
  <c r="D315" i="65"/>
  <c r="AF314" i="65"/>
  <c r="X314" i="65"/>
  <c r="P314" i="65"/>
  <c r="D314" i="65"/>
  <c r="AF313" i="65"/>
  <c r="X313" i="65"/>
  <c r="P313" i="65"/>
  <c r="D313" i="65"/>
  <c r="AF312" i="65"/>
  <c r="X312" i="65"/>
  <c r="P312" i="65"/>
  <c r="D312" i="65"/>
  <c r="AF311" i="65"/>
  <c r="X311" i="65"/>
  <c r="P311" i="65"/>
  <c r="D311" i="65"/>
  <c r="AK308" i="65"/>
  <c r="AF308" i="65"/>
  <c r="AC308" i="65"/>
  <c r="X308" i="65"/>
  <c r="U308" i="65"/>
  <c r="P308" i="65"/>
  <c r="I308" i="65"/>
  <c r="D308" i="65"/>
  <c r="AF307" i="65"/>
  <c r="AC307" i="65" s="1"/>
  <c r="X307" i="65"/>
  <c r="P307" i="65"/>
  <c r="I307" i="65" s="1"/>
  <c r="D307" i="65"/>
  <c r="AF306" i="65"/>
  <c r="AC306" i="65"/>
  <c r="X306" i="65"/>
  <c r="U306" i="65" s="1"/>
  <c r="P306" i="65"/>
  <c r="I306" i="65" s="1"/>
  <c r="D306" i="65"/>
  <c r="AF305" i="65"/>
  <c r="AC305" i="65" s="1"/>
  <c r="X305" i="65"/>
  <c r="P305" i="65"/>
  <c r="I305" i="65" s="1"/>
  <c r="D305" i="65"/>
  <c r="AK304" i="65" s="1"/>
  <c r="AF304" i="65"/>
  <c r="X304" i="65"/>
  <c r="W304" i="65"/>
  <c r="AE304" i="65" s="1"/>
  <c r="P304" i="65"/>
  <c r="I304" i="65"/>
  <c r="D304" i="65"/>
  <c r="AF303" i="65"/>
  <c r="AC303" i="65" s="1"/>
  <c r="X303" i="65"/>
  <c r="U303" i="65" s="1"/>
  <c r="P303" i="65"/>
  <c r="I303" i="65" s="1"/>
  <c r="D303" i="65"/>
  <c r="AK302" i="65" s="1"/>
  <c r="AF302" i="65"/>
  <c r="AC302" i="65" s="1"/>
  <c r="X302" i="65"/>
  <c r="P302" i="65"/>
  <c r="I302" i="65" s="1"/>
  <c r="D302" i="65"/>
  <c r="AF299" i="65"/>
  <c r="X299" i="65"/>
  <c r="P299" i="65"/>
  <c r="D299" i="65"/>
  <c r="AF298" i="65"/>
  <c r="X298" i="65"/>
  <c r="P298" i="65"/>
  <c r="D298" i="65"/>
  <c r="AF297" i="65"/>
  <c r="X297" i="65"/>
  <c r="P297" i="65"/>
  <c r="D297" i="65"/>
  <c r="AF291" i="65"/>
  <c r="X291" i="65"/>
  <c r="P291" i="65"/>
  <c r="D291" i="65"/>
  <c r="AF290" i="65"/>
  <c r="X290" i="65"/>
  <c r="P290" i="65"/>
  <c r="D290" i="65"/>
  <c r="AF289" i="65"/>
  <c r="X289" i="65"/>
  <c r="P289" i="65"/>
  <c r="D289" i="65"/>
  <c r="AF288" i="65"/>
  <c r="X288" i="65"/>
  <c r="P288" i="65"/>
  <c r="D288" i="65"/>
  <c r="AF287" i="65"/>
  <c r="X287" i="65"/>
  <c r="P287" i="65"/>
  <c r="D287" i="65"/>
  <c r="AF286" i="65"/>
  <c r="X286" i="65"/>
  <c r="P286" i="65"/>
  <c r="D286" i="65"/>
  <c r="AK283" i="65"/>
  <c r="AF283" i="65"/>
  <c r="AC283" i="65"/>
  <c r="X283" i="65"/>
  <c r="U283" i="65"/>
  <c r="P283" i="65"/>
  <c r="I283" i="65"/>
  <c r="D283" i="65"/>
  <c r="AK282" i="65" s="1"/>
  <c r="AF282" i="65"/>
  <c r="AC282" i="65" s="1"/>
  <c r="X282" i="65"/>
  <c r="U282" i="65" s="1"/>
  <c r="P282" i="65"/>
  <c r="I282" i="65" s="1"/>
  <c r="D282" i="65"/>
  <c r="AK281" i="65" s="1"/>
  <c r="AF281" i="65"/>
  <c r="AC281" i="65" s="1"/>
  <c r="X281" i="65"/>
  <c r="U281" i="65" s="1"/>
  <c r="P281" i="65"/>
  <c r="I281" i="65" s="1"/>
  <c r="D281" i="65"/>
  <c r="AK280" i="65" s="1"/>
  <c r="AF280" i="65"/>
  <c r="AC280" i="65"/>
  <c r="X280" i="65"/>
  <c r="U280" i="65" s="1"/>
  <c r="P280" i="65"/>
  <c r="I280" i="65" s="1"/>
  <c r="D280" i="65"/>
  <c r="AK279" i="65" s="1"/>
  <c r="AF279" i="65"/>
  <c r="X279" i="65"/>
  <c r="W279" i="65"/>
  <c r="U279" i="65" s="1"/>
  <c r="P279" i="65"/>
  <c r="I279" i="65" s="1"/>
  <c r="D279" i="65"/>
  <c r="AK278" i="65" s="1"/>
  <c r="AF278" i="65"/>
  <c r="AC278" i="65" s="1"/>
  <c r="X278" i="65"/>
  <c r="U278" i="65" s="1"/>
  <c r="P278" i="65"/>
  <c r="I278" i="65"/>
  <c r="D278" i="65"/>
  <c r="AK277" i="65" s="1"/>
  <c r="AF277" i="65"/>
  <c r="AC277" i="65" s="1"/>
  <c r="X277" i="65"/>
  <c r="U277" i="65" s="1"/>
  <c r="P277" i="65"/>
  <c r="I277" i="65" s="1"/>
  <c r="D277" i="65"/>
  <c r="AF274" i="65"/>
  <c r="X274" i="65"/>
  <c r="P274" i="65"/>
  <c r="D274" i="65"/>
  <c r="AF273" i="65"/>
  <c r="X273" i="65"/>
  <c r="P273" i="65"/>
  <c r="D273" i="65"/>
  <c r="AF272" i="65"/>
  <c r="X272" i="65"/>
  <c r="P272" i="65"/>
  <c r="D272" i="65"/>
  <c r="AF266" i="65"/>
  <c r="X266" i="65"/>
  <c r="P266" i="65"/>
  <c r="AF265" i="65"/>
  <c r="X265" i="65"/>
  <c r="P265" i="65"/>
  <c r="AF264" i="65"/>
  <c r="X264" i="65"/>
  <c r="P264" i="65"/>
  <c r="AF263" i="65"/>
  <c r="X263" i="65"/>
  <c r="P263" i="65"/>
  <c r="AF262" i="65"/>
  <c r="X262" i="65"/>
  <c r="P262" i="65"/>
  <c r="AF261" i="65"/>
  <c r="X261" i="65"/>
  <c r="P261" i="65"/>
  <c r="AK258" i="65"/>
  <c r="AH258" i="65"/>
  <c r="AI258" i="65" s="1"/>
  <c r="AF258" i="65"/>
  <c r="AC258" i="65"/>
  <c r="X258" i="65"/>
  <c r="U258" i="65"/>
  <c r="R258" i="65"/>
  <c r="S258" i="65" s="1"/>
  <c r="P258" i="65"/>
  <c r="I258" i="65"/>
  <c r="G258" i="65"/>
  <c r="Z508" i="65"/>
  <c r="AA508" i="65" s="1"/>
  <c r="AK257" i="65" s="1"/>
  <c r="AF257" i="65"/>
  <c r="AC257" i="65" s="1"/>
  <c r="X257" i="65"/>
  <c r="U257" i="65"/>
  <c r="P257" i="65"/>
  <c r="I257" i="65" s="1"/>
  <c r="AK256" i="65" s="1"/>
  <c r="AF256" i="65"/>
  <c r="AC256" i="65"/>
  <c r="X256" i="65"/>
  <c r="U256" i="65" s="1"/>
  <c r="P256" i="65"/>
  <c r="I256" i="65" s="1"/>
  <c r="AK255" i="65"/>
  <c r="AF255" i="65"/>
  <c r="AC255" i="65" s="1"/>
  <c r="X255" i="65"/>
  <c r="U255" i="65" s="1"/>
  <c r="P255" i="65"/>
  <c r="I255" i="65" s="1"/>
  <c r="AK254" i="65" s="1"/>
  <c r="AF254" i="65"/>
  <c r="X254" i="65"/>
  <c r="W254" i="65"/>
  <c r="U254" i="65" s="1"/>
  <c r="P254" i="65"/>
  <c r="I254" i="65"/>
  <c r="AK253" i="65" s="1"/>
  <c r="AF253" i="65"/>
  <c r="AC253" i="65" s="1"/>
  <c r="X253" i="65"/>
  <c r="U253" i="65" s="1"/>
  <c r="P253" i="65"/>
  <c r="I253" i="65" s="1"/>
  <c r="AK252" i="65" s="1"/>
  <c r="AF252" i="65"/>
  <c r="AC252" i="65" s="1"/>
  <c r="X252" i="65"/>
  <c r="U252" i="65" s="1"/>
  <c r="P252" i="65"/>
  <c r="I252" i="65" s="1"/>
  <c r="AF249" i="65"/>
  <c r="X249" i="65"/>
  <c r="P249" i="65"/>
  <c r="AF248" i="65"/>
  <c r="X248" i="65"/>
  <c r="P248" i="65"/>
  <c r="AF247" i="65"/>
  <c r="X247" i="65"/>
  <c r="P247" i="65"/>
  <c r="AF241" i="65"/>
  <c r="X241" i="65"/>
  <c r="P241" i="65"/>
  <c r="D241" i="65"/>
  <c r="AF240" i="65"/>
  <c r="X240" i="65"/>
  <c r="P240" i="65"/>
  <c r="D240" i="65"/>
  <c r="AF239" i="65"/>
  <c r="X239" i="65"/>
  <c r="P239" i="65"/>
  <c r="D239" i="65"/>
  <c r="AF238" i="65"/>
  <c r="X238" i="65"/>
  <c r="P238" i="65"/>
  <c r="D238" i="65"/>
  <c r="AF237" i="65"/>
  <c r="X237" i="65"/>
  <c r="P237" i="65"/>
  <c r="D237" i="65"/>
  <c r="AF236" i="65"/>
  <c r="X236" i="65"/>
  <c r="P236" i="65"/>
  <c r="D236" i="65"/>
  <c r="AK233" i="65"/>
  <c r="AH233" i="65"/>
  <c r="AI233" i="65" s="1"/>
  <c r="AF233" i="65"/>
  <c r="AC233" i="65"/>
  <c r="Z233" i="65"/>
  <c r="AA233" i="65" s="1"/>
  <c r="X233" i="65"/>
  <c r="U233" i="65"/>
  <c r="R233" i="65"/>
  <c r="S233" i="65" s="1"/>
  <c r="P233" i="65"/>
  <c r="I233" i="65"/>
  <c r="G233" i="65"/>
  <c r="D233" i="65"/>
  <c r="AK232" i="65" s="1"/>
  <c r="AF232" i="65"/>
  <c r="AC232" i="65"/>
  <c r="X232" i="65"/>
  <c r="U232" i="65" s="1"/>
  <c r="P232" i="65"/>
  <c r="I232" i="65" s="1"/>
  <c r="D232" i="65"/>
  <c r="AK231" i="65" s="1"/>
  <c r="AF231" i="65"/>
  <c r="AC231" i="65" s="1"/>
  <c r="X231" i="65"/>
  <c r="U231" i="65" s="1"/>
  <c r="P231" i="65"/>
  <c r="I231" i="65" s="1"/>
  <c r="D231" i="65"/>
  <c r="AK230" i="65" s="1"/>
  <c r="AF230" i="65"/>
  <c r="AC230" i="65" s="1"/>
  <c r="X230" i="65"/>
  <c r="U230" i="65" s="1"/>
  <c r="P230" i="65"/>
  <c r="I230" i="65" s="1"/>
  <c r="D230" i="65"/>
  <c r="AK229" i="65"/>
  <c r="AF229" i="65"/>
  <c r="X229" i="65"/>
  <c r="W229" i="65"/>
  <c r="U229" i="65" s="1"/>
  <c r="P229" i="65"/>
  <c r="I229" i="65" s="1"/>
  <c r="D229" i="65"/>
  <c r="AK228" i="65" s="1"/>
  <c r="AF228" i="65"/>
  <c r="AC228" i="65" s="1"/>
  <c r="X228" i="65"/>
  <c r="U228" i="65" s="1"/>
  <c r="P228" i="65"/>
  <c r="D228" i="65"/>
  <c r="AK227" i="65" s="1"/>
  <c r="AF227" i="65"/>
  <c r="AC227" i="65" s="1"/>
  <c r="X227" i="65"/>
  <c r="P227" i="65"/>
  <c r="I227" i="65" s="1"/>
  <c r="D227" i="65"/>
  <c r="AF224" i="65"/>
  <c r="X224" i="65"/>
  <c r="P224" i="65"/>
  <c r="D224" i="65"/>
  <c r="AF223" i="65"/>
  <c r="X223" i="65"/>
  <c r="P223" i="65"/>
  <c r="D223" i="65"/>
  <c r="AF222" i="65"/>
  <c r="X222" i="65"/>
  <c r="P222" i="65"/>
  <c r="D222" i="65"/>
  <c r="AF216" i="65"/>
  <c r="X216" i="65"/>
  <c r="P216" i="65"/>
  <c r="D216" i="65"/>
  <c r="AF215" i="65"/>
  <c r="X215" i="65"/>
  <c r="P215" i="65"/>
  <c r="D215" i="65"/>
  <c r="AF214" i="65"/>
  <c r="X214" i="65"/>
  <c r="P214" i="65"/>
  <c r="D214" i="65"/>
  <c r="AF213" i="65"/>
  <c r="X213" i="65"/>
  <c r="P213" i="65"/>
  <c r="D213" i="65"/>
  <c r="AF212" i="65"/>
  <c r="X212" i="65"/>
  <c r="P212" i="65"/>
  <c r="D212" i="65"/>
  <c r="AF211" i="65"/>
  <c r="X211" i="65"/>
  <c r="P211" i="65"/>
  <c r="D211" i="65"/>
  <c r="AK208" i="65"/>
  <c r="AH208" i="65"/>
  <c r="AI208" i="65" s="1"/>
  <c r="AF208" i="65"/>
  <c r="AC208" i="65"/>
  <c r="Z208" i="65"/>
  <c r="AA208" i="65" s="1"/>
  <c r="X208" i="65"/>
  <c r="U208" i="65"/>
  <c r="R208" i="65"/>
  <c r="S208" i="65" s="1"/>
  <c r="P208" i="65"/>
  <c r="I208" i="65"/>
  <c r="G208" i="65"/>
  <c r="D208" i="65"/>
  <c r="AK207" i="65" s="1"/>
  <c r="AF207" i="65"/>
  <c r="AC207" i="65" s="1"/>
  <c r="X207" i="65"/>
  <c r="U207" i="65" s="1"/>
  <c r="P207" i="65"/>
  <c r="D207" i="65"/>
  <c r="AK206" i="65" s="1"/>
  <c r="AF206" i="65"/>
  <c r="X206" i="65"/>
  <c r="U206" i="65" s="1"/>
  <c r="P206" i="65"/>
  <c r="I206" i="65" s="1"/>
  <c r="D206" i="65"/>
  <c r="AK205" i="65"/>
  <c r="AF205" i="65"/>
  <c r="AC205" i="65" s="1"/>
  <c r="X205" i="65"/>
  <c r="U205" i="65" s="1"/>
  <c r="P205" i="65"/>
  <c r="D205" i="65"/>
  <c r="AK204" i="65" s="1"/>
  <c r="AF204" i="65"/>
  <c r="AC204" i="65" s="1"/>
  <c r="X204" i="65"/>
  <c r="W204" i="65"/>
  <c r="AE204" i="65" s="1"/>
  <c r="U204" i="65" s="1"/>
  <c r="P204" i="65"/>
  <c r="I204" i="65" s="1"/>
  <c r="D204" i="65"/>
  <c r="AK203" i="65" s="1"/>
  <c r="AF203" i="65"/>
  <c r="X203" i="65"/>
  <c r="U203" i="65" s="1"/>
  <c r="P203" i="65"/>
  <c r="D203" i="65"/>
  <c r="AK202" i="65" s="1"/>
  <c r="AF202" i="65"/>
  <c r="AC202" i="65" s="1"/>
  <c r="X202" i="65"/>
  <c r="U202" i="65" s="1"/>
  <c r="P202" i="65"/>
  <c r="I202" i="65" s="1"/>
  <c r="D202" i="65"/>
  <c r="AF199" i="65"/>
  <c r="X199" i="65"/>
  <c r="P199" i="65"/>
  <c r="D199" i="65"/>
  <c r="AF198" i="65"/>
  <c r="X198" i="65"/>
  <c r="P198" i="65"/>
  <c r="D198" i="65"/>
  <c r="AF197" i="65"/>
  <c r="X197" i="65"/>
  <c r="P197" i="65"/>
  <c r="D197" i="65"/>
  <c r="AF191" i="65"/>
  <c r="X191" i="65"/>
  <c r="P191" i="65"/>
  <c r="D191" i="65"/>
  <c r="AF190" i="65"/>
  <c r="X190" i="65"/>
  <c r="P190" i="65"/>
  <c r="D190" i="65"/>
  <c r="AF189" i="65"/>
  <c r="X189" i="65"/>
  <c r="P189" i="65"/>
  <c r="D189" i="65"/>
  <c r="AF188" i="65"/>
  <c r="X188" i="65"/>
  <c r="P188" i="65"/>
  <c r="D188" i="65"/>
  <c r="AF187" i="65"/>
  <c r="X187" i="65"/>
  <c r="P187" i="65"/>
  <c r="D187" i="65"/>
  <c r="AF186" i="65"/>
  <c r="X186" i="65"/>
  <c r="P186" i="65"/>
  <c r="D186" i="65"/>
  <c r="AK183" i="65"/>
  <c r="AH183" i="65"/>
  <c r="AI183" i="65" s="1"/>
  <c r="AF183" i="65"/>
  <c r="AC183" i="65"/>
  <c r="Z183" i="65"/>
  <c r="AA183" i="65" s="1"/>
  <c r="X183" i="65"/>
  <c r="U183" i="65"/>
  <c r="R183" i="65"/>
  <c r="S183" i="65" s="1"/>
  <c r="P183" i="65"/>
  <c r="I183" i="65"/>
  <c r="G183" i="65"/>
  <c r="D183" i="65"/>
  <c r="AK182" i="65"/>
  <c r="AF182" i="65"/>
  <c r="X182" i="65"/>
  <c r="U182" i="65"/>
  <c r="P182" i="65"/>
  <c r="D182" i="65"/>
  <c r="AK181" i="65" s="1"/>
  <c r="AF181" i="65"/>
  <c r="AC181" i="65"/>
  <c r="X181" i="65"/>
  <c r="U181" i="65" s="1"/>
  <c r="P181" i="65"/>
  <c r="I181" i="65" s="1"/>
  <c r="D181" i="65"/>
  <c r="AK180" i="65" s="1"/>
  <c r="AF180" i="65"/>
  <c r="X180" i="65"/>
  <c r="U180" i="65" s="1"/>
  <c r="P180" i="65"/>
  <c r="D180" i="65"/>
  <c r="AK179" i="65" s="1"/>
  <c r="AF179" i="65"/>
  <c r="AC179" i="65" s="1"/>
  <c r="X179" i="65"/>
  <c r="W179" i="65"/>
  <c r="AE179" i="65" s="1"/>
  <c r="U179" i="65" s="1"/>
  <c r="P179" i="65"/>
  <c r="D179" i="65"/>
  <c r="AK178" i="65" s="1"/>
  <c r="AF178" i="65"/>
  <c r="X178" i="65"/>
  <c r="U178" i="65" s="1"/>
  <c r="P178" i="65"/>
  <c r="I178" i="65" s="1"/>
  <c r="D178" i="65"/>
  <c r="AK177" i="65"/>
  <c r="AF177" i="65"/>
  <c r="AC177" i="65" s="1"/>
  <c r="X177" i="65"/>
  <c r="U177" i="65" s="1"/>
  <c r="P177" i="65"/>
  <c r="D177" i="65"/>
  <c r="AF174" i="65"/>
  <c r="X174" i="65"/>
  <c r="P174" i="65"/>
  <c r="D174" i="65"/>
  <c r="AF173" i="65"/>
  <c r="X173" i="65"/>
  <c r="P173" i="65"/>
  <c r="D173" i="65"/>
  <c r="AF172" i="65"/>
  <c r="X172" i="65"/>
  <c r="P172" i="65"/>
  <c r="D172" i="65"/>
  <c r="AF166" i="65"/>
  <c r="X166" i="65"/>
  <c r="P166" i="65"/>
  <c r="D166" i="65"/>
  <c r="AF165" i="65"/>
  <c r="X165" i="65"/>
  <c r="P165" i="65"/>
  <c r="D165" i="65"/>
  <c r="AG189" i="65" s="1"/>
  <c r="AF164" i="65"/>
  <c r="Y189" i="65" s="1"/>
  <c r="X164" i="65"/>
  <c r="Q189" i="65" s="1"/>
  <c r="P164" i="65"/>
  <c r="E189" i="65" s="1"/>
  <c r="D164" i="65"/>
  <c r="AF163" i="65"/>
  <c r="X163" i="65"/>
  <c r="P163" i="65"/>
  <c r="D163" i="65"/>
  <c r="AF162" i="65"/>
  <c r="X162" i="65"/>
  <c r="P162" i="65"/>
  <c r="D162" i="65"/>
  <c r="AF161" i="65"/>
  <c r="X161" i="65"/>
  <c r="P161" i="65"/>
  <c r="D161" i="65"/>
  <c r="AK158" i="65"/>
  <c r="AH158" i="65"/>
  <c r="AI158" i="65" s="1"/>
  <c r="AF158" i="65"/>
  <c r="AC158" i="65"/>
  <c r="Z158" i="65"/>
  <c r="AA158" i="65" s="1"/>
  <c r="X158" i="65"/>
  <c r="U158" i="65"/>
  <c r="R158" i="65"/>
  <c r="S158" i="65" s="1"/>
  <c r="P158" i="65"/>
  <c r="I158" i="65"/>
  <c r="G158" i="65"/>
  <c r="D158" i="65"/>
  <c r="AF157" i="65"/>
  <c r="X157" i="65"/>
  <c r="U157" i="65" s="1"/>
  <c r="P157" i="65"/>
  <c r="I157" i="65" s="1"/>
  <c r="D157" i="65"/>
  <c r="AK156" i="65" s="1"/>
  <c r="AF156" i="65"/>
  <c r="AC156" i="65" s="1"/>
  <c r="X156" i="65"/>
  <c r="U156" i="65" s="1"/>
  <c r="P156" i="65"/>
  <c r="I156" i="65"/>
  <c r="D156" i="65"/>
  <c r="AF155" i="65"/>
  <c r="X155" i="65"/>
  <c r="U155" i="65" s="1"/>
  <c r="P155" i="65"/>
  <c r="I155" i="65" s="1"/>
  <c r="D155" i="65"/>
  <c r="AK154" i="65" s="1"/>
  <c r="AF154" i="65"/>
  <c r="AC154" i="65" s="1"/>
  <c r="X154" i="65"/>
  <c r="P154" i="65"/>
  <c r="O154" i="65"/>
  <c r="W154" i="65" s="1"/>
  <c r="AE154" i="65" s="1"/>
  <c r="I154" i="65" s="1"/>
  <c r="D154" i="65"/>
  <c r="AK153" i="65" s="1"/>
  <c r="AF153" i="65"/>
  <c r="X153" i="65"/>
  <c r="P153" i="65"/>
  <c r="I153" i="65" s="1"/>
  <c r="D153" i="65"/>
  <c r="AK152" i="65"/>
  <c r="AF152" i="65"/>
  <c r="AC152" i="65" s="1"/>
  <c r="X152" i="65"/>
  <c r="U152" i="65" s="1"/>
  <c r="P152" i="65"/>
  <c r="I152" i="65"/>
  <c r="D152" i="65"/>
  <c r="AF149" i="65"/>
  <c r="X149" i="65"/>
  <c r="P149" i="65"/>
  <c r="D149" i="65"/>
  <c r="AF148" i="65"/>
  <c r="X148" i="65"/>
  <c r="P148" i="65"/>
  <c r="D148" i="65"/>
  <c r="AF147" i="65"/>
  <c r="X147" i="65"/>
  <c r="P147" i="65"/>
  <c r="D147" i="65"/>
  <c r="AH138" i="65"/>
  <c r="AI138" i="65" s="1"/>
  <c r="AF138" i="65"/>
  <c r="Z138" i="65"/>
  <c r="AA138" i="65" s="1"/>
  <c r="X138" i="65"/>
  <c r="R138" i="65"/>
  <c r="S138" i="65" s="1"/>
  <c r="P138" i="65"/>
  <c r="G138" i="65"/>
  <c r="F138" i="65"/>
  <c r="D138" i="65"/>
  <c r="AH137" i="65"/>
  <c r="AI137" i="65" s="1"/>
  <c r="AF137" i="65"/>
  <c r="AA137" i="65"/>
  <c r="Z137" i="65"/>
  <c r="X137" i="65"/>
  <c r="R137" i="65"/>
  <c r="S137" i="65" s="1"/>
  <c r="P137" i="65"/>
  <c r="F137" i="65"/>
  <c r="G137" i="65" s="1"/>
  <c r="D137" i="65"/>
  <c r="AH136" i="65"/>
  <c r="AG136" i="65"/>
  <c r="AF136" i="65"/>
  <c r="Z136" i="65"/>
  <c r="Y136" i="65"/>
  <c r="AA136" i="65" s="1"/>
  <c r="X136" i="65"/>
  <c r="R136" i="65"/>
  <c r="Q136" i="65"/>
  <c r="P136" i="65"/>
  <c r="F136" i="65"/>
  <c r="E136" i="65"/>
  <c r="D136" i="65"/>
  <c r="AH135" i="65"/>
  <c r="AI135" i="65" s="1"/>
  <c r="AF135" i="65"/>
  <c r="Z135" i="65"/>
  <c r="AA135" i="65" s="1"/>
  <c r="X135" i="65"/>
  <c r="R135" i="65"/>
  <c r="S135" i="65" s="1"/>
  <c r="P135" i="65"/>
  <c r="G135" i="65"/>
  <c r="F135" i="65"/>
  <c r="D135" i="65"/>
  <c r="AH134" i="65"/>
  <c r="AF134" i="65"/>
  <c r="Z134" i="65"/>
  <c r="X134" i="65"/>
  <c r="R134" i="65"/>
  <c r="P134" i="65"/>
  <c r="F134" i="65"/>
  <c r="D134" i="65"/>
  <c r="AH133" i="65"/>
  <c r="AI133" i="65" s="1"/>
  <c r="AF133" i="65"/>
  <c r="Z133" i="65"/>
  <c r="AA133" i="65" s="1"/>
  <c r="X133" i="65"/>
  <c r="R133" i="65"/>
  <c r="S133" i="65" s="1"/>
  <c r="P133" i="65"/>
  <c r="F133" i="65"/>
  <c r="G133" i="65" s="1"/>
  <c r="D133" i="65"/>
  <c r="AK130" i="65"/>
  <c r="AH130" i="65"/>
  <c r="AI130" i="65" s="1"/>
  <c r="AF130" i="65"/>
  <c r="AC130" i="65"/>
  <c r="AA130" i="65"/>
  <c r="Z130" i="65"/>
  <c r="X130" i="65"/>
  <c r="U130" i="65"/>
  <c r="R130" i="65"/>
  <c r="S130" i="65" s="1"/>
  <c r="P130" i="65"/>
  <c r="I130" i="65"/>
  <c r="F130" i="65"/>
  <c r="G130" i="65" s="1"/>
  <c r="D130" i="65"/>
  <c r="AH129" i="65"/>
  <c r="AG129" i="65"/>
  <c r="AF129" i="65"/>
  <c r="Z129" i="65"/>
  <c r="Y129" i="65"/>
  <c r="X129" i="65"/>
  <c r="R129" i="65"/>
  <c r="Q129" i="65"/>
  <c r="U129" i="65" s="1"/>
  <c r="P129" i="65"/>
  <c r="I129" i="65"/>
  <c r="F129" i="65"/>
  <c r="G129" i="65" s="1"/>
  <c r="E129" i="65"/>
  <c r="D129" i="65"/>
  <c r="AH128" i="65"/>
  <c r="AG128" i="65"/>
  <c r="AI128" i="65" s="1"/>
  <c r="AF128" i="65"/>
  <c r="Z128" i="65"/>
  <c r="Y128" i="65"/>
  <c r="AC128" i="65" s="1"/>
  <c r="X128" i="65"/>
  <c r="R128" i="65"/>
  <c r="Q128" i="65"/>
  <c r="U128" i="65" s="1"/>
  <c r="P128" i="65"/>
  <c r="F128" i="65"/>
  <c r="E128" i="65"/>
  <c r="I128" i="65" s="1"/>
  <c r="D128" i="65"/>
  <c r="AH127" i="65"/>
  <c r="AG127" i="65"/>
  <c r="AI127" i="65" s="1"/>
  <c r="AF127" i="65"/>
  <c r="Z127" i="65"/>
  <c r="Y127" i="65"/>
  <c r="X127" i="65"/>
  <c r="R127" i="65"/>
  <c r="Q127" i="65"/>
  <c r="U127" i="65" s="1"/>
  <c r="P127" i="65"/>
  <c r="I127" i="65"/>
  <c r="F127" i="65"/>
  <c r="G127" i="65" s="1"/>
  <c r="E127" i="65"/>
  <c r="D127" i="65"/>
  <c r="AH126" i="65"/>
  <c r="AG126" i="65"/>
  <c r="AF126" i="65"/>
  <c r="Z126" i="65"/>
  <c r="Y126" i="65"/>
  <c r="AC126" i="65" s="1"/>
  <c r="X126" i="65"/>
  <c r="R126" i="65"/>
  <c r="Q126" i="65"/>
  <c r="U126" i="65" s="1"/>
  <c r="P126" i="65"/>
  <c r="F126" i="65"/>
  <c r="E126" i="65"/>
  <c r="I126" i="65" s="1"/>
  <c r="D126" i="65"/>
  <c r="AH125" i="65"/>
  <c r="AG125" i="65"/>
  <c r="AK125" i="65" s="1"/>
  <c r="AK131" i="65" s="1"/>
  <c r="AG134" i="65" s="1"/>
  <c r="AI134" i="65" s="1"/>
  <c r="AF125" i="65"/>
  <c r="Z125" i="65"/>
  <c r="Y125" i="65"/>
  <c r="X125" i="65"/>
  <c r="S125" i="65"/>
  <c r="R125" i="65"/>
  <c r="Q125" i="65"/>
  <c r="U125" i="65" s="1"/>
  <c r="U131" i="65" s="1"/>
  <c r="Q134" i="65" s="1"/>
  <c r="P125" i="65"/>
  <c r="F125" i="65"/>
  <c r="E125" i="65"/>
  <c r="I125" i="65" s="1"/>
  <c r="I131" i="65" s="1"/>
  <c r="E134" i="65" s="1"/>
  <c r="G134" i="65" s="1"/>
  <c r="D125" i="65"/>
  <c r="AH122" i="65"/>
  <c r="AG122" i="65"/>
  <c r="AI122" i="65" s="1"/>
  <c r="AF122" i="65"/>
  <c r="Z122" i="65"/>
  <c r="Y122" i="65"/>
  <c r="X122" i="65"/>
  <c r="R122" i="65"/>
  <c r="Q122" i="65"/>
  <c r="P122" i="65"/>
  <c r="F122" i="65"/>
  <c r="E122" i="65"/>
  <c r="G122" i="65" s="1"/>
  <c r="D122" i="65"/>
  <c r="AH121" i="65"/>
  <c r="AG121" i="65"/>
  <c r="AI121" i="65" s="1"/>
  <c r="AI139" i="65" s="1"/>
  <c r="AF121" i="65"/>
  <c r="Z121" i="65"/>
  <c r="Y121" i="65"/>
  <c r="AA121" i="65" s="1"/>
  <c r="AA139" i="65" s="1"/>
  <c r="X121" i="65"/>
  <c r="R121" i="65"/>
  <c r="Q121" i="65"/>
  <c r="P121" i="65"/>
  <c r="F121" i="65"/>
  <c r="E121" i="65"/>
  <c r="D121" i="65"/>
  <c r="AH115" i="65"/>
  <c r="AI115" i="65" s="1"/>
  <c r="AF115" i="65"/>
  <c r="Z115" i="65"/>
  <c r="AA115" i="65" s="1"/>
  <c r="X115" i="65"/>
  <c r="R115" i="65"/>
  <c r="S115" i="65" s="1"/>
  <c r="P115" i="65"/>
  <c r="F115" i="65"/>
  <c r="G115" i="65" s="1"/>
  <c r="D115" i="65"/>
  <c r="AH114" i="65"/>
  <c r="AI114" i="65" s="1"/>
  <c r="AF114" i="65"/>
  <c r="Z114" i="65"/>
  <c r="AA114" i="65" s="1"/>
  <c r="X114" i="65"/>
  <c r="R114" i="65"/>
  <c r="S114" i="65" s="1"/>
  <c r="P114" i="65"/>
  <c r="F114" i="65"/>
  <c r="G114" i="65" s="1"/>
  <c r="D114" i="65"/>
  <c r="AH113" i="65"/>
  <c r="AG113" i="65"/>
  <c r="AF113" i="65"/>
  <c r="Z113" i="65"/>
  <c r="Y113" i="65"/>
  <c r="X113" i="65"/>
  <c r="R113" i="65"/>
  <c r="Q113" i="65"/>
  <c r="P113" i="65"/>
  <c r="F113" i="65"/>
  <c r="E113" i="65"/>
  <c r="G113" i="65" s="1"/>
  <c r="D113" i="65"/>
  <c r="AH112" i="65"/>
  <c r="AI112" i="65" s="1"/>
  <c r="AF112" i="65"/>
  <c r="Z112" i="65"/>
  <c r="AA112" i="65" s="1"/>
  <c r="X112" i="65"/>
  <c r="R112" i="65"/>
  <c r="S112" i="65" s="1"/>
  <c r="P112" i="65"/>
  <c r="F112" i="65"/>
  <c r="G112" i="65" s="1"/>
  <c r="D112" i="65"/>
  <c r="AH111" i="65"/>
  <c r="AF111" i="65"/>
  <c r="Z111" i="65"/>
  <c r="X111" i="65"/>
  <c r="R111" i="65"/>
  <c r="P111" i="65"/>
  <c r="F111" i="65"/>
  <c r="D111" i="65"/>
  <c r="AH110" i="65"/>
  <c r="AI110" i="65" s="1"/>
  <c r="AF110" i="65"/>
  <c r="Z110" i="65"/>
  <c r="AA110" i="65" s="1"/>
  <c r="X110" i="65"/>
  <c r="R110" i="65"/>
  <c r="S110" i="65" s="1"/>
  <c r="P110" i="65"/>
  <c r="F110" i="65"/>
  <c r="G110" i="65" s="1"/>
  <c r="D110" i="65"/>
  <c r="AK107" i="65"/>
  <c r="AH107" i="65"/>
  <c r="AI107" i="65" s="1"/>
  <c r="AF107" i="65"/>
  <c r="AC107" i="65"/>
  <c r="Z107" i="65"/>
  <c r="AA107" i="65" s="1"/>
  <c r="X107" i="65"/>
  <c r="U107" i="65"/>
  <c r="R107" i="65"/>
  <c r="S107" i="65" s="1"/>
  <c r="P107" i="65"/>
  <c r="I107" i="65"/>
  <c r="F107" i="65"/>
  <c r="G107" i="65" s="1"/>
  <c r="D107" i="65"/>
  <c r="AH106" i="65"/>
  <c r="AG106" i="65"/>
  <c r="AI106" i="65" s="1"/>
  <c r="AF106" i="65"/>
  <c r="Z106" i="65"/>
  <c r="Y106" i="65"/>
  <c r="AC106" i="65" s="1"/>
  <c r="X106" i="65"/>
  <c r="R106" i="65"/>
  <c r="Q106" i="65"/>
  <c r="U106" i="65" s="1"/>
  <c r="P106" i="65"/>
  <c r="F106" i="65"/>
  <c r="E106" i="65"/>
  <c r="I106" i="65" s="1"/>
  <c r="D106" i="65"/>
  <c r="AH105" i="65"/>
  <c r="AG105" i="65"/>
  <c r="AI105" i="65" s="1"/>
  <c r="AF105" i="65"/>
  <c r="Z105" i="65"/>
  <c r="Y105" i="65"/>
  <c r="X105" i="65"/>
  <c r="R105" i="65"/>
  <c r="Q105" i="65"/>
  <c r="U105" i="65" s="1"/>
  <c r="P105" i="65"/>
  <c r="F105" i="65"/>
  <c r="G105" i="65" s="1"/>
  <c r="E105" i="65"/>
  <c r="I105" i="65" s="1"/>
  <c r="D105" i="65"/>
  <c r="AH104" i="65"/>
  <c r="AG104" i="65"/>
  <c r="AF104" i="65"/>
  <c r="Z104" i="65"/>
  <c r="Y104" i="65"/>
  <c r="AC104" i="65" s="1"/>
  <c r="X104" i="65"/>
  <c r="R104" i="65"/>
  <c r="Q104" i="65"/>
  <c r="U104" i="65" s="1"/>
  <c r="P104" i="65"/>
  <c r="F104" i="65"/>
  <c r="E104" i="65"/>
  <c r="I104" i="65" s="1"/>
  <c r="D104" i="65"/>
  <c r="AH103" i="65"/>
  <c r="AG103" i="65"/>
  <c r="AI103" i="65" s="1"/>
  <c r="AF103" i="65"/>
  <c r="Z103" i="65"/>
  <c r="Y103" i="65"/>
  <c r="X103" i="65"/>
  <c r="S103" i="65"/>
  <c r="R103" i="65"/>
  <c r="Q103" i="65"/>
  <c r="U103" i="65" s="1"/>
  <c r="P103" i="65"/>
  <c r="F103" i="65"/>
  <c r="E103" i="65"/>
  <c r="D103" i="65"/>
  <c r="AH102" i="65"/>
  <c r="AG102" i="65"/>
  <c r="AF102" i="65"/>
  <c r="Z102" i="65"/>
  <c r="Y102" i="65"/>
  <c r="AA102" i="65" s="1"/>
  <c r="X102" i="65"/>
  <c r="R102" i="65"/>
  <c r="Q102" i="65"/>
  <c r="U102" i="65" s="1"/>
  <c r="U108" i="65" s="1"/>
  <c r="Q111" i="65" s="1"/>
  <c r="S111" i="65" s="1"/>
  <c r="P102" i="65"/>
  <c r="F102" i="65"/>
  <c r="E102" i="65"/>
  <c r="G102" i="65" s="1"/>
  <c r="D102" i="65"/>
  <c r="AI99" i="65"/>
  <c r="AH99" i="65"/>
  <c r="AG99" i="65"/>
  <c r="AF99" i="65"/>
  <c r="Z99" i="65"/>
  <c r="Y99" i="65"/>
  <c r="X99" i="65"/>
  <c r="R99" i="65"/>
  <c r="S99" i="65" s="1"/>
  <c r="Q99" i="65"/>
  <c r="P99" i="65"/>
  <c r="F99" i="65"/>
  <c r="E99" i="65"/>
  <c r="D99" i="65"/>
  <c r="AH98" i="65"/>
  <c r="AG98" i="65"/>
  <c r="AI98" i="65" s="1"/>
  <c r="AI116" i="65" s="1"/>
  <c r="AF98" i="65"/>
  <c r="Z98" i="65"/>
  <c r="Y98" i="65"/>
  <c r="AA98" i="65" s="1"/>
  <c r="AA116" i="65" s="1"/>
  <c r="X98" i="65"/>
  <c r="R98" i="65"/>
  <c r="Q98" i="65"/>
  <c r="S98" i="65" s="1"/>
  <c r="S116" i="65" s="1"/>
  <c r="P98" i="65"/>
  <c r="F98" i="65"/>
  <c r="E98" i="65"/>
  <c r="D98" i="65"/>
  <c r="AH92" i="65"/>
  <c r="AI92" i="65" s="1"/>
  <c r="AF92" i="65"/>
  <c r="Z92" i="65"/>
  <c r="AA92" i="65" s="1"/>
  <c r="X92" i="65"/>
  <c r="R92" i="65"/>
  <c r="S92" i="65" s="1"/>
  <c r="P92" i="65"/>
  <c r="F92" i="65"/>
  <c r="G92" i="65" s="1"/>
  <c r="D92" i="65"/>
  <c r="AH91" i="65"/>
  <c r="AI91" i="65" s="1"/>
  <c r="AF91" i="65"/>
  <c r="Z91" i="65"/>
  <c r="AA91" i="65" s="1"/>
  <c r="X91" i="65"/>
  <c r="R91" i="65"/>
  <c r="S91" i="65" s="1"/>
  <c r="P91" i="65"/>
  <c r="F91" i="65"/>
  <c r="G91" i="65" s="1"/>
  <c r="D91" i="65"/>
  <c r="AH90" i="65"/>
  <c r="AG90" i="65"/>
  <c r="AF90" i="65"/>
  <c r="Z90" i="65"/>
  <c r="Y90" i="65"/>
  <c r="X90" i="65"/>
  <c r="R90" i="65"/>
  <c r="Q90" i="65"/>
  <c r="P90" i="65"/>
  <c r="F90" i="65"/>
  <c r="E90" i="65"/>
  <c r="D90" i="65"/>
  <c r="AH89" i="65"/>
  <c r="AI89" i="65" s="1"/>
  <c r="AF89" i="65"/>
  <c r="Z89" i="65"/>
  <c r="AA89" i="65" s="1"/>
  <c r="X89" i="65"/>
  <c r="R89" i="65"/>
  <c r="S89" i="65" s="1"/>
  <c r="P89" i="65"/>
  <c r="F89" i="65"/>
  <c r="G89" i="65" s="1"/>
  <c r="D89" i="65"/>
  <c r="AH88" i="65"/>
  <c r="AF88" i="65"/>
  <c r="Z88" i="65"/>
  <c r="X88" i="65"/>
  <c r="R88" i="65"/>
  <c r="P88" i="65"/>
  <c r="F88" i="65"/>
  <c r="D88" i="65"/>
  <c r="AH87" i="65"/>
  <c r="AI87" i="65" s="1"/>
  <c r="AF87" i="65"/>
  <c r="Z87" i="65"/>
  <c r="AA87" i="65" s="1"/>
  <c r="X87" i="65"/>
  <c r="R87" i="65"/>
  <c r="S87" i="65" s="1"/>
  <c r="P87" i="65"/>
  <c r="F87" i="65"/>
  <c r="G87" i="65" s="1"/>
  <c r="D87" i="65"/>
  <c r="AK84" i="65"/>
  <c r="AH84" i="65"/>
  <c r="AI84" i="65" s="1"/>
  <c r="AF84" i="65"/>
  <c r="AC84" i="65"/>
  <c r="Z84" i="65"/>
  <c r="AA84" i="65" s="1"/>
  <c r="X84" i="65"/>
  <c r="U84" i="65"/>
  <c r="R84" i="65"/>
  <c r="S84" i="65" s="1"/>
  <c r="P84" i="65"/>
  <c r="I84" i="65"/>
  <c r="F84" i="65"/>
  <c r="G84" i="65" s="1"/>
  <c r="D84" i="65"/>
  <c r="AH83" i="65"/>
  <c r="AG83" i="65"/>
  <c r="AI83" i="65" s="1"/>
  <c r="AF83" i="65"/>
  <c r="Z83" i="65"/>
  <c r="Y83" i="65"/>
  <c r="X83" i="65"/>
  <c r="R83" i="65"/>
  <c r="Q83" i="65"/>
  <c r="U83" i="65" s="1"/>
  <c r="P83" i="65"/>
  <c r="I83" i="65"/>
  <c r="G83" i="65"/>
  <c r="F83" i="65"/>
  <c r="E83" i="65"/>
  <c r="D83" i="65"/>
  <c r="AH82" i="65"/>
  <c r="AG82" i="65"/>
  <c r="AF82" i="65"/>
  <c r="Z82" i="65"/>
  <c r="Y82" i="65"/>
  <c r="X82" i="65"/>
  <c r="R82" i="65"/>
  <c r="Q82" i="65"/>
  <c r="U82" i="65" s="1"/>
  <c r="P82" i="65"/>
  <c r="F82" i="65"/>
  <c r="E82" i="65"/>
  <c r="D82" i="65"/>
  <c r="AH81" i="65"/>
  <c r="AG81" i="65"/>
  <c r="AF81" i="65"/>
  <c r="Z81" i="65"/>
  <c r="Y81" i="65"/>
  <c r="X81" i="65"/>
  <c r="U81" i="65"/>
  <c r="S81" i="65"/>
  <c r="R81" i="65"/>
  <c r="Q81" i="65"/>
  <c r="P81" i="65"/>
  <c r="F81" i="65"/>
  <c r="E81" i="65"/>
  <c r="D81" i="65"/>
  <c r="AH80" i="65"/>
  <c r="AG80" i="65"/>
  <c r="AF80" i="65"/>
  <c r="Z80" i="65"/>
  <c r="Y80" i="65"/>
  <c r="AC80" i="65" s="1"/>
  <c r="X80" i="65"/>
  <c r="R80" i="65"/>
  <c r="Q80" i="65"/>
  <c r="U80" i="65" s="1"/>
  <c r="P80" i="65"/>
  <c r="F80" i="65"/>
  <c r="E80" i="65"/>
  <c r="G80" i="65" s="1"/>
  <c r="D80" i="65"/>
  <c r="AH79" i="65"/>
  <c r="AG79" i="65"/>
  <c r="AF79" i="65"/>
  <c r="Z79" i="65"/>
  <c r="Y79" i="65"/>
  <c r="AA79" i="65" s="1"/>
  <c r="X79" i="65"/>
  <c r="R79" i="65"/>
  <c r="Q79" i="65"/>
  <c r="U79" i="65" s="1"/>
  <c r="U85" i="65" s="1"/>
  <c r="Q88" i="65" s="1"/>
  <c r="S88" i="65" s="1"/>
  <c r="P79" i="65"/>
  <c r="F79" i="65"/>
  <c r="E79" i="65"/>
  <c r="G79" i="65" s="1"/>
  <c r="D79" i="65"/>
  <c r="AH76" i="65"/>
  <c r="AG76" i="65"/>
  <c r="AF76" i="65"/>
  <c r="Z76" i="65"/>
  <c r="Y76" i="65"/>
  <c r="X76" i="65"/>
  <c r="R76" i="65"/>
  <c r="S76" i="65" s="1"/>
  <c r="Q76" i="65"/>
  <c r="P76" i="65"/>
  <c r="F76" i="65"/>
  <c r="E76" i="65"/>
  <c r="G76" i="65" s="1"/>
  <c r="D76" i="65"/>
  <c r="AH75" i="65"/>
  <c r="AG75" i="65"/>
  <c r="AI75" i="65" s="1"/>
  <c r="AI93" i="65" s="1"/>
  <c r="AF75" i="65"/>
  <c r="Z75" i="65"/>
  <c r="Y75" i="65"/>
  <c r="AA75" i="65" s="1"/>
  <c r="AA93" i="65" s="1"/>
  <c r="X75" i="65"/>
  <c r="R75" i="65"/>
  <c r="Q75" i="65"/>
  <c r="S75" i="65" s="1"/>
  <c r="S93" i="65" s="1"/>
  <c r="P75" i="65"/>
  <c r="F75" i="65"/>
  <c r="E75" i="65"/>
  <c r="D75" i="65"/>
  <c r="AI69" i="65"/>
  <c r="AH69" i="65"/>
  <c r="AF69" i="65"/>
  <c r="Z69" i="65"/>
  <c r="AA69" i="65" s="1"/>
  <c r="X69" i="65"/>
  <c r="R69" i="65"/>
  <c r="S69" i="65" s="1"/>
  <c r="P69" i="65"/>
  <c r="F69" i="65"/>
  <c r="G69" i="65" s="1"/>
  <c r="D69" i="65"/>
  <c r="AH68" i="65"/>
  <c r="AI68" i="65" s="1"/>
  <c r="AF68" i="65"/>
  <c r="Z68" i="65"/>
  <c r="AA68" i="65" s="1"/>
  <c r="X68" i="65"/>
  <c r="R68" i="65"/>
  <c r="S68" i="65" s="1"/>
  <c r="P68" i="65"/>
  <c r="F68" i="65"/>
  <c r="G68" i="65" s="1"/>
  <c r="D68" i="65"/>
  <c r="AH67" i="65"/>
  <c r="AG67" i="65"/>
  <c r="AF67" i="65"/>
  <c r="Z67" i="65"/>
  <c r="Y67" i="65"/>
  <c r="X67" i="65"/>
  <c r="R67" i="65"/>
  <c r="Q67" i="65"/>
  <c r="P67" i="65"/>
  <c r="F67" i="65"/>
  <c r="E67" i="65"/>
  <c r="G67" i="65" s="1"/>
  <c r="D67" i="65"/>
  <c r="AH66" i="65"/>
  <c r="AI66" i="65" s="1"/>
  <c r="AF66" i="65"/>
  <c r="Z66" i="65"/>
  <c r="AA66" i="65" s="1"/>
  <c r="X66" i="65"/>
  <c r="R66" i="65"/>
  <c r="S66" i="65" s="1"/>
  <c r="P66" i="65"/>
  <c r="F66" i="65"/>
  <c r="G66" i="65" s="1"/>
  <c r="D66" i="65"/>
  <c r="AH65" i="65"/>
  <c r="AF65" i="65"/>
  <c r="Z65" i="65"/>
  <c r="X65" i="65"/>
  <c r="R65" i="65"/>
  <c r="P65" i="65"/>
  <c r="F65" i="65"/>
  <c r="D65" i="65"/>
  <c r="AH64" i="65"/>
  <c r="AI64" i="65" s="1"/>
  <c r="AF64" i="65"/>
  <c r="Z64" i="65"/>
  <c r="AA64" i="65" s="1"/>
  <c r="X64" i="65"/>
  <c r="R64" i="65"/>
  <c r="S64" i="65" s="1"/>
  <c r="P64" i="65"/>
  <c r="F64" i="65"/>
  <c r="G64" i="65" s="1"/>
  <c r="D64" i="65"/>
  <c r="AK61" i="65"/>
  <c r="AH61" i="65"/>
  <c r="AI61" i="65" s="1"/>
  <c r="AF61" i="65"/>
  <c r="AC61" i="65"/>
  <c r="Z61" i="65"/>
  <c r="AA61" i="65" s="1"/>
  <c r="X61" i="65"/>
  <c r="U61" i="65"/>
  <c r="R61" i="65"/>
  <c r="S61" i="65" s="1"/>
  <c r="P61" i="65"/>
  <c r="I61" i="65"/>
  <c r="F61" i="65"/>
  <c r="G61" i="65" s="1"/>
  <c r="D61" i="65"/>
  <c r="AH60" i="65"/>
  <c r="AG60" i="65"/>
  <c r="AF60" i="65"/>
  <c r="Z60" i="65"/>
  <c r="Y60" i="65"/>
  <c r="AA60" i="65" s="1"/>
  <c r="X60" i="65"/>
  <c r="R60" i="65"/>
  <c r="Q60" i="65"/>
  <c r="U60" i="65" s="1"/>
  <c r="P60" i="65"/>
  <c r="F60" i="65"/>
  <c r="E60" i="65"/>
  <c r="G60" i="65" s="1"/>
  <c r="D60" i="65"/>
  <c r="AH59" i="65"/>
  <c r="AG59" i="65"/>
  <c r="AF59" i="65"/>
  <c r="Z59" i="65"/>
  <c r="Y59" i="65"/>
  <c r="X59" i="65"/>
  <c r="R59" i="65"/>
  <c r="S59" i="65" s="1"/>
  <c r="Q59" i="65"/>
  <c r="U59" i="65" s="1"/>
  <c r="P59" i="65"/>
  <c r="F59" i="65"/>
  <c r="E59" i="65"/>
  <c r="G59" i="65" s="1"/>
  <c r="D59" i="65"/>
  <c r="AH58" i="65"/>
  <c r="AG58" i="65"/>
  <c r="AF58" i="65"/>
  <c r="Z58" i="65"/>
  <c r="Y58" i="65"/>
  <c r="AA58" i="65" s="1"/>
  <c r="X58" i="65"/>
  <c r="S58" i="65"/>
  <c r="R58" i="65"/>
  <c r="Q58" i="65"/>
  <c r="U58" i="65" s="1"/>
  <c r="P58" i="65"/>
  <c r="F58" i="65"/>
  <c r="E58" i="65"/>
  <c r="D58" i="65"/>
  <c r="AH57" i="65"/>
  <c r="AG57" i="65"/>
  <c r="AF57" i="65"/>
  <c r="Z57" i="65"/>
  <c r="Y57" i="65"/>
  <c r="AA57" i="65" s="1"/>
  <c r="X57" i="65"/>
  <c r="R57" i="65"/>
  <c r="Q57" i="65"/>
  <c r="U57" i="65" s="1"/>
  <c r="P57" i="65"/>
  <c r="F57" i="65"/>
  <c r="E57" i="65"/>
  <c r="G57" i="65" s="1"/>
  <c r="D57" i="65"/>
  <c r="AH56" i="65"/>
  <c r="AG56" i="65"/>
  <c r="AF56" i="65"/>
  <c r="Z56" i="65"/>
  <c r="Y56" i="65"/>
  <c r="AA56" i="65" s="1"/>
  <c r="X56" i="65"/>
  <c r="R56" i="65"/>
  <c r="Q56" i="65"/>
  <c r="U56" i="65" s="1"/>
  <c r="U62" i="65" s="1"/>
  <c r="Q65" i="65" s="1"/>
  <c r="S65" i="65" s="1"/>
  <c r="P56" i="65"/>
  <c r="F56" i="65"/>
  <c r="E56" i="65"/>
  <c r="G56" i="65" s="1"/>
  <c r="D56" i="65"/>
  <c r="AH53" i="65"/>
  <c r="AG53" i="65"/>
  <c r="AI53" i="65" s="1"/>
  <c r="AF53" i="65"/>
  <c r="Z53" i="65"/>
  <c r="Y53" i="65"/>
  <c r="X53" i="65"/>
  <c r="S53" i="65"/>
  <c r="R53" i="65"/>
  <c r="Q53" i="65"/>
  <c r="P53" i="65"/>
  <c r="F53" i="65"/>
  <c r="E53" i="65"/>
  <c r="D53" i="65"/>
  <c r="AH52" i="65"/>
  <c r="AI52" i="65" s="1"/>
  <c r="AI70" i="65" s="1"/>
  <c r="AG52" i="65"/>
  <c r="AF52" i="65"/>
  <c r="Z52" i="65"/>
  <c r="Y52" i="65"/>
  <c r="AA52" i="65" s="1"/>
  <c r="AA70" i="65" s="1"/>
  <c r="X52" i="65"/>
  <c r="R52" i="65"/>
  <c r="Q52" i="65"/>
  <c r="S52" i="65" s="1"/>
  <c r="S70" i="65" s="1"/>
  <c r="P52" i="65"/>
  <c r="F52" i="65"/>
  <c r="E52" i="65"/>
  <c r="G52" i="65" s="1"/>
  <c r="G70" i="65" s="1"/>
  <c r="D52" i="65"/>
  <c r="AH46" i="65"/>
  <c r="AI46" i="65" s="1"/>
  <c r="AF46" i="65"/>
  <c r="Z46" i="65"/>
  <c r="AA46" i="65" s="1"/>
  <c r="X46" i="65"/>
  <c r="R46" i="65"/>
  <c r="S46" i="65" s="1"/>
  <c r="P46" i="65"/>
  <c r="G46" i="65"/>
  <c r="AH45" i="65"/>
  <c r="AI45" i="65" s="1"/>
  <c r="AF45" i="65"/>
  <c r="Z45" i="65"/>
  <c r="AA45" i="65" s="1"/>
  <c r="X45" i="65"/>
  <c r="R45" i="65"/>
  <c r="S45" i="65" s="1"/>
  <c r="P45" i="65"/>
  <c r="G45" i="65"/>
  <c r="AH44" i="65"/>
  <c r="AG44" i="65"/>
  <c r="AF44" i="65"/>
  <c r="Z44" i="65"/>
  <c r="Y44" i="65"/>
  <c r="AA44" i="65" s="1"/>
  <c r="X44" i="65"/>
  <c r="R44" i="65"/>
  <c r="S44" i="65" s="1"/>
  <c r="P44" i="65"/>
  <c r="G44" i="65"/>
  <c r="AH43" i="65"/>
  <c r="AI43" i="65" s="1"/>
  <c r="AF43" i="65"/>
  <c r="AA43" i="65"/>
  <c r="Z43" i="65"/>
  <c r="X43" i="65"/>
  <c r="R43" i="65"/>
  <c r="S43" i="65" s="1"/>
  <c r="P43" i="65"/>
  <c r="G43" i="65"/>
  <c r="AH42" i="65"/>
  <c r="AF42" i="65"/>
  <c r="Z42" i="65"/>
  <c r="X42" i="65"/>
  <c r="R42" i="65"/>
  <c r="P42" i="65"/>
  <c r="AH41" i="65"/>
  <c r="AI41" i="65" s="1"/>
  <c r="AF41" i="65"/>
  <c r="Z41" i="65"/>
  <c r="AA41" i="65" s="1"/>
  <c r="X41" i="65"/>
  <c r="R41" i="65"/>
  <c r="S41" i="65" s="1"/>
  <c r="P41" i="65"/>
  <c r="G41" i="65"/>
  <c r="AK38" i="65"/>
  <c r="AH38" i="65"/>
  <c r="AI38" i="65" s="1"/>
  <c r="AF38" i="65"/>
  <c r="AC38" i="65"/>
  <c r="AA38" i="65"/>
  <c r="Z38" i="65"/>
  <c r="X38" i="65"/>
  <c r="U38" i="65"/>
  <c r="R38" i="65"/>
  <c r="S38" i="65" s="1"/>
  <c r="P38" i="65"/>
  <c r="I38" i="65"/>
  <c r="G38" i="65"/>
  <c r="AH37" i="65"/>
  <c r="AG37" i="65"/>
  <c r="AF37" i="65"/>
  <c r="Z37" i="65"/>
  <c r="Y37" i="65"/>
  <c r="AA37" i="65" s="1"/>
  <c r="X37" i="65"/>
  <c r="R37" i="65"/>
  <c r="S37" i="65" s="1"/>
  <c r="Q37" i="65"/>
  <c r="U37" i="65" s="1"/>
  <c r="P37" i="65"/>
  <c r="E37" i="65"/>
  <c r="I37" i="65" s="1"/>
  <c r="AH36" i="65"/>
  <c r="AG36" i="65"/>
  <c r="AK36" i="65" s="1"/>
  <c r="AF36" i="65"/>
  <c r="Z36" i="65"/>
  <c r="Y36" i="65"/>
  <c r="AC36" i="65" s="1"/>
  <c r="X36" i="65"/>
  <c r="R36" i="65"/>
  <c r="Q36" i="65"/>
  <c r="S36" i="65" s="1"/>
  <c r="P36" i="65"/>
  <c r="E36" i="65"/>
  <c r="G36" i="65" s="1"/>
  <c r="AH35" i="65"/>
  <c r="AG35" i="65"/>
  <c r="AF35" i="65"/>
  <c r="AC35" i="65"/>
  <c r="Z35" i="65"/>
  <c r="Y35" i="65"/>
  <c r="AA35" i="65" s="1"/>
  <c r="X35" i="65"/>
  <c r="R35" i="65"/>
  <c r="Q35" i="65"/>
  <c r="U35" i="65" s="1"/>
  <c r="P35" i="65"/>
  <c r="I35" i="65"/>
  <c r="E35" i="65"/>
  <c r="G35" i="65" s="1"/>
  <c r="AH34" i="65"/>
  <c r="AG34" i="65"/>
  <c r="AK34" i="65" s="1"/>
  <c r="AF34" i="65"/>
  <c r="Z34" i="65"/>
  <c r="Y34" i="65"/>
  <c r="AC34" i="65" s="1"/>
  <c r="X34" i="65"/>
  <c r="R34" i="65"/>
  <c r="Q34" i="65"/>
  <c r="P34" i="65"/>
  <c r="E34" i="65"/>
  <c r="G34" i="65" s="1"/>
  <c r="AH33" i="65"/>
  <c r="AG33" i="65"/>
  <c r="AF33" i="65"/>
  <c r="Z33" i="65"/>
  <c r="Y33" i="65"/>
  <c r="X33" i="65"/>
  <c r="U33" i="65"/>
  <c r="U39" i="65" s="1"/>
  <c r="Q42" i="65" s="1"/>
  <c r="S42" i="65" s="1"/>
  <c r="S33" i="65"/>
  <c r="R33" i="65"/>
  <c r="Q33" i="65"/>
  <c r="P33" i="65"/>
  <c r="E33" i="65"/>
  <c r="G33" i="65" s="1"/>
  <c r="AH30" i="65"/>
  <c r="AG30" i="65"/>
  <c r="AF30" i="65"/>
  <c r="Z30" i="65"/>
  <c r="Y30" i="65"/>
  <c r="X30" i="65"/>
  <c r="R30" i="65"/>
  <c r="Q30" i="65"/>
  <c r="S30" i="65" s="1"/>
  <c r="P30" i="65"/>
  <c r="E30" i="65"/>
  <c r="G30" i="65" s="1"/>
  <c r="AH29" i="65"/>
  <c r="AG29" i="65"/>
  <c r="AF29" i="65"/>
  <c r="Z29" i="65"/>
  <c r="Y29" i="65"/>
  <c r="AA29" i="65" s="1"/>
  <c r="AA47" i="65" s="1"/>
  <c r="X29" i="65"/>
  <c r="R29" i="65"/>
  <c r="S29" i="65" s="1"/>
  <c r="S47" i="65" s="1"/>
  <c r="Q29" i="65"/>
  <c r="P29" i="65"/>
  <c r="E29" i="65"/>
  <c r="G29" i="65" s="1"/>
  <c r="G47" i="65" s="1"/>
  <c r="E17" i="65"/>
  <c r="G17" i="65" s="1"/>
  <c r="G15" i="65"/>
  <c r="G13" i="65"/>
  <c r="G11" i="65"/>
  <c r="E9" i="65"/>
  <c r="G9" i="65" s="1"/>
  <c r="B9" i="65"/>
  <c r="B11" i="65" s="1"/>
  <c r="B13" i="65" s="1"/>
  <c r="B15" i="65" s="1"/>
  <c r="B17" i="65" s="1"/>
  <c r="B19" i="65" s="1"/>
  <c r="G7" i="65"/>
  <c r="G47" i="64"/>
  <c r="J46" i="64"/>
  <c r="I46" i="64"/>
  <c r="H46" i="64"/>
  <c r="G46" i="64"/>
  <c r="L43" i="64"/>
  <c r="L42" i="64"/>
  <c r="L41" i="64"/>
  <c r="L40" i="64"/>
  <c r="J39" i="64"/>
  <c r="L39" i="64"/>
  <c r="I38" i="64"/>
  <c r="H38" i="64"/>
  <c r="G38" i="64"/>
  <c r="L38" i="64"/>
  <c r="J37" i="64"/>
  <c r="I37" i="64"/>
  <c r="H37" i="64"/>
  <c r="G37" i="64"/>
  <c r="J36" i="64"/>
  <c r="I36" i="64"/>
  <c r="H36" i="64"/>
  <c r="G36" i="64"/>
  <c r="J35" i="64"/>
  <c r="I35" i="64"/>
  <c r="H35" i="64"/>
  <c r="G35" i="64"/>
  <c r="J34" i="64"/>
  <c r="I34" i="64"/>
  <c r="H34" i="64"/>
  <c r="G34" i="64"/>
  <c r="J33" i="64"/>
  <c r="I33" i="64"/>
  <c r="H33" i="64"/>
  <c r="G33" i="64"/>
  <c r="J32" i="64"/>
  <c r="I32" i="64"/>
  <c r="H32" i="64"/>
  <c r="G32" i="64"/>
  <c r="J31" i="64"/>
  <c r="I31" i="64"/>
  <c r="H31" i="64"/>
  <c r="G31" i="64"/>
  <c r="J30" i="64"/>
  <c r="I30" i="64"/>
  <c r="H30" i="64"/>
  <c r="G30" i="64"/>
  <c r="J29" i="64"/>
  <c r="I29" i="64"/>
  <c r="H29" i="64"/>
  <c r="G29" i="64"/>
  <c r="J28" i="64"/>
  <c r="I28" i="64"/>
  <c r="H28" i="64"/>
  <c r="G28" i="64"/>
  <c r="J27" i="64"/>
  <c r="I27" i="64"/>
  <c r="H27" i="64"/>
  <c r="G27" i="64"/>
  <c r="J26" i="64"/>
  <c r="I26" i="64"/>
  <c r="H26" i="64"/>
  <c r="G26" i="64"/>
  <c r="J25" i="64"/>
  <c r="I25" i="64"/>
  <c r="H25" i="64"/>
  <c r="G25" i="64"/>
  <c r="J24" i="64"/>
  <c r="I24" i="64"/>
  <c r="H24" i="64"/>
  <c r="G24" i="64"/>
  <c r="J23" i="64"/>
  <c r="I23" i="64"/>
  <c r="H23" i="64"/>
  <c r="G23" i="64"/>
  <c r="J22" i="64"/>
  <c r="I22" i="64"/>
  <c r="H22" i="64"/>
  <c r="G22" i="64"/>
  <c r="E23" i="64" s="1"/>
  <c r="G18" i="64"/>
  <c r="I17" i="64"/>
  <c r="E18" i="64"/>
  <c r="I160" i="10"/>
  <c r="J376" i="10"/>
  <c r="J395" i="10"/>
  <c r="J327" i="10"/>
  <c r="J322" i="10"/>
  <c r="G1118" i="37"/>
  <c r="G1119" i="37"/>
  <c r="O1117" i="37"/>
  <c r="E1120" i="37" s="1"/>
  <c r="M1117" i="37"/>
  <c r="J1117" i="37"/>
  <c r="L1117" i="37" s="1"/>
  <c r="E1117" i="37" s="1"/>
  <c r="K1116" i="37"/>
  <c r="J1116" i="37"/>
  <c r="G1082" i="37"/>
  <c r="G1086" i="37"/>
  <c r="G1087" i="37"/>
  <c r="G1101" i="37"/>
  <c r="G1104" i="37"/>
  <c r="G1105" i="37"/>
  <c r="G1108" i="37"/>
  <c r="N859" i="37"/>
  <c r="E1112" i="37"/>
  <c r="E1080" i="37"/>
  <c r="G1080" i="37" s="1"/>
  <c r="K1107" i="37"/>
  <c r="E1107" i="37" s="1"/>
  <c r="K1106" i="37"/>
  <c r="E1106" i="37" s="1"/>
  <c r="K1103" i="37"/>
  <c r="E1103" i="37" s="1"/>
  <c r="K1102" i="37"/>
  <c r="E1102" i="37" s="1"/>
  <c r="K1088" i="37"/>
  <c r="E1088" i="37" s="1"/>
  <c r="K1085" i="37"/>
  <c r="E1085" i="37" s="1"/>
  <c r="K1084" i="37"/>
  <c r="E1084" i="37" s="1"/>
  <c r="K1083" i="37"/>
  <c r="E1083" i="37" s="1"/>
  <c r="K41" i="73" l="1"/>
  <c r="I97" i="73"/>
  <c r="I61" i="73"/>
  <c r="E55" i="73"/>
  <c r="G55" i="73" s="1"/>
  <c r="I55" i="73" s="1"/>
  <c r="E77" i="73"/>
  <c r="G77" i="73" s="1"/>
  <c r="I77" i="73" s="1"/>
  <c r="I82" i="73" s="1"/>
  <c r="E81" i="73"/>
  <c r="G81" i="73" s="1"/>
  <c r="I81" i="73" s="1"/>
  <c r="X25" i="74"/>
  <c r="S32" i="74"/>
  <c r="X31" i="74" s="1"/>
  <c r="M44" i="74"/>
  <c r="X36" i="74" s="1"/>
  <c r="M52" i="74"/>
  <c r="X44" i="74" s="1"/>
  <c r="X33" i="74"/>
  <c r="X15" i="74"/>
  <c r="S18" i="74"/>
  <c r="S28" i="74"/>
  <c r="X32" i="74"/>
  <c r="S35" i="74"/>
  <c r="S19" i="74"/>
  <c r="X18" i="74" s="1"/>
  <c r="S23" i="74"/>
  <c r="S41" i="74"/>
  <c r="S48" i="74"/>
  <c r="S51" i="74"/>
  <c r="X50" i="74" s="1"/>
  <c r="X35" i="74"/>
  <c r="X41" i="74"/>
  <c r="X42" i="74"/>
  <c r="X49" i="74"/>
  <c r="S52" i="74"/>
  <c r="S17" i="74"/>
  <c r="X16" i="74" s="1"/>
  <c r="X19" i="74"/>
  <c r="S27" i="74"/>
  <c r="M36" i="74"/>
  <c r="S34" i="74"/>
  <c r="S40" i="74"/>
  <c r="S44" i="74"/>
  <c r="S49" i="74"/>
  <c r="X48" i="74" s="1"/>
  <c r="G102" i="74"/>
  <c r="H41" i="64"/>
  <c r="AI29" i="65"/>
  <c r="AI47" i="65" s="1"/>
  <c r="G37" i="65"/>
  <c r="S104" i="65"/>
  <c r="AA104" i="65"/>
  <c r="AA106" i="65"/>
  <c r="G121" i="65"/>
  <c r="G139" i="65" s="1"/>
  <c r="S126" i="65"/>
  <c r="AA126" i="65"/>
  <c r="S127" i="65"/>
  <c r="AA128" i="65"/>
  <c r="AC131" i="67"/>
  <c r="Y134" i="67" s="1"/>
  <c r="G17" i="64"/>
  <c r="K34" i="64"/>
  <c r="H34" i="73" s="1"/>
  <c r="K37" i="64"/>
  <c r="J38" i="64"/>
  <c r="G40" i="64"/>
  <c r="I41" i="64"/>
  <c r="H43" i="64"/>
  <c r="AI33" i="65"/>
  <c r="S34" i="65"/>
  <c r="AA36" i="65"/>
  <c r="AI36" i="65"/>
  <c r="AA53" i="65"/>
  <c r="S56" i="65"/>
  <c r="S60" i="65"/>
  <c r="G75" i="65"/>
  <c r="G93" i="65" s="1"/>
  <c r="S79" i="65"/>
  <c r="S80" i="65"/>
  <c r="S102" i="65"/>
  <c r="AA103" i="65"/>
  <c r="AA122" i="65"/>
  <c r="G125" i="65"/>
  <c r="AC231" i="67"/>
  <c r="Y234" i="67" s="1"/>
  <c r="AC356" i="67"/>
  <c r="Y359" i="67" s="1"/>
  <c r="I100" i="74"/>
  <c r="H17" i="64"/>
  <c r="H40" i="64"/>
  <c r="J41" i="64"/>
  <c r="I43" i="64"/>
  <c r="AI37" i="65"/>
  <c r="G53" i="65"/>
  <c r="S57" i="65"/>
  <c r="G58" i="65"/>
  <c r="AA59" i="65"/>
  <c r="AA76" i="65"/>
  <c r="G81" i="65"/>
  <c r="AA81" i="65"/>
  <c r="AA99" i="65"/>
  <c r="G103" i="65"/>
  <c r="AA113" i="65"/>
  <c r="S136" i="65"/>
  <c r="AE276" i="67"/>
  <c r="AC276" i="67" s="1"/>
  <c r="AC281" i="67" s="1"/>
  <c r="Y284" i="67" s="1"/>
  <c r="I381" i="67"/>
  <c r="E384" i="67" s="1"/>
  <c r="I108" i="67"/>
  <c r="E111" i="67" s="1"/>
  <c r="AE229" i="65"/>
  <c r="AC229" i="65" s="1"/>
  <c r="AC234" i="65" s="1"/>
  <c r="Y237" i="65" s="1"/>
  <c r="AE254" i="65"/>
  <c r="AC254" i="65" s="1"/>
  <c r="AC259" i="65" s="1"/>
  <c r="Y262" i="65" s="1"/>
  <c r="K31" i="64"/>
  <c r="H31" i="73" s="1"/>
  <c r="AA67" i="65"/>
  <c r="G82" i="65"/>
  <c r="K30" i="64"/>
  <c r="H30" i="73" s="1"/>
  <c r="K36" i="64"/>
  <c r="G43" i="64"/>
  <c r="AI56" i="65"/>
  <c r="AI57" i="65"/>
  <c r="AI58" i="65"/>
  <c r="AI59" i="65"/>
  <c r="AI60" i="65"/>
  <c r="AI76" i="65"/>
  <c r="AI79" i="65"/>
  <c r="AA83" i="65"/>
  <c r="G104" i="65"/>
  <c r="AA105" i="65"/>
  <c r="S113" i="65"/>
  <c r="S121" i="65"/>
  <c r="S139" i="65" s="1"/>
  <c r="G126" i="65"/>
  <c r="AA127" i="65"/>
  <c r="AI136" i="65"/>
  <c r="U39" i="67"/>
  <c r="Q42" i="67" s="1"/>
  <c r="AK85" i="67"/>
  <c r="AG88" i="67" s="1"/>
  <c r="I281" i="67"/>
  <c r="E284" i="67" s="1"/>
  <c r="AK306" i="67"/>
  <c r="AG309" i="67" s="1"/>
  <c r="K25" i="64"/>
  <c r="H25" i="73" s="1"/>
  <c r="G20" i="65"/>
  <c r="AI90" i="65"/>
  <c r="G136" i="65"/>
  <c r="I259" i="65"/>
  <c r="E262" i="65" s="1"/>
  <c r="U506" i="67"/>
  <c r="Q509" i="67" s="1"/>
  <c r="I53" i="74"/>
  <c r="M20" i="74" s="1"/>
  <c r="K27" i="64"/>
  <c r="K22" i="64"/>
  <c r="H22" i="73" s="1"/>
  <c r="K26" i="64"/>
  <c r="H26" i="73" s="1"/>
  <c r="L44" i="64"/>
  <c r="E47" i="64" s="1"/>
  <c r="I39" i="64"/>
  <c r="G41" i="64"/>
  <c r="K41" i="64" s="1"/>
  <c r="H41" i="73" s="1"/>
  <c r="J42" i="64"/>
  <c r="AA30" i="65"/>
  <c r="AA34" i="65"/>
  <c r="AI44" i="65"/>
  <c r="I56" i="65"/>
  <c r="I62" i="65" s="1"/>
  <c r="E65" i="65" s="1"/>
  <c r="G65" i="65" s="1"/>
  <c r="I57" i="65"/>
  <c r="I58" i="65"/>
  <c r="I59" i="65"/>
  <c r="I60" i="65"/>
  <c r="S67" i="65"/>
  <c r="I79" i="65"/>
  <c r="I85" i="65" s="1"/>
  <c r="E88" i="65" s="1"/>
  <c r="G88" i="65" s="1"/>
  <c r="AI80" i="65"/>
  <c r="AI81" i="65"/>
  <c r="S82" i="65"/>
  <c r="S83" i="65"/>
  <c r="G90" i="65"/>
  <c r="G98" i="65"/>
  <c r="G116" i="65" s="1"/>
  <c r="AI102" i="65"/>
  <c r="S105" i="65"/>
  <c r="G106" i="65"/>
  <c r="AI113" i="65"/>
  <c r="S122" i="65"/>
  <c r="G128" i="65"/>
  <c r="AA129" i="65"/>
  <c r="I131" i="67"/>
  <c r="E134" i="67" s="1"/>
  <c r="U206" i="67"/>
  <c r="Q209" i="67" s="1"/>
  <c r="I231" i="67"/>
  <c r="E234" i="67" s="1"/>
  <c r="I356" i="67"/>
  <c r="E359" i="67" s="1"/>
  <c r="K23" i="64"/>
  <c r="H23" i="73" s="1"/>
  <c r="AI30" i="65"/>
  <c r="AI35" i="65"/>
  <c r="AA82" i="65"/>
  <c r="S90" i="65"/>
  <c r="AI129" i="65"/>
  <c r="K38" i="64"/>
  <c r="H38" i="73" s="1"/>
  <c r="K24" i="64"/>
  <c r="K28" i="64"/>
  <c r="H28" i="73" s="1"/>
  <c r="K32" i="64"/>
  <c r="H32" i="73" s="1"/>
  <c r="K35" i="64"/>
  <c r="H39" i="64"/>
  <c r="I42" i="64"/>
  <c r="I33" i="65"/>
  <c r="I39" i="65" s="1"/>
  <c r="E42" i="65" s="1"/>
  <c r="G42" i="65" s="1"/>
  <c r="I80" i="65"/>
  <c r="S134" i="65"/>
  <c r="AE279" i="65"/>
  <c r="AC279" i="65" s="1"/>
  <c r="AE329" i="65"/>
  <c r="AC329" i="65" s="1"/>
  <c r="I409" i="65"/>
  <c r="E412" i="65" s="1"/>
  <c r="AK206" i="67"/>
  <c r="AG209" i="67" s="1"/>
  <c r="U306" i="67"/>
  <c r="Q309" i="67" s="1"/>
  <c r="AC331" i="67"/>
  <c r="Y334" i="67" s="1"/>
  <c r="K29" i="64"/>
  <c r="H29" i="73" s="1"/>
  <c r="AA125" i="65"/>
  <c r="J18" i="64"/>
  <c r="G39" i="64"/>
  <c r="J40" i="64"/>
  <c r="H42" i="64"/>
  <c r="K46" i="64"/>
  <c r="AA33" i="65"/>
  <c r="AI34" i="65"/>
  <c r="AI67" i="65"/>
  <c r="AA80" i="65"/>
  <c r="I81" i="65"/>
  <c r="AI82" i="65"/>
  <c r="AA90" i="65"/>
  <c r="G99" i="65"/>
  <c r="I102" i="65"/>
  <c r="I108" i="65" s="1"/>
  <c r="E111" i="65" s="1"/>
  <c r="G111" i="65" s="1"/>
  <c r="AC102" i="65"/>
  <c r="AC108" i="65" s="1"/>
  <c r="Y111" i="65" s="1"/>
  <c r="AA111" i="65" s="1"/>
  <c r="I103" i="65"/>
  <c r="AI104" i="65"/>
  <c r="AI125" i="65"/>
  <c r="AI126" i="65"/>
  <c r="S129" i="65"/>
  <c r="B11" i="67"/>
  <c r="B13" i="67" s="1"/>
  <c r="B15" i="67" s="1"/>
  <c r="B17" i="67" s="1"/>
  <c r="B19" i="67" s="1"/>
  <c r="AC108" i="67"/>
  <c r="Y111" i="67" s="1"/>
  <c r="I331" i="67"/>
  <c r="E334" i="67" s="1"/>
  <c r="I95" i="74"/>
  <c r="X52" i="74" s="1"/>
  <c r="H18" i="64"/>
  <c r="K33" i="64"/>
  <c r="H33" i="73" s="1"/>
  <c r="I40" i="64"/>
  <c r="G42" i="64"/>
  <c r="K42" i="64" s="1"/>
  <c r="H42" i="73" s="1"/>
  <c r="J43" i="64"/>
  <c r="S35" i="65"/>
  <c r="I82" i="65"/>
  <c r="S106" i="65"/>
  <c r="S128" i="65"/>
  <c r="AK129" i="65"/>
  <c r="I181" i="67"/>
  <c r="E184" i="67" s="1"/>
  <c r="L1116" i="37"/>
  <c r="E1116" i="37" s="1"/>
  <c r="J287" i="10"/>
  <c r="D287" i="10" s="1"/>
  <c r="J255" i="10"/>
  <c r="D255" i="10" s="1"/>
  <c r="AK234" i="65"/>
  <c r="AG237" i="65" s="1"/>
  <c r="AC359" i="65"/>
  <c r="Y362" i="65" s="1"/>
  <c r="I309" i="65"/>
  <c r="E312" i="65" s="1"/>
  <c r="I434" i="65"/>
  <c r="E437" i="65" s="1"/>
  <c r="AC284" i="65"/>
  <c r="Y287" i="65" s="1"/>
  <c r="I359" i="65"/>
  <c r="E362" i="65" s="1"/>
  <c r="I384" i="65"/>
  <c r="E387" i="65" s="1"/>
  <c r="AK209" i="65"/>
  <c r="AG212" i="65" s="1"/>
  <c r="I284" i="65"/>
  <c r="E287" i="65" s="1"/>
  <c r="AC409" i="65"/>
  <c r="Y412" i="65" s="1"/>
  <c r="I334" i="65"/>
  <c r="E337" i="65" s="1"/>
  <c r="J326" i="10"/>
  <c r="D326" i="10" s="1"/>
  <c r="S47" i="74"/>
  <c r="E97" i="74"/>
  <c r="E98" i="74" s="1"/>
  <c r="E99" i="74" s="1"/>
  <c r="M28" i="74"/>
  <c r="S31" i="74"/>
  <c r="S15" i="74"/>
  <c r="E66" i="73"/>
  <c r="G66" i="73" s="1"/>
  <c r="I66" i="73" s="1"/>
  <c r="E60" i="73"/>
  <c r="G60" i="73" s="1"/>
  <c r="I60" i="73" s="1"/>
  <c r="E64" i="73"/>
  <c r="G64" i="73" s="1"/>
  <c r="I64" i="73" s="1"/>
  <c r="E68" i="73"/>
  <c r="G68" i="73" s="1"/>
  <c r="I68" i="73" s="1"/>
  <c r="E79" i="73"/>
  <c r="G79" i="73" s="1"/>
  <c r="I79" i="73" s="1"/>
  <c r="K39" i="73"/>
  <c r="K43" i="73"/>
  <c r="E67" i="73"/>
  <c r="G67" i="73" s="1"/>
  <c r="I67" i="73" s="1"/>
  <c r="E56" i="73"/>
  <c r="G56" i="73" s="1"/>
  <c r="E78" i="73"/>
  <c r="G78" i="73" s="1"/>
  <c r="I78" i="73" s="1"/>
  <c r="E62" i="73"/>
  <c r="G62" i="73" s="1"/>
  <c r="I62" i="73" s="1"/>
  <c r="E70" i="73"/>
  <c r="G70" i="73" s="1"/>
  <c r="I70" i="73" s="1"/>
  <c r="E65" i="73"/>
  <c r="G65" i="73" s="1"/>
  <c r="I65" i="73" s="1"/>
  <c r="AK56" i="67"/>
  <c r="AK106" i="67"/>
  <c r="I256" i="67"/>
  <c r="E259" i="67" s="1"/>
  <c r="U57" i="67"/>
  <c r="U62" i="67" s="1"/>
  <c r="Q65" i="67" s="1"/>
  <c r="I62" i="67"/>
  <c r="E65" i="67" s="1"/>
  <c r="I156" i="67"/>
  <c r="E159" i="67" s="1"/>
  <c r="AC34" i="67"/>
  <c r="U85" i="67"/>
  <c r="Q88" i="67" s="1"/>
  <c r="I206" i="67"/>
  <c r="E209" i="67" s="1"/>
  <c r="AK102" i="67"/>
  <c r="AC33" i="67"/>
  <c r="AC39" i="67" s="1"/>
  <c r="Y42" i="67" s="1"/>
  <c r="U108" i="67"/>
  <c r="Q111" i="67" s="1"/>
  <c r="U281" i="67"/>
  <c r="Q284" i="67" s="1"/>
  <c r="I306" i="67"/>
  <c r="E309" i="67" s="1"/>
  <c r="AC381" i="67"/>
  <c r="Y384" i="67" s="1"/>
  <c r="AK60" i="67"/>
  <c r="AK104" i="67"/>
  <c r="I39" i="67"/>
  <c r="E42" i="67" s="1"/>
  <c r="AK34" i="67"/>
  <c r="AK39" i="67" s="1"/>
  <c r="AG42" i="67" s="1"/>
  <c r="AC82" i="67"/>
  <c r="AC85" i="67" s="1"/>
  <c r="Y88" i="67" s="1"/>
  <c r="I85" i="67"/>
  <c r="E88" i="67" s="1"/>
  <c r="AK103" i="67"/>
  <c r="AK105" i="67"/>
  <c r="AK125" i="67"/>
  <c r="AK127" i="67"/>
  <c r="AK129" i="67"/>
  <c r="AC152" i="67"/>
  <c r="AC249" i="67"/>
  <c r="U350" i="67"/>
  <c r="AK351" i="67"/>
  <c r="AK353" i="67"/>
  <c r="U399" i="67"/>
  <c r="U401" i="67"/>
  <c r="AK402" i="67"/>
  <c r="AK404" i="67"/>
  <c r="U450" i="67"/>
  <c r="U456" i="67" s="1"/>
  <c r="Q459" i="67" s="1"/>
  <c r="AK451" i="67"/>
  <c r="AK453" i="67"/>
  <c r="AK504" i="67"/>
  <c r="AK506" i="67" s="1"/>
  <c r="AG509" i="67" s="1"/>
  <c r="I400" i="67"/>
  <c r="I406" i="67" s="1"/>
  <c r="E409" i="67" s="1"/>
  <c r="AC403" i="67"/>
  <c r="AC406" i="67" s="1"/>
  <c r="Y409" i="67" s="1"/>
  <c r="AC424" i="67"/>
  <c r="AC431" i="67" s="1"/>
  <c r="Y434" i="67" s="1"/>
  <c r="I428" i="67"/>
  <c r="I431" i="67" s="1"/>
  <c r="E434" i="67" s="1"/>
  <c r="I449" i="67"/>
  <c r="I451" i="67"/>
  <c r="AC452" i="67"/>
  <c r="AC454" i="67"/>
  <c r="AC475" i="67"/>
  <c r="AC481" i="67" s="1"/>
  <c r="Y484" i="67" s="1"/>
  <c r="I477" i="67"/>
  <c r="I479" i="67"/>
  <c r="I500" i="67"/>
  <c r="I506" i="67" s="1"/>
  <c r="E509" i="67" s="1"/>
  <c r="AC503" i="67"/>
  <c r="AC506" i="67" s="1"/>
  <c r="Y509" i="67" s="1"/>
  <c r="U125" i="67"/>
  <c r="U127" i="67"/>
  <c r="U129" i="67"/>
  <c r="AK150" i="67"/>
  <c r="AK174" i="67"/>
  <c r="U175" i="67"/>
  <c r="AC176" i="67"/>
  <c r="AC181" i="67" s="1"/>
  <c r="Y184" i="67" s="1"/>
  <c r="AK177" i="67"/>
  <c r="U178" i="67"/>
  <c r="AC204" i="67"/>
  <c r="U224" i="67"/>
  <c r="AK226" i="67"/>
  <c r="U227" i="67"/>
  <c r="AK250" i="67"/>
  <c r="AC253" i="67"/>
  <c r="AK279" i="67"/>
  <c r="AK281" i="67" s="1"/>
  <c r="AG284" i="67" s="1"/>
  <c r="AC299" i="67"/>
  <c r="AC302" i="67"/>
  <c r="U325" i="67"/>
  <c r="AK326" i="67"/>
  <c r="AK328" i="67"/>
  <c r="U374" i="67"/>
  <c r="U376" i="67"/>
  <c r="AK377" i="67"/>
  <c r="AK379" i="67"/>
  <c r="U425" i="67"/>
  <c r="AK426" i="67"/>
  <c r="AK428" i="67"/>
  <c r="U474" i="67"/>
  <c r="U476" i="67"/>
  <c r="AK477" i="67"/>
  <c r="AK479" i="67"/>
  <c r="AK126" i="67"/>
  <c r="AK128" i="67"/>
  <c r="AK149" i="67"/>
  <c r="U150" i="67"/>
  <c r="U156" i="67" s="1"/>
  <c r="Q159" i="67" s="1"/>
  <c r="AC154" i="67"/>
  <c r="U174" i="67"/>
  <c r="AK176" i="67"/>
  <c r="U177" i="67"/>
  <c r="AC200" i="67"/>
  <c r="AC203" i="67"/>
  <c r="AK229" i="67"/>
  <c r="U250" i="67"/>
  <c r="U256" i="67" s="1"/>
  <c r="Q259" i="67" s="1"/>
  <c r="AK254" i="67"/>
  <c r="U349" i="67"/>
  <c r="U351" i="67"/>
  <c r="AK352" i="67"/>
  <c r="AK354" i="67"/>
  <c r="U400" i="67"/>
  <c r="AK401" i="67"/>
  <c r="AK403" i="67"/>
  <c r="U324" i="67"/>
  <c r="U326" i="67"/>
  <c r="AK327" i="67"/>
  <c r="AK329" i="67"/>
  <c r="U375" i="67"/>
  <c r="AK376" i="67"/>
  <c r="AK378" i="67"/>
  <c r="U424" i="67"/>
  <c r="U426" i="67"/>
  <c r="AK427" i="67"/>
  <c r="AK429" i="67"/>
  <c r="U475" i="67"/>
  <c r="AK476" i="67"/>
  <c r="AK478" i="67"/>
  <c r="U209" i="65"/>
  <c r="Q212" i="65" s="1"/>
  <c r="I159" i="65"/>
  <c r="E162" i="65" s="1"/>
  <c r="U184" i="65"/>
  <c r="Q187" i="65" s="1"/>
  <c r="AK184" i="65"/>
  <c r="AG187" i="65" s="1"/>
  <c r="E464" i="65"/>
  <c r="E364" i="65"/>
  <c r="E489" i="65"/>
  <c r="E389" i="65"/>
  <c r="E289" i="65"/>
  <c r="E264" i="65"/>
  <c r="E514" i="65"/>
  <c r="E414" i="65"/>
  <c r="E314" i="65"/>
  <c r="E439" i="65"/>
  <c r="E339" i="65"/>
  <c r="E239" i="65"/>
  <c r="Y464" i="65"/>
  <c r="Y364" i="65"/>
  <c r="Y489" i="65"/>
  <c r="Y389" i="65"/>
  <c r="Y289" i="65"/>
  <c r="Y264" i="65"/>
  <c r="Y514" i="65"/>
  <c r="Y414" i="65"/>
  <c r="Y314" i="65"/>
  <c r="Y439" i="65"/>
  <c r="Y339" i="65"/>
  <c r="Y239" i="65"/>
  <c r="Q214" i="65"/>
  <c r="AG214" i="65"/>
  <c r="U227" i="65"/>
  <c r="U234" i="65" s="1"/>
  <c r="Q237" i="65" s="1"/>
  <c r="AK259" i="65"/>
  <c r="AG262" i="65" s="1"/>
  <c r="AC334" i="65"/>
  <c r="Y337" i="65" s="1"/>
  <c r="E19" i="65"/>
  <c r="G19" i="65" s="1"/>
  <c r="AK33" i="65"/>
  <c r="AK39" i="65" s="1"/>
  <c r="AG42" i="65" s="1"/>
  <c r="AI42" i="65" s="1"/>
  <c r="U34" i="65"/>
  <c r="AK37" i="65"/>
  <c r="AK57" i="65"/>
  <c r="AK59" i="65"/>
  <c r="AK79" i="65"/>
  <c r="AK85" i="65" s="1"/>
  <c r="AG88" i="65" s="1"/>
  <c r="AI88" i="65" s="1"/>
  <c r="AK81" i="65"/>
  <c r="AK83" i="65"/>
  <c r="AK103" i="65"/>
  <c r="AK105" i="65"/>
  <c r="AK127" i="65"/>
  <c r="I177" i="65"/>
  <c r="I179" i="65"/>
  <c r="AC180" i="65"/>
  <c r="AC182" i="65"/>
  <c r="AC203" i="65"/>
  <c r="I205" i="65"/>
  <c r="I207" i="65"/>
  <c r="I228" i="65"/>
  <c r="I234" i="65" s="1"/>
  <c r="E237" i="65" s="1"/>
  <c r="I36" i="65"/>
  <c r="AC56" i="65"/>
  <c r="AC62" i="65" s="1"/>
  <c r="Y65" i="65" s="1"/>
  <c r="AA65" i="65" s="1"/>
  <c r="AC58" i="65"/>
  <c r="AC60" i="65"/>
  <c r="AC82" i="65"/>
  <c r="AC434" i="65"/>
  <c r="Y437" i="65" s="1"/>
  <c r="AK306" i="65"/>
  <c r="U153" i="65"/>
  <c r="AC155" i="65"/>
  <c r="AC157" i="65"/>
  <c r="AC178" i="65"/>
  <c r="I180" i="65"/>
  <c r="I182" i="65"/>
  <c r="I203" i="65"/>
  <c r="AC206" i="65"/>
  <c r="U284" i="65"/>
  <c r="Q287" i="65" s="1"/>
  <c r="Q514" i="65"/>
  <c r="Q414" i="65"/>
  <c r="Q314" i="65"/>
  <c r="Q439" i="65"/>
  <c r="Q339" i="65"/>
  <c r="Q239" i="65"/>
  <c r="Q464" i="65"/>
  <c r="Q364" i="65"/>
  <c r="Q489" i="65"/>
  <c r="Q389" i="65"/>
  <c r="Q289" i="65"/>
  <c r="Q264" i="65"/>
  <c r="AG514" i="65"/>
  <c r="AG414" i="65"/>
  <c r="AG314" i="65"/>
  <c r="AG439" i="65"/>
  <c r="AG339" i="65"/>
  <c r="AG239" i="65"/>
  <c r="AG464" i="65"/>
  <c r="AG364" i="65"/>
  <c r="AG489" i="65"/>
  <c r="AG389" i="65"/>
  <c r="AG289" i="65"/>
  <c r="AG264" i="65"/>
  <c r="AC304" i="65"/>
  <c r="AC309" i="65" s="1"/>
  <c r="Y312" i="65" s="1"/>
  <c r="U305" i="65"/>
  <c r="E214" i="65"/>
  <c r="Y214" i="65"/>
  <c r="AK284" i="65"/>
  <c r="AG287" i="65" s="1"/>
  <c r="AK303" i="65"/>
  <c r="AK35" i="65"/>
  <c r="U36" i="65"/>
  <c r="AK56" i="65"/>
  <c r="AK62" i="65" s="1"/>
  <c r="AG65" i="65" s="1"/>
  <c r="AI65" i="65" s="1"/>
  <c r="AK58" i="65"/>
  <c r="AK60" i="65"/>
  <c r="AK80" i="65"/>
  <c r="AK82" i="65"/>
  <c r="AK102" i="65"/>
  <c r="AK108" i="65" s="1"/>
  <c r="AG111" i="65" s="1"/>
  <c r="AI111" i="65" s="1"/>
  <c r="AK104" i="65"/>
  <c r="AK106" i="65"/>
  <c r="AK126" i="65"/>
  <c r="AK128" i="65"/>
  <c r="AC33" i="65"/>
  <c r="AC39" i="65" s="1"/>
  <c r="Y42" i="65" s="1"/>
  <c r="AA42" i="65" s="1"/>
  <c r="I34" i="65"/>
  <c r="AC37" i="65"/>
  <c r="AC57" i="65"/>
  <c r="AC59" i="65"/>
  <c r="AC79" i="65"/>
  <c r="AC85" i="65" s="1"/>
  <c r="Y88" i="65" s="1"/>
  <c r="AA88" i="65" s="1"/>
  <c r="AC81" i="65"/>
  <c r="AC83" i="65"/>
  <c r="AC103" i="65"/>
  <c r="AC105" i="65"/>
  <c r="AC125" i="65"/>
  <c r="AC131" i="65" s="1"/>
  <c r="Y134" i="65" s="1"/>
  <c r="AA134" i="65" s="1"/>
  <c r="AC127" i="65"/>
  <c r="AC129" i="65"/>
  <c r="AC153" i="65"/>
  <c r="U154" i="65"/>
  <c r="AK155" i="65"/>
  <c r="AK157" i="65"/>
  <c r="U259" i="65"/>
  <c r="Q262" i="65" s="1"/>
  <c r="F283" i="65"/>
  <c r="G283" i="65" s="1"/>
  <c r="Z283" i="65"/>
  <c r="AA283" i="65" s="1"/>
  <c r="U302" i="65"/>
  <c r="U304" i="65"/>
  <c r="AK305" i="65"/>
  <c r="AK307" i="65"/>
  <c r="R333" i="65"/>
  <c r="S333" i="65" s="1"/>
  <c r="AH333" i="65"/>
  <c r="AI333" i="65" s="1"/>
  <c r="U353" i="65"/>
  <c r="AK354" i="65"/>
  <c r="AK356" i="65"/>
  <c r="AK377" i="65"/>
  <c r="F383" i="65"/>
  <c r="G383" i="65" s="1"/>
  <c r="Z383" i="65"/>
  <c r="AA383" i="65" s="1"/>
  <c r="U402" i="65"/>
  <c r="U404" i="65"/>
  <c r="AK405" i="65"/>
  <c r="AK407" i="65"/>
  <c r="R433" i="65"/>
  <c r="S433" i="65" s="1"/>
  <c r="AH433" i="65"/>
  <c r="AI433" i="65" s="1"/>
  <c r="U453" i="65"/>
  <c r="AK454" i="65"/>
  <c r="AK456" i="65"/>
  <c r="F483" i="65"/>
  <c r="G483" i="65" s="1"/>
  <c r="Z483" i="65"/>
  <c r="AA483" i="65" s="1"/>
  <c r="U502" i="65"/>
  <c r="U504" i="65"/>
  <c r="AK505" i="65"/>
  <c r="AK507" i="65"/>
  <c r="I452" i="65"/>
  <c r="I454" i="65"/>
  <c r="AC455" i="65"/>
  <c r="AC457" i="65"/>
  <c r="AC478" i="65"/>
  <c r="I480" i="65"/>
  <c r="I482" i="65"/>
  <c r="I503" i="65"/>
  <c r="AC506" i="65"/>
  <c r="U307" i="65"/>
  <c r="R308" i="65"/>
  <c r="S308" i="65" s="1"/>
  <c r="AH308" i="65"/>
  <c r="AI308" i="65" s="1"/>
  <c r="U328" i="65"/>
  <c r="AK329" i="65"/>
  <c r="AK331" i="65"/>
  <c r="F358" i="65"/>
  <c r="G358" i="65" s="1"/>
  <c r="Z358" i="65"/>
  <c r="AA358" i="65" s="1"/>
  <c r="U377" i="65"/>
  <c r="U379" i="65"/>
  <c r="AK380" i="65"/>
  <c r="AK382" i="65"/>
  <c r="R408" i="65"/>
  <c r="S408" i="65" s="1"/>
  <c r="AH408" i="65"/>
  <c r="AI408" i="65" s="1"/>
  <c r="U428" i="65"/>
  <c r="U434" i="65" s="1"/>
  <c r="Q437" i="65" s="1"/>
  <c r="AK429" i="65"/>
  <c r="AK434" i="65" s="1"/>
  <c r="AG437" i="65" s="1"/>
  <c r="AK431" i="65"/>
  <c r="F458" i="65"/>
  <c r="G458" i="65" s="1"/>
  <c r="Z458" i="65"/>
  <c r="AA458" i="65" s="1"/>
  <c r="U477" i="65"/>
  <c r="U479" i="65"/>
  <c r="AK480" i="65"/>
  <c r="AK482" i="65"/>
  <c r="R508" i="65"/>
  <c r="S508" i="65" s="1"/>
  <c r="AH508" i="65"/>
  <c r="AI508" i="65" s="1"/>
  <c r="I478" i="65"/>
  <c r="AC481" i="65"/>
  <c r="AC502" i="65"/>
  <c r="I506" i="65"/>
  <c r="Z258" i="65"/>
  <c r="AA258" i="65" s="1"/>
  <c r="R283" i="65"/>
  <c r="S283" i="65" s="1"/>
  <c r="AH283" i="65"/>
  <c r="AI283" i="65" s="1"/>
  <c r="AK327" i="65"/>
  <c r="U331" i="65"/>
  <c r="F333" i="65"/>
  <c r="G333" i="65" s="1"/>
  <c r="Z333" i="65"/>
  <c r="AA333" i="65" s="1"/>
  <c r="U352" i="65"/>
  <c r="U354" i="65"/>
  <c r="AK355" i="65"/>
  <c r="AK357" i="65"/>
  <c r="AK378" i="65"/>
  <c r="AC379" i="65"/>
  <c r="AC384" i="65" s="1"/>
  <c r="Y387" i="65" s="1"/>
  <c r="U380" i="65"/>
  <c r="U382" i="65"/>
  <c r="R383" i="65"/>
  <c r="S383" i="65" s="1"/>
  <c r="AH383" i="65"/>
  <c r="AI383" i="65" s="1"/>
  <c r="U403" i="65"/>
  <c r="AK404" i="65"/>
  <c r="AK406" i="65"/>
  <c r="F433" i="65"/>
  <c r="G433" i="65" s="1"/>
  <c r="Z433" i="65"/>
  <c r="AA433" i="65" s="1"/>
  <c r="U452" i="65"/>
  <c r="U454" i="65"/>
  <c r="AK455" i="65"/>
  <c r="AK457" i="65"/>
  <c r="R483" i="65"/>
  <c r="S483" i="65" s="1"/>
  <c r="AH483" i="65"/>
  <c r="AI483" i="65" s="1"/>
  <c r="F308" i="65"/>
  <c r="G308" i="65" s="1"/>
  <c r="Z308" i="65"/>
  <c r="AA308" i="65" s="1"/>
  <c r="R358" i="65"/>
  <c r="S358" i="65" s="1"/>
  <c r="AH358" i="65"/>
  <c r="AI358" i="65" s="1"/>
  <c r="F408" i="65"/>
  <c r="G408" i="65" s="1"/>
  <c r="Z408" i="65"/>
  <c r="AA408" i="65" s="1"/>
  <c r="R458" i="65"/>
  <c r="S458" i="65" s="1"/>
  <c r="AH458" i="65"/>
  <c r="AI458" i="65" s="1"/>
  <c r="F508" i="65"/>
  <c r="G508" i="65" s="1"/>
  <c r="J47" i="64"/>
  <c r="I47" i="64"/>
  <c r="H47" i="64"/>
  <c r="I18" i="64"/>
  <c r="K18" i="64" s="1"/>
  <c r="H18" i="73" s="1"/>
  <c r="F3457" i="37"/>
  <c r="F3458" i="37"/>
  <c r="G3458" i="37" s="1"/>
  <c r="F3652" i="37"/>
  <c r="G3652" i="37" s="1"/>
  <c r="F3653" i="37"/>
  <c r="G3653" i="37" s="1"/>
  <c r="D322" i="10"/>
  <c r="J160" i="10"/>
  <c r="K17" i="64" l="1"/>
  <c r="H17" i="73" s="1"/>
  <c r="F17" i="73" s="1"/>
  <c r="G17" i="73" s="1"/>
  <c r="F32" i="73"/>
  <c r="G32" i="73" s="1"/>
  <c r="I32" i="73"/>
  <c r="F31" i="73"/>
  <c r="G31" i="73" s="1"/>
  <c r="I31" i="73"/>
  <c r="F42" i="73"/>
  <c r="G42" i="73" s="1"/>
  <c r="I42" i="73"/>
  <c r="F28" i="73"/>
  <c r="G28" i="73" s="1"/>
  <c r="I28" i="73"/>
  <c r="F23" i="73"/>
  <c r="G23" i="73" s="1"/>
  <c r="I23" i="73"/>
  <c r="F26" i="73"/>
  <c r="G26" i="73" s="1"/>
  <c r="I26" i="73"/>
  <c r="F30" i="73"/>
  <c r="G30" i="73" s="1"/>
  <c r="I30" i="73"/>
  <c r="F34" i="73"/>
  <c r="G34" i="73" s="1"/>
  <c r="I34" i="73"/>
  <c r="F18" i="73"/>
  <c r="G18" i="73" s="1"/>
  <c r="I18" i="73"/>
  <c r="E25" i="64"/>
  <c r="H24" i="73"/>
  <c r="F41" i="73"/>
  <c r="G41" i="73" s="1"/>
  <c r="I41" i="73"/>
  <c r="F22" i="73"/>
  <c r="G22" i="73" s="1"/>
  <c r="I22" i="73"/>
  <c r="F33" i="73"/>
  <c r="G33" i="73" s="1"/>
  <c r="I33" i="73"/>
  <c r="F29" i="73"/>
  <c r="G29" i="73" s="1"/>
  <c r="I29" i="73"/>
  <c r="F38" i="73"/>
  <c r="G38" i="73" s="1"/>
  <c r="I38" i="73"/>
  <c r="E28" i="64"/>
  <c r="H27" i="73"/>
  <c r="F25" i="73"/>
  <c r="G25" i="73" s="1"/>
  <c r="I25" i="73"/>
  <c r="H38" i="72"/>
  <c r="G3457" i="37"/>
  <c r="F3468" i="37"/>
  <c r="G3468" i="37" s="1"/>
  <c r="I69" i="73"/>
  <c r="G57" i="73"/>
  <c r="I56" i="73"/>
  <c r="I57" i="73" s="1"/>
  <c r="K102" i="74"/>
  <c r="K104" i="74" s="1"/>
  <c r="F14" i="75" s="1"/>
  <c r="F15" i="75" s="1"/>
  <c r="K39" i="64"/>
  <c r="H39" i="73" s="1"/>
  <c r="K47" i="64"/>
  <c r="H47" i="73" s="1"/>
  <c r="AK381" i="67"/>
  <c r="AG384" i="67" s="1"/>
  <c r="AC456" i="67"/>
  <c r="Y459" i="67" s="1"/>
  <c r="G82" i="73"/>
  <c r="K40" i="64"/>
  <c r="H40" i="73" s="1"/>
  <c r="E46" i="64"/>
  <c r="AK356" i="67"/>
  <c r="AG359" i="67" s="1"/>
  <c r="I481" i="67"/>
  <c r="E484" i="67" s="1"/>
  <c r="AC159" i="65"/>
  <c r="Y162" i="65" s="1"/>
  <c r="U356" i="67"/>
  <c r="Q359" i="67" s="1"/>
  <c r="AK256" i="67"/>
  <c r="AG259" i="67" s="1"/>
  <c r="AC156" i="67"/>
  <c r="Y159" i="67" s="1"/>
  <c r="K44" i="73"/>
  <c r="AK481" i="67"/>
  <c r="AG484" i="67" s="1"/>
  <c r="AC206" i="67"/>
  <c r="Y209" i="67" s="1"/>
  <c r="AC306" i="67"/>
  <c r="Y309" i="67" s="1"/>
  <c r="U131" i="67"/>
  <c r="Q134" i="67" s="1"/>
  <c r="AK456" i="67"/>
  <c r="AG459" i="67" s="1"/>
  <c r="AK409" i="65"/>
  <c r="AG412" i="65" s="1"/>
  <c r="K43" i="64"/>
  <c r="H43" i="73" s="1"/>
  <c r="AK406" i="67"/>
  <c r="AG409" i="67" s="1"/>
  <c r="AK431" i="67"/>
  <c r="AG434" i="67" s="1"/>
  <c r="AC459" i="65"/>
  <c r="Y462" i="65" s="1"/>
  <c r="U431" i="67"/>
  <c r="Q434" i="67" s="1"/>
  <c r="AK331" i="67"/>
  <c r="AG334" i="67" s="1"/>
  <c r="AK231" i="67"/>
  <c r="AG234" i="67" s="1"/>
  <c r="AK359" i="65"/>
  <c r="AG362" i="65" s="1"/>
  <c r="I509" i="65"/>
  <c r="E512" i="65" s="1"/>
  <c r="U159" i="65"/>
  <c r="Q162" i="65" s="1"/>
  <c r="U359" i="65"/>
  <c r="Q362" i="65" s="1"/>
  <c r="AK484" i="65"/>
  <c r="AG487" i="65" s="1"/>
  <c r="AK159" i="65"/>
  <c r="AG162" i="65" s="1"/>
  <c r="AK459" i="65"/>
  <c r="AG462" i="65" s="1"/>
  <c r="I484" i="65"/>
  <c r="E487" i="65" s="1"/>
  <c r="AK309" i="65"/>
  <c r="AG312" i="65" s="1"/>
  <c r="AC184" i="65"/>
  <c r="Y187" i="65" s="1"/>
  <c r="U484" i="65"/>
  <c r="Q487" i="65" s="1"/>
  <c r="U334" i="65"/>
  <c r="Q337" i="65" s="1"/>
  <c r="AC484" i="65"/>
  <c r="Y487" i="65" s="1"/>
  <c r="U509" i="65"/>
  <c r="Q512" i="65" s="1"/>
  <c r="AK509" i="65"/>
  <c r="AG512" i="65" s="1"/>
  <c r="I209" i="65"/>
  <c r="E212" i="65" s="1"/>
  <c r="AC209" i="65"/>
  <c r="Y212" i="65" s="1"/>
  <c r="Q54" i="74"/>
  <c r="Q55" i="74" s="1"/>
  <c r="Q57" i="74" s="1"/>
  <c r="Q59" i="74" s="1"/>
  <c r="E63" i="73"/>
  <c r="G63" i="73" s="1"/>
  <c r="AK156" i="67"/>
  <c r="AG159" i="67" s="1"/>
  <c r="U231" i="67"/>
  <c r="Q234" i="67" s="1"/>
  <c r="AC256" i="67"/>
  <c r="Y259" i="67" s="1"/>
  <c r="U331" i="67"/>
  <c r="Q334" i="67" s="1"/>
  <c r="U481" i="67"/>
  <c r="Q484" i="67" s="1"/>
  <c r="AK181" i="67"/>
  <c r="AG184" i="67" s="1"/>
  <c r="AK108" i="67"/>
  <c r="AG111" i="67" s="1"/>
  <c r="U181" i="67"/>
  <c r="Q184" i="67" s="1"/>
  <c r="U381" i="67"/>
  <c r="Q384" i="67" s="1"/>
  <c r="U406" i="67"/>
  <c r="Q409" i="67" s="1"/>
  <c r="AK131" i="67"/>
  <c r="AG134" i="67" s="1"/>
  <c r="I456" i="67"/>
  <c r="E459" i="67" s="1"/>
  <c r="AK62" i="67"/>
  <c r="AG65" i="67" s="1"/>
  <c r="AK384" i="65"/>
  <c r="AG387" i="65" s="1"/>
  <c r="AK334" i="65"/>
  <c r="AG337" i="65" s="1"/>
  <c r="I184" i="65"/>
  <c r="E187" i="65" s="1"/>
  <c r="U309" i="65"/>
  <c r="Q312" i="65" s="1"/>
  <c r="U409" i="65"/>
  <c r="Q412" i="65" s="1"/>
  <c r="AC509" i="65"/>
  <c r="Y512" i="65" s="1"/>
  <c r="U384" i="65"/>
  <c r="Q387" i="65" s="1"/>
  <c r="U459" i="65"/>
  <c r="Q462" i="65" s="1"/>
  <c r="I459" i="65"/>
  <c r="E462" i="65" s="1"/>
  <c r="F3045" i="37"/>
  <c r="G3045" i="37" s="1"/>
  <c r="G3043" i="37"/>
  <c r="G3040" i="37"/>
  <c r="G3039" i="37"/>
  <c r="G100" i="37"/>
  <c r="E560" i="37"/>
  <c r="E541" i="37"/>
  <c r="E522" i="37"/>
  <c r="E504" i="37"/>
  <c r="E489" i="37"/>
  <c r="J289" i="10"/>
  <c r="J290" i="10"/>
  <c r="D290" i="10" s="1"/>
  <c r="A294" i="10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I17" i="73" l="1"/>
  <c r="I19" i="73" s="1"/>
  <c r="F40" i="73"/>
  <c r="G40" i="73" s="1"/>
  <c r="I40" i="73"/>
  <c r="F39" i="73"/>
  <c r="G39" i="73" s="1"/>
  <c r="I39" i="73"/>
  <c r="F27" i="73"/>
  <c r="G27" i="73" s="1"/>
  <c r="I27" i="73"/>
  <c r="F24" i="73"/>
  <c r="G24" i="73" s="1"/>
  <c r="I24" i="73"/>
  <c r="F43" i="73"/>
  <c r="G43" i="73" s="1"/>
  <c r="I43" i="73"/>
  <c r="F47" i="73"/>
  <c r="G47" i="73" s="1"/>
  <c r="I47" i="73"/>
  <c r="G19" i="73"/>
  <c r="F38" i="72"/>
  <c r="G38" i="72" s="1"/>
  <c r="I38" i="72"/>
  <c r="E47" i="73"/>
  <c r="E85" i="73" s="1"/>
  <c r="G85" i="73" s="1"/>
  <c r="I85" i="73" s="1"/>
  <c r="E46" i="73"/>
  <c r="G73" i="73"/>
  <c r="I63" i="73"/>
  <c r="I73" i="73" s="1"/>
  <c r="Q61" i="74"/>
  <c r="Q62" i="74" s="1"/>
  <c r="G46" i="73"/>
  <c r="E84" i="73"/>
  <c r="G84" i="73" s="1"/>
  <c r="F3044" i="37"/>
  <c r="G3044" i="37" s="1"/>
  <c r="B3217" i="37"/>
  <c r="B3230" i="37" s="1"/>
  <c r="G35" i="73" l="1"/>
  <c r="G44" i="73"/>
  <c r="I44" i="73"/>
  <c r="I35" i="73"/>
  <c r="G86" i="73"/>
  <c r="G87" i="73" s="1"/>
  <c r="I84" i="73"/>
  <c r="I86" i="73" s="1"/>
  <c r="I87" i="73" s="1"/>
  <c r="I48" i="73"/>
  <c r="G48" i="73"/>
  <c r="E3199" i="37"/>
  <c r="E3207" i="37" s="1"/>
  <c r="B3201" i="37"/>
  <c r="B3209" i="37" s="1"/>
  <c r="G3200" i="37"/>
  <c r="K3193" i="37"/>
  <c r="E3195" i="37" s="1"/>
  <c r="E3211" i="37" s="1"/>
  <c r="K3175" i="37"/>
  <c r="E3177" i="37" s="1"/>
  <c r="B3181" i="37"/>
  <c r="B3187" i="37" s="1"/>
  <c r="G3180" i="37"/>
  <c r="E3156" i="37"/>
  <c r="E3164" i="37" s="1"/>
  <c r="B3158" i="37"/>
  <c r="B3166" i="37" s="1"/>
  <c r="G3157" i="37"/>
  <c r="K3150" i="37"/>
  <c r="E3152" i="37" s="1"/>
  <c r="E3168" i="37" s="1"/>
  <c r="K3133" i="37"/>
  <c r="E3135" i="37" s="1"/>
  <c r="E3140" i="37" s="1"/>
  <c r="B3138" i="37"/>
  <c r="B3143" i="37" s="1"/>
  <c r="G3137" i="37"/>
  <c r="I398" i="10"/>
  <c r="I401" i="10"/>
  <c r="E3127" i="37"/>
  <c r="G3128" i="37"/>
  <c r="E3130" i="37"/>
  <c r="G3129" i="37"/>
  <c r="G3125" i="37"/>
  <c r="G3124" i="37"/>
  <c r="G3111" i="37"/>
  <c r="E3113" i="37"/>
  <c r="E3116" i="37"/>
  <c r="E3102" i="37"/>
  <c r="E3099" i="37"/>
  <c r="G3115" i="37"/>
  <c r="G3114" i="37"/>
  <c r="G3110" i="37"/>
  <c r="G3101" i="37"/>
  <c r="G3100" i="37"/>
  <c r="G3097" i="37"/>
  <c r="G3096" i="37"/>
  <c r="E3084" i="37"/>
  <c r="B3076" i="37"/>
  <c r="B3090" i="37" s="1"/>
  <c r="B3104" i="37" s="1"/>
  <c r="B3118" i="37" s="1"/>
  <c r="G3087" i="37"/>
  <c r="G3086" i="37"/>
  <c r="G3083" i="37"/>
  <c r="G3082" i="37"/>
  <c r="G49" i="73" l="1"/>
  <c r="E30" i="75" s="1"/>
  <c r="I49" i="73"/>
  <c r="F30" i="75" s="1"/>
  <c r="E3196" i="37"/>
  <c r="E3212" i="37" s="1"/>
  <c r="E3203" i="37"/>
  <c r="E3215" i="37"/>
  <c r="E3178" i="37"/>
  <c r="E3190" i="37" s="1"/>
  <c r="E3183" i="37"/>
  <c r="E3189" i="37"/>
  <c r="E3172" i="37"/>
  <c r="E3153" i="37"/>
  <c r="E3160" i="37"/>
  <c r="E3146" i="37"/>
  <c r="E3136" i="37"/>
  <c r="E3147" i="37" s="1"/>
  <c r="H888" i="55"/>
  <c r="H886" i="55"/>
  <c r="J885" i="55"/>
  <c r="K885" i="55" s="1"/>
  <c r="J884" i="55"/>
  <c r="K884" i="55" s="1"/>
  <c r="H880" i="55"/>
  <c r="K879" i="55" s="1"/>
  <c r="H879" i="55"/>
  <c r="H874" i="55"/>
  <c r="H870" i="55"/>
  <c r="K870" i="55" s="1"/>
  <c r="K869" i="55"/>
  <c r="H869" i="55"/>
  <c r="H864" i="55"/>
  <c r="H860" i="55"/>
  <c r="K860" i="55" s="1"/>
  <c r="H859" i="55"/>
  <c r="K859" i="55" s="1"/>
  <c r="J856" i="55"/>
  <c r="J866" i="55" s="1"/>
  <c r="J855" i="55"/>
  <c r="K855" i="55" s="1"/>
  <c r="H854" i="55"/>
  <c r="K850" i="55" s="1"/>
  <c r="K849" i="55"/>
  <c r="K846" i="55"/>
  <c r="K845" i="55"/>
  <c r="H844" i="55"/>
  <c r="H840" i="55"/>
  <c r="K840" i="55" s="1"/>
  <c r="H839" i="55"/>
  <c r="K839" i="55" s="1"/>
  <c r="J835" i="55"/>
  <c r="H835" i="55"/>
  <c r="J834" i="55"/>
  <c r="H834" i="55"/>
  <c r="K834" i="55" s="1"/>
  <c r="K831" i="55"/>
  <c r="K830" i="55"/>
  <c r="K829" i="55"/>
  <c r="K825" i="55"/>
  <c r="K824" i="55" s="1"/>
  <c r="J821" i="55"/>
  <c r="K821" i="55" s="1"/>
  <c r="N820" i="55"/>
  <c r="J820" i="55"/>
  <c r="H820" i="55"/>
  <c r="K816" i="55"/>
  <c r="K815" i="55"/>
  <c r="J812" i="55"/>
  <c r="K812" i="55" s="1"/>
  <c r="N811" i="55"/>
  <c r="K807" i="55"/>
  <c r="K806" i="55" s="1"/>
  <c r="K805" i="55" s="1"/>
  <c r="J801" i="55"/>
  <c r="K797" i="55" s="1"/>
  <c r="K796" i="55" s="1"/>
  <c r="K795" i="55"/>
  <c r="K794" i="55" s="1"/>
  <c r="K791" i="55" s="1"/>
  <c r="K788" i="55" s="1"/>
  <c r="K787" i="55"/>
  <c r="J786" i="55"/>
  <c r="K786" i="55" s="1"/>
  <c r="K782" i="55"/>
  <c r="K781" i="55" s="1"/>
  <c r="K780" i="55" s="1"/>
  <c r="K779" i="55"/>
  <c r="J776" i="55"/>
  <c r="K775" i="55" s="1"/>
  <c r="K771" i="55"/>
  <c r="K770" i="55"/>
  <c r="K767" i="55" s="1"/>
  <c r="K764" i="55" s="1"/>
  <c r="K763" i="55"/>
  <c r="K759" i="55" s="1"/>
  <c r="K758" i="55" s="1"/>
  <c r="K755" i="55"/>
  <c r="K754" i="55"/>
  <c r="K753" i="55" s="1"/>
  <c r="K749" i="55"/>
  <c r="K746" i="55"/>
  <c r="K745" i="55" s="1"/>
  <c r="K741" i="55"/>
  <c r="K738" i="55"/>
  <c r="K737" i="55" s="1"/>
  <c r="K733" i="55"/>
  <c r="K730" i="55"/>
  <c r="K729" i="55" s="1"/>
  <c r="K734" i="55" s="1"/>
  <c r="K725" i="55"/>
  <c r="K722" i="55"/>
  <c r="K721" i="55"/>
  <c r="K717" i="55"/>
  <c r="K714" i="55"/>
  <c r="K713" i="55"/>
  <c r="K709" i="55"/>
  <c r="K706" i="55"/>
  <c r="K705" i="55"/>
  <c r="K710" i="55" s="1"/>
  <c r="K701" i="55"/>
  <c r="K698" i="55"/>
  <c r="K697" i="55"/>
  <c r="K702" i="55" s="1"/>
  <c r="K693" i="55"/>
  <c r="K690" i="55"/>
  <c r="K689" i="55"/>
  <c r="K688" i="55" s="1"/>
  <c r="K684" i="55"/>
  <c r="K681" i="55"/>
  <c r="K680" i="55" s="1"/>
  <c r="K679" i="55"/>
  <c r="K675" i="55"/>
  <c r="K672" i="55" s="1"/>
  <c r="K671" i="55"/>
  <c r="K670" i="55"/>
  <c r="K662" i="55"/>
  <c r="K661" i="55"/>
  <c r="K660" i="55"/>
  <c r="K655" i="55"/>
  <c r="K652" i="55"/>
  <c r="K651" i="55"/>
  <c r="K650" i="55" s="1"/>
  <c r="K644" i="55"/>
  <c r="K641" i="55"/>
  <c r="K640" i="55" s="1"/>
  <c r="K639" i="55"/>
  <c r="K633" i="55"/>
  <c r="K630" i="55" s="1"/>
  <c r="K629" i="55"/>
  <c r="K628" i="55"/>
  <c r="K622" i="55" s="1"/>
  <c r="K621" i="55"/>
  <c r="K618" i="55" s="1"/>
  <c r="K617" i="55" s="1"/>
  <c r="K612" i="55"/>
  <c r="K611" i="55" s="1"/>
  <c r="AA608" i="55"/>
  <c r="H608" i="55" s="1"/>
  <c r="K608" i="55" s="1"/>
  <c r="AA607" i="55"/>
  <c r="H607" i="55" s="1"/>
  <c r="K607" i="55" s="1"/>
  <c r="AA606" i="55"/>
  <c r="H606" i="55" s="1"/>
  <c r="Y603" i="55"/>
  <c r="K603" i="55"/>
  <c r="AA602" i="55"/>
  <c r="H602" i="55" s="1"/>
  <c r="K602" i="55" s="1"/>
  <c r="AA601" i="55"/>
  <c r="H601" i="55" s="1"/>
  <c r="K601" i="55" s="1"/>
  <c r="AA600" i="55"/>
  <c r="H600" i="55" s="1"/>
  <c r="K600" i="55" s="1"/>
  <c r="AA599" i="55"/>
  <c r="H599" i="55" s="1"/>
  <c r="K599" i="55" s="1"/>
  <c r="K593" i="55" s="1"/>
  <c r="K592" i="55"/>
  <c r="AA589" i="55"/>
  <c r="H589" i="55" s="1"/>
  <c r="K589" i="55" s="1"/>
  <c r="AA588" i="55"/>
  <c r="H588" i="55" s="1"/>
  <c r="K588" i="55" s="1"/>
  <c r="AA587" i="55"/>
  <c r="H587" i="55" s="1"/>
  <c r="K587" i="55" s="1"/>
  <c r="J606" i="55" s="1"/>
  <c r="Y584" i="55"/>
  <c r="H584" i="55" s="1"/>
  <c r="K584" i="55" s="1"/>
  <c r="AA583" i="55"/>
  <c r="H583" i="55" s="1"/>
  <c r="K583" i="55" s="1"/>
  <c r="AA582" i="55"/>
  <c r="H582" i="55" s="1"/>
  <c r="K582" i="55" s="1"/>
  <c r="AA581" i="55"/>
  <c r="H581" i="55" s="1"/>
  <c r="K581" i="55" s="1"/>
  <c r="AA580" i="55"/>
  <c r="H580" i="55" s="1"/>
  <c r="K580" i="55" s="1"/>
  <c r="K576" i="55"/>
  <c r="K573" i="55" s="1"/>
  <c r="K572" i="55" s="1"/>
  <c r="K569" i="55"/>
  <c r="K568" i="55"/>
  <c r="K567" i="55" s="1"/>
  <c r="C565" i="55"/>
  <c r="C578" i="55" s="1"/>
  <c r="C597" i="55" s="1"/>
  <c r="C615" i="55" s="1"/>
  <c r="C625" i="55" s="1"/>
  <c r="C636" i="55" s="1"/>
  <c r="C647" i="55" s="1"/>
  <c r="C657" i="55" s="1"/>
  <c r="C667" i="55" s="1"/>
  <c r="C677" i="55" s="1"/>
  <c r="C686" i="55" s="1"/>
  <c r="C695" i="55" s="1"/>
  <c r="C703" i="55" s="1"/>
  <c r="C711" i="55" s="1"/>
  <c r="C719" i="55" s="1"/>
  <c r="C727" i="55" s="1"/>
  <c r="C735" i="55" s="1"/>
  <c r="C743" i="55" s="1"/>
  <c r="C751" i="55" s="1"/>
  <c r="C761" i="55" s="1"/>
  <c r="C773" i="55" s="1"/>
  <c r="C784" i="55" s="1"/>
  <c r="C799" i="55" s="1"/>
  <c r="C809" i="55" s="1"/>
  <c r="C818" i="55" s="1"/>
  <c r="C827" i="55" s="1"/>
  <c r="K562" i="55"/>
  <c r="K561" i="55"/>
  <c r="H554" i="55"/>
  <c r="H553" i="55"/>
  <c r="H550" i="55"/>
  <c r="H549" i="55"/>
  <c r="H548" i="55"/>
  <c r="H547" i="55"/>
  <c r="H540" i="55"/>
  <c r="H539" i="55"/>
  <c r="H536" i="55"/>
  <c r="H535" i="55"/>
  <c r="H534" i="55"/>
  <c r="H533" i="55"/>
  <c r="H526" i="55"/>
  <c r="H525" i="55"/>
  <c r="H522" i="55"/>
  <c r="H521" i="55"/>
  <c r="H520" i="55"/>
  <c r="H519" i="55"/>
  <c r="H512" i="55"/>
  <c r="H511" i="55"/>
  <c r="H508" i="55"/>
  <c r="H507" i="55"/>
  <c r="H506" i="55"/>
  <c r="H505" i="55"/>
  <c r="J515" i="55" s="1"/>
  <c r="H501" i="55"/>
  <c r="K501" i="55" s="1"/>
  <c r="J512" i="55" s="1"/>
  <c r="J526" i="55" s="1"/>
  <c r="J540" i="55" s="1"/>
  <c r="J554" i="55" s="1"/>
  <c r="H498" i="55"/>
  <c r="K498" i="55" s="1"/>
  <c r="J511" i="55" s="1"/>
  <c r="J525" i="55" s="1"/>
  <c r="J539" i="55" s="1"/>
  <c r="J553" i="55" s="1"/>
  <c r="K553" i="55" s="1"/>
  <c r="H497" i="55"/>
  <c r="K497" i="55" s="1"/>
  <c r="H494" i="55"/>
  <c r="K494" i="55" s="1"/>
  <c r="J508" i="55" s="1"/>
  <c r="J522" i="55" s="1"/>
  <c r="J536" i="55" s="1"/>
  <c r="K493" i="55"/>
  <c r="J507" i="55" s="1"/>
  <c r="J521" i="55" s="1"/>
  <c r="H493" i="55"/>
  <c r="J506" i="55" s="1"/>
  <c r="H492" i="55"/>
  <c r="K492" i="55" s="1"/>
  <c r="J505" i="55" s="1"/>
  <c r="H491" i="55"/>
  <c r="K491" i="55" s="1"/>
  <c r="K487" i="55" s="1"/>
  <c r="K486" i="55" s="1"/>
  <c r="K485" i="55" s="1"/>
  <c r="K482" i="55" s="1"/>
  <c r="K481" i="55" s="1"/>
  <c r="K480" i="55"/>
  <c r="K479" i="55" s="1"/>
  <c r="K475" i="55" s="1"/>
  <c r="K474" i="55"/>
  <c r="K473" i="55" s="1"/>
  <c r="K470" i="55"/>
  <c r="K469" i="55" s="1"/>
  <c r="K468" i="55" s="1"/>
  <c r="K467" i="55"/>
  <c r="K461" i="55" s="1"/>
  <c r="K460" i="55" s="1"/>
  <c r="K463" i="55" s="1"/>
  <c r="K455" i="55" s="1"/>
  <c r="F455" i="55"/>
  <c r="F461" i="55" s="1"/>
  <c r="F469" i="55" s="1"/>
  <c r="F481" i="55" s="1"/>
  <c r="K454" i="55" s="1"/>
  <c r="F454" i="55"/>
  <c r="K453" i="55"/>
  <c r="K450" i="55" s="1"/>
  <c r="K449" i="55"/>
  <c r="K448" i="55" s="1"/>
  <c r="K445" i="55"/>
  <c r="K441" i="55" s="1"/>
  <c r="K440" i="55"/>
  <c r="K439" i="55"/>
  <c r="K438" i="55" s="1"/>
  <c r="K437" i="55" s="1"/>
  <c r="K434" i="55"/>
  <c r="K431" i="55"/>
  <c r="K430" i="55" s="1"/>
  <c r="K429" i="55" s="1"/>
  <c r="K428" i="55"/>
  <c r="K425" i="55"/>
  <c r="K424" i="55" s="1"/>
  <c r="K423" i="55" s="1"/>
  <c r="K421" i="55"/>
  <c r="K417" i="55"/>
  <c r="K416" i="55"/>
  <c r="K415" i="55" s="1"/>
  <c r="K412" i="55" s="1"/>
  <c r="K411" i="55"/>
  <c r="K410" i="55"/>
  <c r="K407" i="55" s="1"/>
  <c r="K403" i="55"/>
  <c r="K402" i="55"/>
  <c r="K397" i="55"/>
  <c r="K396" i="55"/>
  <c r="K395" i="55" s="1"/>
  <c r="K394" i="55"/>
  <c r="K393" i="55"/>
  <c r="J392" i="55"/>
  <c r="K392" i="55" s="1"/>
  <c r="K391" i="55"/>
  <c r="K390" i="55" s="1"/>
  <c r="K389" i="55" s="1"/>
  <c r="K385" i="55"/>
  <c r="K384" i="55" s="1"/>
  <c r="K383" i="55" s="1"/>
  <c r="K380" i="55"/>
  <c r="K379" i="55"/>
  <c r="K376" i="55" s="1"/>
  <c r="K375" i="55" s="1"/>
  <c r="J844" i="55" s="1"/>
  <c r="K373" i="55"/>
  <c r="K369" i="55" s="1"/>
  <c r="K368" i="55" s="1"/>
  <c r="K367" i="55"/>
  <c r="K366" i="55"/>
  <c r="K363" i="55" s="1"/>
  <c r="K362" i="55" s="1"/>
  <c r="K358" i="55" s="1"/>
  <c r="K357" i="55"/>
  <c r="K356" i="55"/>
  <c r="K355" i="55" s="1"/>
  <c r="K352" i="55" s="1"/>
  <c r="K351" i="55"/>
  <c r="K347" i="55" s="1"/>
  <c r="K346" i="55"/>
  <c r="K345" i="55"/>
  <c r="K344" i="55"/>
  <c r="K341" i="55" s="1"/>
  <c r="K336" i="55"/>
  <c r="K335" i="55" s="1"/>
  <c r="K334" i="55"/>
  <c r="K333" i="55" s="1"/>
  <c r="K330" i="55"/>
  <c r="H325" i="55"/>
  <c r="K324" i="55" s="1"/>
  <c r="H324" i="55"/>
  <c r="H323" i="55"/>
  <c r="H322" i="55"/>
  <c r="K322" i="55" s="1"/>
  <c r="H319" i="55"/>
  <c r="K319" i="55" s="1"/>
  <c r="H318" i="55"/>
  <c r="K318" i="55" s="1"/>
  <c r="K314" i="55"/>
  <c r="K313" i="55" s="1"/>
  <c r="K312" i="55" s="1"/>
  <c r="K311" i="55"/>
  <c r="K308" i="55"/>
  <c r="K306" i="55" s="1"/>
  <c r="K301" i="55"/>
  <c r="H300" i="55"/>
  <c r="K300" i="55" s="1"/>
  <c r="H299" i="55"/>
  <c r="K299" i="55" s="1"/>
  <c r="K298" i="55"/>
  <c r="K297" i="55"/>
  <c r="K296" i="55"/>
  <c r="K292" i="55"/>
  <c r="L291" i="55"/>
  <c r="K291" i="55"/>
  <c r="K290" i="55"/>
  <c r="K289" i="55" s="1"/>
  <c r="K286" i="55" s="1"/>
  <c r="K283" i="55"/>
  <c r="K282" i="55"/>
  <c r="H277" i="55"/>
  <c r="K277" i="55" s="1"/>
  <c r="H276" i="55"/>
  <c r="H275" i="55"/>
  <c r="N276" i="55" s="1"/>
  <c r="H274" i="55"/>
  <c r="K274" i="55" s="1"/>
  <c r="H271" i="55"/>
  <c r="K271" i="55" s="1"/>
  <c r="M267" i="55"/>
  <c r="H267" i="55" s="1"/>
  <c r="K267" i="55" s="1"/>
  <c r="M266" i="55"/>
  <c r="H265" i="55"/>
  <c r="H261" i="55"/>
  <c r="H260" i="55"/>
  <c r="K260" i="55" s="1"/>
  <c r="H259" i="55"/>
  <c r="K259" i="55" s="1"/>
  <c r="H258" i="55"/>
  <c r="K258" i="55" s="1"/>
  <c r="H255" i="55"/>
  <c r="K255" i="55" s="1"/>
  <c r="M251" i="55"/>
  <c r="H251" i="55" s="1"/>
  <c r="K251" i="55" s="1"/>
  <c r="M250" i="55"/>
  <c r="H250" i="55" s="1"/>
  <c r="K250" i="55" s="1"/>
  <c r="H249" i="55"/>
  <c r="H245" i="55"/>
  <c r="K245" i="55" s="1"/>
  <c r="K244" i="55"/>
  <c r="H243" i="55"/>
  <c r="K243" i="55" s="1"/>
  <c r="H242" i="55"/>
  <c r="K242" i="55" s="1"/>
  <c r="H239" i="55"/>
  <c r="K239" i="55" s="1"/>
  <c r="M235" i="55"/>
  <c r="H235" i="55" s="1"/>
  <c r="K235" i="55" s="1"/>
  <c r="M234" i="55"/>
  <c r="H234" i="55"/>
  <c r="K234" i="55" s="1"/>
  <c r="H233" i="55"/>
  <c r="K229" i="55" s="1"/>
  <c r="H229" i="55"/>
  <c r="H228" i="55"/>
  <c r="K228" i="55" s="1"/>
  <c r="H227" i="55"/>
  <c r="K227" i="55" s="1"/>
  <c r="H226" i="55"/>
  <c r="K226" i="55" s="1"/>
  <c r="H223" i="55"/>
  <c r="K223" i="55" s="1"/>
  <c r="H219" i="55"/>
  <c r="K219" i="55" s="1"/>
  <c r="H218" i="55"/>
  <c r="K218" i="55" s="1"/>
  <c r="H217" i="55"/>
  <c r="K213" i="55" s="1"/>
  <c r="K212" i="55" s="1"/>
  <c r="K211" i="55"/>
  <c r="K210" i="55"/>
  <c r="K207" i="55"/>
  <c r="H203" i="55"/>
  <c r="K203" i="55" s="1"/>
  <c r="H202" i="55"/>
  <c r="K202" i="55" s="1"/>
  <c r="K197" i="55"/>
  <c r="K196" i="55"/>
  <c r="K195" i="55" s="1"/>
  <c r="K194" i="55"/>
  <c r="K191" i="55"/>
  <c r="H187" i="55"/>
  <c r="K187" i="55" s="1"/>
  <c r="H186" i="55"/>
  <c r="K186" i="55" s="1"/>
  <c r="K181" i="55"/>
  <c r="K180" i="55"/>
  <c r="K179" i="55"/>
  <c r="K178" i="55" s="1"/>
  <c r="K175" i="55"/>
  <c r="O820" i="55" s="1"/>
  <c r="H171" i="55"/>
  <c r="K171" i="55" s="1"/>
  <c r="K170" i="55" s="1"/>
  <c r="H170" i="55"/>
  <c r="O165" i="55"/>
  <c r="K165" i="55" s="1"/>
  <c r="K164" i="55" s="1"/>
  <c r="K163" i="55" s="1"/>
  <c r="K162" i="55" s="1"/>
  <c r="K159" i="55"/>
  <c r="M155" i="55"/>
  <c r="K155" i="55" s="1"/>
  <c r="M154" i="55"/>
  <c r="K154" i="55"/>
  <c r="K149" i="55" s="1"/>
  <c r="K148" i="55"/>
  <c r="K147" i="55" s="1"/>
  <c r="K146" i="55" s="1"/>
  <c r="K143" i="55" s="1"/>
  <c r="M139" i="55"/>
  <c r="K139" i="55"/>
  <c r="M138" i="55"/>
  <c r="K138" i="55" s="1"/>
  <c r="K133" i="55" s="1"/>
  <c r="K132" i="55" s="1"/>
  <c r="K131" i="55"/>
  <c r="K130" i="55" s="1"/>
  <c r="K127" i="55" s="1"/>
  <c r="M123" i="55"/>
  <c r="K123" i="55"/>
  <c r="M122" i="55"/>
  <c r="K122" i="55" s="1"/>
  <c r="K117" i="55" s="1"/>
  <c r="K116" i="55"/>
  <c r="K115" i="55"/>
  <c r="K114" i="55"/>
  <c r="M116" i="55" s="1"/>
  <c r="K111" i="55"/>
  <c r="J108" i="55"/>
  <c r="J124" i="55" s="1"/>
  <c r="K107" i="55"/>
  <c r="K106" i="55"/>
  <c r="O101" i="55"/>
  <c r="K101" i="55"/>
  <c r="K100" i="55" s="1"/>
  <c r="K99" i="55" s="1"/>
  <c r="K98" i="55" s="1"/>
  <c r="K95" i="55"/>
  <c r="H94" i="55"/>
  <c r="K94" i="55" s="1"/>
  <c r="H93" i="55"/>
  <c r="K93" i="55" s="1"/>
  <c r="K92" i="55"/>
  <c r="J105" i="55" s="1"/>
  <c r="O89" i="55"/>
  <c r="K88" i="55" s="1"/>
  <c r="K87" i="55" s="1"/>
  <c r="K84" i="55"/>
  <c r="K81" i="55" s="1"/>
  <c r="O78" i="55"/>
  <c r="K77" i="55"/>
  <c r="K76" i="55" s="1"/>
  <c r="K78" i="55" s="1"/>
  <c r="J893" i="55" s="1"/>
  <c r="K893" i="55" s="1"/>
  <c r="O74" i="55"/>
  <c r="K73" i="55" s="1"/>
  <c r="K72" i="55"/>
  <c r="K74" i="55" s="1"/>
  <c r="O70" i="55"/>
  <c r="K69" i="55"/>
  <c r="K68" i="55"/>
  <c r="O66" i="55"/>
  <c r="K64" i="55" s="1"/>
  <c r="K63" i="55"/>
  <c r="K62" i="55"/>
  <c r="K61" i="55" s="1"/>
  <c r="O58" i="55"/>
  <c r="K57" i="55"/>
  <c r="K56" i="55"/>
  <c r="K58" i="55" s="1"/>
  <c r="O54" i="55"/>
  <c r="K53" i="55" s="1"/>
  <c r="K52" i="55" s="1"/>
  <c r="K49" i="55" s="1"/>
  <c r="K48" i="55" s="1"/>
  <c r="K47" i="55" s="1"/>
  <c r="K46" i="55" s="1"/>
  <c r="K43" i="55" s="1"/>
  <c r="K34" i="55" s="1"/>
  <c r="K33" i="55" s="1"/>
  <c r="K32" i="55" s="1"/>
  <c r="K31" i="55" s="1"/>
  <c r="J40" i="55" s="1"/>
  <c r="K40" i="55" s="1"/>
  <c r="K27" i="55"/>
  <c r="J39" i="55" s="1"/>
  <c r="K39" i="55" s="1"/>
  <c r="K26" i="55" s="1"/>
  <c r="C24" i="55"/>
  <c r="C36" i="55" s="1"/>
  <c r="C51" i="55" s="1"/>
  <c r="C55" i="55" s="1"/>
  <c r="C67" i="55" s="1"/>
  <c r="C71" i="55" s="1"/>
  <c r="C75" i="55" s="1"/>
  <c r="C79" i="55" s="1"/>
  <c r="C90" i="55" s="1"/>
  <c r="C103" i="55" s="1"/>
  <c r="C119" i="55" s="1"/>
  <c r="C135" i="55" s="1"/>
  <c r="C151" i="55" s="1"/>
  <c r="C167" i="55" s="1"/>
  <c r="C183" i="55" s="1"/>
  <c r="C199" i="55" s="1"/>
  <c r="C215" i="55" s="1"/>
  <c r="C231" i="55" s="1"/>
  <c r="C247" i="55" s="1"/>
  <c r="C263" i="55" s="1"/>
  <c r="C279" i="55" s="1"/>
  <c r="C304" i="55" s="1"/>
  <c r="C316" i="55" s="1"/>
  <c r="C327" i="55" s="1"/>
  <c r="C338" i="55" s="1"/>
  <c r="C349" i="55" s="1"/>
  <c r="C360" i="55" s="1"/>
  <c r="C371" i="55" s="1"/>
  <c r="C387" i="55" s="1"/>
  <c r="C400" i="55" s="1"/>
  <c r="C405" i="55" s="1"/>
  <c r="C419" i="55" s="1"/>
  <c r="C443" i="55" s="1"/>
  <c r="C458" i="55" s="1"/>
  <c r="C465" i="55" s="1"/>
  <c r="C477" i="55" s="1"/>
  <c r="K22" i="55" s="1"/>
  <c r="K21" i="55"/>
  <c r="K20" i="55" s="1"/>
  <c r="K19" i="55" s="1"/>
  <c r="K18" i="55" s="1"/>
  <c r="K15" i="55"/>
  <c r="K14" i="55" s="1"/>
  <c r="K13" i="55" s="1"/>
  <c r="K12" i="55" s="1"/>
  <c r="K108" i="55" l="1"/>
  <c r="K776" i="55"/>
  <c r="K511" i="55"/>
  <c r="K564" i="55"/>
  <c r="K656" i="55"/>
  <c r="K694" i="55"/>
  <c r="K726" i="55"/>
  <c r="J865" i="55"/>
  <c r="J875" i="55" s="1"/>
  <c r="K875" i="55" s="1"/>
  <c r="K70" i="55"/>
  <c r="K261" i="55"/>
  <c r="K623" i="55"/>
  <c r="K718" i="55"/>
  <c r="K742" i="55"/>
  <c r="J802" i="55"/>
  <c r="K802" i="55" s="1"/>
  <c r="K801" i="55"/>
  <c r="E3204" i="37"/>
  <c r="E3184" i="37"/>
  <c r="K676" i="55"/>
  <c r="K665" i="55" s="1"/>
  <c r="K666" i="55" s="1"/>
  <c r="K798" i="55"/>
  <c r="K606" i="55"/>
  <c r="K760" i="55"/>
  <c r="K835" i="55"/>
  <c r="K836" i="55" s="1"/>
  <c r="K880" i="55"/>
  <c r="H266" i="55"/>
  <c r="K266" i="55" s="1"/>
  <c r="K276" i="55"/>
  <c r="K325" i="55"/>
  <c r="K418" i="55"/>
  <c r="K508" i="55"/>
  <c r="K577" i="55"/>
  <c r="K750" i="55"/>
  <c r="K359" i="55"/>
  <c r="M359" i="55" s="1"/>
  <c r="K275" i="55"/>
  <c r="K323" i="55"/>
  <c r="K326" i="55" s="1"/>
  <c r="K404" i="55"/>
  <c r="K398" i="55" s="1"/>
  <c r="K399" i="55" s="1"/>
  <c r="K522" i="55"/>
  <c r="K820" i="55"/>
  <c r="K826" i="55" s="1"/>
  <c r="K856" i="55"/>
  <c r="E3169" i="37"/>
  <c r="E3161" i="37"/>
  <c r="E3141" i="37"/>
  <c r="K844" i="55"/>
  <c r="K851" i="55" s="1"/>
  <c r="J854" i="55"/>
  <c r="K521" i="55"/>
  <c r="J535" i="55"/>
  <c r="K512" i="55"/>
  <c r="K772" i="55"/>
  <c r="P820" i="55"/>
  <c r="K685" i="55"/>
  <c r="K506" i="55"/>
  <c r="J520" i="55"/>
  <c r="K783" i="55"/>
  <c r="V783" i="55"/>
  <c r="W783" i="55" s="1"/>
  <c r="K89" i="55"/>
  <c r="K302" i="55"/>
  <c r="K370" i="55"/>
  <c r="M370" i="55" s="1"/>
  <c r="K526" i="55"/>
  <c r="K124" i="55"/>
  <c r="J140" i="55"/>
  <c r="K102" i="55"/>
  <c r="K507" i="55"/>
  <c r="K525" i="55"/>
  <c r="K613" i="55"/>
  <c r="K841" i="55"/>
  <c r="J121" i="55"/>
  <c r="K105" i="55"/>
  <c r="K118" i="55" s="1"/>
  <c r="J519" i="55"/>
  <c r="J533" i="55" s="1"/>
  <c r="J547" i="55" s="1"/>
  <c r="K547" i="55" s="1"/>
  <c r="K505" i="55"/>
  <c r="K456" i="55"/>
  <c r="K540" i="55"/>
  <c r="K634" i="55"/>
  <c r="K536" i="55"/>
  <c r="J550" i="55"/>
  <c r="K550" i="55" s="1"/>
  <c r="K54" i="55"/>
  <c r="J892" i="55" s="1"/>
  <c r="K892" i="55" s="1"/>
  <c r="K66" i="55"/>
  <c r="K488" i="55"/>
  <c r="K502" i="55"/>
  <c r="K539" i="55"/>
  <c r="K645" i="55"/>
  <c r="K515" i="55"/>
  <c r="J529" i="55"/>
  <c r="K866" i="55"/>
  <c r="J876" i="55"/>
  <c r="K876" i="55" s="1"/>
  <c r="K23" i="55"/>
  <c r="K476" i="55"/>
  <c r="K554" i="55"/>
  <c r="K594" i="55"/>
  <c r="J38" i="55"/>
  <c r="K38" i="55" s="1"/>
  <c r="K50" i="55" s="1"/>
  <c r="J894" i="55"/>
  <c r="K894" i="55" s="1"/>
  <c r="K28" i="55"/>
  <c r="K35" i="55" s="1"/>
  <c r="M333" i="55"/>
  <c r="K374" i="55"/>
  <c r="K386" i="55" s="1"/>
  <c r="K865" i="55" l="1"/>
  <c r="K808" i="55"/>
  <c r="K533" i="55"/>
  <c r="K519" i="55"/>
  <c r="K530" i="55" s="1"/>
  <c r="K121" i="55"/>
  <c r="K134" i="55" s="1"/>
  <c r="J137" i="55"/>
  <c r="K595" i="55"/>
  <c r="M591" i="55"/>
  <c r="K140" i="55"/>
  <c r="J156" i="55"/>
  <c r="J864" i="55"/>
  <c r="K854" i="55"/>
  <c r="K861" i="55" s="1"/>
  <c r="K516" i="55"/>
  <c r="J543" i="55"/>
  <c r="K529" i="55"/>
  <c r="J534" i="55"/>
  <c r="K520" i="55"/>
  <c r="J549" i="55"/>
  <c r="K549" i="55" s="1"/>
  <c r="K535" i="55"/>
  <c r="J874" i="55" l="1"/>
  <c r="K874" i="55" s="1"/>
  <c r="K881" i="55" s="1"/>
  <c r="K864" i="55"/>
  <c r="K871" i="55" s="1"/>
  <c r="K137" i="55"/>
  <c r="K150" i="55" s="1"/>
  <c r="J153" i="55"/>
  <c r="K543" i="55"/>
  <c r="J557" i="55"/>
  <c r="K557" i="55" s="1"/>
  <c r="J548" i="55"/>
  <c r="K548" i="55" s="1"/>
  <c r="K534" i="55"/>
  <c r="J172" i="55"/>
  <c r="K156" i="55"/>
  <c r="K558" i="55" l="1"/>
  <c r="J188" i="55"/>
  <c r="K172" i="55"/>
  <c r="J169" i="55"/>
  <c r="K153" i="55"/>
  <c r="K166" i="55" s="1"/>
  <c r="K544" i="55"/>
  <c r="J204" i="55" l="1"/>
  <c r="K188" i="55"/>
  <c r="J185" i="55"/>
  <c r="K169" i="55"/>
  <c r="K182" i="55" s="1"/>
  <c r="O811" i="55"/>
  <c r="P811" i="55" s="1"/>
  <c r="J811" i="55" s="1"/>
  <c r="K811" i="55" s="1"/>
  <c r="K817" i="55" s="1"/>
  <c r="J886" i="55"/>
  <c r="K886" i="55" s="1"/>
  <c r="J888" i="55"/>
  <c r="K888" i="55" s="1"/>
  <c r="K895" i="55" l="1"/>
  <c r="K204" i="55"/>
  <c r="J220" i="55"/>
  <c r="J201" i="55"/>
  <c r="K185" i="55"/>
  <c r="K198" i="55" s="1"/>
  <c r="J422" i="55" s="1"/>
  <c r="K422" i="55" s="1"/>
  <c r="K442" i="55" s="1"/>
  <c r="K220" i="55" l="1"/>
  <c r="J236" i="55"/>
  <c r="K201" i="55"/>
  <c r="K214" i="55" s="1"/>
  <c r="J217" i="55"/>
  <c r="J252" i="55" l="1"/>
  <c r="K236" i="55"/>
  <c r="J233" i="55"/>
  <c r="K217" i="55"/>
  <c r="K230" i="55" s="1"/>
  <c r="J268" i="55" l="1"/>
  <c r="K268" i="55" s="1"/>
  <c r="K252" i="55"/>
  <c r="J249" i="55"/>
  <c r="K233" i="55"/>
  <c r="K246" i="55" s="1"/>
  <c r="J265" i="55" l="1"/>
  <c r="K249" i="55"/>
  <c r="K262" i="55" s="1"/>
  <c r="J281" i="55" l="1"/>
  <c r="K265" i="55"/>
  <c r="K278" i="55" s="1"/>
  <c r="J307" i="55" l="1"/>
  <c r="K281" i="55"/>
  <c r="K293" i="55" s="1"/>
  <c r="K307" i="55" l="1"/>
  <c r="K315" i="55" s="1"/>
  <c r="J329" i="55"/>
  <c r="J340" i="55" l="1"/>
  <c r="K340" i="55" s="1"/>
  <c r="K348" i="55" s="1"/>
  <c r="K329" i="55"/>
  <c r="K337" i="55" s="1"/>
  <c r="F2829" i="37" l="1"/>
  <c r="F2828" i="37"/>
  <c r="F2827" i="37"/>
  <c r="F2826" i="37"/>
  <c r="E2763" i="37"/>
  <c r="E2761" i="37"/>
  <c r="E2762" i="37" s="1"/>
  <c r="J2763" i="37"/>
  <c r="G1570" i="37" l="1"/>
  <c r="G1568" i="37" l="1"/>
  <c r="I77" i="10" l="1"/>
  <c r="I174" i="10"/>
  <c r="E1604" i="37"/>
  <c r="E1596" i="37"/>
  <c r="B343" i="37"/>
  <c r="B357" i="37" s="1"/>
  <c r="B370" i="37" s="1"/>
  <c r="B383" i="37" s="1"/>
  <c r="E333" i="37"/>
  <c r="E346" i="37"/>
  <c r="G318" i="37"/>
  <c r="I82" i="10" l="1"/>
  <c r="F2685" i="37" l="1"/>
  <c r="E2687" i="37"/>
  <c r="E2688" i="37" s="1"/>
  <c r="G103" i="37" l="1"/>
  <c r="F3432" i="37" l="1"/>
  <c r="F3424" i="37"/>
  <c r="F3417" i="37"/>
  <c r="F3409" i="37"/>
  <c r="F3401" i="37"/>
  <c r="F3359" i="37"/>
  <c r="F3349" i="37"/>
  <c r="F3339" i="37"/>
  <c r="F3319" i="37"/>
  <c r="F3393" i="37"/>
  <c r="F3377" i="37"/>
  <c r="G3272" i="37"/>
  <c r="G3273" i="37"/>
  <c r="G3277" i="37"/>
  <c r="G3278" i="37"/>
  <c r="I261" i="10" l="1"/>
  <c r="I262" i="10"/>
  <c r="I97" i="10"/>
  <c r="E2773" i="37"/>
  <c r="E2772" i="37"/>
  <c r="J2664" i="37"/>
  <c r="F2664" i="37"/>
  <c r="E2664" i="37"/>
  <c r="F2663" i="37"/>
  <c r="E2663" i="37"/>
  <c r="G2658" i="37"/>
  <c r="F2730" i="37"/>
  <c r="F2720" i="37"/>
  <c r="F2733" i="37" s="1"/>
  <c r="G2664" i="37" l="1"/>
  <c r="G2663" i="37"/>
  <c r="E2178" i="37" l="1"/>
  <c r="E2177" i="37"/>
  <c r="E2165" i="37"/>
  <c r="E2176" i="37"/>
  <c r="E2173" i="37"/>
  <c r="E2174" i="37" s="1"/>
  <c r="E2167" i="37"/>
  <c r="E2166" i="37"/>
  <c r="E2175" i="37"/>
  <c r="E2164" i="37"/>
  <c r="E2162" i="37"/>
  <c r="E2163" i="37" s="1"/>
  <c r="E951" i="37" l="1"/>
  <c r="E950" i="37"/>
  <c r="I2" i="10"/>
  <c r="I3" i="10"/>
  <c r="J92" i="53"/>
  <c r="J91" i="53"/>
  <c r="J90" i="53"/>
  <c r="J89" i="53"/>
  <c r="J88" i="53"/>
  <c r="J87" i="53"/>
  <c r="N86" i="53"/>
  <c r="N85" i="53" s="1"/>
  <c r="J82" i="53"/>
  <c r="J81" i="53"/>
  <c r="J80" i="53"/>
  <c r="J79" i="53"/>
  <c r="J78" i="53"/>
  <c r="J77" i="53"/>
  <c r="H75" i="53"/>
  <c r="J75" i="53" s="1"/>
  <c r="K75" i="53" s="1"/>
  <c r="J72" i="53"/>
  <c r="J71" i="53"/>
  <c r="J70" i="53"/>
  <c r="J69" i="53"/>
  <c r="J68" i="53"/>
  <c r="J67" i="53"/>
  <c r="N66" i="53"/>
  <c r="N65" i="53" s="1"/>
  <c r="H65" i="53"/>
  <c r="H85" i="53" s="1"/>
  <c r="J85" i="53" s="1"/>
  <c r="K85" i="53" s="1"/>
  <c r="J62" i="53"/>
  <c r="J61" i="53"/>
  <c r="J60" i="53"/>
  <c r="J59" i="53"/>
  <c r="J58" i="53"/>
  <c r="J57" i="53"/>
  <c r="J56" i="53" s="1"/>
  <c r="K56" i="53" s="1"/>
  <c r="P56" i="53" s="1"/>
  <c r="N56" i="53"/>
  <c r="N55" i="53" s="1"/>
  <c r="J55" i="53"/>
  <c r="K55" i="53" s="1"/>
  <c r="J51" i="53"/>
  <c r="J50" i="53"/>
  <c r="J49" i="53"/>
  <c r="J48" i="53"/>
  <c r="N47" i="53"/>
  <c r="J47" i="53"/>
  <c r="J46" i="53"/>
  <c r="N45" i="53"/>
  <c r="N44" i="53"/>
  <c r="H44" i="53"/>
  <c r="J44" i="53" s="1"/>
  <c r="K44" i="53" s="1"/>
  <c r="J41" i="53"/>
  <c r="J40" i="53"/>
  <c r="J39" i="53"/>
  <c r="J38" i="53"/>
  <c r="J37" i="53"/>
  <c r="J36" i="53"/>
  <c r="N35" i="53"/>
  <c r="N34" i="53"/>
  <c r="H34" i="53"/>
  <c r="J34" i="53" s="1"/>
  <c r="K34" i="53" s="1"/>
  <c r="J31" i="53"/>
  <c r="J30" i="53"/>
  <c r="J29" i="53"/>
  <c r="J28" i="53"/>
  <c r="J27" i="53"/>
  <c r="N26" i="53"/>
  <c r="J26" i="53"/>
  <c r="N25" i="53"/>
  <c r="J24" i="53"/>
  <c r="K24" i="53" s="1"/>
  <c r="N23" i="53"/>
  <c r="N24" i="53" s="1"/>
  <c r="J21" i="53"/>
  <c r="J20" i="53"/>
  <c r="J19" i="53"/>
  <c r="J18" i="53"/>
  <c r="J15" i="53" s="1"/>
  <c r="K15" i="53" s="1"/>
  <c r="J17" i="53"/>
  <c r="J16" i="53"/>
  <c r="N15" i="53"/>
  <c r="N14" i="53"/>
  <c r="N16" i="53" s="1"/>
  <c r="J14" i="53"/>
  <c r="K14" i="53" s="1"/>
  <c r="N11" i="53"/>
  <c r="J11" i="53"/>
  <c r="J10" i="53"/>
  <c r="J9" i="53"/>
  <c r="N8" i="53"/>
  <c r="J8" i="53"/>
  <c r="J7" i="53"/>
  <c r="N6" i="53"/>
  <c r="J6" i="53"/>
  <c r="N5" i="53"/>
  <c r="J4" i="53"/>
  <c r="K4" i="53" s="1"/>
  <c r="N3" i="53"/>
  <c r="M49" i="10"/>
  <c r="J391" i="10"/>
  <c r="D392" i="10" s="1"/>
  <c r="F1145" i="37" s="1"/>
  <c r="G1145" i="37" s="1"/>
  <c r="G1214" i="37"/>
  <c r="G1215" i="37"/>
  <c r="G1216" i="37"/>
  <c r="G1225" i="37"/>
  <c r="G1226" i="37"/>
  <c r="F1221" i="37"/>
  <c r="G1221" i="37" s="1"/>
  <c r="J390" i="10"/>
  <c r="D391" i="10" s="1"/>
  <c r="F1146" i="37" s="1"/>
  <c r="G1146" i="37" s="1"/>
  <c r="E1501" i="37"/>
  <c r="F1942" i="37"/>
  <c r="G1942" i="37" s="1"/>
  <c r="F1944" i="37"/>
  <c r="G1944" i="37" s="1"/>
  <c r="F1943" i="37"/>
  <c r="G1943" i="37" s="1"/>
  <c r="K1937" i="37"/>
  <c r="F2028" i="37"/>
  <c r="O954" i="37"/>
  <c r="N7" i="53" l="1"/>
  <c r="N9" i="53" s="1"/>
  <c r="J5" i="53"/>
  <c r="K5" i="53" s="1"/>
  <c r="J35" i="53"/>
  <c r="K35" i="53" s="1"/>
  <c r="P35" i="53" s="1"/>
  <c r="J45" i="53"/>
  <c r="K45" i="53" s="1"/>
  <c r="K43" i="53" s="1"/>
  <c r="J25" i="53"/>
  <c r="K25" i="53" s="1"/>
  <c r="P25" i="53" s="1"/>
  <c r="N36" i="53"/>
  <c r="J76" i="53"/>
  <c r="K76" i="53" s="1"/>
  <c r="J250" i="10"/>
  <c r="D250" i="10" s="1"/>
  <c r="J251" i="10"/>
  <c r="D251" i="10" s="1"/>
  <c r="J199" i="10"/>
  <c r="D199" i="10" s="1"/>
  <c r="J153" i="10"/>
  <c r="D153" i="10" s="1"/>
  <c r="J225" i="10"/>
  <c r="D225" i="10" s="1"/>
  <c r="J215" i="10"/>
  <c r="D215" i="10" s="1"/>
  <c r="J206" i="10"/>
  <c r="D206" i="10" s="1"/>
  <c r="J214" i="10"/>
  <c r="D214" i="10" s="1"/>
  <c r="J222" i="10"/>
  <c r="D222" i="10" s="1"/>
  <c r="J212" i="10"/>
  <c r="D212" i="10" s="1"/>
  <c r="J186" i="10"/>
  <c r="D186" i="10" s="1"/>
  <c r="J213" i="10"/>
  <c r="D213" i="10" s="1"/>
  <c r="J209" i="10"/>
  <c r="D209" i="10" s="1"/>
  <c r="J137" i="10"/>
  <c r="D137" i="10" s="1"/>
  <c r="J85" i="10"/>
  <c r="D85" i="10" s="1"/>
  <c r="F1543" i="37" s="1"/>
  <c r="J83" i="10"/>
  <c r="D83" i="10" s="1"/>
  <c r="F1738" i="37" s="1"/>
  <c r="G1738" i="37" s="1"/>
  <c r="J81" i="10"/>
  <c r="D81" i="10" s="1"/>
  <c r="F1743" i="37" s="1"/>
  <c r="G1743" i="37" s="1"/>
  <c r="J136" i="10"/>
  <c r="D136" i="10" s="1"/>
  <c r="J237" i="10"/>
  <c r="D237" i="10" s="1"/>
  <c r="J128" i="10"/>
  <c r="D128" i="10" s="1"/>
  <c r="J147" i="10"/>
  <c r="D147" i="10" s="1"/>
  <c r="J148" i="10"/>
  <c r="D148" i="10" s="1"/>
  <c r="J140" i="10"/>
  <c r="D140" i="10" s="1"/>
  <c r="J257" i="10"/>
  <c r="D257" i="10" s="1"/>
  <c r="J227" i="10"/>
  <c r="D227" i="10" s="1"/>
  <c r="J174" i="10"/>
  <c r="D174" i="10" s="1"/>
  <c r="J13" i="10"/>
  <c r="D13" i="10" s="1"/>
  <c r="J173" i="10"/>
  <c r="D173" i="10" s="1"/>
  <c r="J77" i="10"/>
  <c r="D77" i="10" s="1"/>
  <c r="F1794" i="37" s="1"/>
  <c r="G1794" i="37" s="1"/>
  <c r="J50" i="10"/>
  <c r="D50" i="10" s="1"/>
  <c r="J246" i="10"/>
  <c r="D246" i="10" s="1"/>
  <c r="J238" i="10"/>
  <c r="D238" i="10" s="1"/>
  <c r="J241" i="10"/>
  <c r="D241" i="10" s="1"/>
  <c r="J68" i="10"/>
  <c r="D68" i="10" s="1"/>
  <c r="F2557" i="37" s="1"/>
  <c r="G2557" i="37" s="1"/>
  <c r="K13" i="53"/>
  <c r="N46" i="53"/>
  <c r="N48" i="53" s="1"/>
  <c r="J66" i="53"/>
  <c r="K66" i="53" s="1"/>
  <c r="J86" i="53"/>
  <c r="K86" i="53" s="1"/>
  <c r="K84" i="53" s="1"/>
  <c r="N4" i="53"/>
  <c r="K3" i="53"/>
  <c r="K74" i="53"/>
  <c r="J97" i="10"/>
  <c r="D97" i="10" s="1"/>
  <c r="J91" i="10"/>
  <c r="D91" i="10" s="1"/>
  <c r="F1609" i="37" s="1"/>
  <c r="G1609" i="37" s="1"/>
  <c r="J168" i="10"/>
  <c r="D168" i="10" s="1"/>
  <c r="J134" i="10"/>
  <c r="D134" i="10" s="1"/>
  <c r="J261" i="10"/>
  <c r="D261" i="10" s="1"/>
  <c r="F935" i="37" s="1"/>
  <c r="N27" i="53"/>
  <c r="J226" i="10"/>
  <c r="D226" i="10" s="1"/>
  <c r="F2767" i="37" s="1"/>
  <c r="J138" i="10"/>
  <c r="D138" i="10" s="1"/>
  <c r="F1861" i="37" s="1"/>
  <c r="J119" i="10"/>
  <c r="D119" i="10" s="1"/>
  <c r="J118" i="10"/>
  <c r="D118" i="10" s="1"/>
  <c r="F2661" i="37" s="1"/>
  <c r="J141" i="10"/>
  <c r="D141" i="10" s="1"/>
  <c r="K23" i="53"/>
  <c r="P86" i="53"/>
  <c r="P15" i="53"/>
  <c r="K54" i="53"/>
  <c r="P5" i="53"/>
  <c r="K33" i="53"/>
  <c r="P45" i="53"/>
  <c r="P76" i="53"/>
  <c r="J65" i="53"/>
  <c r="K65" i="53" s="1"/>
  <c r="K64" i="53" s="1"/>
  <c r="I243" i="10"/>
  <c r="I242" i="10"/>
  <c r="I244" i="10"/>
  <c r="I245" i="10"/>
  <c r="F3483" i="37" l="1"/>
  <c r="F3578" i="37"/>
  <c r="F3199" i="37"/>
  <c r="G3199" i="37" s="1"/>
  <c r="F3156" i="37"/>
  <c r="G3156" i="37" s="1"/>
  <c r="F3207" i="37"/>
  <c r="G3207" i="37" s="1"/>
  <c r="F3215" i="37"/>
  <c r="G3215" i="37" s="1"/>
  <c r="F3164" i="37"/>
  <c r="G3164" i="37" s="1"/>
  <c r="F3172" i="37"/>
  <c r="G3172" i="37" s="1"/>
  <c r="F333" i="37"/>
  <c r="G333" i="37" s="1"/>
  <c r="F346" i="37"/>
  <c r="G346" i="37" s="1"/>
  <c r="P66" i="53"/>
  <c r="G2767" i="37"/>
  <c r="F2769" i="37"/>
  <c r="G2769" i="37" s="1"/>
  <c r="G2661" i="37"/>
  <c r="F2662" i="37"/>
  <c r="G2662" i="37" s="1"/>
  <c r="G1072" i="37"/>
  <c r="G1073" i="37"/>
  <c r="E798" i="37"/>
  <c r="E828" i="37"/>
  <c r="E813" i="37"/>
  <c r="J62" i="10"/>
  <c r="D62" i="10" s="1"/>
  <c r="G3632" i="37"/>
  <c r="G3633" i="37"/>
  <c r="G3634" i="37"/>
  <c r="G3635" i="37"/>
  <c r="G3636" i="37"/>
  <c r="G3637" i="37"/>
  <c r="G3638" i="37"/>
  <c r="G3639" i="37"/>
  <c r="G3640" i="37"/>
  <c r="G3641" i="37"/>
  <c r="G3631" i="37"/>
  <c r="G3627" i="37"/>
  <c r="G3628" i="37"/>
  <c r="G3643" i="37"/>
  <c r="E3618" i="37"/>
  <c r="G3617" i="37"/>
  <c r="G3616" i="37"/>
  <c r="F797" i="37" l="1"/>
  <c r="G797" i="37" s="1"/>
  <c r="F767" i="37"/>
  <c r="G767" i="37" s="1"/>
  <c r="F782" i="37"/>
  <c r="G782" i="37" s="1"/>
  <c r="F827" i="37"/>
  <c r="G827" i="37" s="1"/>
  <c r="E974" i="37"/>
  <c r="G985" i="37"/>
  <c r="G975" i="37"/>
  <c r="E973" i="37"/>
  <c r="G3009" i="37"/>
  <c r="G3008" i="37"/>
  <c r="D31" i="50" l="1"/>
  <c r="D30" i="50"/>
  <c r="D29" i="50"/>
  <c r="D17" i="50"/>
  <c r="D19" i="50"/>
  <c r="D18" i="50"/>
  <c r="D6" i="50" l="1"/>
  <c r="D4" i="50"/>
  <c r="D5" i="50"/>
  <c r="R5" i="50"/>
  <c r="R6" i="50"/>
  <c r="R7" i="50"/>
  <c r="R8" i="50"/>
  <c r="R9" i="50"/>
  <c r="R10" i="50"/>
  <c r="R11" i="50"/>
  <c r="R12" i="50"/>
  <c r="R13" i="50"/>
  <c r="R14" i="50"/>
  <c r="R15" i="50"/>
  <c r="D20" i="50"/>
  <c r="D32" i="50"/>
  <c r="D34" i="50"/>
  <c r="D23" i="50" l="1"/>
  <c r="F1112" i="37" s="1"/>
  <c r="G1112" i="37" s="1"/>
  <c r="D35" i="50"/>
  <c r="D7" i="50"/>
  <c r="D10" i="50" s="1"/>
  <c r="G150" i="37" l="1"/>
  <c r="E145" i="37"/>
  <c r="E144" i="37"/>
  <c r="J38" i="10" l="1"/>
  <c r="D38" i="10" s="1"/>
  <c r="F2846" i="37"/>
  <c r="F2845" i="37"/>
  <c r="F2844" i="37"/>
  <c r="F2843" i="37"/>
  <c r="J205" i="10"/>
  <c r="D205" i="10" s="1"/>
  <c r="J152" i="10"/>
  <c r="D152" i="10" s="1"/>
  <c r="J151" i="10"/>
  <c r="D151" i="10" s="1"/>
  <c r="D377" i="10"/>
  <c r="J379" i="10"/>
  <c r="D379" i="10" s="1"/>
  <c r="F1173" i="37" s="1"/>
  <c r="J380" i="10"/>
  <c r="D380" i="10" s="1"/>
  <c r="J381" i="10"/>
  <c r="D381" i="10" s="1"/>
  <c r="J382" i="10"/>
  <c r="D382" i="10" s="1"/>
  <c r="F3581" i="37" s="1"/>
  <c r="J383" i="10"/>
  <c r="D384" i="10" s="1"/>
  <c r="F1217" i="37" s="1"/>
  <c r="J384" i="10"/>
  <c r="D385" i="10" s="1"/>
  <c r="F1220" i="37" s="1"/>
  <c r="J385" i="10"/>
  <c r="D386" i="10" s="1"/>
  <c r="F1219" i="37" s="1"/>
  <c r="J386" i="10"/>
  <c r="D387" i="10" s="1"/>
  <c r="F1218" i="37" s="1"/>
  <c r="J387" i="10"/>
  <c r="D388" i="10" s="1"/>
  <c r="F982" i="37" s="1"/>
  <c r="G982" i="37" s="1"/>
  <c r="J388" i="10"/>
  <c r="D389" i="10" s="1"/>
  <c r="J389" i="10"/>
  <c r="D390" i="10" s="1"/>
  <c r="J378" i="10"/>
  <c r="D378" i="10" s="1"/>
  <c r="F1106" i="37" s="1"/>
  <c r="G1106" i="37" s="1"/>
  <c r="F1223" i="37" l="1"/>
  <c r="G1223" i="37" s="1"/>
  <c r="F1078" i="37"/>
  <c r="G1078" i="37" s="1"/>
  <c r="F1172" i="37"/>
  <c r="F1107" i="37"/>
  <c r="G1107" i="37" s="1"/>
  <c r="F111" i="37"/>
  <c r="F1224" i="37"/>
  <c r="G1224" i="37" s="1"/>
  <c r="F1144" i="37"/>
  <c r="G1144" i="37" s="1"/>
  <c r="F1171" i="37"/>
  <c r="F2317" i="37"/>
  <c r="F3005" i="37"/>
  <c r="G3005" i="37" s="1"/>
  <c r="F3618" i="37"/>
  <c r="G3618" i="37" s="1"/>
  <c r="J143" i="10"/>
  <c r="D143" i="10" s="1"/>
  <c r="I216" i="10"/>
  <c r="J157" i="10"/>
  <c r="D157" i="10" s="1"/>
  <c r="J154" i="10"/>
  <c r="D154" i="10" s="1"/>
  <c r="J155" i="10"/>
  <c r="D155" i="10" s="1"/>
  <c r="J156" i="10"/>
  <c r="D156" i="10" s="1"/>
  <c r="J158" i="10"/>
  <c r="D158" i="10" s="1"/>
  <c r="J159" i="10"/>
  <c r="D159" i="10" s="1"/>
  <c r="J150" i="10"/>
  <c r="D150" i="10" s="1"/>
  <c r="E1389" i="37"/>
  <c r="G1520" i="37"/>
  <c r="G1521" i="37"/>
  <c r="E1516" i="37"/>
  <c r="G2715" i="37"/>
  <c r="G2716" i="37"/>
  <c r="G2720" i="37"/>
  <c r="J276" i="10"/>
  <c r="D276" i="10" s="1"/>
  <c r="J282" i="10"/>
  <c r="D282" i="10" s="1"/>
  <c r="J37" i="10"/>
  <c r="D37" i="10" s="1"/>
  <c r="F1820" i="37" l="1"/>
  <c r="F2129" i="37"/>
  <c r="F2156" i="37" s="1"/>
  <c r="F1945" i="37"/>
  <c r="G1945" i="37" s="1"/>
  <c r="F2339" i="37"/>
  <c r="F2338" i="37"/>
  <c r="F2316" i="37"/>
  <c r="F2255" i="37"/>
  <c r="F2134" i="37"/>
  <c r="F2750" i="37"/>
  <c r="F2184" i="37"/>
  <c r="J240" i="10"/>
  <c r="D240" i="10" s="1"/>
  <c r="J239" i="10"/>
  <c r="D239" i="10" s="1"/>
  <c r="F2419" i="37" s="1"/>
  <c r="I405" i="10"/>
  <c r="J398" i="10"/>
  <c r="J123" i="10"/>
  <c r="D123" i="10" s="1"/>
  <c r="F2602" i="37"/>
  <c r="F2604" i="37"/>
  <c r="E2604" i="37"/>
  <c r="F2603" i="37"/>
  <c r="E2603" i="37"/>
  <c r="E2602" i="37"/>
  <c r="J2600" i="37"/>
  <c r="G2597" i="37"/>
  <c r="F2523" i="37"/>
  <c r="F2404" i="37" l="1"/>
  <c r="G2129" i="37"/>
  <c r="F2168" i="37"/>
  <c r="G2604" i="37"/>
  <c r="G2603" i="37"/>
  <c r="G2602" i="37"/>
  <c r="G3600" i="37"/>
  <c r="G3598" i="37"/>
  <c r="G3597" i="37"/>
  <c r="F2179" i="37" l="1"/>
  <c r="G2179" i="37" s="1"/>
  <c r="G2168" i="37"/>
  <c r="D397" i="10" l="1"/>
  <c r="D398" i="10"/>
  <c r="J402" i="10"/>
  <c r="D402" i="10" s="1"/>
  <c r="J403" i="10"/>
  <c r="D403" i="10" s="1"/>
  <c r="J404" i="10"/>
  <c r="D404" i="10" s="1"/>
  <c r="J406" i="10"/>
  <c r="D406" i="10" s="1"/>
  <c r="J401" i="10"/>
  <c r="D401" i="10" s="1"/>
  <c r="G14" i="72" s="1"/>
  <c r="J399" i="10"/>
  <c r="D399" i="10" s="1"/>
  <c r="J63" i="10"/>
  <c r="D63" i="10" s="1"/>
  <c r="J294" i="10"/>
  <c r="D294" i="10" s="1"/>
  <c r="F3663" i="37" s="1"/>
  <c r="G3663" i="37" s="1"/>
  <c r="J296" i="10"/>
  <c r="D296" i="10" s="1"/>
  <c r="J301" i="10"/>
  <c r="D301" i="10" s="1"/>
  <c r="J306" i="10"/>
  <c r="D306" i="10" s="1"/>
  <c r="J307" i="10"/>
  <c r="D307" i="10" s="1"/>
  <c r="J309" i="10"/>
  <c r="D309" i="10" s="1"/>
  <c r="J310" i="10"/>
  <c r="D310" i="10" s="1"/>
  <c r="J315" i="10"/>
  <c r="D315" i="10" s="1"/>
  <c r="F3463" i="37" s="1"/>
  <c r="G3463" i="37" s="1"/>
  <c r="J321" i="10"/>
  <c r="D321" i="10" s="1"/>
  <c r="J295" i="10"/>
  <c r="D295" i="10" s="1"/>
  <c r="J325" i="10"/>
  <c r="D325" i="10" s="1"/>
  <c r="J317" i="10"/>
  <c r="D317" i="10" s="1"/>
  <c r="J318" i="10"/>
  <c r="D318" i="10" s="1"/>
  <c r="J316" i="10"/>
  <c r="D316" i="10" s="1"/>
  <c r="J319" i="10"/>
  <c r="D319" i="10" s="1"/>
  <c r="J293" i="10"/>
  <c r="D293" i="10" s="1"/>
  <c r="J323" i="10"/>
  <c r="D323" i="10" s="1"/>
  <c r="F1084" i="37" s="1"/>
  <c r="G1084" i="37" s="1"/>
  <c r="J324" i="10"/>
  <c r="D324" i="10" s="1"/>
  <c r="F3324" i="37" l="1"/>
  <c r="G3324" i="37" s="1"/>
  <c r="F3381" i="37"/>
  <c r="G3381" i="37" s="1"/>
  <c r="F3364" i="37"/>
  <c r="G3364" i="37" s="1"/>
  <c r="F3304" i="37"/>
  <c r="G3304" i="37" s="1"/>
  <c r="F3662" i="37"/>
  <c r="G3662" i="37" s="1"/>
  <c r="F3462" i="37"/>
  <c r="G3462" i="37" s="1"/>
  <c r="F3382" i="37"/>
  <c r="G3382" i="37" s="1"/>
  <c r="F3365" i="37"/>
  <c r="G3365" i="37" s="1"/>
  <c r="F3305" i="37"/>
  <c r="G3305" i="37" s="1"/>
  <c r="F3464" i="37"/>
  <c r="G3464" i="37" s="1"/>
  <c r="F3325" i="37"/>
  <c r="G3325" i="37" s="1"/>
  <c r="G15" i="72"/>
  <c r="F1096" i="37"/>
  <c r="G1096" i="37" s="1"/>
  <c r="F776" i="37"/>
  <c r="G776" i="37" s="1"/>
  <c r="F2553" i="37"/>
  <c r="G2553" i="37" s="1"/>
  <c r="F3454" i="37"/>
  <c r="G3454" i="37" s="1"/>
  <c r="F1095" i="37"/>
  <c r="G1095" i="37" s="1"/>
  <c r="F775" i="37"/>
  <c r="G775" i="37" s="1"/>
  <c r="F3038" i="37"/>
  <c r="G3038" i="37" s="1"/>
  <c r="F3453" i="37"/>
  <c r="G3453" i="37" s="1"/>
  <c r="F3649" i="37"/>
  <c r="G3649" i="37" s="1"/>
  <c r="F3452" i="37"/>
  <c r="G3452" i="37" s="1"/>
  <c r="F11" i="67"/>
  <c r="G11" i="67" s="1"/>
  <c r="H15" i="68" s="1"/>
  <c r="F13" i="67"/>
  <c r="G13" i="67" s="1"/>
  <c r="H16" i="68" s="1"/>
  <c r="F1116" i="37"/>
  <c r="G1116" i="37" s="1"/>
  <c r="F1102" i="37"/>
  <c r="G1102" i="37" s="1"/>
  <c r="F2552" i="37"/>
  <c r="G2552" i="37" s="1"/>
  <c r="F1083" i="37"/>
  <c r="G1083" i="37" s="1"/>
  <c r="F1117" i="37"/>
  <c r="G1117" i="37" s="1"/>
  <c r="F1085" i="37"/>
  <c r="G1085" i="37" s="1"/>
  <c r="F1103" i="37"/>
  <c r="G1103" i="37" s="1"/>
  <c r="F444" i="37"/>
  <c r="G444" i="37" s="1"/>
  <c r="F96" i="37"/>
  <c r="G96" i="37" s="1"/>
  <c r="F700" i="37"/>
  <c r="G700" i="37" s="1"/>
  <c r="F84" i="37"/>
  <c r="F3036" i="37"/>
  <c r="G3036" i="37" s="1"/>
  <c r="F323" i="37"/>
  <c r="G323" i="37" s="1"/>
  <c r="F715" i="37"/>
  <c r="G715" i="37" s="1"/>
  <c r="F443" i="37"/>
  <c r="G443" i="37" s="1"/>
  <c r="F699" i="37"/>
  <c r="G699" i="37" s="1"/>
  <c r="F97" i="37"/>
  <c r="G97" i="37" s="1"/>
  <c r="F3037" i="37"/>
  <c r="G3037" i="37" s="1"/>
  <c r="F445" i="37"/>
  <c r="G445" i="37" s="1"/>
  <c r="F324" i="37"/>
  <c r="G324" i="37" s="1"/>
  <c r="F716" i="37"/>
  <c r="G716" i="37" s="1"/>
  <c r="F701" i="37"/>
  <c r="G701" i="37" s="1"/>
  <c r="F446" i="37"/>
  <c r="G446" i="37" s="1"/>
  <c r="F702" i="37"/>
  <c r="G702" i="37" s="1"/>
  <c r="F3203" i="37"/>
  <c r="G3203" i="37" s="1"/>
  <c r="F3189" i="37"/>
  <c r="G3189" i="37" s="1"/>
  <c r="F3211" i="37"/>
  <c r="G3211" i="37" s="1"/>
  <c r="F3195" i="37"/>
  <c r="G3195" i="37" s="1"/>
  <c r="F3177" i="37"/>
  <c r="G3177" i="37" s="1"/>
  <c r="F3183" i="37"/>
  <c r="G3183" i="37" s="1"/>
  <c r="F3204" i="37"/>
  <c r="G3204" i="37" s="1"/>
  <c r="F3190" i="37"/>
  <c r="G3190" i="37" s="1"/>
  <c r="F3212" i="37"/>
  <c r="G3212" i="37" s="1"/>
  <c r="F3178" i="37"/>
  <c r="G3178" i="37" s="1"/>
  <c r="F3196" i="37"/>
  <c r="G3196" i="37" s="1"/>
  <c r="F3184" i="37"/>
  <c r="G3184" i="37" s="1"/>
  <c r="F1748" i="37"/>
  <c r="G1748" i="37" s="1"/>
  <c r="F3501" i="37"/>
  <c r="F3121" i="37"/>
  <c r="F3107" i="37"/>
  <c r="F3079" i="37"/>
  <c r="G3079" i="37" s="1"/>
  <c r="F3160" i="37"/>
  <c r="G3160" i="37" s="1"/>
  <c r="F3146" i="37"/>
  <c r="G3146" i="37" s="1"/>
  <c r="F3135" i="37"/>
  <c r="G3135" i="37" s="1"/>
  <c r="F3168" i="37"/>
  <c r="G3168" i="37" s="1"/>
  <c r="F3152" i="37"/>
  <c r="G3152" i="37" s="1"/>
  <c r="F3093" i="37"/>
  <c r="F3140" i="37"/>
  <c r="G3140" i="37" s="1"/>
  <c r="F3624" i="37"/>
  <c r="G3624" i="37" s="1"/>
  <c r="F3120" i="37"/>
  <c r="F3092" i="37"/>
  <c r="F3106" i="37"/>
  <c r="F3078" i="37"/>
  <c r="G3078" i="37" s="1"/>
  <c r="F3153" i="37"/>
  <c r="G3153" i="37" s="1"/>
  <c r="F3141" i="37"/>
  <c r="G3141" i="37" s="1"/>
  <c r="F3123" i="37"/>
  <c r="F3161" i="37"/>
  <c r="G3161" i="37" s="1"/>
  <c r="F3147" i="37"/>
  <c r="G3147" i="37" s="1"/>
  <c r="F3136" i="37"/>
  <c r="G3136" i="37" s="1"/>
  <c r="F3109" i="37"/>
  <c r="F3081" i="37"/>
  <c r="G3081" i="37" s="1"/>
  <c r="F3169" i="37"/>
  <c r="G3169" i="37" s="1"/>
  <c r="F3095" i="37"/>
  <c r="F1747" i="37"/>
  <c r="G1747" i="37" s="1"/>
  <c r="F2819" i="37"/>
  <c r="F991" i="37"/>
  <c r="G991" i="37" s="1"/>
  <c r="F2820" i="37"/>
  <c r="F1577" i="37"/>
  <c r="G1577" i="37" s="1"/>
  <c r="F1589" i="37"/>
  <c r="G1589" i="37" s="1"/>
  <c r="F1550" i="37"/>
  <c r="G1550" i="37" s="1"/>
  <c r="F1578" i="37"/>
  <c r="G1578" i="37" s="1"/>
  <c r="F1590" i="37"/>
  <c r="G1590" i="37" s="1"/>
  <c r="F1551" i="37"/>
  <c r="G1551" i="37" s="1"/>
  <c r="F1579" i="37"/>
  <c r="G1579" i="37" s="1"/>
  <c r="F1591" i="37"/>
  <c r="G1591" i="37" s="1"/>
  <c r="F1552" i="37"/>
  <c r="G1552" i="37" s="1"/>
  <c r="F1576" i="37"/>
  <c r="G1576" i="37" s="1"/>
  <c r="F1588" i="37"/>
  <c r="G1588" i="37" s="1"/>
  <c r="F1549" i="37"/>
  <c r="G1549" i="37" s="1"/>
  <c r="F1602" i="37"/>
  <c r="G1602" i="37" s="1"/>
  <c r="F338" i="37"/>
  <c r="G338" i="37" s="1"/>
  <c r="F351" i="37"/>
  <c r="G351" i="37" s="1"/>
  <c r="F311" i="37"/>
  <c r="G311" i="37" s="1"/>
  <c r="F1603" i="37"/>
  <c r="G1603" i="37" s="1"/>
  <c r="F1798" i="37"/>
  <c r="G1798" i="37" s="1"/>
  <c r="F339" i="37"/>
  <c r="G339" i="37" s="1"/>
  <c r="F352" i="37"/>
  <c r="G352" i="37" s="1"/>
  <c r="F312" i="37"/>
  <c r="G312" i="37" s="1"/>
  <c r="F1604" i="37"/>
  <c r="G1604" i="37" s="1"/>
  <c r="F353" i="37"/>
  <c r="G353" i="37" s="1"/>
  <c r="F1799" i="37"/>
  <c r="G1799" i="37" s="1"/>
  <c r="F340" i="37"/>
  <c r="G340" i="37" s="1"/>
  <c r="F1618" i="37"/>
  <c r="G1618" i="37" s="1"/>
  <c r="F1605" i="37"/>
  <c r="G1605" i="37" s="1"/>
  <c r="F354" i="37"/>
  <c r="G354" i="37" s="1"/>
  <c r="F341" i="37"/>
  <c r="G341" i="37" s="1"/>
  <c r="F3406" i="37"/>
  <c r="F3335" i="37"/>
  <c r="F3390" i="37"/>
  <c r="F3221" i="37"/>
  <c r="F3374" i="37"/>
  <c r="F3414" i="37"/>
  <c r="F3345" i="37"/>
  <c r="F3285" i="37"/>
  <c r="F3295" i="37"/>
  <c r="F3355" i="37"/>
  <c r="F3421" i="37"/>
  <c r="F3429" i="37"/>
  <c r="F3398" i="37"/>
  <c r="F3315" i="37"/>
  <c r="F3233" i="37"/>
  <c r="F3250" i="37"/>
  <c r="F3268" i="37"/>
  <c r="F2046" i="37"/>
  <c r="F3252" i="37"/>
  <c r="F3413" i="37"/>
  <c r="F3284" i="37"/>
  <c r="F3428" i="37"/>
  <c r="F3334" i="37"/>
  <c r="F3405" i="37"/>
  <c r="F3314" i="37"/>
  <c r="F3294" i="37"/>
  <c r="F3373" i="37"/>
  <c r="F3354" i="37"/>
  <c r="F3420" i="37"/>
  <c r="F3344" i="37"/>
  <c r="F3397" i="37"/>
  <c r="F3220" i="37"/>
  <c r="F3389" i="37"/>
  <c r="F3249" i="37"/>
  <c r="F3267" i="37"/>
  <c r="F1644" i="37"/>
  <c r="F1615" i="37"/>
  <c r="G1615" i="37" s="1"/>
  <c r="F945" i="37"/>
  <c r="F1616" i="37"/>
  <c r="G1616" i="37" s="1"/>
  <c r="F943" i="37"/>
  <c r="F1646" i="37"/>
  <c r="F1617" i="37"/>
  <c r="G1617" i="37" s="1"/>
  <c r="F944" i="37"/>
  <c r="F1480" i="37"/>
  <c r="F1647" i="37"/>
  <c r="F1645" i="37"/>
  <c r="F1212" i="37"/>
  <c r="G1212" i="37" s="1"/>
  <c r="F2655" i="37"/>
  <c r="G2655" i="37" s="1"/>
  <c r="F1479" i="37"/>
  <c r="F182" i="37"/>
  <c r="F2045" i="37"/>
  <c r="F1522" i="37"/>
  <c r="G1522" i="37" s="1"/>
  <c r="F1477" i="37"/>
  <c r="F1478" i="37"/>
  <c r="F2654" i="37"/>
  <c r="G2654" i="37" s="1"/>
  <c r="F2772" i="37"/>
  <c r="G2772" i="37" s="1"/>
  <c r="F2043" i="37"/>
  <c r="F2033" i="37"/>
  <c r="F2044" i="37"/>
  <c r="F1159" i="37"/>
  <c r="F1160" i="37"/>
  <c r="F3478" i="37"/>
  <c r="F1127" i="37"/>
  <c r="F2519" i="37"/>
  <c r="F1213" i="37"/>
  <c r="G1213" i="37" s="1"/>
  <c r="F1951" i="37"/>
  <c r="G1951" i="37" s="1"/>
  <c r="F2032" i="37"/>
  <c r="F2533" i="37"/>
  <c r="F1658" i="37"/>
  <c r="F990" i="37"/>
  <c r="G990" i="37" s="1"/>
  <c r="F2035" i="37"/>
  <c r="F1659" i="37"/>
  <c r="F1954" i="37"/>
  <c r="G1954" i="37" s="1"/>
  <c r="F2534" i="37"/>
  <c r="F2034" i="37"/>
  <c r="F835" i="37"/>
  <c r="G835" i="37" s="1"/>
  <c r="F790" i="37"/>
  <c r="G790" i="37" s="1"/>
  <c r="F3614" i="37"/>
  <c r="G3614" i="37" s="1"/>
  <c r="F805" i="37"/>
  <c r="G805" i="37" s="1"/>
  <c r="F820" i="37"/>
  <c r="G820" i="37" s="1"/>
  <c r="F745" i="37"/>
  <c r="G745" i="37" s="1"/>
  <c r="F1058" i="37"/>
  <c r="G1058" i="37" s="1"/>
  <c r="F1069" i="37"/>
  <c r="G1069" i="37" s="1"/>
  <c r="F3625" i="37"/>
  <c r="G3625" i="37" s="1"/>
  <c r="F3605" i="37"/>
  <c r="F1070" i="37"/>
  <c r="G1070" i="37" s="1"/>
  <c r="F3615" i="37"/>
  <c r="G3615" i="37" s="1"/>
  <c r="F3445" i="37"/>
  <c r="F1059" i="37"/>
  <c r="G1059" i="37" s="1"/>
  <c r="F3437" i="37"/>
  <c r="F3444" i="37"/>
  <c r="F3436" i="37"/>
  <c r="F836" i="37"/>
  <c r="G836" i="37" s="1"/>
  <c r="F791" i="37"/>
  <c r="G791" i="37" s="1"/>
  <c r="F806" i="37"/>
  <c r="G806" i="37" s="1"/>
  <c r="F821" i="37"/>
  <c r="G821" i="37" s="1"/>
  <c r="F746" i="37"/>
  <c r="G746" i="37" s="1"/>
  <c r="F3510" i="37"/>
  <c r="F3067" i="37"/>
  <c r="F3019" i="37"/>
  <c r="F3490" i="37"/>
  <c r="F144" i="37"/>
  <c r="G144" i="37" s="1"/>
  <c r="F988" i="37"/>
  <c r="G988" i="37" s="1"/>
  <c r="F145" i="37"/>
  <c r="G145" i="37" s="1"/>
  <c r="F989" i="37"/>
  <c r="G989" i="37" s="1"/>
  <c r="F471" i="37"/>
  <c r="F483" i="37"/>
  <c r="F1408" i="37"/>
  <c r="G1408" i="37" s="1"/>
  <c r="F1719" i="37"/>
  <c r="G1719" i="37" s="1"/>
  <c r="F1682" i="37"/>
  <c r="G1682" i="37" s="1"/>
  <c r="F1524" i="37"/>
  <c r="F1718" i="37"/>
  <c r="G1718" i="37" s="1"/>
  <c r="F1407" i="37"/>
  <c r="G1407" i="37" s="1"/>
  <c r="F1523" i="37"/>
  <c r="G1523" i="37" s="1"/>
  <c r="F1681" i="37"/>
  <c r="G1681" i="37" s="1"/>
  <c r="F2520" i="37"/>
  <c r="F1525" i="37"/>
  <c r="G1525" i="37" s="1"/>
  <c r="F2517" i="37"/>
  <c r="F2593" i="37"/>
  <c r="G2593" i="37" s="1"/>
  <c r="F2518" i="37"/>
  <c r="F2594" i="37"/>
  <c r="G2594" i="37" s="1"/>
  <c r="J297" i="10"/>
  <c r="D297" i="10" s="1"/>
  <c r="J320" i="10"/>
  <c r="D320" i="10" s="1"/>
  <c r="F3594" i="37"/>
  <c r="G3594" i="37" s="1"/>
  <c r="F3595" i="37"/>
  <c r="G3595" i="37" s="1"/>
  <c r="F3596" i="37"/>
  <c r="G3596" i="37" s="1"/>
  <c r="G3469" i="37" l="1"/>
  <c r="G3386" i="37"/>
  <c r="G1090" i="37"/>
  <c r="G3459" i="37"/>
  <c r="G3450" i="37" s="1"/>
  <c r="G1100" i="37"/>
  <c r="G94" i="37"/>
  <c r="G3150" i="37"/>
  <c r="G3175" i="37"/>
  <c r="G3187" i="37"/>
  <c r="G3209" i="37"/>
  <c r="G3193" i="37"/>
  <c r="G3181" i="37"/>
  <c r="G3201" i="37"/>
  <c r="G3166" i="37"/>
  <c r="G3133" i="37"/>
  <c r="G3158" i="37"/>
  <c r="G3138" i="37"/>
  <c r="G3143" i="37"/>
  <c r="I1579" i="37"/>
  <c r="I1591" i="37"/>
  <c r="I1552" i="37"/>
  <c r="I1618" i="37"/>
  <c r="G2665" i="37"/>
  <c r="G2652" i="37" s="1"/>
  <c r="F1953" i="37"/>
  <c r="G1953" i="37" s="1"/>
  <c r="F1211" i="37"/>
  <c r="G1211" i="37" s="1"/>
  <c r="F1060" i="37"/>
  <c r="G1060" i="37" s="1"/>
  <c r="F1071" i="37"/>
  <c r="G1071" i="37" s="1"/>
  <c r="H34" i="72" l="1"/>
  <c r="G3379" i="37"/>
  <c r="H125" i="73"/>
  <c r="G3460" i="37"/>
  <c r="H123" i="73"/>
  <c r="H18" i="72"/>
  <c r="F162" i="65"/>
  <c r="F42" i="67"/>
  <c r="F159" i="67"/>
  <c r="F13" i="69"/>
  <c r="J2620" i="37"/>
  <c r="F2620" i="37"/>
  <c r="E2620" i="37"/>
  <c r="F2619" i="37"/>
  <c r="E2619" i="37"/>
  <c r="E2618" i="37"/>
  <c r="G2613" i="37"/>
  <c r="F18" i="72" l="1"/>
  <c r="G18" i="72" s="1"/>
  <c r="I18" i="72"/>
  <c r="F125" i="73"/>
  <c r="G125" i="73" s="1"/>
  <c r="I125" i="73"/>
  <c r="F123" i="73"/>
  <c r="G123" i="73" s="1"/>
  <c r="I123" i="73"/>
  <c r="I34" i="72"/>
  <c r="F34" i="72"/>
  <c r="G34" i="72" s="1"/>
  <c r="G42" i="67"/>
  <c r="F65" i="67"/>
  <c r="R111" i="67"/>
  <c r="S111" i="67" s="1"/>
  <c r="AH88" i="67"/>
  <c r="AI88" i="67" s="1"/>
  <c r="R134" i="67"/>
  <c r="S134" i="67" s="1"/>
  <c r="AH65" i="67"/>
  <c r="AI65" i="67" s="1"/>
  <c r="R42" i="67"/>
  <c r="S42" i="67" s="1"/>
  <c r="F111" i="67"/>
  <c r="G111" i="67" s="1"/>
  <c r="Z65" i="67"/>
  <c r="AA65" i="67" s="1"/>
  <c r="Z111" i="67"/>
  <c r="AA111" i="67" s="1"/>
  <c r="Z134" i="67"/>
  <c r="AA134" i="67" s="1"/>
  <c r="Z42" i="67"/>
  <c r="AA42" i="67" s="1"/>
  <c r="F134" i="67"/>
  <c r="G134" i="67" s="1"/>
  <c r="AH111" i="67"/>
  <c r="AI111" i="67" s="1"/>
  <c r="R88" i="67"/>
  <c r="S88" i="67" s="1"/>
  <c r="AH134" i="67"/>
  <c r="AI134" i="67" s="1"/>
  <c r="R65" i="67"/>
  <c r="S65" i="67" s="1"/>
  <c r="AH42" i="67"/>
  <c r="AI42" i="67" s="1"/>
  <c r="Z88" i="67"/>
  <c r="AA88" i="67" s="1"/>
  <c r="F187" i="65"/>
  <c r="G162" i="65"/>
  <c r="F184" i="67"/>
  <c r="G159" i="67"/>
  <c r="G13" i="69"/>
  <c r="F14" i="69"/>
  <c r="G2619" i="37"/>
  <c r="G2620" i="37"/>
  <c r="L11" i="10"/>
  <c r="F3727" i="37"/>
  <c r="G4601" i="37"/>
  <c r="G4600" i="37"/>
  <c r="F4597" i="37"/>
  <c r="G4597" i="37" s="1"/>
  <c r="F4596" i="37"/>
  <c r="G4596" i="37" s="1"/>
  <c r="G4590" i="37"/>
  <c r="G4589" i="37"/>
  <c r="F4586" i="37"/>
  <c r="G4586" i="37" s="1"/>
  <c r="F4585" i="37"/>
  <c r="G4585" i="37" s="1"/>
  <c r="F4575" i="37"/>
  <c r="G4575" i="37" s="1"/>
  <c r="F4574" i="37"/>
  <c r="G4574" i="37" s="1"/>
  <c r="F4564" i="37"/>
  <c r="G4564" i="37" s="1"/>
  <c r="F4563" i="37"/>
  <c r="G4563" i="37" s="1"/>
  <c r="F4553" i="37"/>
  <c r="G4553" i="37" s="1"/>
  <c r="F4552" i="37"/>
  <c r="G4552" i="37" s="1"/>
  <c r="F4542" i="37"/>
  <c r="G4542" i="37" s="1"/>
  <c r="F4541" i="37"/>
  <c r="G4541" i="37" s="1"/>
  <c r="G4579" i="37"/>
  <c r="G4578" i="37"/>
  <c r="G4568" i="37"/>
  <c r="G4567" i="37"/>
  <c r="G4557" i="37"/>
  <c r="G4556" i="37"/>
  <c r="G4546" i="37"/>
  <c r="G4545" i="37"/>
  <c r="G4535" i="37"/>
  <c r="F4530" i="37"/>
  <c r="G4530" i="37" s="1"/>
  <c r="G4523" i="37"/>
  <c r="G4522" i="37"/>
  <c r="F4519" i="37"/>
  <c r="G4519" i="37" s="1"/>
  <c r="F4518" i="37"/>
  <c r="G4518" i="37" s="1"/>
  <c r="G4512" i="37"/>
  <c r="G4511" i="37"/>
  <c r="F4508" i="37"/>
  <c r="G4508" i="37" s="1"/>
  <c r="F4507" i="37"/>
  <c r="G4507" i="37" s="1"/>
  <c r="G65" i="67" l="1"/>
  <c r="F88" i="67"/>
  <c r="G88" i="67" s="1"/>
  <c r="G14" i="69"/>
  <c r="F15" i="69"/>
  <c r="F212" i="65"/>
  <c r="G187" i="65"/>
  <c r="G184" i="67"/>
  <c r="F209" i="67"/>
  <c r="G4500" i="37"/>
  <c r="G4499" i="37"/>
  <c r="F4495" i="37"/>
  <c r="G4495" i="37" s="1"/>
  <c r="G4489" i="37"/>
  <c r="G4488" i="37"/>
  <c r="F4484" i="37"/>
  <c r="G4484" i="37" s="1"/>
  <c r="G4478" i="37"/>
  <c r="G4477" i="37"/>
  <c r="F4473" i="37"/>
  <c r="G4473" i="37" s="1"/>
  <c r="G4467" i="37"/>
  <c r="G4466" i="37"/>
  <c r="F4462" i="37"/>
  <c r="G4462" i="37" s="1"/>
  <c r="G4456" i="37"/>
  <c r="G4455" i="37"/>
  <c r="F4451" i="37"/>
  <c r="G4451" i="37" s="1"/>
  <c r="G4445" i="37"/>
  <c r="G4444" i="37"/>
  <c r="F4440" i="37"/>
  <c r="G4440" i="37" s="1"/>
  <c r="G4434" i="37"/>
  <c r="G4433" i="37"/>
  <c r="F4429" i="37"/>
  <c r="G4429" i="37" s="1"/>
  <c r="F4418" i="37"/>
  <c r="G4418" i="37" s="1"/>
  <c r="F4407" i="37"/>
  <c r="G4407" i="37" s="1"/>
  <c r="F4396" i="37"/>
  <c r="G4396" i="37" s="1"/>
  <c r="F4385" i="37"/>
  <c r="G4385" i="37" s="1"/>
  <c r="G4423" i="37"/>
  <c r="G4422" i="37"/>
  <c r="G4412" i="37"/>
  <c r="G4411" i="37"/>
  <c r="G4401" i="37"/>
  <c r="G4400" i="37"/>
  <c r="G4390" i="37"/>
  <c r="G4389" i="37"/>
  <c r="G4380" i="37"/>
  <c r="G4379" i="37"/>
  <c r="F4374" i="37"/>
  <c r="G4374" i="37" s="1"/>
  <c r="G4369" i="37"/>
  <c r="G4367" i="37"/>
  <c r="G4366" i="37"/>
  <c r="F4363" i="37"/>
  <c r="G4363" i="37" s="1"/>
  <c r="F4362" i="37"/>
  <c r="G4362" i="37" s="1"/>
  <c r="G4358" i="37"/>
  <c r="G4356" i="37"/>
  <c r="G4355" i="37"/>
  <c r="F4352" i="37"/>
  <c r="G4352" i="37" s="1"/>
  <c r="F4351" i="37"/>
  <c r="G4351" i="37" s="1"/>
  <c r="G4347" i="37"/>
  <c r="G4345" i="37"/>
  <c r="G4344" i="37"/>
  <c r="F4341" i="37"/>
  <c r="G4341" i="37" s="1"/>
  <c r="F4340" i="37"/>
  <c r="G4340" i="37" s="1"/>
  <c r="G4336" i="37"/>
  <c r="G4334" i="37"/>
  <c r="G4333" i="37"/>
  <c r="F4330" i="37"/>
  <c r="G4330" i="37" s="1"/>
  <c r="F4329" i="37"/>
  <c r="G4329" i="37" s="1"/>
  <c r="G4325" i="37"/>
  <c r="G4323" i="37"/>
  <c r="G4322" i="37"/>
  <c r="F4319" i="37"/>
  <c r="G4319" i="37" s="1"/>
  <c r="F4318" i="37"/>
  <c r="G4318" i="37" s="1"/>
  <c r="G4313" i="37"/>
  <c r="G4311" i="37"/>
  <c r="G4310" i="37"/>
  <c r="F4307" i="37"/>
  <c r="G4307" i="37" s="1"/>
  <c r="F4306" i="37"/>
  <c r="G4306" i="37" s="1"/>
  <c r="G4302" i="37"/>
  <c r="G4300" i="37"/>
  <c r="G4299" i="37"/>
  <c r="F4296" i="37"/>
  <c r="G4296" i="37" s="1"/>
  <c r="F4295" i="37"/>
  <c r="G4295" i="37" s="1"/>
  <c r="G4291" i="37"/>
  <c r="G4289" i="37"/>
  <c r="G4288" i="37"/>
  <c r="F4285" i="37"/>
  <c r="G4285" i="37" s="1"/>
  <c r="F4284" i="37"/>
  <c r="G4284" i="37" s="1"/>
  <c r="G4280" i="37"/>
  <c r="G4278" i="37"/>
  <c r="G4277" i="37"/>
  <c r="F4274" i="37"/>
  <c r="G4274" i="37" s="1"/>
  <c r="F4273" i="37"/>
  <c r="G4273" i="37" s="1"/>
  <c r="G4269" i="37"/>
  <c r="G4267" i="37"/>
  <c r="G4266" i="37"/>
  <c r="F4263" i="37"/>
  <c r="G4263" i="37" s="1"/>
  <c r="F4262" i="37"/>
  <c r="G4262" i="37" s="1"/>
  <c r="G4258" i="37"/>
  <c r="G4256" i="37"/>
  <c r="G4255" i="37"/>
  <c r="F4252" i="37"/>
  <c r="G4252" i="37" s="1"/>
  <c r="F4251" i="37"/>
  <c r="G4251" i="37" s="1"/>
  <c r="G4246" i="37"/>
  <c r="G4244" i="37"/>
  <c r="G4243" i="37"/>
  <c r="F4240" i="37"/>
  <c r="G4240" i="37" s="1"/>
  <c r="F4239" i="37"/>
  <c r="G4239" i="37" s="1"/>
  <c r="G4235" i="37"/>
  <c r="G4233" i="37"/>
  <c r="G4232" i="37"/>
  <c r="F4229" i="37"/>
  <c r="G4229" i="37" s="1"/>
  <c r="F4228" i="37"/>
  <c r="G4228" i="37" s="1"/>
  <c r="G4224" i="37"/>
  <c r="G4222" i="37"/>
  <c r="G4221" i="37"/>
  <c r="F4218" i="37"/>
  <c r="G4218" i="37" s="1"/>
  <c r="F4217" i="37"/>
  <c r="G4217" i="37" s="1"/>
  <c r="G4213" i="37"/>
  <c r="G4211" i="37"/>
  <c r="G4210" i="37"/>
  <c r="F4207" i="37"/>
  <c r="G4207" i="37" s="1"/>
  <c r="F4206" i="37"/>
  <c r="G4206" i="37" s="1"/>
  <c r="G4201" i="37"/>
  <c r="G4199" i="37"/>
  <c r="G4198" i="37"/>
  <c r="F4195" i="37"/>
  <c r="G4195" i="37" s="1"/>
  <c r="F4194" i="37"/>
  <c r="G4194" i="37" s="1"/>
  <c r="G4190" i="37"/>
  <c r="G4188" i="37"/>
  <c r="G4187" i="37"/>
  <c r="F4184" i="37"/>
  <c r="G4184" i="37" s="1"/>
  <c r="F4183" i="37"/>
  <c r="G4183" i="37" s="1"/>
  <c r="G4179" i="37"/>
  <c r="G4177" i="37"/>
  <c r="G4176" i="37"/>
  <c r="F4173" i="37"/>
  <c r="G4173" i="37" s="1"/>
  <c r="F4172" i="37"/>
  <c r="G4172" i="37" s="1"/>
  <c r="G4168" i="37"/>
  <c r="G4166" i="37"/>
  <c r="G4165" i="37"/>
  <c r="F4162" i="37"/>
  <c r="G4162" i="37" s="1"/>
  <c r="F4161" i="37"/>
  <c r="G4161" i="37" s="1"/>
  <c r="G4157" i="37"/>
  <c r="G4155" i="37"/>
  <c r="G4154" i="37"/>
  <c r="F4151" i="37"/>
  <c r="G4151" i="37" s="1"/>
  <c r="F4150" i="37"/>
  <c r="G4150" i="37" s="1"/>
  <c r="G4146" i="37"/>
  <c r="G4144" i="37"/>
  <c r="G4143" i="37"/>
  <c r="F4140" i="37"/>
  <c r="G4140" i="37" s="1"/>
  <c r="F4139" i="37"/>
  <c r="G4139" i="37" s="1"/>
  <c r="G4135" i="37"/>
  <c r="G4133" i="37"/>
  <c r="G4132" i="37"/>
  <c r="F4129" i="37"/>
  <c r="G4129" i="37" s="1"/>
  <c r="F4128" i="37"/>
  <c r="G4128" i="37" s="1"/>
  <c r="G4121" i="37"/>
  <c r="G4119" i="37"/>
  <c r="G4118" i="37"/>
  <c r="F4115" i="37"/>
  <c r="G4115" i="37" s="1"/>
  <c r="F4114" i="37"/>
  <c r="G4114" i="37" s="1"/>
  <c r="C4111" i="37"/>
  <c r="G4107" i="37"/>
  <c r="G4106" i="37"/>
  <c r="F4105" i="37"/>
  <c r="G4105" i="37" s="1"/>
  <c r="F4103" i="37"/>
  <c r="G4103" i="37" s="1"/>
  <c r="F4102" i="37"/>
  <c r="G4102" i="37" s="1"/>
  <c r="F4098" i="37"/>
  <c r="G4098" i="37" s="1"/>
  <c r="G4096" i="37"/>
  <c r="G4095" i="37"/>
  <c r="F4092" i="37"/>
  <c r="G4092" i="37" s="1"/>
  <c r="F4091" i="37"/>
  <c r="G4091" i="37" s="1"/>
  <c r="C4086" i="37"/>
  <c r="G4082" i="37"/>
  <c r="G4081" i="37"/>
  <c r="F4078" i="37"/>
  <c r="G4078" i="37" s="1"/>
  <c r="G4070" i="37"/>
  <c r="G4071" i="37"/>
  <c r="F4073" i="37"/>
  <c r="G4073" i="37" s="1"/>
  <c r="F4097" i="37"/>
  <c r="G4097" i="37" s="1"/>
  <c r="G4060" i="37"/>
  <c r="G4059" i="37"/>
  <c r="G4058" i="37"/>
  <c r="G4057" i="37"/>
  <c r="G4049" i="37"/>
  <c r="G4048" i="37"/>
  <c r="G4047" i="37"/>
  <c r="G4046" i="37"/>
  <c r="G4035" i="37"/>
  <c r="G4036" i="37"/>
  <c r="G4037" i="37"/>
  <c r="G4038" i="37"/>
  <c r="C3846" i="37"/>
  <c r="J3840" i="37"/>
  <c r="E3842" i="37" s="1"/>
  <c r="J3839" i="37"/>
  <c r="E3841" i="37" s="1"/>
  <c r="J3838" i="37"/>
  <c r="E3840" i="37" s="1"/>
  <c r="J3837" i="37"/>
  <c r="E3839" i="37" s="1"/>
  <c r="C3836" i="37"/>
  <c r="J3830" i="37"/>
  <c r="E3832" i="37" s="1"/>
  <c r="J3829" i="37"/>
  <c r="E3831" i="37" s="1"/>
  <c r="J3828" i="37"/>
  <c r="E3830" i="37" s="1"/>
  <c r="J3827" i="37"/>
  <c r="E3829" i="37" s="1"/>
  <c r="F3829" i="37"/>
  <c r="G4024" i="37"/>
  <c r="G4023" i="37"/>
  <c r="G4010" i="37"/>
  <c r="G4009" i="37"/>
  <c r="F4007" i="37"/>
  <c r="G4007" i="37" s="1"/>
  <c r="G3994" i="37"/>
  <c r="G3995" i="37"/>
  <c r="F4414" i="37"/>
  <c r="G4414" i="37" s="1"/>
  <c r="F3997" i="37"/>
  <c r="G3997" i="37" s="1"/>
  <c r="G3979" i="37"/>
  <c r="F3042" i="37"/>
  <c r="G3042" i="37" s="1"/>
  <c r="G3976" i="37"/>
  <c r="G3964" i="37"/>
  <c r="G3965" i="37"/>
  <c r="G3966" i="37"/>
  <c r="C3958" i="37"/>
  <c r="F3957" i="37"/>
  <c r="G3955" i="37"/>
  <c r="G3954" i="37"/>
  <c r="F3949" i="37"/>
  <c r="G3949" i="37" s="1"/>
  <c r="F3946" i="37"/>
  <c r="G3944" i="37"/>
  <c r="G3943" i="37"/>
  <c r="F3939" i="37"/>
  <c r="G3939" i="37" s="1"/>
  <c r="C3935" i="37"/>
  <c r="F3934" i="37"/>
  <c r="G3932" i="37"/>
  <c r="G3931" i="37"/>
  <c r="F3923" i="37"/>
  <c r="G3921" i="37"/>
  <c r="G3920" i="37"/>
  <c r="G3911" i="37"/>
  <c r="J3906" i="37"/>
  <c r="E3908" i="37" s="1"/>
  <c r="J3905" i="37"/>
  <c r="E3907" i="37" s="1"/>
  <c r="J3904" i="37"/>
  <c r="E3906" i="37" s="1"/>
  <c r="J3903" i="37"/>
  <c r="E3905" i="37" s="1"/>
  <c r="C3912" i="37"/>
  <c r="G3910" i="37"/>
  <c r="G3909" i="37"/>
  <c r="C3902" i="37"/>
  <c r="G3900" i="37"/>
  <c r="G3899" i="37"/>
  <c r="C3891" i="37"/>
  <c r="G3890" i="37"/>
  <c r="G3889" i="37"/>
  <c r="G3888" i="37"/>
  <c r="F3883" i="37"/>
  <c r="G3883" i="37" s="1"/>
  <c r="J3874" i="37"/>
  <c r="E3876" i="37" s="1"/>
  <c r="J3873" i="37"/>
  <c r="E3875" i="37" s="1"/>
  <c r="J3872" i="37"/>
  <c r="E3874" i="37" s="1"/>
  <c r="J3871" i="37"/>
  <c r="E3873" i="37" s="1"/>
  <c r="J3870" i="37"/>
  <c r="E3872" i="37" s="1"/>
  <c r="C3880" i="37"/>
  <c r="G3878" i="37"/>
  <c r="G3877" i="37"/>
  <c r="C3869" i="37"/>
  <c r="F3868" i="37"/>
  <c r="G3866" i="37"/>
  <c r="G3865" i="37"/>
  <c r="F3860" i="37"/>
  <c r="G3860" i="37" s="1"/>
  <c r="F3857" i="37"/>
  <c r="G3855" i="37"/>
  <c r="G3854" i="37"/>
  <c r="F3850" i="37"/>
  <c r="G3850" i="37" s="1"/>
  <c r="G3813" i="37"/>
  <c r="F3803" i="37"/>
  <c r="G3801" i="37"/>
  <c r="G3800" i="37"/>
  <c r="F3792" i="37"/>
  <c r="G3790" i="37"/>
  <c r="G3789" i="37"/>
  <c r="F3780" i="37"/>
  <c r="G3778" i="37"/>
  <c r="G3777" i="37"/>
  <c r="F3769" i="37"/>
  <c r="G3767" i="37"/>
  <c r="G3766" i="37"/>
  <c r="F3757" i="37"/>
  <c r="G3755" i="37"/>
  <c r="G3754" i="37"/>
  <c r="F3746" i="37"/>
  <c r="G3744" i="37"/>
  <c r="G3743" i="37"/>
  <c r="F3734" i="37"/>
  <c r="G3732" i="37"/>
  <c r="G3731" i="37"/>
  <c r="F3723" i="37"/>
  <c r="G3721" i="37"/>
  <c r="G3720" i="37"/>
  <c r="F3711" i="37"/>
  <c r="G3709" i="37"/>
  <c r="G3708" i="37"/>
  <c r="F3700" i="37"/>
  <c r="G3698" i="37"/>
  <c r="G3697" i="37"/>
  <c r="G3685" i="37"/>
  <c r="G3686" i="37"/>
  <c r="G3674" i="37"/>
  <c r="G3675" i="37"/>
  <c r="F3840" i="37"/>
  <c r="F4419" i="37"/>
  <c r="G4419" i="37" s="1"/>
  <c r="J313" i="10"/>
  <c r="D313" i="10" s="1"/>
  <c r="F3670" i="37"/>
  <c r="J312" i="10"/>
  <c r="D312" i="10" s="1"/>
  <c r="C3689" i="37"/>
  <c r="C3712" i="37"/>
  <c r="C3735" i="37"/>
  <c r="C3758" i="37"/>
  <c r="C3781" i="37"/>
  <c r="C3804" i="37"/>
  <c r="C3814" i="37"/>
  <c r="C3824" i="37"/>
  <c r="J3818" i="37"/>
  <c r="E3820" i="37" s="1"/>
  <c r="J3817" i="37"/>
  <c r="E3819" i="37" s="1"/>
  <c r="J3816" i="37"/>
  <c r="E3818" i="37" s="1"/>
  <c r="J3815" i="37"/>
  <c r="E3817" i="37" s="1"/>
  <c r="J3808" i="37"/>
  <c r="E3810" i="37" s="1"/>
  <c r="J3807" i="37"/>
  <c r="E3809" i="37" s="1"/>
  <c r="J3806" i="37"/>
  <c r="E3808" i="37" s="1"/>
  <c r="J3805" i="37"/>
  <c r="E3807" i="37" s="1"/>
  <c r="L3796" i="37"/>
  <c r="E3799" i="37" s="1"/>
  <c r="L3795" i="37"/>
  <c r="E3798" i="37" s="1"/>
  <c r="L3794" i="37"/>
  <c r="E3797" i="37" s="1"/>
  <c r="L3793" i="37"/>
  <c r="E3796" i="37" s="1"/>
  <c r="L3792" i="37"/>
  <c r="E3795" i="37" s="1"/>
  <c r="L3786" i="37"/>
  <c r="E3788" i="37" s="1"/>
  <c r="L3785" i="37"/>
  <c r="E3787" i="37" s="1"/>
  <c r="L3784" i="37"/>
  <c r="E3786" i="37" s="1"/>
  <c r="L3783" i="37"/>
  <c r="E3785" i="37" s="1"/>
  <c r="L3773" i="37"/>
  <c r="E3776" i="37" s="1"/>
  <c r="L3772" i="37"/>
  <c r="E3775" i="37" s="1"/>
  <c r="L3771" i="37"/>
  <c r="E3774" i="37" s="1"/>
  <c r="L3770" i="37"/>
  <c r="E3773" i="37" s="1"/>
  <c r="L3769" i="37"/>
  <c r="E3772" i="37" s="1"/>
  <c r="L3763" i="37"/>
  <c r="E3765" i="37" s="1"/>
  <c r="L3762" i="37"/>
  <c r="E3764" i="37" s="1"/>
  <c r="L3761" i="37"/>
  <c r="E3763" i="37" s="1"/>
  <c r="L3760" i="37"/>
  <c r="E3762" i="37" s="1"/>
  <c r="L3750" i="37"/>
  <c r="E3753" i="37" s="1"/>
  <c r="L3749" i="37"/>
  <c r="E3752" i="37" s="1"/>
  <c r="L3748" i="37"/>
  <c r="E3751" i="37" s="1"/>
  <c r="L3747" i="37"/>
  <c r="E3750" i="37" s="1"/>
  <c r="L3746" i="37"/>
  <c r="E3749" i="37" s="1"/>
  <c r="L3740" i="37"/>
  <c r="E3742" i="37" s="1"/>
  <c r="L3739" i="37"/>
  <c r="E3741" i="37" s="1"/>
  <c r="L3738" i="37"/>
  <c r="E3740" i="37" s="1"/>
  <c r="L3737" i="37"/>
  <c r="E3739" i="37" s="1"/>
  <c r="L3728" i="37"/>
  <c r="E3730" i="37" s="1"/>
  <c r="L3727" i="37"/>
  <c r="E3729" i="37" s="1"/>
  <c r="L3726" i="37"/>
  <c r="E3728" i="37" s="1"/>
  <c r="L3725" i="37"/>
  <c r="E3727" i="37" s="1"/>
  <c r="L3724" i="37"/>
  <c r="E3726" i="37" s="1"/>
  <c r="L3717" i="37"/>
  <c r="E3719" i="37" s="1"/>
  <c r="L3716" i="37"/>
  <c r="E3718" i="37" s="1"/>
  <c r="L3715" i="37"/>
  <c r="E3717" i="37" s="1"/>
  <c r="L3714" i="37"/>
  <c r="E3716" i="37" s="1"/>
  <c r="F3688" i="37"/>
  <c r="F3677" i="37"/>
  <c r="L3705" i="37"/>
  <c r="E3707" i="37" s="1"/>
  <c r="L3704" i="37"/>
  <c r="E3706" i="37" s="1"/>
  <c r="L3703" i="37"/>
  <c r="E3705" i="37" s="1"/>
  <c r="L3702" i="37"/>
  <c r="E3704" i="37" s="1"/>
  <c r="L3701" i="37"/>
  <c r="E3703" i="37" s="1"/>
  <c r="L3693" i="37"/>
  <c r="E3696" i="37" s="1"/>
  <c r="L3692" i="37"/>
  <c r="E3695" i="37" s="1"/>
  <c r="L3691" i="37"/>
  <c r="E3694" i="37" s="1"/>
  <c r="L3690" i="37"/>
  <c r="E3693" i="37" s="1"/>
  <c r="B3690" i="37"/>
  <c r="B3713" i="37" s="1"/>
  <c r="B3736" i="37" s="1"/>
  <c r="B3759" i="37" s="1"/>
  <c r="B3782" i="37" s="1"/>
  <c r="B3805" i="37" s="1"/>
  <c r="B3815" i="37" s="1"/>
  <c r="L3682" i="37"/>
  <c r="E3684" i="37" s="1"/>
  <c r="L3681" i="37"/>
  <c r="E3683" i="37" s="1"/>
  <c r="L3680" i="37"/>
  <c r="E3682" i="37" s="1"/>
  <c r="L3679" i="37"/>
  <c r="E3681" i="37" s="1"/>
  <c r="L3678" i="37"/>
  <c r="E3680" i="37" s="1"/>
  <c r="L3671" i="37"/>
  <c r="E3673" i="37" s="1"/>
  <c r="L3670" i="37"/>
  <c r="E3672" i="37" s="1"/>
  <c r="L3669" i="37"/>
  <c r="E3671" i="37" s="1"/>
  <c r="L3668" i="37"/>
  <c r="E3670" i="37" s="1"/>
  <c r="G3605" i="37"/>
  <c r="B74" i="37"/>
  <c r="B82" i="37" s="1"/>
  <c r="E80" i="37"/>
  <c r="G84" i="37"/>
  <c r="G89" i="37"/>
  <c r="G120" i="37"/>
  <c r="G121" i="37"/>
  <c r="G122" i="37"/>
  <c r="G123" i="37"/>
  <c r="E124" i="37"/>
  <c r="E125" i="37"/>
  <c r="G126" i="37"/>
  <c r="B131" i="37"/>
  <c r="B135" i="37" s="1"/>
  <c r="B139" i="37" s="1"/>
  <c r="F168" i="37"/>
  <c r="G168" i="37" s="1"/>
  <c r="F169" i="37"/>
  <c r="G169" i="37" s="1"/>
  <c r="F175" i="37"/>
  <c r="G175" i="37" s="1"/>
  <c r="F176" i="37"/>
  <c r="G176" i="37" s="1"/>
  <c r="G182" i="37"/>
  <c r="G192" i="37"/>
  <c r="G218" i="37"/>
  <c r="J221" i="37"/>
  <c r="E264" i="37"/>
  <c r="E265" i="37"/>
  <c r="E278" i="37"/>
  <c r="E279" i="37"/>
  <c r="E295" i="37"/>
  <c r="B396" i="37"/>
  <c r="B410" i="37" s="1"/>
  <c r="B423" i="37" s="1"/>
  <c r="E360" i="37"/>
  <c r="F464" i="37"/>
  <c r="G464" i="37" s="1"/>
  <c r="F465" i="37"/>
  <c r="G465" i="37" s="1"/>
  <c r="F468" i="37"/>
  <c r="G468" i="37" s="1"/>
  <c r="F470" i="37"/>
  <c r="G470" i="37" s="1"/>
  <c r="G471" i="37"/>
  <c r="G483" i="37"/>
  <c r="E488" i="37"/>
  <c r="L502" i="37"/>
  <c r="E503" i="37"/>
  <c r="L503" i="37"/>
  <c r="L504" i="37"/>
  <c r="E521" i="37"/>
  <c r="E540" i="37"/>
  <c r="K540" i="37" s="1"/>
  <c r="J541" i="37"/>
  <c r="E559" i="37"/>
  <c r="K559" i="37" s="1"/>
  <c r="J560" i="37"/>
  <c r="E576" i="37"/>
  <c r="E577" i="37"/>
  <c r="E594" i="37"/>
  <c r="E595" i="37"/>
  <c r="G755" i="37"/>
  <c r="E874" i="37"/>
  <c r="F874" i="37"/>
  <c r="E875" i="37"/>
  <c r="F875" i="37"/>
  <c r="F876" i="37"/>
  <c r="G876" i="37" s="1"/>
  <c r="F877" i="37"/>
  <c r="G877" i="37" s="1"/>
  <c r="F880" i="37"/>
  <c r="G880" i="37" s="1"/>
  <c r="F881" i="37"/>
  <c r="G881" i="37" s="1"/>
  <c r="F882" i="37"/>
  <c r="G882" i="37" s="1"/>
  <c r="F889" i="37"/>
  <c r="G889" i="37" s="1"/>
  <c r="F890" i="37"/>
  <c r="G890" i="37" s="1"/>
  <c r="F893" i="37"/>
  <c r="G893" i="37" s="1"/>
  <c r="F894" i="37"/>
  <c r="G894" i="37" s="1"/>
  <c r="F895" i="37"/>
  <c r="G895" i="37" s="1"/>
  <c r="F896" i="37"/>
  <c r="G896" i="37" s="1"/>
  <c r="F899" i="37"/>
  <c r="G899" i="37" s="1"/>
  <c r="G935" i="37"/>
  <c r="G952" i="37"/>
  <c r="G962" i="37"/>
  <c r="F997" i="37"/>
  <c r="G997" i="37" s="1"/>
  <c r="F1000" i="37"/>
  <c r="G1000" i="37" s="1"/>
  <c r="F1001" i="37"/>
  <c r="G1001" i="37" s="1"/>
  <c r="F1002" i="37"/>
  <c r="G1002" i="37" s="1"/>
  <c r="F1005" i="37"/>
  <c r="G1005" i="37" s="1"/>
  <c r="F1006" i="37"/>
  <c r="G1006" i="37" s="1"/>
  <c r="F1007" i="37"/>
  <c r="G1007" i="37" s="1"/>
  <c r="F1013" i="37"/>
  <c r="G1013" i="37" s="1"/>
  <c r="F1016" i="37"/>
  <c r="G1016" i="37" s="1"/>
  <c r="F1017" i="37"/>
  <c r="G1017" i="37" s="1"/>
  <c r="F1018" i="37"/>
  <c r="G1018" i="37" s="1"/>
  <c r="F1021" i="37"/>
  <c r="G1021" i="37" s="1"/>
  <c r="F1022" i="37"/>
  <c r="G1022" i="37" s="1"/>
  <c r="F1023" i="37"/>
  <c r="G1023" i="37" s="1"/>
  <c r="F1035" i="37"/>
  <c r="G1035" i="37" s="1"/>
  <c r="F1036" i="37"/>
  <c r="G1036" i="37" s="1"/>
  <c r="F1037" i="37"/>
  <c r="G1037" i="37" s="1"/>
  <c r="E1053" i="37"/>
  <c r="B1124" i="37"/>
  <c r="B1129" i="37" s="1"/>
  <c r="B1138" i="37" s="1"/>
  <c r="B1149" i="37" s="1"/>
  <c r="B1157" i="37" s="1"/>
  <c r="G1127" i="37"/>
  <c r="G1159" i="37"/>
  <c r="G1160" i="37"/>
  <c r="E1185" i="37"/>
  <c r="E1186" i="37"/>
  <c r="E1187" i="37"/>
  <c r="E1188" i="37"/>
  <c r="F1189" i="37"/>
  <c r="G1189" i="37" s="1"/>
  <c r="E1198" i="37"/>
  <c r="E1202" i="37"/>
  <c r="E1203" i="37"/>
  <c r="E1217" i="37"/>
  <c r="G1217" i="37" s="1"/>
  <c r="E1218" i="37"/>
  <c r="G1218" i="37" s="1"/>
  <c r="E1219" i="37"/>
  <c r="G1219" i="37" s="1"/>
  <c r="E1220" i="37"/>
  <c r="G1220" i="37" s="1"/>
  <c r="G1255" i="37"/>
  <c r="G1256" i="37"/>
  <c r="F1257" i="37"/>
  <c r="G1257" i="37" s="1"/>
  <c r="G1258" i="37"/>
  <c r="G1259" i="37"/>
  <c r="G1260" i="37"/>
  <c r="E1270" i="37"/>
  <c r="G1274" i="37"/>
  <c r="L1280" i="37"/>
  <c r="E1280" i="37" s="1"/>
  <c r="L1281" i="37"/>
  <c r="E1281" i="37" s="1"/>
  <c r="L1282" i="37"/>
  <c r="E1282" i="37" s="1"/>
  <c r="L1283" i="37"/>
  <c r="E1283" i="37" s="1"/>
  <c r="G1290" i="37"/>
  <c r="G1291" i="37"/>
  <c r="F1292" i="37"/>
  <c r="G1292" i="37" s="1"/>
  <c r="G1293" i="37"/>
  <c r="G1294" i="37"/>
  <c r="E1300" i="37"/>
  <c r="E1319" i="37"/>
  <c r="E1320" i="37"/>
  <c r="E1321" i="37"/>
  <c r="E1322" i="37"/>
  <c r="B1386" i="37"/>
  <c r="E1435" i="37"/>
  <c r="E1436" i="37"/>
  <c r="E1450" i="37"/>
  <c r="E1451" i="37"/>
  <c r="E1464" i="37"/>
  <c r="E1465" i="37"/>
  <c r="G1477" i="37"/>
  <c r="G1478" i="37"/>
  <c r="G1479" i="37"/>
  <c r="G1480" i="37"/>
  <c r="E1509" i="37"/>
  <c r="E1524" i="37"/>
  <c r="G1524" i="37" s="1"/>
  <c r="E1564" i="37"/>
  <c r="E1565" i="37"/>
  <c r="E1624" i="37"/>
  <c r="E1632" i="37"/>
  <c r="G1644" i="37"/>
  <c r="G1645" i="37"/>
  <c r="E1646" i="37"/>
  <c r="G1647" i="37"/>
  <c r="F1653" i="37"/>
  <c r="G1653" i="37" s="1"/>
  <c r="G1658" i="37"/>
  <c r="G1659" i="37"/>
  <c r="F1689" i="37"/>
  <c r="G1689" i="37" s="1"/>
  <c r="F1690" i="37"/>
  <c r="G1690" i="37" s="1"/>
  <c r="F1693" i="37"/>
  <c r="G1693" i="37" s="1"/>
  <c r="F1694" i="37"/>
  <c r="G1694" i="37" s="1"/>
  <c r="F1695" i="37"/>
  <c r="G1695" i="37" s="1"/>
  <c r="F1696" i="37"/>
  <c r="G1696" i="37" s="1"/>
  <c r="F1726" i="37"/>
  <c r="G1726" i="37" s="1"/>
  <c r="F1727" i="37"/>
  <c r="G1727" i="37" s="1"/>
  <c r="F1730" i="37"/>
  <c r="G1730" i="37" s="1"/>
  <c r="F1731" i="37"/>
  <c r="G1731" i="37" s="1"/>
  <c r="F1732" i="37"/>
  <c r="G1732" i="37" s="1"/>
  <c r="F1733" i="37"/>
  <c r="G1733" i="37" s="1"/>
  <c r="G1816" i="37"/>
  <c r="E1817" i="37"/>
  <c r="E1818" i="37"/>
  <c r="E1819" i="37"/>
  <c r="E1820" i="37"/>
  <c r="G1820" i="37" s="1"/>
  <c r="E1822" i="37"/>
  <c r="E1823" i="37"/>
  <c r="L1823" i="37"/>
  <c r="L1824" i="37" s="1"/>
  <c r="E1824" i="37"/>
  <c r="E1825" i="37"/>
  <c r="K1825" i="37"/>
  <c r="K1828" i="37" s="1"/>
  <c r="E1826" i="37"/>
  <c r="E1827" i="37"/>
  <c r="G1827" i="37" s="1"/>
  <c r="E1845" i="37"/>
  <c r="E1848" i="37"/>
  <c r="G1848" i="37" s="1"/>
  <c r="E1852" i="37"/>
  <c r="G1861" i="37"/>
  <c r="E1862" i="37"/>
  <c r="E1872" i="37"/>
  <c r="L1916" i="37"/>
  <c r="E1917" i="37"/>
  <c r="K1917" i="37"/>
  <c r="K1918" i="37" s="1"/>
  <c r="F1923" i="37"/>
  <c r="G1923" i="37" s="1"/>
  <c r="F1924" i="37"/>
  <c r="G1924" i="37" s="1"/>
  <c r="F1925" i="37"/>
  <c r="G1925" i="37" s="1"/>
  <c r="E1928" i="37"/>
  <c r="L1957" i="37"/>
  <c r="K1958" i="37"/>
  <c r="G1960" i="37"/>
  <c r="G1969" i="37"/>
  <c r="L1969" i="37"/>
  <c r="G1970" i="37"/>
  <c r="K1970" i="37"/>
  <c r="G1971" i="37"/>
  <c r="G1972" i="37"/>
  <c r="G1973" i="37"/>
  <c r="G1977" i="37"/>
  <c r="G1978" i="37"/>
  <c r="G1983" i="37"/>
  <c r="G1984" i="37"/>
  <c r="G1985" i="37"/>
  <c r="G1988" i="37"/>
  <c r="K1988" i="37"/>
  <c r="G1989" i="37"/>
  <c r="F1991" i="37"/>
  <c r="G1991" i="37" s="1"/>
  <c r="G1994" i="37"/>
  <c r="G1995" i="37"/>
  <c r="G2000" i="37"/>
  <c r="G2001" i="37"/>
  <c r="G2002" i="37"/>
  <c r="F2012" i="37"/>
  <c r="G2012" i="37" s="1"/>
  <c r="F2014" i="37"/>
  <c r="G2014" i="37" s="1"/>
  <c r="F2018" i="37"/>
  <c r="G2018" i="37" s="1"/>
  <c r="F2019" i="37"/>
  <c r="G2019" i="37" s="1"/>
  <c r="F2020" i="37"/>
  <c r="G2020" i="37" s="1"/>
  <c r="G2028" i="37"/>
  <c r="G2032" i="37"/>
  <c r="G2033" i="37"/>
  <c r="G2034" i="37"/>
  <c r="G2035" i="37"/>
  <c r="F2040" i="37"/>
  <c r="G2040" i="37" s="1"/>
  <c r="G2043" i="37"/>
  <c r="G2044" i="37"/>
  <c r="G2045" i="37"/>
  <c r="G2046" i="37"/>
  <c r="E2050" i="37"/>
  <c r="E2051" i="37"/>
  <c r="L2051" i="37"/>
  <c r="G2061" i="37"/>
  <c r="G2077" i="37"/>
  <c r="G2093" i="37"/>
  <c r="F2098" i="37"/>
  <c r="G2098" i="37" s="1"/>
  <c r="F2099" i="37"/>
  <c r="G2099" i="37" s="1"/>
  <c r="F2102" i="37"/>
  <c r="G2102" i="37" s="1"/>
  <c r="F2103" i="37"/>
  <c r="G2103" i="37" s="1"/>
  <c r="F2104" i="37"/>
  <c r="G2104" i="37" s="1"/>
  <c r="E2123" i="37"/>
  <c r="E2124" i="37" s="1"/>
  <c r="E2125" i="37"/>
  <c r="E2126" i="37"/>
  <c r="E2127" i="37"/>
  <c r="E2128" i="37"/>
  <c r="K2131" i="37"/>
  <c r="E2134" i="37"/>
  <c r="K2134" i="37"/>
  <c r="K2184" i="37" s="1"/>
  <c r="K2186" i="37" s="1"/>
  <c r="F2138" i="37"/>
  <c r="G2138" i="37" s="1"/>
  <c r="F2139" i="37"/>
  <c r="G2139" i="37" s="1"/>
  <c r="G2140" i="37"/>
  <c r="G2141" i="37"/>
  <c r="G2142" i="37"/>
  <c r="E2143" i="37"/>
  <c r="E2150" i="37"/>
  <c r="E2151" i="37" s="1"/>
  <c r="E2312" i="37" s="1"/>
  <c r="E2152" i="37"/>
  <c r="E2313" i="37" s="1"/>
  <c r="E2153" i="37"/>
  <c r="E2314" i="37" s="1"/>
  <c r="E2154" i="37"/>
  <c r="E2315" i="37" s="1"/>
  <c r="E2155" i="37"/>
  <c r="E2184" i="37"/>
  <c r="F2188" i="37"/>
  <c r="G2188" i="37" s="1"/>
  <c r="F2189" i="37"/>
  <c r="G2189" i="37" s="1"/>
  <c r="F2190" i="37"/>
  <c r="G2190" i="37" s="1"/>
  <c r="E2194" i="37"/>
  <c r="E2195" i="37"/>
  <c r="E2200" i="37"/>
  <c r="E2201" i="37" s="1"/>
  <c r="E2202" i="37"/>
  <c r="E2335" i="37" s="1"/>
  <c r="E2203" i="37"/>
  <c r="E2336" i="37" s="1"/>
  <c r="E2204" i="37"/>
  <c r="E2337" i="37" s="1"/>
  <c r="E2205" i="37"/>
  <c r="E2210" i="37"/>
  <c r="E2211" i="37" s="1"/>
  <c r="E2212" i="37"/>
  <c r="E2213" i="37"/>
  <c r="E2214" i="37"/>
  <c r="E2215" i="37"/>
  <c r="E2223" i="37"/>
  <c r="E2224" i="37" s="1"/>
  <c r="E2225" i="37"/>
  <c r="E2226" i="37"/>
  <c r="E2238" i="37"/>
  <c r="E2239" i="37" s="1"/>
  <c r="E2240" i="37"/>
  <c r="K2240" i="37"/>
  <c r="E2241" i="37"/>
  <c r="F2243" i="37"/>
  <c r="G2243" i="37" s="1"/>
  <c r="N2243" i="37"/>
  <c r="B2248" i="37"/>
  <c r="B2259" i="37" s="1"/>
  <c r="B2269" i="37" s="1"/>
  <c r="B2279" i="37" s="1"/>
  <c r="B2289" i="37" s="1"/>
  <c r="E2251" i="37"/>
  <c r="E2255" i="37"/>
  <c r="E2256" i="37"/>
  <c r="E2262" i="37"/>
  <c r="E2266" i="37"/>
  <c r="E2267" i="37"/>
  <c r="E2272" i="37"/>
  <c r="E2276" i="37"/>
  <c r="E2277" i="37"/>
  <c r="E2282" i="37"/>
  <c r="E2286" i="37"/>
  <c r="E2287" i="37"/>
  <c r="E2292" i="37"/>
  <c r="E2296" i="37"/>
  <c r="E2297" i="37"/>
  <c r="J2297" i="37"/>
  <c r="F2302" i="37"/>
  <c r="G2302" i="37" s="1"/>
  <c r="K2302" i="37"/>
  <c r="F2303" i="37"/>
  <c r="G2303" i="37" s="1"/>
  <c r="G2325" i="37" s="1"/>
  <c r="F2304" i="37"/>
  <c r="G2304" i="37" s="1"/>
  <c r="G2326" i="37" s="1"/>
  <c r="E2316" i="37"/>
  <c r="E2317" i="37"/>
  <c r="E2324" i="37"/>
  <c r="F2324" i="37"/>
  <c r="K2324" i="37"/>
  <c r="E2325" i="37"/>
  <c r="F2325" i="37"/>
  <c r="E2326" i="37"/>
  <c r="E2329" i="37"/>
  <c r="E2330" i="37"/>
  <c r="E2331" i="37"/>
  <c r="E2338" i="37"/>
  <c r="E2339" i="37"/>
  <c r="F2367" i="37"/>
  <c r="G2367" i="37" s="1"/>
  <c r="E2405" i="37"/>
  <c r="F2414" i="37"/>
  <c r="G2414" i="37" s="1"/>
  <c r="F2432" i="37"/>
  <c r="G2432" i="37" s="1"/>
  <c r="E2433" i="37"/>
  <c r="F2433" i="37"/>
  <c r="E2434" i="37"/>
  <c r="F2434" i="37"/>
  <c r="F2443" i="37"/>
  <c r="G2443" i="37" s="1"/>
  <c r="F2476" i="37"/>
  <c r="G2476" i="37" s="1"/>
  <c r="E2489" i="37"/>
  <c r="E2490" i="37"/>
  <c r="G2517" i="37"/>
  <c r="G2534" i="37"/>
  <c r="G2519" i="37"/>
  <c r="G2520" i="37"/>
  <c r="G2523" i="37"/>
  <c r="F2531" i="37"/>
  <c r="F2532" i="37"/>
  <c r="G2533" i="37"/>
  <c r="G2565" i="37"/>
  <c r="J2568" i="37"/>
  <c r="E2570" i="37"/>
  <c r="F2570" i="37"/>
  <c r="E2571" i="37"/>
  <c r="F2571" i="37"/>
  <c r="E2572" i="37"/>
  <c r="F2572" i="37"/>
  <c r="G2581" i="37"/>
  <c r="J2584" i="37"/>
  <c r="E2586" i="37"/>
  <c r="F2586" i="37"/>
  <c r="E2587" i="37"/>
  <c r="F2587" i="37"/>
  <c r="E2588" i="37"/>
  <c r="F2588" i="37"/>
  <c r="G2628" i="37"/>
  <c r="E2633" i="37"/>
  <c r="E2634" i="37"/>
  <c r="F2634" i="37"/>
  <c r="E2635" i="37"/>
  <c r="F2635" i="37"/>
  <c r="J2635" i="37"/>
  <c r="G2643" i="37"/>
  <c r="E2648" i="37"/>
  <c r="E2649" i="37"/>
  <c r="F2649" i="37"/>
  <c r="E2650" i="37"/>
  <c r="F2650" i="37"/>
  <c r="J2650" i="37"/>
  <c r="E2668" i="37"/>
  <c r="F2668" i="37"/>
  <c r="E2669" i="37"/>
  <c r="F2669" i="37"/>
  <c r="G2670" i="37"/>
  <c r="G2671" i="37"/>
  <c r="E2672" i="37"/>
  <c r="F2672" i="37"/>
  <c r="E2673" i="37"/>
  <c r="F2673" i="37"/>
  <c r="E2678" i="37"/>
  <c r="F2678" i="37"/>
  <c r="E2679" i="37"/>
  <c r="G2685" i="37"/>
  <c r="E2693" i="37"/>
  <c r="F2693" i="37"/>
  <c r="E2694" i="37"/>
  <c r="G2701" i="37"/>
  <c r="F2713" i="37"/>
  <c r="G2713" i="37" s="1"/>
  <c r="G2725" i="37"/>
  <c r="G2726" i="37"/>
  <c r="G2730" i="37"/>
  <c r="G2733" i="37"/>
  <c r="F2747" i="37"/>
  <c r="G2747" i="37" s="1"/>
  <c r="F2748" i="37"/>
  <c r="G2748" i="37" s="1"/>
  <c r="F2749" i="37"/>
  <c r="G2749" i="37" s="1"/>
  <c r="G2750" i="37"/>
  <c r="E2751" i="37"/>
  <c r="I2751" i="37"/>
  <c r="G2781" i="37"/>
  <c r="E2784" i="37"/>
  <c r="E2799" i="37"/>
  <c r="E2800" i="37"/>
  <c r="E2811" i="37"/>
  <c r="E2812" i="37"/>
  <c r="F2812" i="37"/>
  <c r="E2813" i="37"/>
  <c r="F2813" i="37"/>
  <c r="J2813" i="37"/>
  <c r="G2819" i="37"/>
  <c r="G2820" i="37"/>
  <c r="G2823" i="37"/>
  <c r="G2826" i="37"/>
  <c r="G2827" i="37"/>
  <c r="G2828" i="37"/>
  <c r="G2829" i="37"/>
  <c r="G2840" i="37"/>
  <c r="G2843" i="37"/>
  <c r="G2844" i="37"/>
  <c r="G2845" i="37"/>
  <c r="G2846" i="37"/>
  <c r="E2864" i="37"/>
  <c r="F2865" i="37"/>
  <c r="F2869" i="37"/>
  <c r="F2870" i="37"/>
  <c r="F2871" i="37"/>
  <c r="F2876" i="37"/>
  <c r="F2882" i="37"/>
  <c r="E2897" i="37"/>
  <c r="E2925" i="37"/>
  <c r="F2941" i="37"/>
  <c r="G2941" i="37" s="1"/>
  <c r="G2943" i="37"/>
  <c r="G2944" i="37"/>
  <c r="G2945" i="37"/>
  <c r="F2946" i="37"/>
  <c r="G2946" i="37" s="1"/>
  <c r="F2948" i="37"/>
  <c r="G2948" i="37" s="1"/>
  <c r="F2949" i="37"/>
  <c r="G2949" i="37" s="1"/>
  <c r="E2953" i="37"/>
  <c r="E2954" i="37"/>
  <c r="E2955" i="37"/>
  <c r="E2958" i="37"/>
  <c r="E2962" i="37"/>
  <c r="E2963" i="37"/>
  <c r="E2964" i="37"/>
  <c r="E2966" i="37"/>
  <c r="E2967" i="37"/>
  <c r="E2970" i="37"/>
  <c r="E2971" i="37"/>
  <c r="E2972" i="37"/>
  <c r="E2976" i="37"/>
  <c r="E2981" i="37"/>
  <c r="E2982" i="37"/>
  <c r="E2983" i="37"/>
  <c r="E2985" i="37"/>
  <c r="E2986" i="37"/>
  <c r="E2989" i="37"/>
  <c r="E2990" i="37"/>
  <c r="E2991" i="37"/>
  <c r="E2994" i="37"/>
  <c r="E2995" i="37"/>
  <c r="B3016" i="37"/>
  <c r="B3021" i="37" s="1"/>
  <c r="G3019" i="37"/>
  <c r="G3027" i="37"/>
  <c r="G3028" i="37"/>
  <c r="G3031" i="37"/>
  <c r="K3051" i="37"/>
  <c r="K3052" i="37"/>
  <c r="K3053" i="37"/>
  <c r="I3054" i="37"/>
  <c r="K3054" i="37"/>
  <c r="G3055" i="37"/>
  <c r="G3056" i="37"/>
  <c r="G3058" i="37"/>
  <c r="G3059" i="37"/>
  <c r="E3064" i="37"/>
  <c r="E3065" i="37"/>
  <c r="E3066" i="37"/>
  <c r="E3067" i="37"/>
  <c r="G3068" i="37"/>
  <c r="G3069" i="37"/>
  <c r="E3070" i="37"/>
  <c r="G3072" i="37"/>
  <c r="G3073" i="37"/>
  <c r="G3220" i="37"/>
  <c r="G3221" i="37"/>
  <c r="G3222" i="37"/>
  <c r="G3223" i="37"/>
  <c r="G3226" i="37"/>
  <c r="G3227" i="37"/>
  <c r="G3233" i="37"/>
  <c r="F3238" i="37"/>
  <c r="G3238" i="37" s="1"/>
  <c r="G3239" i="37"/>
  <c r="G3240" i="37"/>
  <c r="F3241" i="37"/>
  <c r="G3241" i="37" s="1"/>
  <c r="G3242" i="37"/>
  <c r="G3243" i="37"/>
  <c r="F3256" i="37"/>
  <c r="F3258" i="37"/>
  <c r="G3268" i="37"/>
  <c r="F3274" i="37"/>
  <c r="F3276" i="37"/>
  <c r="G3284" i="37"/>
  <c r="G3285" i="37"/>
  <c r="G3286" i="37"/>
  <c r="G3287" i="37"/>
  <c r="F3288" i="37"/>
  <c r="G3288" i="37" s="1"/>
  <c r="G3294" i="37"/>
  <c r="G3295" i="37"/>
  <c r="G3297" i="37"/>
  <c r="G3298" i="37"/>
  <c r="G3299" i="37"/>
  <c r="G3314" i="37"/>
  <c r="G3315" i="37"/>
  <c r="G3317" i="37"/>
  <c r="G3318" i="37"/>
  <c r="G3319" i="37"/>
  <c r="G3334" i="37"/>
  <c r="G3335" i="37"/>
  <c r="G3337" i="37"/>
  <c r="G3338" i="37"/>
  <c r="G3339" i="37"/>
  <c r="G3344" i="37"/>
  <c r="G3345" i="37"/>
  <c r="G3347" i="37"/>
  <c r="G3348" i="37"/>
  <c r="G3349" i="37"/>
  <c r="G3354" i="37"/>
  <c r="G3355" i="37"/>
  <c r="G3357" i="37"/>
  <c r="G3358" i="37"/>
  <c r="G3359" i="37"/>
  <c r="G3373" i="37"/>
  <c r="G3374" i="37"/>
  <c r="G3375" i="37"/>
  <c r="G3376" i="37"/>
  <c r="G3377" i="37"/>
  <c r="G3389" i="37"/>
  <c r="G3390" i="37"/>
  <c r="G3391" i="37"/>
  <c r="G3392" i="37"/>
  <c r="G3393" i="37"/>
  <c r="G3397" i="37"/>
  <c r="G3398" i="37"/>
  <c r="G3399" i="37"/>
  <c r="G3400" i="37"/>
  <c r="G3401" i="37"/>
  <c r="G3405" i="37"/>
  <c r="G3406" i="37"/>
  <c r="G3407" i="37"/>
  <c r="G3408" i="37"/>
  <c r="G3409" i="37"/>
  <c r="G3413" i="37"/>
  <c r="G3414" i="37"/>
  <c r="G3415" i="37"/>
  <c r="G3416" i="37"/>
  <c r="G3417" i="37"/>
  <c r="G3420" i="37"/>
  <c r="G3421" i="37"/>
  <c r="G3422" i="37"/>
  <c r="G3423" i="37"/>
  <c r="G3424" i="37"/>
  <c r="G3428" i="37"/>
  <c r="G3429" i="37"/>
  <c r="G3430" i="37"/>
  <c r="G3431" i="37"/>
  <c r="G3432" i="37"/>
  <c r="G3436" i="37"/>
  <c r="G3437" i="37"/>
  <c r="G3438" i="37"/>
  <c r="G3439" i="37"/>
  <c r="G3444" i="37"/>
  <c r="G3445" i="37"/>
  <c r="G3446" i="37"/>
  <c r="G3447" i="37"/>
  <c r="F3473" i="37"/>
  <c r="G3473" i="37" s="1"/>
  <c r="F3474" i="37"/>
  <c r="G3474" i="37" s="1"/>
  <c r="G3475" i="37"/>
  <c r="G3476" i="37"/>
  <c r="G3478" i="37"/>
  <c r="G3483" i="37"/>
  <c r="G3484" i="37"/>
  <c r="G3485" i="37"/>
  <c r="F3486" i="37"/>
  <c r="G3486" i="37" s="1"/>
  <c r="G3487" i="37"/>
  <c r="G3488" i="37"/>
  <c r="G3490" i="37"/>
  <c r="F3495" i="37"/>
  <c r="G3495" i="37" s="1"/>
  <c r="G3496" i="37"/>
  <c r="G3497" i="37"/>
  <c r="G3501" i="37"/>
  <c r="G3507" i="37"/>
  <c r="G3508" i="37"/>
  <c r="G3510" i="37"/>
  <c r="G3514" i="37" s="1"/>
  <c r="E3515" i="37"/>
  <c r="G3515" i="37" s="1"/>
  <c r="G3516" i="37"/>
  <c r="E3517" i="37"/>
  <c r="G3517" i="37" s="1"/>
  <c r="G3518" i="37"/>
  <c r="G3519" i="37"/>
  <c r="E3520" i="37"/>
  <c r="F3520" i="37"/>
  <c r="E3521" i="37"/>
  <c r="E3522" i="37"/>
  <c r="G3522" i="37" s="1"/>
  <c r="E3523" i="37"/>
  <c r="E3524" i="37"/>
  <c r="G3525" i="37"/>
  <c r="G3526" i="37"/>
  <c r="L3525" i="37"/>
  <c r="E3527" i="37" s="1"/>
  <c r="L3526" i="37"/>
  <c r="E3528" i="37" s="1"/>
  <c r="E3529" i="37"/>
  <c r="F3530" i="37"/>
  <c r="L3528" i="37"/>
  <c r="E3530" i="37" s="1"/>
  <c r="E3534" i="37"/>
  <c r="F3534" i="37"/>
  <c r="F3535" i="37"/>
  <c r="G3535" i="37" s="1"/>
  <c r="E3536" i="37"/>
  <c r="F3536" i="37"/>
  <c r="G3537" i="37"/>
  <c r="G3538" i="37"/>
  <c r="E3539" i="37"/>
  <c r="F3539" i="37"/>
  <c r="E3540" i="37"/>
  <c r="E3541" i="37"/>
  <c r="F3541" i="37"/>
  <c r="E3542" i="37"/>
  <c r="E3543" i="37"/>
  <c r="E3544" i="37"/>
  <c r="F3544" i="37"/>
  <c r="G3545" i="37"/>
  <c r="G3546" i="37"/>
  <c r="L3545" i="37"/>
  <c r="E3547" i="37" s="1"/>
  <c r="L3546" i="37"/>
  <c r="E3548" i="37" s="1"/>
  <c r="E3549" i="37"/>
  <c r="F3550" i="37"/>
  <c r="L3548" i="37"/>
  <c r="E3550" i="37" s="1"/>
  <c r="G3558" i="37"/>
  <c r="G3559" i="37"/>
  <c r="G3563" i="37"/>
  <c r="G3564" i="37"/>
  <c r="F3573" i="37"/>
  <c r="G3573" i="37" s="1"/>
  <c r="G3574" i="37"/>
  <c r="G3575" i="37"/>
  <c r="G3576" i="37"/>
  <c r="G3578" i="37"/>
  <c r="G3579" i="37"/>
  <c r="G3580" i="37"/>
  <c r="G3581" i="37"/>
  <c r="G3587" i="37"/>
  <c r="G3588" i="37"/>
  <c r="G3606" i="37"/>
  <c r="G3607" i="37"/>
  <c r="E3608" i="37"/>
  <c r="G3609" i="37"/>
  <c r="G3610" i="37"/>
  <c r="F3326" i="37" l="1"/>
  <c r="G3326" i="37" s="1"/>
  <c r="G3330" i="37" s="1"/>
  <c r="F3366" i="37"/>
  <c r="G3366" i="37" s="1"/>
  <c r="G3370" i="37" s="1"/>
  <c r="G3361" i="37" s="1"/>
  <c r="F3306" i="37"/>
  <c r="G3306" i="37" s="1"/>
  <c r="G3310" i="37" s="1"/>
  <c r="G15" i="69"/>
  <c r="F16" i="69"/>
  <c r="F237" i="65"/>
  <c r="G212" i="65"/>
  <c r="G209" i="67"/>
  <c r="F234" i="67"/>
  <c r="B3235" i="37"/>
  <c r="B3247" i="37" s="1"/>
  <c r="B3265" i="37" s="1"/>
  <c r="B3282" i="37" s="1"/>
  <c r="B3291" i="37" s="1"/>
  <c r="B3033" i="37"/>
  <c r="B3049" i="37" s="1"/>
  <c r="B436" i="37"/>
  <c r="B449" i="37" s="1"/>
  <c r="B461" i="37" s="1"/>
  <c r="B473" i="37" s="1"/>
  <c r="B485" i="37" s="1"/>
  <c r="B499" i="37" s="1"/>
  <c r="B517" i="37" s="1"/>
  <c r="B536" i="37" s="1"/>
  <c r="B555" i="37" s="1"/>
  <c r="B573" i="37" s="1"/>
  <c r="B591" i="37" s="1"/>
  <c r="B609" i="37" s="1"/>
  <c r="B625" i="37" s="1"/>
  <c r="B642" i="37" s="1"/>
  <c r="B659" i="37" s="1"/>
  <c r="B675" i="37" s="1"/>
  <c r="B691" i="37" s="1"/>
  <c r="B707" i="37" s="1"/>
  <c r="B720" i="37" s="1"/>
  <c r="B735" i="37" s="1"/>
  <c r="B749" i="37" s="1"/>
  <c r="B94" i="37"/>
  <c r="B103" i="37" s="1"/>
  <c r="B118" i="37" s="1"/>
  <c r="E3120" i="37"/>
  <c r="G3120" i="37" s="1"/>
  <c r="E3092" i="37"/>
  <c r="G3092" i="37" s="1"/>
  <c r="E3106" i="37"/>
  <c r="G3106" i="37" s="1"/>
  <c r="E3121" i="37"/>
  <c r="G3121" i="37" s="1"/>
  <c r="E3093" i="37"/>
  <c r="G3093" i="37" s="1"/>
  <c r="E3107" i="37"/>
  <c r="G3107" i="37" s="1"/>
  <c r="E3122" i="37"/>
  <c r="E3094" i="37"/>
  <c r="E3108" i="37"/>
  <c r="E3095" i="37"/>
  <c r="G3095" i="37" s="1"/>
  <c r="E3109" i="37"/>
  <c r="G3109" i="37" s="1"/>
  <c r="E3123" i="37"/>
  <c r="G3123" i="37" s="1"/>
  <c r="E3112" i="37"/>
  <c r="E3098" i="37"/>
  <c r="E3126" i="37"/>
  <c r="G3274" i="37"/>
  <c r="F3316" i="37"/>
  <c r="G3316" i="37" s="1"/>
  <c r="G3320" i="37" s="1"/>
  <c r="G3378" i="37"/>
  <c r="F3346" i="37"/>
  <c r="G3346" i="37" s="1"/>
  <c r="G3350" i="37" s="1"/>
  <c r="F3336" i="37"/>
  <c r="G3336" i="37" s="1"/>
  <c r="G3340" i="37" s="1"/>
  <c r="F3296" i="37"/>
  <c r="G3296" i="37" s="1"/>
  <c r="G3300" i="37" s="1"/>
  <c r="G3394" i="37"/>
  <c r="F3356" i="37"/>
  <c r="G3356" i="37" s="1"/>
  <c r="G3360" i="37" s="1"/>
  <c r="F3253" i="37"/>
  <c r="G3253" i="37" s="1"/>
  <c r="F3271" i="37"/>
  <c r="G3271" i="37" s="1"/>
  <c r="G3276" i="37"/>
  <c r="G3410" i="37"/>
  <c r="G3433" i="37"/>
  <c r="G3426" i="37" s="1"/>
  <c r="G3425" i="37"/>
  <c r="G3418" i="37"/>
  <c r="G3402" i="37"/>
  <c r="F3977" i="37"/>
  <c r="G3977" i="37" s="1"/>
  <c r="F3030" i="37"/>
  <c r="G3030" i="37" s="1"/>
  <c r="G177" i="37"/>
  <c r="G172" i="37" s="1"/>
  <c r="F992" i="37"/>
  <c r="G992" i="37" s="1"/>
  <c r="G2047" i="37"/>
  <c r="G2038" i="37" s="1"/>
  <c r="B143" i="37"/>
  <c r="B155" i="37" s="1"/>
  <c r="B166" i="37" s="1"/>
  <c r="B172" i="37" s="1"/>
  <c r="B178" i="37" s="1"/>
  <c r="B184" i="37" s="1"/>
  <c r="B197" i="37" s="1"/>
  <c r="B204" i="37" s="1"/>
  <c r="B211" i="37" s="1"/>
  <c r="B224" i="37" s="1"/>
  <c r="B232" i="37" s="1"/>
  <c r="B240" i="37" s="1"/>
  <c r="B256" i="37" s="1"/>
  <c r="B270" i="37" s="1"/>
  <c r="B284" i="37" s="1"/>
  <c r="B1399" i="37"/>
  <c r="B1412" i="37" s="1"/>
  <c r="B1424" i="37" s="1"/>
  <c r="B1439" i="37" s="1"/>
  <c r="B1454" i="37" s="1"/>
  <c r="B1468" i="37" s="1"/>
  <c r="B1483" i="37" s="1"/>
  <c r="B1498" i="37" s="1"/>
  <c r="B1513" i="37" s="1"/>
  <c r="B1528" i="37" s="1"/>
  <c r="B1541" i="37" s="1"/>
  <c r="B1554" i="37" s="1"/>
  <c r="B1568" i="37" s="1"/>
  <c r="J311" i="10"/>
  <c r="D311" i="10" s="1"/>
  <c r="F3251" i="37" s="1"/>
  <c r="F4268" i="37"/>
  <c r="G4268" i="37" s="1"/>
  <c r="F4178" i="37"/>
  <c r="G4178" i="37" s="1"/>
  <c r="F4108" i="37"/>
  <c r="G4108" i="37" s="1"/>
  <c r="F4200" i="37"/>
  <c r="G4200" i="37" s="1"/>
  <c r="F4134" i="37"/>
  <c r="G4134" i="37" s="1"/>
  <c r="F4223" i="37"/>
  <c r="G4223" i="37" s="1"/>
  <c r="F4156" i="37"/>
  <c r="G4156" i="37" s="1"/>
  <c r="F4245" i="37"/>
  <c r="G4245" i="37" s="1"/>
  <c r="F4120" i="37"/>
  <c r="G4120" i="37" s="1"/>
  <c r="F4145" i="37"/>
  <c r="G4145" i="37" s="1"/>
  <c r="F4167" i="37"/>
  <c r="G4167" i="37" s="1"/>
  <c r="F4189" i="37"/>
  <c r="G4189" i="37" s="1"/>
  <c r="F4212" i="37"/>
  <c r="G4212" i="37" s="1"/>
  <c r="F4234" i="37"/>
  <c r="G4234" i="37" s="1"/>
  <c r="F4257" i="37"/>
  <c r="G4257" i="37" s="1"/>
  <c r="F4279" i="37"/>
  <c r="G4279" i="37" s="1"/>
  <c r="F3845" i="37"/>
  <c r="G3845" i="37" s="1"/>
  <c r="F3901" i="37"/>
  <c r="G3901" i="37" s="1"/>
  <c r="F3722" i="37"/>
  <c r="G3722" i="37" s="1"/>
  <c r="F3710" i="37"/>
  <c r="G3710" i="37" s="1"/>
  <c r="F4569" i="37"/>
  <c r="G4569" i="37" s="1"/>
  <c r="F4513" i="37"/>
  <c r="G4513" i="37" s="1"/>
  <c r="F4602" i="37"/>
  <c r="G4602" i="37" s="1"/>
  <c r="F4591" i="37"/>
  <c r="G4591" i="37" s="1"/>
  <c r="F4580" i="37"/>
  <c r="G4580" i="37" s="1"/>
  <c r="F4558" i="37"/>
  <c r="G4558" i="37" s="1"/>
  <c r="F4524" i="37"/>
  <c r="G4524" i="37" s="1"/>
  <c r="F4375" i="37"/>
  <c r="G4375" i="37" s="1"/>
  <c r="F4392" i="37"/>
  <c r="G4392" i="37" s="1"/>
  <c r="F4408" i="37"/>
  <c r="G4408" i="37" s="1"/>
  <c r="F4430" i="37"/>
  <c r="G4430" i="37" s="1"/>
  <c r="F4441" i="37"/>
  <c r="G4441" i="37" s="1"/>
  <c r="F4452" i="37"/>
  <c r="G4452" i="37" s="1"/>
  <c r="F4463" i="37"/>
  <c r="G4463" i="37" s="1"/>
  <c r="F4474" i="37"/>
  <c r="G4474" i="37" s="1"/>
  <c r="F4485" i="37"/>
  <c r="G4485" i="37" s="1"/>
  <c r="F4496" i="37"/>
  <c r="G4496" i="37" s="1"/>
  <c r="F4069" i="37"/>
  <c r="G4069" i="37" s="1"/>
  <c r="F4544" i="37"/>
  <c r="G4544" i="37" s="1"/>
  <c r="F4521" i="37"/>
  <c r="G4521" i="37" s="1"/>
  <c r="F4555" i="37"/>
  <c r="G4555" i="37" s="1"/>
  <c r="F4577" i="37"/>
  <c r="G4577" i="37" s="1"/>
  <c r="F4510" i="37"/>
  <c r="G4510" i="37" s="1"/>
  <c r="F4599" i="37"/>
  <c r="G4599" i="37" s="1"/>
  <c r="F4588" i="37"/>
  <c r="G4588" i="37" s="1"/>
  <c r="F4566" i="37"/>
  <c r="G4566" i="37" s="1"/>
  <c r="F4548" i="37"/>
  <c r="G4548" i="37" s="1"/>
  <c r="F4514" i="37"/>
  <c r="G4514" i="37" s="1"/>
  <c r="F4570" i="37"/>
  <c r="G4570" i="37" s="1"/>
  <c r="F4537" i="37"/>
  <c r="G4537" i="37" s="1"/>
  <c r="F4525" i="37"/>
  <c r="G4525" i="37" s="1"/>
  <c r="F4559" i="37"/>
  <c r="G4559" i="37" s="1"/>
  <c r="F4603" i="37"/>
  <c r="G4603" i="37" s="1"/>
  <c r="F4592" i="37"/>
  <c r="G4592" i="37" s="1"/>
  <c r="F4581" i="37"/>
  <c r="G4581" i="37" s="1"/>
  <c r="F4094" i="37"/>
  <c r="G4094" i="37" s="1"/>
  <c r="F4117" i="37"/>
  <c r="G4117" i="37" s="1"/>
  <c r="F4131" i="37"/>
  <c r="G4131" i="37" s="1"/>
  <c r="F4142" i="37"/>
  <c r="G4142" i="37" s="1"/>
  <c r="F4153" i="37"/>
  <c r="G4153" i="37" s="1"/>
  <c r="F4164" i="37"/>
  <c r="G4164" i="37" s="1"/>
  <c r="F4175" i="37"/>
  <c r="G4175" i="37" s="1"/>
  <c r="F4186" i="37"/>
  <c r="G4186" i="37" s="1"/>
  <c r="F4197" i="37"/>
  <c r="G4197" i="37" s="1"/>
  <c r="F4209" i="37"/>
  <c r="G4209" i="37" s="1"/>
  <c r="F4220" i="37"/>
  <c r="G4220" i="37" s="1"/>
  <c r="F4231" i="37"/>
  <c r="G4231" i="37" s="1"/>
  <c r="F4242" i="37"/>
  <c r="G4242" i="37" s="1"/>
  <c r="F4254" i="37"/>
  <c r="G4254" i="37" s="1"/>
  <c r="F4265" i="37"/>
  <c r="G4265" i="37" s="1"/>
  <c r="F4276" i="37"/>
  <c r="G4276" i="37" s="1"/>
  <c r="F4287" i="37"/>
  <c r="G4287" i="37" s="1"/>
  <c r="F4298" i="37"/>
  <c r="G4298" i="37" s="1"/>
  <c r="F4309" i="37"/>
  <c r="G4309" i="37" s="1"/>
  <c r="F4321" i="37"/>
  <c r="G4321" i="37" s="1"/>
  <c r="F4332" i="37"/>
  <c r="G4332" i="37" s="1"/>
  <c r="F4343" i="37"/>
  <c r="G4343" i="37" s="1"/>
  <c r="F4354" i="37"/>
  <c r="G4354" i="37" s="1"/>
  <c r="F4365" i="37"/>
  <c r="G4365" i="37" s="1"/>
  <c r="F4381" i="37"/>
  <c r="G4381" i="37" s="1"/>
  <c r="F4413" i="37"/>
  <c r="G4413" i="37" s="1"/>
  <c r="F4290" i="37"/>
  <c r="G4290" i="37" s="1"/>
  <c r="F4301" i="37"/>
  <c r="G4301" i="37" s="1"/>
  <c r="F4312" i="37"/>
  <c r="G4312" i="37" s="1"/>
  <c r="F4324" i="37"/>
  <c r="G4324" i="37" s="1"/>
  <c r="F4335" i="37"/>
  <c r="G4335" i="37" s="1"/>
  <c r="F4346" i="37"/>
  <c r="G4346" i="37" s="1"/>
  <c r="F4357" i="37"/>
  <c r="G4357" i="37" s="1"/>
  <c r="F4368" i="37"/>
  <c r="G4368" i="37" s="1"/>
  <c r="F4397" i="37"/>
  <c r="G4397" i="37" s="1"/>
  <c r="F4403" i="37"/>
  <c r="G4403" i="37" s="1"/>
  <c r="F4425" i="37"/>
  <c r="G4425" i="37" s="1"/>
  <c r="F4436" i="37"/>
  <c r="G4436" i="37" s="1"/>
  <c r="F4447" i="37"/>
  <c r="G4447" i="37" s="1"/>
  <c r="F4458" i="37"/>
  <c r="G4458" i="37" s="1"/>
  <c r="F4469" i="37"/>
  <c r="G4469" i="37" s="1"/>
  <c r="F4480" i="37"/>
  <c r="G4480" i="37" s="1"/>
  <c r="F4491" i="37"/>
  <c r="G4491" i="37" s="1"/>
  <c r="F4502" i="37"/>
  <c r="G4502" i="37" s="1"/>
  <c r="F3953" i="37"/>
  <c r="G3953" i="37" s="1"/>
  <c r="F4531" i="37"/>
  <c r="G4531" i="37" s="1"/>
  <c r="F4536" i="37"/>
  <c r="G4536" i="37" s="1"/>
  <c r="F4547" i="37"/>
  <c r="G4547" i="37" s="1"/>
  <c r="F4391" i="37"/>
  <c r="G4391" i="37" s="1"/>
  <c r="F4386" i="37"/>
  <c r="G4386" i="37" s="1"/>
  <c r="F4402" i="37"/>
  <c r="G4402" i="37" s="1"/>
  <c r="F4424" i="37"/>
  <c r="G4424" i="37" s="1"/>
  <c r="F4435" i="37"/>
  <c r="G4435" i="37" s="1"/>
  <c r="F4446" i="37"/>
  <c r="G4446" i="37" s="1"/>
  <c r="F4457" i="37"/>
  <c r="G4457" i="37" s="1"/>
  <c r="F4468" i="37"/>
  <c r="G4468" i="37" s="1"/>
  <c r="F4479" i="37"/>
  <c r="G4479" i="37" s="1"/>
  <c r="F4490" i="37"/>
  <c r="G4490" i="37" s="1"/>
  <c r="F4501" i="37"/>
  <c r="G4501" i="37" s="1"/>
  <c r="E2311" i="37"/>
  <c r="G2812" i="37"/>
  <c r="F4109" i="37"/>
  <c r="G4109" i="37" s="1"/>
  <c r="F4025" i="37"/>
  <c r="G4025" i="37" s="1"/>
  <c r="F4011" i="37"/>
  <c r="G4011" i="37" s="1"/>
  <c r="F3996" i="37"/>
  <c r="G3996" i="37" s="1"/>
  <c r="F4083" i="37"/>
  <c r="G4083" i="37" s="1"/>
  <c r="F4072" i="37"/>
  <c r="G4072" i="37" s="1"/>
  <c r="F4027" i="37"/>
  <c r="G4027" i="37" s="1"/>
  <c r="F4013" i="37"/>
  <c r="G4013" i="37" s="1"/>
  <c r="F3999" i="37"/>
  <c r="G3999" i="37" s="1"/>
  <c r="F4026" i="37"/>
  <c r="G4026" i="37" s="1"/>
  <c r="F4012" i="37"/>
  <c r="G4012" i="37" s="1"/>
  <c r="F3998" i="37"/>
  <c r="G3998" i="37" s="1"/>
  <c r="F3693" i="37"/>
  <c r="G3693" i="37" s="1"/>
  <c r="F3703" i="37"/>
  <c r="G3703" i="37" s="1"/>
  <c r="F3733" i="37"/>
  <c r="G3733" i="37" s="1"/>
  <c r="F3745" i="37"/>
  <c r="G3745" i="37" s="1"/>
  <c r="F3851" i="37"/>
  <c r="G3851" i="37" s="1"/>
  <c r="F3861" i="37"/>
  <c r="G3861" i="37" s="1"/>
  <c r="G3884" i="37"/>
  <c r="F3894" i="37"/>
  <c r="G3894" i="37" s="1"/>
  <c r="F3940" i="37"/>
  <c r="G3940" i="37" s="1"/>
  <c r="F3950" i="37"/>
  <c r="G3950" i="37" s="1"/>
  <c r="F4021" i="37"/>
  <c r="G4021" i="37" s="1"/>
  <c r="F3835" i="37"/>
  <c r="G3835" i="37" s="1"/>
  <c r="G3694" i="37"/>
  <c r="G3704" i="37"/>
  <c r="F3716" i="37"/>
  <c r="G3716" i="37" s="1"/>
  <c r="F3726" i="37"/>
  <c r="G3726" i="37" s="1"/>
  <c r="F3756" i="37"/>
  <c r="G3756" i="37" s="1"/>
  <c r="F3768" i="37"/>
  <c r="G3768" i="37" s="1"/>
  <c r="F3872" i="37"/>
  <c r="G3872" i="37" s="1"/>
  <c r="G3895" i="37"/>
  <c r="F3905" i="37"/>
  <c r="G3905" i="37" s="1"/>
  <c r="F3830" i="37"/>
  <c r="G3830" i="37" s="1"/>
  <c r="G3717" i="37"/>
  <c r="G3727" i="37"/>
  <c r="F3739" i="37"/>
  <c r="G3739" i="37" s="1"/>
  <c r="F3749" i="37"/>
  <c r="G3749" i="37" s="1"/>
  <c r="F3779" i="37"/>
  <c r="G3779" i="37" s="1"/>
  <c r="F3791" i="37"/>
  <c r="G3791" i="37" s="1"/>
  <c r="F3817" i="37"/>
  <c r="G3817" i="37" s="1"/>
  <c r="G3873" i="37"/>
  <c r="G3906" i="37"/>
  <c r="B3827" i="37"/>
  <c r="B3837" i="37" s="1"/>
  <c r="B3847" i="37" s="1"/>
  <c r="B3870" i="37" s="1"/>
  <c r="B3881" i="37" s="1"/>
  <c r="B3892" i="37" s="1"/>
  <c r="B3903" i="37" s="1"/>
  <c r="B3913" i="37" s="1"/>
  <c r="B3936" i="37" s="1"/>
  <c r="B3959" i="37" s="1"/>
  <c r="B3985" i="37" s="1"/>
  <c r="B4029" i="37" s="1"/>
  <c r="B4040" i="37" s="1"/>
  <c r="B4051" i="37" s="1"/>
  <c r="B4062" i="37" s="1"/>
  <c r="B4087" i="37" s="1"/>
  <c r="B4112" i="37" s="1"/>
  <c r="B4125" i="37" s="1"/>
  <c r="B4159" i="37" s="1"/>
  <c r="B4170" i="37" s="1"/>
  <c r="B4181" i="37" s="1"/>
  <c r="B4192" i="37" s="1"/>
  <c r="B4203" i="37" s="1"/>
  <c r="B4248" i="37" s="1"/>
  <c r="B4304" i="37" s="1"/>
  <c r="B4315" i="37" s="1"/>
  <c r="B4371" i="37" s="1"/>
  <c r="B4504" i="37" s="1"/>
  <c r="B4527" i="37" s="1"/>
  <c r="B4594" i="37" s="1"/>
  <c r="F3687" i="37"/>
  <c r="G3687" i="37" s="1"/>
  <c r="G3740" i="37"/>
  <c r="G3750" i="37"/>
  <c r="F3762" i="37"/>
  <c r="G3762" i="37" s="1"/>
  <c r="F3772" i="37"/>
  <c r="G3772" i="37" s="1"/>
  <c r="F3802" i="37"/>
  <c r="G3802" i="37" s="1"/>
  <c r="F3818" i="37"/>
  <c r="G3818" i="37" s="1"/>
  <c r="F4032" i="37"/>
  <c r="G4032" i="37" s="1"/>
  <c r="F4043" i="37"/>
  <c r="G4043" i="37" s="1"/>
  <c r="F4054" i="37"/>
  <c r="G4054" i="37" s="1"/>
  <c r="F4066" i="37"/>
  <c r="G4066" i="37" s="1"/>
  <c r="G3763" i="37"/>
  <c r="G3773" i="37"/>
  <c r="F3785" i="37"/>
  <c r="G3785" i="37" s="1"/>
  <c r="F3795" i="37"/>
  <c r="G3795" i="37" s="1"/>
  <c r="F3926" i="37"/>
  <c r="G3926" i="37" s="1"/>
  <c r="F3839" i="37"/>
  <c r="G3839" i="37" s="1"/>
  <c r="F4033" i="37"/>
  <c r="G4033" i="37" s="1"/>
  <c r="F4044" i="37"/>
  <c r="G4044" i="37" s="1"/>
  <c r="F4055" i="37"/>
  <c r="G4055" i="37" s="1"/>
  <c r="F4067" i="37"/>
  <c r="G4067" i="37" s="1"/>
  <c r="F3676" i="37"/>
  <c r="G3676" i="37" s="1"/>
  <c r="G3786" i="37"/>
  <c r="G3796" i="37"/>
  <c r="F3807" i="37"/>
  <c r="G3807" i="37" s="1"/>
  <c r="F3856" i="37"/>
  <c r="G3856" i="37" s="1"/>
  <c r="F3916" i="37"/>
  <c r="G3916" i="37" s="1"/>
  <c r="F3927" i="37"/>
  <c r="G3927" i="37" s="1"/>
  <c r="F3922" i="37"/>
  <c r="G3922" i="37" s="1"/>
  <c r="F3945" i="37"/>
  <c r="G3945" i="37" s="1"/>
  <c r="F3956" i="37"/>
  <c r="G3956" i="37" s="1"/>
  <c r="F4034" i="37"/>
  <c r="G4034" i="37" s="1"/>
  <c r="F4045" i="37"/>
  <c r="G4045" i="37" s="1"/>
  <c r="F4080" i="37"/>
  <c r="G4080" i="37" s="1"/>
  <c r="G3670" i="37"/>
  <c r="F3680" i="37"/>
  <c r="G3680" i="37" s="1"/>
  <c r="F3699" i="37"/>
  <c r="G3699" i="37" s="1"/>
  <c r="F3808" i="37"/>
  <c r="G3808" i="37" s="1"/>
  <c r="F3823" i="37"/>
  <c r="G3823" i="37" s="1"/>
  <c r="F3867" i="37"/>
  <c r="G3867" i="37" s="1"/>
  <c r="F3879" i="37"/>
  <c r="G3879" i="37" s="1"/>
  <c r="F3917" i="37"/>
  <c r="G3917" i="37" s="1"/>
  <c r="F3933" i="37"/>
  <c r="G3933" i="37" s="1"/>
  <c r="F3970" i="37"/>
  <c r="G3970" i="37" s="1"/>
  <c r="F3992" i="37"/>
  <c r="G3992" i="37" s="1"/>
  <c r="F4056" i="37"/>
  <c r="G4056" i="37" s="1"/>
  <c r="F4077" i="37"/>
  <c r="G4077" i="37" s="1"/>
  <c r="F4084" i="37"/>
  <c r="G4084" i="37" s="1"/>
  <c r="G3840" i="37"/>
  <c r="G3681" i="37"/>
  <c r="G3829" i="37"/>
  <c r="G3671" i="37"/>
  <c r="G2338" i="37"/>
  <c r="G80" i="37"/>
  <c r="F3219" i="37"/>
  <c r="G3219" i="37" s="1"/>
  <c r="F3064" i="37"/>
  <c r="G3064" i="37" s="1"/>
  <c r="G2316" i="37"/>
  <c r="G2678" i="37"/>
  <c r="G2672" i="37"/>
  <c r="G2669" i="37"/>
  <c r="G2649" i="37"/>
  <c r="G2587" i="37"/>
  <c r="G2317" i="37"/>
  <c r="G2184" i="37"/>
  <c r="G2813" i="37"/>
  <c r="G2673" i="37"/>
  <c r="G2588" i="37"/>
  <c r="G2586" i="37"/>
  <c r="F2459" i="37"/>
  <c r="G2459" i="37" s="1"/>
  <c r="K2136" i="37"/>
  <c r="G2134" i="37"/>
  <c r="G2433" i="37"/>
  <c r="G2339" i="37"/>
  <c r="G2693" i="37"/>
  <c r="G170" i="37"/>
  <c r="G166" i="37" s="1"/>
  <c r="E2333" i="37"/>
  <c r="G2255" i="37"/>
  <c r="G1173" i="37"/>
  <c r="G875" i="37"/>
  <c r="G3257" i="37"/>
  <c r="G2635" i="37"/>
  <c r="G2572" i="37"/>
  <c r="G2570" i="37"/>
  <c r="F2428" i="37"/>
  <c r="G2428" i="37" s="1"/>
  <c r="K2138" i="37"/>
  <c r="K2188" i="37" s="1"/>
  <c r="G1161" i="37"/>
  <c r="G1157" i="37" s="1"/>
  <c r="G874" i="37"/>
  <c r="G3550" i="37"/>
  <c r="G3256" i="37"/>
  <c r="G3067" i="37"/>
  <c r="G2634" i="37"/>
  <c r="G1646" i="37"/>
  <c r="G2324" i="37"/>
  <c r="G2668" i="37"/>
  <c r="G2650" i="37"/>
  <c r="G2571" i="37"/>
  <c r="G2518" i="37"/>
  <c r="F2266" i="37"/>
  <c r="G3258" i="37"/>
  <c r="G2434" i="37"/>
  <c r="G3541" i="37"/>
  <c r="G3536" i="37"/>
  <c r="G3520" i="37"/>
  <c r="G3531" i="37" s="1"/>
  <c r="G3530" i="37"/>
  <c r="G1734" i="37"/>
  <c r="G1723" i="37" s="1"/>
  <c r="G1171" i="37"/>
  <c r="G900" i="37"/>
  <c r="G3539" i="37"/>
  <c r="G3250" i="37"/>
  <c r="E2193" i="37"/>
  <c r="G1024" i="37"/>
  <c r="F2326" i="37"/>
  <c r="G2105" i="37"/>
  <c r="G2096" i="37" s="1"/>
  <c r="G1697" i="37"/>
  <c r="G1686" i="37" s="1"/>
  <c r="G1172" i="37"/>
  <c r="G3267" i="37"/>
  <c r="G3544" i="37"/>
  <c r="G3534" i="37"/>
  <c r="G3551" i="37" s="1"/>
  <c r="G3249" i="37"/>
  <c r="E2334" i="37"/>
  <c r="G1008" i="37"/>
  <c r="B1163" i="37"/>
  <c r="B1176" i="37" s="1"/>
  <c r="B1195" i="37" s="1"/>
  <c r="B1208" i="37" s="1"/>
  <c r="B1229" i="37" s="1"/>
  <c r="B1239" i="37" s="1"/>
  <c r="B1249" i="37" s="1"/>
  <c r="B1263" i="37" s="1"/>
  <c r="B1272" i="37" s="1"/>
  <c r="B1285" i="37" s="1"/>
  <c r="B1297" i="37" s="1"/>
  <c r="B1310" i="37" s="1"/>
  <c r="B1330" i="37" s="1"/>
  <c r="B1337" i="37" s="1"/>
  <c r="B1344" i="37" s="1"/>
  <c r="B1351" i="37" s="1"/>
  <c r="B1358" i="37" s="1"/>
  <c r="B1363" i="37" s="1"/>
  <c r="B1370" i="37" s="1"/>
  <c r="B1375" i="37" s="1"/>
  <c r="B1380" i="37" s="1"/>
  <c r="G3395" i="37" l="1"/>
  <c r="H121" i="73"/>
  <c r="G3403" i="37"/>
  <c r="H122" i="73"/>
  <c r="G3351" i="37"/>
  <c r="H104" i="73"/>
  <c r="G3341" i="37"/>
  <c r="H117" i="73"/>
  <c r="H116" i="73"/>
  <c r="G3411" i="37"/>
  <c r="H124" i="73"/>
  <c r="G3387" i="37"/>
  <c r="H119" i="73"/>
  <c r="G3371" i="37"/>
  <c r="H126" i="73"/>
  <c r="H118" i="73"/>
  <c r="G3301" i="37"/>
  <c r="H102" i="73"/>
  <c r="G3291" i="37"/>
  <c r="H101" i="73"/>
  <c r="H103" i="73"/>
  <c r="G3311" i="37"/>
  <c r="H99" i="73"/>
  <c r="H130" i="70"/>
  <c r="G3331" i="37"/>
  <c r="H115" i="73"/>
  <c r="H114" i="73"/>
  <c r="G3321" i="37"/>
  <c r="H100" i="73"/>
  <c r="B3301" i="37"/>
  <c r="B3311" i="37" s="1"/>
  <c r="B3321" i="37" s="1"/>
  <c r="B3331" i="37" s="1"/>
  <c r="B3341" i="37" s="1"/>
  <c r="B3351" i="37" s="1"/>
  <c r="B764" i="37"/>
  <c r="B779" i="37" s="1"/>
  <c r="B794" i="37" s="1"/>
  <c r="B809" i="37" s="1"/>
  <c r="B824" i="37" s="1"/>
  <c r="B839" i="37" s="1"/>
  <c r="B855" i="37" s="1"/>
  <c r="B871" i="37" s="1"/>
  <c r="B886" i="37" s="1"/>
  <c r="F17" i="69"/>
  <c r="G16" i="69"/>
  <c r="F262" i="65"/>
  <c r="G237" i="65"/>
  <c r="F259" i="67"/>
  <c r="G234" i="67"/>
  <c r="B1580" i="37"/>
  <c r="B1593" i="37" s="1"/>
  <c r="B1607" i="37" s="1"/>
  <c r="B1621" i="37" s="1"/>
  <c r="B1636" i="37" s="1"/>
  <c r="B1650" i="37" s="1"/>
  <c r="B1663" i="37" s="1"/>
  <c r="B1674" i="37" s="1"/>
  <c r="B1686" i="37" s="1"/>
  <c r="B1699" i="37" s="1"/>
  <c r="B1711" i="37" s="1"/>
  <c r="B1723" i="37" s="1"/>
  <c r="F4533" i="37"/>
  <c r="G4533" i="37" s="1"/>
  <c r="F3626" i="37"/>
  <c r="G3626" i="37" s="1"/>
  <c r="B293" i="37"/>
  <c r="B309" i="37" s="1"/>
  <c r="B321" i="37" s="1"/>
  <c r="F3269" i="37"/>
  <c r="G3269" i="37" s="1"/>
  <c r="F125" i="37"/>
  <c r="G125" i="37" s="1"/>
  <c r="F4498" i="37"/>
  <c r="G4498" i="37" s="1"/>
  <c r="G3251" i="37"/>
  <c r="F4454" i="37"/>
  <c r="G4454" i="37" s="1"/>
  <c r="F4476" i="37"/>
  <c r="G4476" i="37" s="1"/>
  <c r="F4377" i="37"/>
  <c r="G4377" i="37" s="1"/>
  <c r="F4008" i="37"/>
  <c r="G4008" i="37" s="1"/>
  <c r="F4432" i="37"/>
  <c r="G4432" i="37" s="1"/>
  <c r="F4388" i="37"/>
  <c r="G4388" i="37" s="1"/>
  <c r="F4399" i="37"/>
  <c r="G4399" i="37" s="1"/>
  <c r="F4022" i="37"/>
  <c r="G4022" i="37" s="1"/>
  <c r="F4421" i="37"/>
  <c r="G4421" i="37" s="1"/>
  <c r="F3993" i="37"/>
  <c r="G3993" i="37" s="1"/>
  <c r="F4487" i="37"/>
  <c r="G4487" i="37" s="1"/>
  <c r="F4465" i="37"/>
  <c r="G4465" i="37" s="1"/>
  <c r="F4443" i="37"/>
  <c r="G4443" i="37" s="1"/>
  <c r="F4410" i="37"/>
  <c r="G4410" i="37" s="1"/>
  <c r="G883" i="37"/>
  <c r="G2266" i="37"/>
  <c r="F2276" i="37"/>
  <c r="F115" i="73" l="1"/>
  <c r="G115" i="73" s="1"/>
  <c r="I115" i="73"/>
  <c r="F99" i="73"/>
  <c r="G99" i="73" s="1"/>
  <c r="I99" i="73"/>
  <c r="I118" i="73"/>
  <c r="F118" i="73"/>
  <c r="G118" i="73" s="1"/>
  <c r="F117" i="73"/>
  <c r="G117" i="73" s="1"/>
  <c r="I117" i="73"/>
  <c r="I122" i="73"/>
  <c r="F122" i="73"/>
  <c r="G122" i="73" s="1"/>
  <c r="F100" i="73"/>
  <c r="G100" i="73" s="1"/>
  <c r="I100" i="73"/>
  <c r="F126" i="73"/>
  <c r="G126" i="73" s="1"/>
  <c r="I126" i="73"/>
  <c r="F124" i="73"/>
  <c r="G124" i="73" s="1"/>
  <c r="E69" i="73" s="1"/>
  <c r="G69" i="73" s="1"/>
  <c r="I124" i="73"/>
  <c r="I130" i="70"/>
  <c r="H100" i="71" s="1"/>
  <c r="I100" i="71" s="1"/>
  <c r="F130" i="70"/>
  <c r="G130" i="70" s="1"/>
  <c r="F100" i="71" s="1"/>
  <c r="G100" i="71" s="1"/>
  <c r="F103" i="73"/>
  <c r="G103" i="73" s="1"/>
  <c r="I103" i="73"/>
  <c r="I102" i="73"/>
  <c r="F102" i="73"/>
  <c r="G102" i="73" s="1"/>
  <c r="F104" i="73"/>
  <c r="G104" i="73" s="1"/>
  <c r="I104" i="73"/>
  <c r="F121" i="73"/>
  <c r="G121" i="73" s="1"/>
  <c r="I121" i="73"/>
  <c r="I114" i="73"/>
  <c r="F114" i="73"/>
  <c r="G114" i="73" s="1"/>
  <c r="F101" i="73"/>
  <c r="G101" i="73" s="1"/>
  <c r="I101" i="73"/>
  <c r="F119" i="73"/>
  <c r="G119" i="73" s="1"/>
  <c r="I119" i="73"/>
  <c r="H120" i="73"/>
  <c r="I116" i="73"/>
  <c r="F116" i="73"/>
  <c r="B3371" i="37"/>
  <c r="B3361" i="37"/>
  <c r="G17" i="69"/>
  <c r="F18" i="69"/>
  <c r="R237" i="65"/>
  <c r="S237" i="65" s="1"/>
  <c r="Z287" i="65"/>
  <c r="AA287" i="65" s="1"/>
  <c r="Z262" i="65"/>
  <c r="AA262" i="65" s="1"/>
  <c r="R187" i="65"/>
  <c r="S187" i="65" s="1"/>
  <c r="R162" i="65"/>
  <c r="S162" i="65" s="1"/>
  <c r="AH237" i="65"/>
  <c r="AI237" i="65" s="1"/>
  <c r="R212" i="65"/>
  <c r="S212" i="65" s="1"/>
  <c r="AH262" i="65"/>
  <c r="AI262" i="65" s="1"/>
  <c r="Z187" i="65"/>
  <c r="AA187" i="65" s="1"/>
  <c r="Z162" i="65"/>
  <c r="AA162" i="65" s="1"/>
  <c r="AH287" i="65"/>
  <c r="AI287" i="65" s="1"/>
  <c r="Z212" i="65"/>
  <c r="AA212" i="65" s="1"/>
  <c r="AH187" i="65"/>
  <c r="AI187" i="65" s="1"/>
  <c r="AH162" i="65"/>
  <c r="AI162" i="65" s="1"/>
  <c r="AH212" i="65"/>
  <c r="AI212" i="65" s="1"/>
  <c r="AH337" i="65"/>
  <c r="AI337" i="65" s="1"/>
  <c r="AH362" i="65"/>
  <c r="AI362" i="65" s="1"/>
  <c r="AH387" i="65"/>
  <c r="AI387" i="65" s="1"/>
  <c r="AH412" i="65"/>
  <c r="AI412" i="65" s="1"/>
  <c r="F387" i="65"/>
  <c r="G387" i="65" s="1"/>
  <c r="F412" i="65"/>
  <c r="G412" i="65" s="1"/>
  <c r="F437" i="65"/>
  <c r="G437" i="65" s="1"/>
  <c r="F462" i="65"/>
  <c r="G462" i="65" s="1"/>
  <c r="R362" i="65"/>
  <c r="S362" i="65" s="1"/>
  <c r="Z387" i="65"/>
  <c r="AA387" i="65" s="1"/>
  <c r="Z412" i="65"/>
  <c r="AA412" i="65" s="1"/>
  <c r="Z437" i="65"/>
  <c r="AA437" i="65" s="1"/>
  <c r="Z462" i="65"/>
  <c r="AA462" i="65" s="1"/>
  <c r="AH487" i="65"/>
  <c r="AI487" i="65" s="1"/>
  <c r="R412" i="65"/>
  <c r="S412" i="65" s="1"/>
  <c r="R437" i="65"/>
  <c r="S437" i="65" s="1"/>
  <c r="R462" i="65"/>
  <c r="S462" i="65" s="1"/>
  <c r="R487" i="65"/>
  <c r="S487" i="65" s="1"/>
  <c r="R512" i="65"/>
  <c r="S512" i="65" s="1"/>
  <c r="R312" i="65"/>
  <c r="S312" i="65" s="1"/>
  <c r="AH462" i="65"/>
  <c r="AI462" i="65" s="1"/>
  <c r="AH512" i="65"/>
  <c r="AI512" i="65" s="1"/>
  <c r="F287" i="65"/>
  <c r="G287" i="65" s="1"/>
  <c r="R387" i="65"/>
  <c r="S387" i="65" s="1"/>
  <c r="R262" i="65"/>
  <c r="S262" i="65" s="1"/>
  <c r="AH437" i="65"/>
  <c r="AI437" i="65" s="1"/>
  <c r="AH312" i="65"/>
  <c r="AI312" i="65" s="1"/>
  <c r="F487" i="65"/>
  <c r="G487" i="65" s="1"/>
  <c r="F512" i="65"/>
  <c r="G512" i="65" s="1"/>
  <c r="F312" i="65"/>
  <c r="G312" i="65" s="1"/>
  <c r="F337" i="65"/>
  <c r="G337" i="65" s="1"/>
  <c r="F362" i="65"/>
  <c r="G362" i="65" s="1"/>
  <c r="R287" i="65"/>
  <c r="S287" i="65" s="1"/>
  <c r="Z237" i="65"/>
  <c r="AA237" i="65" s="1"/>
  <c r="R337" i="65"/>
  <c r="S337" i="65" s="1"/>
  <c r="G262" i="65"/>
  <c r="Z487" i="65"/>
  <c r="AA487" i="65" s="1"/>
  <c r="Z512" i="65"/>
  <c r="AA512" i="65" s="1"/>
  <c r="Z312" i="65"/>
  <c r="AA312" i="65" s="1"/>
  <c r="Z337" i="65"/>
  <c r="AA337" i="65" s="1"/>
  <c r="Z362" i="65"/>
  <c r="AA362" i="65" s="1"/>
  <c r="F284" i="67"/>
  <c r="G259" i="67"/>
  <c r="F359" i="67"/>
  <c r="G359" i="67" s="1"/>
  <c r="R334" i="67"/>
  <c r="S334" i="67" s="1"/>
  <c r="Z309" i="67"/>
  <c r="AA309" i="67" s="1"/>
  <c r="R284" i="67"/>
  <c r="S284" i="67" s="1"/>
  <c r="R259" i="67"/>
  <c r="S259" i="67" s="1"/>
  <c r="Z209" i="67"/>
  <c r="AA209" i="67" s="1"/>
  <c r="R184" i="67"/>
  <c r="S184" i="67" s="1"/>
  <c r="AH509" i="67"/>
  <c r="AI509" i="67" s="1"/>
  <c r="Z484" i="67"/>
  <c r="AA484" i="67" s="1"/>
  <c r="F459" i="67"/>
  <c r="G459" i="67" s="1"/>
  <c r="AH434" i="67"/>
  <c r="AI434" i="67" s="1"/>
  <c r="F409" i="67"/>
  <c r="G409" i="67" s="1"/>
  <c r="F384" i="67"/>
  <c r="G384" i="67" s="1"/>
  <c r="R234" i="67"/>
  <c r="S234" i="67" s="1"/>
  <c r="AH159" i="67"/>
  <c r="AI159" i="67" s="1"/>
  <c r="R359" i="67"/>
  <c r="S359" i="67" s="1"/>
  <c r="Z334" i="67"/>
  <c r="AA334" i="67" s="1"/>
  <c r="AH309" i="67"/>
  <c r="AI309" i="67" s="1"/>
  <c r="Z284" i="67"/>
  <c r="AA284" i="67" s="1"/>
  <c r="Z259" i="67"/>
  <c r="AA259" i="67" s="1"/>
  <c r="AH209" i="67"/>
  <c r="AI209" i="67" s="1"/>
  <c r="Z184" i="67"/>
  <c r="AA184" i="67" s="1"/>
  <c r="F509" i="67"/>
  <c r="G509" i="67" s="1"/>
  <c r="AH484" i="67"/>
  <c r="AI484" i="67" s="1"/>
  <c r="R459" i="67"/>
  <c r="S459" i="67" s="1"/>
  <c r="F434" i="67"/>
  <c r="G434" i="67" s="1"/>
  <c r="R409" i="67"/>
  <c r="S409" i="67" s="1"/>
  <c r="R384" i="67"/>
  <c r="S384" i="67" s="1"/>
  <c r="Z234" i="67"/>
  <c r="AA234" i="67" s="1"/>
  <c r="Z359" i="67"/>
  <c r="AA359" i="67" s="1"/>
  <c r="AH334" i="67"/>
  <c r="AI334" i="67" s="1"/>
  <c r="AH284" i="67"/>
  <c r="AI284" i="67" s="1"/>
  <c r="AH259" i="67"/>
  <c r="AI259" i="67" s="1"/>
  <c r="AH184" i="67"/>
  <c r="AI184" i="67" s="1"/>
  <c r="F334" i="67"/>
  <c r="G334" i="67" s="1"/>
  <c r="AH409" i="67"/>
  <c r="AI409" i="67" s="1"/>
  <c r="AH384" i="67"/>
  <c r="AI384" i="67" s="1"/>
  <c r="R509" i="67"/>
  <c r="S509" i="67" s="1"/>
  <c r="F484" i="67"/>
  <c r="G484" i="67" s="1"/>
  <c r="Z459" i="67"/>
  <c r="AA459" i="67" s="1"/>
  <c r="R434" i="67"/>
  <c r="S434" i="67" s="1"/>
  <c r="Z409" i="67"/>
  <c r="AA409" i="67" s="1"/>
  <c r="Z384" i="67"/>
  <c r="AA384" i="67" s="1"/>
  <c r="AH234" i="67"/>
  <c r="AI234" i="67" s="1"/>
  <c r="R159" i="67"/>
  <c r="S159" i="67" s="1"/>
  <c r="AH359" i="67"/>
  <c r="AI359" i="67" s="1"/>
  <c r="R484" i="67"/>
  <c r="S484" i="67" s="1"/>
  <c r="R309" i="67"/>
  <c r="S309" i="67" s="1"/>
  <c r="R209" i="67"/>
  <c r="S209" i="67" s="1"/>
  <c r="Z509" i="67"/>
  <c r="AA509" i="67" s="1"/>
  <c r="AH459" i="67"/>
  <c r="AI459" i="67" s="1"/>
  <c r="Z434" i="67"/>
  <c r="AA434" i="67" s="1"/>
  <c r="Z159" i="67"/>
  <c r="AA159" i="67" s="1"/>
  <c r="B1736" i="37"/>
  <c r="B1752" i="37" s="1"/>
  <c r="B1767" i="37" s="1"/>
  <c r="B1779" i="37" s="1"/>
  <c r="B1792" i="37" s="1"/>
  <c r="B1802" i="37" s="1"/>
  <c r="B1815" i="37" s="1"/>
  <c r="G884" i="37"/>
  <c r="G871" i="37"/>
  <c r="B2022" i="37"/>
  <c r="B2038" i="37" s="1"/>
  <c r="B2048" i="37" s="1"/>
  <c r="B2065" i="37" s="1"/>
  <c r="B2081" i="37" s="1"/>
  <c r="B2096" i="37" s="1"/>
  <c r="G2276" i="37"/>
  <c r="F2286" i="37"/>
  <c r="B903" i="37"/>
  <c r="I105" i="73" l="1"/>
  <c r="G105" i="73"/>
  <c r="G116" i="73"/>
  <c r="I120" i="73"/>
  <c r="I128" i="73" s="1"/>
  <c r="F120" i="73"/>
  <c r="G120" i="73" s="1"/>
  <c r="B3379" i="37"/>
  <c r="B3387" i="37" s="1"/>
  <c r="B3395" i="37" s="1"/>
  <c r="B3403" i="37" s="1"/>
  <c r="B3411" i="37" s="1"/>
  <c r="G284" i="67"/>
  <c r="F309" i="67"/>
  <c r="G309" i="67" s="1"/>
  <c r="G18" i="69"/>
  <c r="F21" i="69"/>
  <c r="B2132" i="37"/>
  <c r="B2148" i="37" s="1"/>
  <c r="B2106" i="37"/>
  <c r="B2112" i="37" s="1"/>
  <c r="F2296" i="37"/>
  <c r="G2296" i="37" s="1"/>
  <c r="G2286" i="37"/>
  <c r="B916" i="37"/>
  <c r="B932" i="37" s="1"/>
  <c r="B948" i="37" s="1"/>
  <c r="B2401" i="37"/>
  <c r="B2416" i="37" s="1"/>
  <c r="B2430" i="37" s="1"/>
  <c r="B2446" i="37" s="1"/>
  <c r="B2462" i="37" s="1"/>
  <c r="B2479" i="37" s="1"/>
  <c r="B2497" i="37" s="1"/>
  <c r="B2510" i="37" s="1"/>
  <c r="B2526" i="37" s="1"/>
  <c r="B2540" i="37" s="1"/>
  <c r="G128" i="73" l="1"/>
  <c r="B3426" i="37"/>
  <c r="B3434" i="37" s="1"/>
  <c r="B3442" i="37" s="1"/>
  <c r="B3450" i="37" s="1"/>
  <c r="G21" i="69"/>
  <c r="F22" i="69"/>
  <c r="B2550" i="37"/>
  <c r="B2559" i="37" s="1"/>
  <c r="B2575" i="37" s="1"/>
  <c r="B2591" i="37" s="1"/>
  <c r="B2607" i="37" s="1"/>
  <c r="B2622" i="37" s="1"/>
  <c r="B2637" i="37" s="1"/>
  <c r="B2652" i="37" s="1"/>
  <c r="B2666" i="37" s="1"/>
  <c r="B2676" i="37" s="1"/>
  <c r="B2691" i="37" s="1"/>
  <c r="B2703" i="37" s="1"/>
  <c r="B2711" i="37" s="1"/>
  <c r="B2723" i="37" s="1"/>
  <c r="B2735" i="37" s="1"/>
  <c r="B1829" i="37" s="1"/>
  <c r="B1841" i="37" s="1"/>
  <c r="B1857" i="37" s="1"/>
  <c r="B1868" i="37" s="1"/>
  <c r="B1880" i="37" s="1"/>
  <c r="B1892" i="37" s="1"/>
  <c r="B1904" i="37" s="1"/>
  <c r="B1915" i="37" s="1"/>
  <c r="B1936" i="37" s="1"/>
  <c r="B1956" i="37" s="1"/>
  <c r="B2160" i="37"/>
  <c r="B994" i="37"/>
  <c r="B1010" i="37" s="1"/>
  <c r="B1026" i="37" s="1"/>
  <c r="B1039" i="37" s="1"/>
  <c r="B1055" i="37" s="1"/>
  <c r="B1066" i="37" s="1"/>
  <c r="B1079" i="37" s="1"/>
  <c r="B1114" i="37" s="1"/>
  <c r="B971" i="37"/>
  <c r="B3470" i="37" l="1"/>
  <c r="B3480" i="37" s="1"/>
  <c r="B3492" i="37" s="1"/>
  <c r="B3503" i="37" s="1"/>
  <c r="B3512" i="37" s="1"/>
  <c r="B3532" i="37" s="1"/>
  <c r="B3552" i="37" s="1"/>
  <c r="B3568" i="37" s="1"/>
  <c r="B3582" i="37" s="1"/>
  <c r="B3592" i="37" s="1"/>
  <c r="B3602" i="37" s="1"/>
  <c r="B3612" i="37" s="1"/>
  <c r="B3622" i="37" s="1"/>
  <c r="B3646" i="37" s="1"/>
  <c r="B3655" i="37" s="1"/>
  <c r="B3460" i="37"/>
  <c r="G22" i="69"/>
  <c r="F23" i="69"/>
  <c r="B2742" i="37"/>
  <c r="B2758" i="37" s="1"/>
  <c r="B2765" i="37" s="1"/>
  <c r="B2171" i="37"/>
  <c r="B2182" i="37" s="1"/>
  <c r="B2198" i="37" s="1"/>
  <c r="B2208" i="37" s="1"/>
  <c r="B2218" i="37" s="1"/>
  <c r="B2233" i="37" s="1"/>
  <c r="B2299" i="37" s="1"/>
  <c r="B2321" i="37" s="1"/>
  <c r="B2343" i="37" s="1"/>
  <c r="B2352" i="37" s="1"/>
  <c r="B2361" i="37" s="1"/>
  <c r="B2371" i="37" s="1"/>
  <c r="B1968" i="37"/>
  <c r="B1987" i="37" s="1"/>
  <c r="F24" i="69" l="1"/>
  <c r="G23" i="69"/>
  <c r="B2775" i="37"/>
  <c r="B2788" i="37" s="1"/>
  <c r="B2803" i="37" s="1"/>
  <c r="B2817" i="37" s="1"/>
  <c r="B2834" i="37" s="1"/>
  <c r="B2849" i="37" s="1"/>
  <c r="B2859" i="37" s="1"/>
  <c r="B2878" i="37" s="1"/>
  <c r="B2892" i="37" s="1"/>
  <c r="B2909" i="37" s="1"/>
  <c r="B2920" i="37" s="1"/>
  <c r="B2937" i="37" s="1"/>
  <c r="B2951" i="37" s="1"/>
  <c r="B2960" i="37" s="1"/>
  <c r="B2979" i="37" s="1"/>
  <c r="F25" i="69" l="1"/>
  <c r="G24" i="69"/>
  <c r="J211" i="10"/>
  <c r="D211" i="10" s="1"/>
  <c r="J204" i="10"/>
  <c r="D204" i="10" s="1"/>
  <c r="J229" i="10"/>
  <c r="D229" i="10" s="1"/>
  <c r="J122" i="10"/>
  <c r="D122" i="10" s="1"/>
  <c r="F2814" i="37" s="1"/>
  <c r="G2814" i="37" s="1"/>
  <c r="J247" i="10"/>
  <c r="D247" i="10" s="1"/>
  <c r="J223" i="10"/>
  <c r="D223" i="10" s="1"/>
  <c r="J224" i="10"/>
  <c r="D224" i="10" s="1"/>
  <c r="J284" i="10"/>
  <c r="D284" i="10" s="1"/>
  <c r="J285" i="10"/>
  <c r="D285" i="10" s="1"/>
  <c r="J234" i="10"/>
  <c r="D234" i="10" s="1"/>
  <c r="J235" i="10"/>
  <c r="D235" i="10" s="1"/>
  <c r="J236" i="10"/>
  <c r="D236" i="10" s="1"/>
  <c r="J200" i="10"/>
  <c r="D200" i="10" s="1"/>
  <c r="J201" i="10"/>
  <c r="D201" i="10" s="1"/>
  <c r="F2699" i="37" s="1"/>
  <c r="G2699" i="37" s="1"/>
  <c r="J208" i="10"/>
  <c r="D208" i="10" s="1"/>
  <c r="J210" i="10"/>
  <c r="D210" i="10" s="1"/>
  <c r="J221" i="10"/>
  <c r="D221" i="10" s="1"/>
  <c r="F3659" i="37" s="1"/>
  <c r="G3659" i="37" s="1"/>
  <c r="J139" i="10"/>
  <c r="D139" i="10" s="1"/>
  <c r="J283" i="10"/>
  <c r="D283" i="10" s="1"/>
  <c r="F1811" i="37" s="1"/>
  <c r="G1811" i="37" s="1"/>
  <c r="J217" i="10"/>
  <c r="D217" i="10" s="1"/>
  <c r="J218" i="10"/>
  <c r="D218" i="10" s="1"/>
  <c r="F2682" i="37" s="1"/>
  <c r="G2682" i="37" s="1"/>
  <c r="J197" i="10"/>
  <c r="D197" i="10" s="1"/>
  <c r="J216" i="10"/>
  <c r="D216" i="10" s="1"/>
  <c r="F2732" i="37" s="1"/>
  <c r="G2732" i="37" s="1"/>
  <c r="J219" i="10"/>
  <c r="D219" i="10" s="1"/>
  <c r="F2729" i="37" s="1"/>
  <c r="G2729" i="37" s="1"/>
  <c r="J220" i="10"/>
  <c r="D220" i="10" s="1"/>
  <c r="F2698" i="37" s="1"/>
  <c r="G2698" i="37" s="1"/>
  <c r="J198" i="10"/>
  <c r="D198" i="10" s="1"/>
  <c r="F2731" i="37" s="1"/>
  <c r="G2731" i="37" s="1"/>
  <c r="J30" i="10"/>
  <c r="D30" i="10" s="1"/>
  <c r="F1075" i="37" s="1"/>
  <c r="G1075" i="37" s="1"/>
  <c r="J142" i="10"/>
  <c r="D142" i="10" s="1"/>
  <c r="J146" i="10"/>
  <c r="D146" i="10" s="1"/>
  <c r="J149" i="10"/>
  <c r="D149" i="10" s="1"/>
  <c r="J182" i="10"/>
  <c r="D182" i="10" s="1"/>
  <c r="J135" i="10"/>
  <c r="D135" i="10" s="1"/>
  <c r="F1908" i="37" s="1"/>
  <c r="J124" i="10"/>
  <c r="D124" i="10" s="1"/>
  <c r="J188" i="10"/>
  <c r="D188" i="10" s="1"/>
  <c r="J187" i="10"/>
  <c r="D187" i="10" s="1"/>
  <c r="J189" i="10"/>
  <c r="D189" i="10" s="1"/>
  <c r="J190" i="10"/>
  <c r="D190" i="10" s="1"/>
  <c r="J228" i="10"/>
  <c r="D228" i="10" s="1"/>
  <c r="J203" i="10"/>
  <c r="D203" i="10" s="1"/>
  <c r="J191" i="10"/>
  <c r="D191" i="10" s="1"/>
  <c r="J230" i="10"/>
  <c r="D230" i="10" s="1"/>
  <c r="J231" i="10"/>
  <c r="D231" i="10" s="1"/>
  <c r="J232" i="10"/>
  <c r="D232" i="10" s="1"/>
  <c r="J233" i="10"/>
  <c r="D233" i="10" s="1"/>
  <c r="J86" i="10"/>
  <c r="D86" i="10" s="1"/>
  <c r="J95" i="10"/>
  <c r="D95" i="10" s="1"/>
  <c r="F1596" i="37" s="1"/>
  <c r="G1596" i="37" s="1"/>
  <c r="J84" i="10"/>
  <c r="D84" i="10" s="1"/>
  <c r="I172" i="10"/>
  <c r="J172" i="10" s="1"/>
  <c r="D172" i="10" s="1"/>
  <c r="J170" i="10"/>
  <c r="D170" i="10" s="1"/>
  <c r="J169" i="10"/>
  <c r="D169" i="10" s="1"/>
  <c r="J54" i="10"/>
  <c r="D54" i="10" s="1"/>
  <c r="I167" i="10"/>
  <c r="J167" i="10" s="1"/>
  <c r="D167" i="10" s="1"/>
  <c r="J164" i="10"/>
  <c r="D164" i="10" s="1"/>
  <c r="J45" i="10"/>
  <c r="D45" i="10" s="1"/>
  <c r="J46" i="10"/>
  <c r="D46" i="10" s="1"/>
  <c r="J48" i="10"/>
  <c r="D48" i="10" s="1"/>
  <c r="J47" i="10"/>
  <c r="D47" i="10" s="1"/>
  <c r="J53" i="10"/>
  <c r="D53" i="10" s="1"/>
  <c r="J51" i="10"/>
  <c r="D51" i="10" s="1"/>
  <c r="F26" i="69" l="1"/>
  <c r="G25" i="69"/>
  <c r="F2785" i="37"/>
  <c r="G2785" i="37" s="1"/>
  <c r="F1582" i="37"/>
  <c r="G1582" i="37" s="1"/>
  <c r="G1543" i="37"/>
  <c r="F1822" i="37"/>
  <c r="F1819" i="37"/>
  <c r="F1823" i="37"/>
  <c r="F1825" i="37"/>
  <c r="F1826" i="37"/>
  <c r="F1824" i="37"/>
  <c r="F1818" i="37"/>
  <c r="F2791" i="37"/>
  <c r="G2791" i="37" s="1"/>
  <c r="F2683" i="37"/>
  <c r="G2683" i="37" s="1"/>
  <c r="F2718" i="37"/>
  <c r="G2718" i="37" s="1"/>
  <c r="G2723" i="37"/>
  <c r="F2185" i="37"/>
  <c r="G2185" i="37" s="1"/>
  <c r="F2318" i="37"/>
  <c r="G2318" i="37" s="1"/>
  <c r="F2135" i="37"/>
  <c r="G2135" i="37" s="1"/>
  <c r="F2340" i="37"/>
  <c r="G2340" i="37" s="1"/>
  <c r="F2744" i="37"/>
  <c r="G2744" i="37" s="1"/>
  <c r="F1939" i="37"/>
  <c r="G1939" i="37" s="1"/>
  <c r="F2784" i="37"/>
  <c r="G2784" i="37" s="1"/>
  <c r="F2684" i="37"/>
  <c r="G2684" i="37" s="1"/>
  <c r="F2719" i="37"/>
  <c r="G2719" i="37" s="1"/>
  <c r="F2700" i="37"/>
  <c r="G2700" i="37" s="1"/>
  <c r="F1909" i="37"/>
  <c r="G1909" i="37" s="1"/>
  <c r="G1908" i="37"/>
  <c r="F2717" i="37"/>
  <c r="G2717" i="37" s="1"/>
  <c r="F2697" i="37"/>
  <c r="G2697" i="37" s="1"/>
  <c r="F1974" i="37"/>
  <c r="G1974" i="37" s="1"/>
  <c r="F1992" i="37"/>
  <c r="G1992" i="37" s="1"/>
  <c r="F1990" i="37"/>
  <c r="G1990" i="37" s="1"/>
  <c r="F905" i="37"/>
  <c r="G905" i="37" s="1"/>
  <c r="F1993" i="37"/>
  <c r="G1993" i="37" s="1"/>
  <c r="F1976" i="37"/>
  <c r="G1976" i="37" s="1"/>
  <c r="F1556" i="37"/>
  <c r="G1556" i="37" s="1"/>
  <c r="F1665" i="37"/>
  <c r="G1665" i="37" s="1"/>
  <c r="F1530" i="37"/>
  <c r="G1530" i="37" s="1"/>
  <c r="F1624" i="37"/>
  <c r="G1624" i="37" s="1"/>
  <c r="F1975" i="37"/>
  <c r="G1975" i="37" s="1"/>
  <c r="F1701" i="37"/>
  <c r="G1701" i="37" s="1"/>
  <c r="J12" i="10"/>
  <c r="D12" i="10" s="1"/>
  <c r="G26" i="69" l="1"/>
  <c r="F29" i="69"/>
  <c r="F399" i="37"/>
  <c r="G399" i="37" s="1"/>
  <c r="G29" i="69" l="1"/>
  <c r="F30" i="69"/>
  <c r="F968" i="37"/>
  <c r="G968" i="37" s="1"/>
  <c r="F3026" i="37"/>
  <c r="G3026" i="37" s="1"/>
  <c r="F2837" i="37"/>
  <c r="G2837" i="37" s="1"/>
  <c r="F3054" i="37"/>
  <c r="G3054" i="37" s="1"/>
  <c r="F2778" i="37"/>
  <c r="G2778" i="37" s="1"/>
  <c r="J256" i="10"/>
  <c r="D256" i="10" s="1"/>
  <c r="J253" i="10"/>
  <c r="J279" i="10"/>
  <c r="D279" i="10" s="1"/>
  <c r="J280" i="10"/>
  <c r="D280" i="10" s="1"/>
  <c r="F1810" i="37" s="1"/>
  <c r="G1810" i="37" s="1"/>
  <c r="J281" i="10"/>
  <c r="D281" i="10" s="1"/>
  <c r="F31" i="69" l="1"/>
  <c r="G30" i="69"/>
  <c r="F1808" i="37"/>
  <c r="G1808" i="37" s="1"/>
  <c r="F1961" i="37"/>
  <c r="G1961" i="37" s="1"/>
  <c r="F1962" i="37"/>
  <c r="G1962" i="37" s="1"/>
  <c r="F1812" i="37"/>
  <c r="G1812" i="37" s="1"/>
  <c r="J400" i="10"/>
  <c r="D400" i="10" s="1"/>
  <c r="F32" i="69" l="1"/>
  <c r="G31" i="69"/>
  <c r="AB25" i="18"/>
  <c r="T6" i="18"/>
  <c r="T25" i="18" s="1"/>
  <c r="L6" i="18"/>
  <c r="L5" i="18" s="1"/>
  <c r="L3" i="18" s="1"/>
  <c r="F33" i="69" l="1"/>
  <c r="G32" i="69"/>
  <c r="L17" i="18"/>
  <c r="L14" i="18"/>
  <c r="L11" i="18"/>
  <c r="L8" i="18"/>
  <c r="L25" i="18"/>
  <c r="T5" i="18"/>
  <c r="T3" i="18" s="1"/>
  <c r="AB5" i="18"/>
  <c r="AB3" i="18" s="1"/>
  <c r="F34" i="69" l="1"/>
  <c r="G33" i="69"/>
  <c r="T14" i="18"/>
  <c r="T11" i="18"/>
  <c r="T17" i="18"/>
  <c r="T8" i="18"/>
  <c r="M9" i="18"/>
  <c r="M10" i="18"/>
  <c r="M8" i="18"/>
  <c r="M11" i="18"/>
  <c r="M12" i="18"/>
  <c r="M13" i="18"/>
  <c r="N13" i="18" s="1"/>
  <c r="M15" i="18"/>
  <c r="M16" i="18"/>
  <c r="M14" i="18"/>
  <c r="AB17" i="18"/>
  <c r="AB14" i="18"/>
  <c r="AB11" i="18"/>
  <c r="AB8" i="18"/>
  <c r="M17" i="18"/>
  <c r="N17" i="18" s="1"/>
  <c r="M19" i="18"/>
  <c r="M18" i="18"/>
  <c r="F37" i="69" l="1"/>
  <c r="G34" i="69"/>
  <c r="N18" i="18"/>
  <c r="N16" i="18"/>
  <c r="N10" i="18"/>
  <c r="N15" i="18"/>
  <c r="N19" i="18"/>
  <c r="N12" i="18"/>
  <c r="AC12" i="18"/>
  <c r="AC11" i="18"/>
  <c r="AC13" i="18"/>
  <c r="O13" i="18"/>
  <c r="N11" i="18"/>
  <c r="U10" i="18"/>
  <c r="U9" i="18"/>
  <c r="V9" i="18" s="1"/>
  <c r="U8" i="18"/>
  <c r="U19" i="18"/>
  <c r="U18" i="18"/>
  <c r="U17" i="18"/>
  <c r="V17" i="18" s="1"/>
  <c r="AC9" i="18"/>
  <c r="AD9" i="18" s="1"/>
  <c r="AC8" i="18"/>
  <c r="AC10" i="18"/>
  <c r="U13" i="18"/>
  <c r="U12" i="18"/>
  <c r="U11" i="18"/>
  <c r="AC15" i="18"/>
  <c r="AC14" i="18"/>
  <c r="AC16" i="18"/>
  <c r="O10" i="18"/>
  <c r="N8" i="18"/>
  <c r="AC19" i="18"/>
  <c r="AC18" i="18"/>
  <c r="AC17" i="18"/>
  <c r="AD17" i="18" s="1"/>
  <c r="O16" i="18"/>
  <c r="N14" i="18"/>
  <c r="N9" i="18"/>
  <c r="U16" i="18"/>
  <c r="V16" i="18" s="1"/>
  <c r="U15" i="18"/>
  <c r="U14" i="18"/>
  <c r="G37" i="69" l="1"/>
  <c r="F38" i="69"/>
  <c r="AD15" i="18"/>
  <c r="V18" i="18"/>
  <c r="AD12" i="18"/>
  <c r="AD18" i="18"/>
  <c r="V12" i="18"/>
  <c r="AD14" i="18"/>
  <c r="AE16" i="18"/>
  <c r="V10" i="18"/>
  <c r="V14" i="18"/>
  <c r="W16" i="18"/>
  <c r="AD19" i="18"/>
  <c r="V13" i="18"/>
  <c r="V8" i="18"/>
  <c r="W10" i="18"/>
  <c r="W13" i="18"/>
  <c r="V11" i="18"/>
  <c r="V15" i="18"/>
  <c r="L21" i="18"/>
  <c r="AD10" i="18"/>
  <c r="V19" i="18"/>
  <c r="AD13" i="18"/>
  <c r="AD8" i="18"/>
  <c r="AE10" i="18"/>
  <c r="AD16" i="18"/>
  <c r="AD11" i="18"/>
  <c r="AE13" i="18"/>
  <c r="F39" i="69" l="1"/>
  <c r="G38" i="69"/>
  <c r="T21" i="18"/>
  <c r="AB21" i="18"/>
  <c r="G39" i="69" l="1"/>
  <c r="F40" i="69"/>
  <c r="A329" i="10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G40" i="69" l="1"/>
  <c r="F41" i="69"/>
  <c r="A358" i="10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K59" i="10"/>
  <c r="K57" i="10"/>
  <c r="K56" i="10"/>
  <c r="L28" i="10"/>
  <c r="K28" i="10" s="1"/>
  <c r="G41" i="69" l="1"/>
  <c r="F42" i="69"/>
  <c r="F956" i="37"/>
  <c r="G956" i="37" s="1"/>
  <c r="F979" i="37"/>
  <c r="G979" i="37" s="1"/>
  <c r="F1088" i="37"/>
  <c r="G1088" i="37" s="1"/>
  <c r="G1081" i="37" s="1"/>
  <c r="F939" i="37"/>
  <c r="G939" i="37" s="1"/>
  <c r="F923" i="37"/>
  <c r="G923" i="37" s="1"/>
  <c r="F1031" i="37"/>
  <c r="G1031" i="37" s="1"/>
  <c r="J17" i="10"/>
  <c r="D17" i="10" s="1"/>
  <c r="J11" i="10"/>
  <c r="D11" i="10" s="1"/>
  <c r="F149" i="65" l="1"/>
  <c r="F174" i="65" s="1"/>
  <c r="F146" i="67"/>
  <c r="G42" i="69"/>
  <c r="F45" i="69"/>
  <c r="F286" i="37"/>
  <c r="G286" i="37" s="1"/>
  <c r="F46" i="69" l="1"/>
  <c r="G45" i="69"/>
  <c r="G149" i="65"/>
  <c r="G146" i="67"/>
  <c r="F171" i="67"/>
  <c r="F199" i="65"/>
  <c r="G174" i="65"/>
  <c r="J43" i="10"/>
  <c r="D43" i="10" s="1"/>
  <c r="J67" i="10"/>
  <c r="D67" i="10" s="1"/>
  <c r="F3029" i="37" s="1"/>
  <c r="F980" i="37"/>
  <c r="G980" i="37" s="1"/>
  <c r="G46" i="69" l="1"/>
  <c r="F47" i="69"/>
  <c r="G171" i="67"/>
  <c r="F196" i="67"/>
  <c r="F224" i="65"/>
  <c r="G199" i="65"/>
  <c r="F3041" i="37"/>
  <c r="G3041" i="37" s="1"/>
  <c r="F959" i="37"/>
  <c r="G959" i="37" s="1"/>
  <c r="F3057" i="37"/>
  <c r="G3057" i="37" s="1"/>
  <c r="G3029" i="37"/>
  <c r="F3261" i="37"/>
  <c r="F3494" i="37"/>
  <c r="G3494" i="37" s="1"/>
  <c r="F957" i="37"/>
  <c r="G957" i="37" s="1"/>
  <c r="G3261" i="37" l="1"/>
  <c r="F3279" i="37"/>
  <c r="G3279" i="37" s="1"/>
  <c r="F221" i="67"/>
  <c r="G196" i="67"/>
  <c r="F48" i="69"/>
  <c r="G47" i="69"/>
  <c r="F249" i="65"/>
  <c r="R149" i="65" s="1"/>
  <c r="G224" i="65"/>
  <c r="F1186" i="37"/>
  <c r="G1186" i="37" s="1"/>
  <c r="F1187" i="37"/>
  <c r="G1187" i="37" s="1"/>
  <c r="F1188" i="37"/>
  <c r="G1188" i="37" s="1"/>
  <c r="F1185" i="37"/>
  <c r="G1185" i="37" s="1"/>
  <c r="F315" i="37"/>
  <c r="G315" i="37" s="1"/>
  <c r="F252" i="37"/>
  <c r="G252" i="37" s="1"/>
  <c r="F1170" i="37"/>
  <c r="F3275" i="37"/>
  <c r="F327" i="37"/>
  <c r="G327" i="37" s="1"/>
  <c r="G321" i="37" s="1"/>
  <c r="F705" i="37"/>
  <c r="G705" i="37" s="1"/>
  <c r="J308" i="10"/>
  <c r="D308" i="10" s="1"/>
  <c r="J298" i="10"/>
  <c r="D298" i="10" s="1"/>
  <c r="F777" i="37" s="1"/>
  <c r="G777" i="37" s="1"/>
  <c r="J302" i="10"/>
  <c r="D302" i="10" s="1"/>
  <c r="F3035" i="37" s="1"/>
  <c r="G3035" i="37" s="1"/>
  <c r="G3048" i="37" s="1"/>
  <c r="F2610" i="37"/>
  <c r="G2610" i="37" s="1"/>
  <c r="F2609" i="37"/>
  <c r="G2609" i="37" s="1"/>
  <c r="J264" i="10"/>
  <c r="D264" i="10" s="1"/>
  <c r="J291" i="10"/>
  <c r="D291" i="10" s="1"/>
  <c r="J288" i="10"/>
  <c r="D288" i="10" s="1"/>
  <c r="J286" i="10"/>
  <c r="D286" i="10" s="1"/>
  <c r="J252" i="10"/>
  <c r="J69" i="10"/>
  <c r="J145" i="10"/>
  <c r="D145" i="10" s="1"/>
  <c r="I144" i="10"/>
  <c r="J144" i="10" s="1"/>
  <c r="D144" i="10" s="1"/>
  <c r="J263" i="10"/>
  <c r="D263" i="10" s="1"/>
  <c r="J262" i="10"/>
  <c r="D262" i="10" s="1"/>
  <c r="J99" i="10"/>
  <c r="D99" i="10" s="1"/>
  <c r="J265" i="10"/>
  <c r="D265" i="10" s="1"/>
  <c r="J278" i="10"/>
  <c r="D278" i="10" s="1"/>
  <c r="J277" i="10"/>
  <c r="D277" i="10" s="1"/>
  <c r="F2228" i="37" s="1"/>
  <c r="G2228" i="37" s="1"/>
  <c r="J275" i="10"/>
  <c r="D275" i="10" s="1"/>
  <c r="J274" i="10"/>
  <c r="D274" i="10" s="1"/>
  <c r="J273" i="10"/>
  <c r="D273" i="10" s="1"/>
  <c r="J272" i="10"/>
  <c r="D272" i="10" s="1"/>
  <c r="F2242" i="37" s="1"/>
  <c r="G2242" i="37" s="1"/>
  <c r="J271" i="10"/>
  <c r="D271" i="10" s="1"/>
  <c r="J270" i="10"/>
  <c r="D270" i="10" s="1"/>
  <c r="F2227" i="37" s="1"/>
  <c r="G2227" i="37" s="1"/>
  <c r="J269" i="10"/>
  <c r="D269" i="10" s="1"/>
  <c r="J268" i="10"/>
  <c r="D268" i="10" s="1"/>
  <c r="J98" i="10"/>
  <c r="D98" i="10" s="1"/>
  <c r="J185" i="10"/>
  <c r="D185" i="10" s="1"/>
  <c r="J78" i="10"/>
  <c r="D78" i="10" s="1"/>
  <c r="J42" i="10"/>
  <c r="D42" i="10" s="1"/>
  <c r="J44" i="10"/>
  <c r="D44" i="10" s="1"/>
  <c r="J267" i="10"/>
  <c r="D267" i="10" s="1"/>
  <c r="F2024" i="37" s="1"/>
  <c r="G2024" i="37" s="1"/>
  <c r="J266" i="10"/>
  <c r="D266" i="10" s="1"/>
  <c r="F2051" i="37" s="1"/>
  <c r="J207" i="10"/>
  <c r="D207" i="10" s="1"/>
  <c r="J184" i="10"/>
  <c r="D184" i="10" s="1"/>
  <c r="J183" i="10"/>
  <c r="D183" i="10" s="1"/>
  <c r="J181" i="10"/>
  <c r="D181" i="10" s="1"/>
  <c r="J180" i="10"/>
  <c r="D180" i="10" s="1"/>
  <c r="J260" i="10"/>
  <c r="D260" i="10" s="1"/>
  <c r="F2114" i="37" s="1"/>
  <c r="G2114" i="37" s="1"/>
  <c r="J259" i="10"/>
  <c r="D259" i="10" s="1"/>
  <c r="J127" i="10"/>
  <c r="D127" i="10" s="1"/>
  <c r="J126" i="10"/>
  <c r="D126" i="10" s="1"/>
  <c r="J125" i="10"/>
  <c r="D125" i="10" s="1"/>
  <c r="J133" i="10"/>
  <c r="D133" i="10" s="1"/>
  <c r="J132" i="10"/>
  <c r="D132" i="10" s="1"/>
  <c r="J131" i="10"/>
  <c r="D131" i="10" s="1"/>
  <c r="J130" i="10"/>
  <c r="D130" i="10" s="1"/>
  <c r="J129" i="10"/>
  <c r="D129" i="10" s="1"/>
  <c r="J179" i="10"/>
  <c r="D179" i="10" s="1"/>
  <c r="J178" i="10"/>
  <c r="J177" i="10"/>
  <c r="D177" i="10" s="1"/>
  <c r="J176" i="10"/>
  <c r="D176" i="10" s="1"/>
  <c r="J175" i="10"/>
  <c r="D175" i="10" s="1"/>
  <c r="J171" i="10"/>
  <c r="D171" i="10" s="1"/>
  <c r="J64" i="10"/>
  <c r="D64" i="10" s="1"/>
  <c r="J61" i="10"/>
  <c r="D61" i="10" s="1"/>
  <c r="J202" i="10"/>
  <c r="D202" i="10" s="1"/>
  <c r="J196" i="10"/>
  <c r="D196" i="10" s="1"/>
  <c r="S195" i="10"/>
  <c r="P202" i="10" s="1"/>
  <c r="D178" i="10" s="1"/>
  <c r="J195" i="10"/>
  <c r="D195" i="10" s="1"/>
  <c r="J194" i="10"/>
  <c r="D194" i="10" s="1"/>
  <c r="J193" i="10"/>
  <c r="D193" i="10" s="1"/>
  <c r="J192" i="10"/>
  <c r="D192" i="10" s="1"/>
  <c r="J166" i="10"/>
  <c r="D166" i="10" s="1"/>
  <c r="F1713" i="37" s="1"/>
  <c r="G1713" i="37" s="1"/>
  <c r="J165" i="10"/>
  <c r="D165" i="10" s="1"/>
  <c r="J163" i="10"/>
  <c r="D163" i="10" s="1"/>
  <c r="F1676" i="37" s="1"/>
  <c r="G1676" i="37" s="1"/>
  <c r="J162" i="10"/>
  <c r="D162" i="10" s="1"/>
  <c r="J161" i="10"/>
  <c r="D161" i="10" s="1"/>
  <c r="D160" i="10"/>
  <c r="J117" i="10"/>
  <c r="D117" i="10" s="1"/>
  <c r="J116" i="10"/>
  <c r="D116" i="10" s="1"/>
  <c r="J115" i="10"/>
  <c r="D115" i="10" s="1"/>
  <c r="J114" i="10"/>
  <c r="D114" i="10" s="1"/>
  <c r="F2556" i="37" s="1"/>
  <c r="G2556" i="37" s="1"/>
  <c r="G2550" i="37" s="1"/>
  <c r="J113" i="10"/>
  <c r="D113" i="10" s="1"/>
  <c r="J112" i="10"/>
  <c r="D112" i="10" s="1"/>
  <c r="J111" i="10"/>
  <c r="D111" i="10" s="1"/>
  <c r="J110" i="10"/>
  <c r="D110" i="10" s="1"/>
  <c r="J109" i="10"/>
  <c r="D109" i="10" s="1"/>
  <c r="F2618" i="37" s="1"/>
  <c r="G2618" i="37" s="1"/>
  <c r="J108" i="10"/>
  <c r="J107" i="10"/>
  <c r="J106" i="10"/>
  <c r="D106" i="10" s="1"/>
  <c r="J105" i="10"/>
  <c r="D105" i="10" s="1"/>
  <c r="J104" i="10"/>
  <c r="D104" i="10" s="1"/>
  <c r="F2617" i="37" s="1"/>
  <c r="G2617" i="37" s="1"/>
  <c r="J103" i="10"/>
  <c r="D103" i="10" s="1"/>
  <c r="J102" i="10"/>
  <c r="D102" i="10" s="1"/>
  <c r="J101" i="10"/>
  <c r="J100" i="10"/>
  <c r="J254" i="10"/>
  <c r="J258" i="10"/>
  <c r="D258" i="10" s="1"/>
  <c r="F2366" i="37" s="1"/>
  <c r="G2366" i="37" s="1"/>
  <c r="J121" i="10"/>
  <c r="D121" i="10" s="1"/>
  <c r="J120" i="10"/>
  <c r="D120" i="10" s="1"/>
  <c r="J245" i="10"/>
  <c r="D245" i="10" s="1"/>
  <c r="J244" i="10"/>
  <c r="D244" i="10" s="1"/>
  <c r="J34" i="10"/>
  <c r="D34" i="10" s="1"/>
  <c r="F1654" i="37" s="1"/>
  <c r="G1654" i="37" s="1"/>
  <c r="J33" i="10"/>
  <c r="D33" i="10" s="1"/>
  <c r="J32" i="10"/>
  <c r="D32" i="10" s="1"/>
  <c r="J31" i="10"/>
  <c r="D31" i="10" s="1"/>
  <c r="F769" i="37" s="1"/>
  <c r="G769" i="37" s="1"/>
  <c r="J243" i="10"/>
  <c r="D243" i="10" s="1"/>
  <c r="J242" i="10"/>
  <c r="D242" i="10" s="1"/>
  <c r="F2418" i="37" s="1"/>
  <c r="J70" i="10"/>
  <c r="D70" i="10" s="1"/>
  <c r="F770" i="37" s="1"/>
  <c r="G770" i="37" s="1"/>
  <c r="Y76" i="10"/>
  <c r="J76" i="10"/>
  <c r="D76" i="10" s="1"/>
  <c r="J75" i="10"/>
  <c r="D75" i="10" s="1"/>
  <c r="J96" i="10"/>
  <c r="D96" i="10" s="1"/>
  <c r="J94" i="10"/>
  <c r="D94" i="10" s="1"/>
  <c r="F1501" i="37" s="1"/>
  <c r="G1501" i="37" s="1"/>
  <c r="J93" i="10"/>
  <c r="D93" i="10" s="1"/>
  <c r="F1516" i="37" s="1"/>
  <c r="G1516" i="37" s="1"/>
  <c r="J92" i="10"/>
  <c r="D92" i="10" s="1"/>
  <c r="F1471" i="37" s="1"/>
  <c r="G1471" i="37" s="1"/>
  <c r="J90" i="10"/>
  <c r="D90" i="10" s="1"/>
  <c r="J89" i="10"/>
  <c r="D89" i="10" s="1"/>
  <c r="J88" i="10"/>
  <c r="D88" i="10" s="1"/>
  <c r="J87" i="10"/>
  <c r="D87" i="10" s="1"/>
  <c r="J66" i="10"/>
  <c r="J60" i="10"/>
  <c r="D60" i="10" s="1"/>
  <c r="J59" i="10"/>
  <c r="D59" i="10" s="1"/>
  <c r="J57" i="10"/>
  <c r="D57" i="10" s="1"/>
  <c r="J56" i="10"/>
  <c r="D56" i="10" s="1"/>
  <c r="F752" i="37" s="1"/>
  <c r="G752" i="37" s="1"/>
  <c r="J55" i="10"/>
  <c r="D55" i="10" s="1"/>
  <c r="J65" i="10"/>
  <c r="D65" i="10" s="1"/>
  <c r="J52" i="10"/>
  <c r="D52" i="10" s="1"/>
  <c r="L52" i="10" s="1"/>
  <c r="J49" i="10"/>
  <c r="D49" i="10" s="1"/>
  <c r="J29" i="10"/>
  <c r="D29" i="10" s="1"/>
  <c r="J82" i="10"/>
  <c r="D82" i="10" s="1"/>
  <c r="J80" i="10"/>
  <c r="D80" i="10" s="1"/>
  <c r="F1741" i="37" s="1"/>
  <c r="G1741" i="37" s="1"/>
  <c r="J79" i="10"/>
  <c r="D79" i="10" s="1"/>
  <c r="F1742" i="37" s="1"/>
  <c r="G1742" i="37" s="1"/>
  <c r="J74" i="10"/>
  <c r="D74" i="10" s="1"/>
  <c r="J73" i="10"/>
  <c r="D73" i="10" s="1"/>
  <c r="J72" i="10"/>
  <c r="D72" i="10" s="1"/>
  <c r="J71" i="10"/>
  <c r="D71" i="10" s="1"/>
  <c r="J36" i="10"/>
  <c r="D36" i="10" s="1"/>
  <c r="F2513" i="37" s="1"/>
  <c r="G2513" i="37" s="1"/>
  <c r="J35" i="10"/>
  <c r="D35" i="10" s="1"/>
  <c r="J41" i="10"/>
  <c r="D41" i="10" s="1"/>
  <c r="J28" i="10"/>
  <c r="D28" i="10" s="1"/>
  <c r="F1063" i="37" s="1"/>
  <c r="G1063" i="37" s="1"/>
  <c r="J40" i="10"/>
  <c r="D40" i="10" s="1"/>
  <c r="F3657" i="37" s="1"/>
  <c r="G3657" i="37" s="1"/>
  <c r="G3655" i="37" s="1"/>
  <c r="J39" i="10"/>
  <c r="D39" i="10" s="1"/>
  <c r="H47" i="72" s="1"/>
  <c r="J27" i="10"/>
  <c r="D27" i="10" s="1"/>
  <c r="F2529" i="37" s="1"/>
  <c r="G2529" i="37" s="1"/>
  <c r="J249" i="10"/>
  <c r="D249" i="10" s="1"/>
  <c r="J248" i="10"/>
  <c r="D248" i="10" s="1"/>
  <c r="J26" i="10"/>
  <c r="D26" i="10" s="1"/>
  <c r="J24" i="10"/>
  <c r="D24" i="10" s="1"/>
  <c r="J23" i="10"/>
  <c r="D23" i="10" s="1"/>
  <c r="F226" i="37" s="1"/>
  <c r="G226" i="37" s="1"/>
  <c r="J22" i="10"/>
  <c r="D22" i="10" s="1"/>
  <c r="J21" i="10"/>
  <c r="D21" i="10" s="1"/>
  <c r="J20" i="10"/>
  <c r="D20" i="10" s="1"/>
  <c r="F2026" i="37" s="1"/>
  <c r="G2026" i="37" s="1"/>
  <c r="J19" i="10"/>
  <c r="D19" i="10" s="1"/>
  <c r="J18" i="10"/>
  <c r="D18" i="10" s="1"/>
  <c r="F2368" i="37" s="1"/>
  <c r="G2368" i="37" s="1"/>
  <c r="J16" i="10"/>
  <c r="D16" i="10" s="1"/>
  <c r="F2025" i="37" s="1"/>
  <c r="G2025" i="37" s="1"/>
  <c r="J15" i="10"/>
  <c r="D15" i="10" s="1"/>
  <c r="J14" i="10"/>
  <c r="D14" i="10" s="1"/>
  <c r="F694" i="37" s="1"/>
  <c r="G694" i="37" s="1"/>
  <c r="J10" i="10"/>
  <c r="D10" i="10" s="1"/>
  <c r="J9" i="10"/>
  <c r="D9" i="10" s="1"/>
  <c r="A9" i="10"/>
  <c r="A10" i="10" s="1"/>
  <c r="A11" i="10" s="1"/>
  <c r="J8" i="10"/>
  <c r="D8" i="10" s="1"/>
  <c r="F3004" i="37" l="1"/>
  <c r="G3004" i="37" s="1"/>
  <c r="F1064" i="37"/>
  <c r="G1064" i="37" s="1"/>
  <c r="F47" i="72"/>
  <c r="I47" i="72"/>
  <c r="H42" i="72"/>
  <c r="F3002" i="37"/>
  <c r="G3002" i="37" s="1"/>
  <c r="G47" i="72"/>
  <c r="G48" i="69"/>
  <c r="F49" i="69"/>
  <c r="G221" i="67"/>
  <c r="F246" i="67"/>
  <c r="Z299" i="65"/>
  <c r="AA299" i="65" s="1"/>
  <c r="Z499" i="65"/>
  <c r="AA499" i="65" s="1"/>
  <c r="Z224" i="65"/>
  <c r="AA224" i="65" s="1"/>
  <c r="F274" i="65"/>
  <c r="G274" i="65" s="1"/>
  <c r="Z149" i="65"/>
  <c r="AA149" i="65" s="1"/>
  <c r="F324" i="65"/>
  <c r="G324" i="65" s="1"/>
  <c r="Z274" i="65"/>
  <c r="AA274" i="65" s="1"/>
  <c r="F299" i="65"/>
  <c r="G299" i="65" s="1"/>
  <c r="AH274" i="65"/>
  <c r="AI274" i="65" s="1"/>
  <c r="Z199" i="65"/>
  <c r="AA199" i="65" s="1"/>
  <c r="Z174" i="65"/>
  <c r="AA174" i="65" s="1"/>
  <c r="Z324" i="65"/>
  <c r="AA324" i="65" s="1"/>
  <c r="AH299" i="65"/>
  <c r="AI299" i="65" s="1"/>
  <c r="R274" i="65"/>
  <c r="S274" i="65" s="1"/>
  <c r="AH224" i="65"/>
  <c r="AI224" i="65" s="1"/>
  <c r="AH149" i="65"/>
  <c r="AI149" i="65" s="1"/>
  <c r="R199" i="65"/>
  <c r="S199" i="65" s="1"/>
  <c r="R174" i="65"/>
  <c r="S174" i="65" s="1"/>
  <c r="R299" i="65"/>
  <c r="S299" i="65" s="1"/>
  <c r="R224" i="65"/>
  <c r="S224" i="65" s="1"/>
  <c r="AH199" i="65"/>
  <c r="AI199" i="65" s="1"/>
  <c r="AH174" i="65"/>
  <c r="AI174" i="65" s="1"/>
  <c r="S149" i="65"/>
  <c r="R499" i="65"/>
  <c r="S499" i="65" s="1"/>
  <c r="F424" i="65"/>
  <c r="G424" i="65" s="1"/>
  <c r="AH349" i="65"/>
  <c r="AI349" i="65" s="1"/>
  <c r="AH449" i="65"/>
  <c r="AI449" i="65" s="1"/>
  <c r="Z249" i="65"/>
  <c r="AA249" i="65" s="1"/>
  <c r="F499" i="65"/>
  <c r="G499" i="65" s="1"/>
  <c r="Z374" i="65"/>
  <c r="AA374" i="65" s="1"/>
  <c r="F374" i="65"/>
  <c r="G374" i="65" s="1"/>
  <c r="AH499" i="65"/>
  <c r="AI499" i="65" s="1"/>
  <c r="R374" i="65"/>
  <c r="S374" i="65" s="1"/>
  <c r="AH399" i="65"/>
  <c r="AI399" i="65" s="1"/>
  <c r="R349" i="65"/>
  <c r="S349" i="65" s="1"/>
  <c r="Z399" i="65"/>
  <c r="AA399" i="65" s="1"/>
  <c r="R449" i="65"/>
  <c r="S449" i="65" s="1"/>
  <c r="F399" i="65"/>
  <c r="G399" i="65" s="1"/>
  <c r="AH374" i="65"/>
  <c r="AI374" i="65" s="1"/>
  <c r="Z474" i="65"/>
  <c r="AA474" i="65" s="1"/>
  <c r="Z349" i="65"/>
  <c r="AA349" i="65" s="1"/>
  <c r="R399" i="65"/>
  <c r="S399" i="65" s="1"/>
  <c r="Z449" i="65"/>
  <c r="AA449" i="65" s="1"/>
  <c r="AH324" i="65"/>
  <c r="AI324" i="65" s="1"/>
  <c r="AH424" i="65"/>
  <c r="AI424" i="65" s="1"/>
  <c r="R324" i="65"/>
  <c r="S324" i="65" s="1"/>
  <c r="R474" i="65"/>
  <c r="S474" i="65" s="1"/>
  <c r="F474" i="65"/>
  <c r="G474" i="65" s="1"/>
  <c r="F349" i="65"/>
  <c r="G349" i="65" s="1"/>
  <c r="F449" i="65"/>
  <c r="G449" i="65" s="1"/>
  <c r="G249" i="65"/>
  <c r="R424" i="65"/>
  <c r="S424" i="65" s="1"/>
  <c r="AH249" i="65"/>
  <c r="AI249" i="65" s="1"/>
  <c r="AH474" i="65"/>
  <c r="AI474" i="65" s="1"/>
  <c r="R249" i="65"/>
  <c r="S249" i="65" s="1"/>
  <c r="Z424" i="65"/>
  <c r="AA424" i="65" s="1"/>
  <c r="F711" i="37"/>
  <c r="G711" i="37" s="1"/>
  <c r="G3033" i="37"/>
  <c r="F1660" i="37"/>
  <c r="G1660" i="37" s="1"/>
  <c r="F717" i="37"/>
  <c r="G717" i="37" s="1"/>
  <c r="F440" i="37"/>
  <c r="G440" i="37" s="1"/>
  <c r="F696" i="37"/>
  <c r="G696" i="37" s="1"/>
  <c r="F695" i="37"/>
  <c r="G695" i="37" s="1"/>
  <c r="F439" i="37"/>
  <c r="G439" i="37" s="1"/>
  <c r="F3116" i="37"/>
  <c r="G3116" i="37" s="1"/>
  <c r="F3088" i="37"/>
  <c r="G3088" i="37" s="1"/>
  <c r="F3130" i="37"/>
  <c r="G3130" i="37" s="1"/>
  <c r="F3102" i="37"/>
  <c r="G3102" i="37" s="1"/>
  <c r="F3099" i="37"/>
  <c r="G3099" i="37" s="1"/>
  <c r="F3085" i="37"/>
  <c r="G3085" i="37" s="1"/>
  <c r="F3127" i="37"/>
  <c r="G3127" i="37" s="1"/>
  <c r="F3113" i="37"/>
  <c r="G3113" i="37" s="1"/>
  <c r="F3098" i="37"/>
  <c r="G3098" i="37" s="1"/>
  <c r="F3126" i="37"/>
  <c r="G3126" i="37" s="1"/>
  <c r="F3112" i="37"/>
  <c r="G3112" i="37" s="1"/>
  <c r="F3084" i="37"/>
  <c r="G3084" i="37" s="1"/>
  <c r="F2773" i="37"/>
  <c r="G2773" i="37" s="1"/>
  <c r="F3122" i="37"/>
  <c r="G3122" i="37" s="1"/>
  <c r="F3108" i="37"/>
  <c r="G3108" i="37" s="1"/>
  <c r="F3080" i="37"/>
  <c r="G3080" i="37" s="1"/>
  <c r="F3094" i="37"/>
  <c r="G3094" i="37" s="1"/>
  <c r="F319" i="37"/>
  <c r="G319" i="37" s="1"/>
  <c r="F202" i="37"/>
  <c r="G202" i="37" s="1"/>
  <c r="F1740" i="37"/>
  <c r="G1740" i="37" s="1"/>
  <c r="F1739" i="37"/>
  <c r="G1739" i="37" s="1"/>
  <c r="F1544" i="37"/>
  <c r="G1544" i="37" s="1"/>
  <c r="F1571" i="37"/>
  <c r="G1571" i="37" s="1"/>
  <c r="F1583" i="37"/>
  <c r="G1583" i="37" s="1"/>
  <c r="F3599" i="37"/>
  <c r="G3599" i="37" s="1"/>
  <c r="G3601" i="37" s="1"/>
  <c r="G3592" i="37" s="1"/>
  <c r="F2027" i="37"/>
  <c r="G2027" i="37" s="1"/>
  <c r="G2036" i="37" s="1"/>
  <c r="G2022" i="37" s="1"/>
  <c r="F1572" i="37"/>
  <c r="G1572" i="37" s="1"/>
  <c r="F1584" i="37"/>
  <c r="G1584" i="37" s="1"/>
  <c r="F1545" i="37"/>
  <c r="G1545" i="37" s="1"/>
  <c r="F1585" i="37"/>
  <c r="G1585" i="37" s="1"/>
  <c r="F1546" i="37"/>
  <c r="G1546" i="37" s="1"/>
  <c r="F1573" i="37"/>
  <c r="G1573" i="37" s="1"/>
  <c r="F1896" i="37"/>
  <c r="F1074" i="37"/>
  <c r="G1074" i="37" s="1"/>
  <c r="F334" i="37"/>
  <c r="G334" i="37" s="1"/>
  <c r="F1597" i="37"/>
  <c r="G1597" i="37" s="1"/>
  <c r="F347" i="37"/>
  <c r="G347" i="37" s="1"/>
  <c r="F335" i="37"/>
  <c r="G335" i="37" s="1"/>
  <c r="F1598" i="37"/>
  <c r="G1598" i="37" s="1"/>
  <c r="F348" i="37"/>
  <c r="G348" i="37" s="1"/>
  <c r="F1612" i="37"/>
  <c r="G1612" i="37" s="1"/>
  <c r="F1599" i="37"/>
  <c r="G1599" i="37" s="1"/>
  <c r="F317" i="37"/>
  <c r="G317" i="37" s="1"/>
  <c r="F191" i="37"/>
  <c r="G191" i="37" s="1"/>
  <c r="F2740" i="37"/>
  <c r="G2740" i="37" s="1"/>
  <c r="F2689" i="37"/>
  <c r="G2689" i="37" s="1"/>
  <c r="F3289" i="37"/>
  <c r="G3289" i="37" s="1"/>
  <c r="G3290" i="37" s="1"/>
  <c r="G3275" i="37"/>
  <c r="F148" i="37"/>
  <c r="G148" i="37" s="1"/>
  <c r="F316" i="37"/>
  <c r="G316" i="37" s="1"/>
  <c r="F1641" i="37"/>
  <c r="G1641" i="37" s="1"/>
  <c r="F1611" i="37"/>
  <c r="G1611" i="37" s="1"/>
  <c r="F919" i="37"/>
  <c r="G919" i="37" s="1"/>
  <c r="F940" i="37"/>
  <c r="G940" i="37" s="1"/>
  <c r="F924" i="37"/>
  <c r="G924" i="37" s="1"/>
  <c r="F1640" i="37"/>
  <c r="G1640" i="37" s="1"/>
  <c r="F1610" i="37"/>
  <c r="G1610" i="37" s="1"/>
  <c r="F1639" i="37"/>
  <c r="G1639" i="37" s="1"/>
  <c r="F1517" i="37"/>
  <c r="G1517" i="37" s="1"/>
  <c r="F1472" i="37"/>
  <c r="G1472" i="37" s="1"/>
  <c r="F3619" i="37"/>
  <c r="G3619" i="37" s="1"/>
  <c r="G3621" i="37" s="1"/>
  <c r="G3612" i="37" s="1"/>
  <c r="F1518" i="37"/>
  <c r="G1518" i="37" s="1"/>
  <c r="F1473" i="37"/>
  <c r="G1473" i="37" s="1"/>
  <c r="F1519" i="37"/>
  <c r="G1519" i="37" s="1"/>
  <c r="F1474" i="37"/>
  <c r="G1474" i="37" s="1"/>
  <c r="F1222" i="37"/>
  <c r="G1222" i="37" s="1"/>
  <c r="F2074" i="37"/>
  <c r="G2074" i="37" s="1"/>
  <c r="F2090" i="37"/>
  <c r="G2090" i="37" s="1"/>
  <c r="F1952" i="37"/>
  <c r="G1952" i="37" s="1"/>
  <c r="F1210" i="37"/>
  <c r="G1210" i="37" s="1"/>
  <c r="F3644" i="37"/>
  <c r="G3644" i="37" s="1"/>
  <c r="G3645" i="37" s="1"/>
  <c r="G3622" i="37" s="1"/>
  <c r="F1227" i="37"/>
  <c r="G1227" i="37" s="1"/>
  <c r="F2601" i="37"/>
  <c r="G2601" i="37" s="1"/>
  <c r="F1941" i="37"/>
  <c r="G1941" i="37" s="1"/>
  <c r="F2403" i="37"/>
  <c r="G2403" i="37" s="1"/>
  <c r="F2600" i="37"/>
  <c r="G2600" i="37" s="1"/>
  <c r="F1940" i="37"/>
  <c r="G1940" i="37" s="1"/>
  <c r="F2058" i="37"/>
  <c r="G2058" i="37" s="1"/>
  <c r="F2092" i="37"/>
  <c r="G2092" i="37" s="1"/>
  <c r="F2076" i="37"/>
  <c r="G2076" i="37" s="1"/>
  <c r="F812" i="37"/>
  <c r="G812" i="37" s="1"/>
  <c r="F738" i="37"/>
  <c r="G738" i="37" s="1"/>
  <c r="F3978" i="37"/>
  <c r="G3978" i="37" s="1"/>
  <c r="G3440" i="37"/>
  <c r="G3441" i="37" s="1"/>
  <c r="G3434" i="37" s="1"/>
  <c r="G3448" i="37"/>
  <c r="G3449" i="37" s="1"/>
  <c r="G3442" i="37" s="1"/>
  <c r="F830" i="37"/>
  <c r="G830" i="37" s="1"/>
  <c r="F785" i="37"/>
  <c r="G785" i="37" s="1"/>
  <c r="F800" i="37"/>
  <c r="G800" i="37" s="1"/>
  <c r="F815" i="37"/>
  <c r="G815" i="37" s="1"/>
  <c r="F741" i="37"/>
  <c r="G741" i="37" s="1"/>
  <c r="F829" i="37"/>
  <c r="G829" i="37" s="1"/>
  <c r="F784" i="37"/>
  <c r="G784" i="37" s="1"/>
  <c r="F799" i="37"/>
  <c r="G799" i="37" s="1"/>
  <c r="F814" i="37"/>
  <c r="G814" i="37" s="1"/>
  <c r="F740" i="37"/>
  <c r="G740" i="37" s="1"/>
  <c r="F837" i="37"/>
  <c r="G837" i="37" s="1"/>
  <c r="F792" i="37"/>
  <c r="G792" i="37" s="1"/>
  <c r="F807" i="37"/>
  <c r="G807" i="37" s="1"/>
  <c r="F822" i="37"/>
  <c r="G822" i="37" s="1"/>
  <c r="F747" i="37"/>
  <c r="G747" i="37" s="1"/>
  <c r="F981" i="37"/>
  <c r="G981" i="37" s="1"/>
  <c r="F1057" i="37"/>
  <c r="G1057" i="37" s="1"/>
  <c r="G1055" i="37" s="1"/>
  <c r="F1068" i="37"/>
  <c r="G1068" i="37" s="1"/>
  <c r="F3003" i="37"/>
  <c r="G3003" i="37" s="1"/>
  <c r="F3608" i="37"/>
  <c r="G3608" i="37" s="1"/>
  <c r="F582" i="37"/>
  <c r="G582" i="37" s="1"/>
  <c r="F600" i="37"/>
  <c r="G600" i="37" s="1"/>
  <c r="F527" i="37"/>
  <c r="G527" i="37" s="1"/>
  <c r="F565" i="37"/>
  <c r="G565" i="37" s="1"/>
  <c r="F618" i="37"/>
  <c r="G618" i="37" s="1"/>
  <c r="F546" i="37"/>
  <c r="G546" i="37" s="1"/>
  <c r="F153" i="37"/>
  <c r="G153" i="37" s="1"/>
  <c r="F976" i="37"/>
  <c r="G976" i="37" s="1"/>
  <c r="F1402" i="37"/>
  <c r="G1402" i="37" s="1"/>
  <c r="F217" i="37"/>
  <c r="G217" i="37" s="1"/>
  <c r="F149" i="37"/>
  <c r="G149" i="37" s="1"/>
  <c r="F1683" i="37"/>
  <c r="G1683" i="37" s="1"/>
  <c r="F1409" i="37"/>
  <c r="G1409" i="37" s="1"/>
  <c r="F1720" i="37"/>
  <c r="G1720" i="37" s="1"/>
  <c r="F1677" i="37"/>
  <c r="G1677" i="37" s="1"/>
  <c r="F1714" i="37"/>
  <c r="G1714" i="37" s="1"/>
  <c r="F2616" i="37"/>
  <c r="G2616" i="37" s="1"/>
  <c r="G2621" i="37" s="1"/>
  <c r="G2607" i="37" s="1"/>
  <c r="F3589" i="37"/>
  <c r="G3589" i="37" s="1"/>
  <c r="F1190" i="37"/>
  <c r="G1190" i="37" s="1"/>
  <c r="F4509" i="37"/>
  <c r="G4509" i="37" s="1"/>
  <c r="G4515" i="37" s="1"/>
  <c r="G4505" i="37" s="1"/>
  <c r="F4543" i="37"/>
  <c r="G4543" i="37" s="1"/>
  <c r="G4549" i="37" s="1"/>
  <c r="G4539" i="37" s="1"/>
  <c r="F4520" i="37"/>
  <c r="G4520" i="37" s="1"/>
  <c r="G4526" i="37" s="1"/>
  <c r="G4516" i="37" s="1"/>
  <c r="F4364" i="37"/>
  <c r="G4364" i="37" s="1"/>
  <c r="G4370" i="37" s="1"/>
  <c r="G4360" i="37" s="1"/>
  <c r="F4353" i="37"/>
  <c r="G4353" i="37" s="1"/>
  <c r="G4359" i="37" s="1"/>
  <c r="G4349" i="37" s="1"/>
  <c r="F4342" i="37"/>
  <c r="G4342" i="37" s="1"/>
  <c r="G4348" i="37" s="1"/>
  <c r="G4338" i="37" s="1"/>
  <c r="F4331" i="37"/>
  <c r="G4331" i="37" s="1"/>
  <c r="G4337" i="37" s="1"/>
  <c r="G4327" i="37" s="1"/>
  <c r="F4320" i="37"/>
  <c r="G4320" i="37" s="1"/>
  <c r="G4326" i="37" s="1"/>
  <c r="G4316" i="37" s="1"/>
  <c r="F4308" i="37"/>
  <c r="G4308" i="37" s="1"/>
  <c r="G4314" i="37" s="1"/>
  <c r="G4304" i="37" s="1"/>
  <c r="F4297" i="37"/>
  <c r="G4297" i="37" s="1"/>
  <c r="G4303" i="37" s="1"/>
  <c r="G4293" i="37" s="1"/>
  <c r="F4286" i="37"/>
  <c r="G4286" i="37" s="1"/>
  <c r="G4292" i="37" s="1"/>
  <c r="G4282" i="37" s="1"/>
  <c r="F4275" i="37"/>
  <c r="G4275" i="37" s="1"/>
  <c r="G4281" i="37" s="1"/>
  <c r="G4271" i="37" s="1"/>
  <c r="F4264" i="37"/>
  <c r="G4264" i="37" s="1"/>
  <c r="G4270" i="37" s="1"/>
  <c r="G4260" i="37" s="1"/>
  <c r="F4253" i="37"/>
  <c r="G4253" i="37" s="1"/>
  <c r="G4259" i="37" s="1"/>
  <c r="G4249" i="37" s="1"/>
  <c r="F4241" i="37"/>
  <c r="G4241" i="37" s="1"/>
  <c r="G4247" i="37" s="1"/>
  <c r="G4237" i="37" s="1"/>
  <c r="F4230" i="37"/>
  <c r="G4230" i="37" s="1"/>
  <c r="G4236" i="37" s="1"/>
  <c r="G4226" i="37" s="1"/>
  <c r="F4219" i="37"/>
  <c r="G4219" i="37" s="1"/>
  <c r="G4225" i="37" s="1"/>
  <c r="G4215" i="37" s="1"/>
  <c r="F4208" i="37"/>
  <c r="G4208" i="37" s="1"/>
  <c r="G4214" i="37" s="1"/>
  <c r="G4204" i="37" s="1"/>
  <c r="F4196" i="37"/>
  <c r="G4196" i="37" s="1"/>
  <c r="G4202" i="37" s="1"/>
  <c r="G4192" i="37" s="1"/>
  <c r="F4185" i="37"/>
  <c r="G4185" i="37" s="1"/>
  <c r="G4191" i="37" s="1"/>
  <c r="G4181" i="37" s="1"/>
  <c r="F4174" i="37"/>
  <c r="G4174" i="37" s="1"/>
  <c r="G4180" i="37" s="1"/>
  <c r="G4170" i="37" s="1"/>
  <c r="F4163" i="37"/>
  <c r="G4163" i="37" s="1"/>
  <c r="G4169" i="37" s="1"/>
  <c r="G4159" i="37" s="1"/>
  <c r="F4152" i="37"/>
  <c r="G4152" i="37" s="1"/>
  <c r="G4158" i="37" s="1"/>
  <c r="G4148" i="37" s="1"/>
  <c r="F4141" i="37"/>
  <c r="G4141" i="37" s="1"/>
  <c r="G4147" i="37" s="1"/>
  <c r="G4137" i="37" s="1"/>
  <c r="F4130" i="37"/>
  <c r="G4130" i="37" s="1"/>
  <c r="G4136" i="37" s="1"/>
  <c r="G4126" i="37" s="1"/>
  <c r="F4116" i="37"/>
  <c r="G4116" i="37" s="1"/>
  <c r="G4122" i="37" s="1"/>
  <c r="F4104" i="37"/>
  <c r="G4104" i="37" s="1"/>
  <c r="G4110" i="37" s="1"/>
  <c r="F4093" i="37"/>
  <c r="G4093" i="37" s="1"/>
  <c r="G4099" i="37" s="1"/>
  <c r="F3586" i="37"/>
  <c r="G3586" i="37" s="1"/>
  <c r="F495" i="37"/>
  <c r="G495" i="37" s="1"/>
  <c r="F652" i="37"/>
  <c r="G652" i="37" s="1"/>
  <c r="F513" i="37"/>
  <c r="G513" i="37" s="1"/>
  <c r="F623" i="37"/>
  <c r="G623" i="37" s="1"/>
  <c r="F265" i="37"/>
  <c r="G265" i="37" s="1"/>
  <c r="F760" i="37"/>
  <c r="G760" i="37" s="1"/>
  <c r="F419" i="37"/>
  <c r="G419" i="37" s="1"/>
  <c r="F200" i="37"/>
  <c r="G200" i="37" s="1"/>
  <c r="F34" i="37"/>
  <c r="G34" i="37" s="1"/>
  <c r="F258" i="37"/>
  <c r="G258" i="37" s="1"/>
  <c r="F477" i="37"/>
  <c r="G477" i="37" s="1"/>
  <c r="F1427" i="37"/>
  <c r="G1427" i="37" s="1"/>
  <c r="F1389" i="37"/>
  <c r="G1389" i="37" s="1"/>
  <c r="F1275" i="37"/>
  <c r="G1275" i="37" s="1"/>
  <c r="F3071" i="37"/>
  <c r="G3071" i="37" s="1"/>
  <c r="F3540" i="37"/>
  <c r="G3540" i="37" s="1"/>
  <c r="F3225" i="37"/>
  <c r="G3225" i="37" s="1"/>
  <c r="F3521" i="37"/>
  <c r="G3521" i="37" s="1"/>
  <c r="F401" i="37"/>
  <c r="G401" i="37" s="1"/>
  <c r="F375" i="37"/>
  <c r="G375" i="37" s="1"/>
  <c r="F362" i="37"/>
  <c r="G362" i="37" s="1"/>
  <c r="F630" i="37"/>
  <c r="G630" i="37" s="1"/>
  <c r="F647" i="37"/>
  <c r="G647" i="37" s="1"/>
  <c r="F664" i="37"/>
  <c r="G664" i="37" s="1"/>
  <c r="F680" i="37"/>
  <c r="G680" i="37" s="1"/>
  <c r="F427" i="37"/>
  <c r="G427" i="37" s="1"/>
  <c r="F414" i="37"/>
  <c r="G414" i="37" s="1"/>
  <c r="F1503" i="37"/>
  <c r="G1503" i="37" s="1"/>
  <c r="F1907" i="37"/>
  <c r="G1907" i="37" s="1"/>
  <c r="F1444" i="37"/>
  <c r="G1444" i="37" s="1"/>
  <c r="F1532" i="37"/>
  <c r="G1532" i="37" s="1"/>
  <c r="F1489" i="37"/>
  <c r="G1489" i="37" s="1"/>
  <c r="F1558" i="37"/>
  <c r="G1558" i="37" s="1"/>
  <c r="F1895" i="37"/>
  <c r="G1895" i="37" s="1"/>
  <c r="F1429" i="37"/>
  <c r="G1429" i="37" s="1"/>
  <c r="F387" i="37"/>
  <c r="G387" i="37" s="1"/>
  <c r="F1626" i="37"/>
  <c r="G1626" i="37" s="1"/>
  <c r="F2376" i="37"/>
  <c r="G2376" i="37" s="1"/>
  <c r="F1884" i="37"/>
  <c r="G1884" i="37" s="1"/>
  <c r="F2793" i="37"/>
  <c r="G2793" i="37" s="1"/>
  <c r="F1459" i="37"/>
  <c r="G1459" i="37" s="1"/>
  <c r="F1783" i="37"/>
  <c r="G1783" i="37" s="1"/>
  <c r="F3506" i="37"/>
  <c r="G3506" i="37" s="1"/>
  <c r="F1442" i="37"/>
  <c r="G1442" i="37" s="1"/>
  <c r="F2585" i="37"/>
  <c r="G2585" i="37" s="1"/>
  <c r="F2633" i="37"/>
  <c r="G2633" i="37" s="1"/>
  <c r="F2811" i="37"/>
  <c r="G2811" i="37" s="1"/>
  <c r="F16" i="37"/>
  <c r="G16" i="37" s="1"/>
  <c r="F49" i="37"/>
  <c r="G49" i="37" s="1"/>
  <c r="F2500" i="37"/>
  <c r="G2500" i="37" s="1"/>
  <c r="F1860" i="37"/>
  <c r="F2107" i="37"/>
  <c r="G2107" i="37" s="1"/>
  <c r="F2050" i="37"/>
  <c r="F1817" i="37"/>
  <c r="F969" i="37"/>
  <c r="G969" i="37" s="1"/>
  <c r="F3557" i="37"/>
  <c r="G3557" i="37" s="1"/>
  <c r="F1277" i="37"/>
  <c r="G1277" i="37" s="1"/>
  <c r="F3524" i="37"/>
  <c r="G3524" i="37" s="1"/>
  <c r="F3543" i="37"/>
  <c r="G3543" i="37" s="1"/>
  <c r="F1782" i="37"/>
  <c r="G1782" i="37" s="1"/>
  <c r="F1770" i="37"/>
  <c r="G1770" i="37" s="1"/>
  <c r="F1771" i="37"/>
  <c r="G1771" i="37" s="1"/>
  <c r="F662" i="37"/>
  <c r="G662" i="37" s="1"/>
  <c r="F628" i="37"/>
  <c r="G628" i="37" s="1"/>
  <c r="F678" i="37"/>
  <c r="G678" i="37" s="1"/>
  <c r="F2391" i="37"/>
  <c r="G2391" i="37" s="1"/>
  <c r="F645" i="37"/>
  <c r="G645" i="37" s="1"/>
  <c r="F858" i="37"/>
  <c r="G858" i="37" s="1"/>
  <c r="F1758" i="37"/>
  <c r="G1758" i="37" s="1"/>
  <c r="F3560" i="37"/>
  <c r="G3560" i="37" s="1"/>
  <c r="F64" i="37"/>
  <c r="G64" i="37" s="1"/>
  <c r="F1457" i="37"/>
  <c r="G1457" i="37" s="1"/>
  <c r="F726" i="37"/>
  <c r="G726" i="37" s="1"/>
  <c r="F1922" i="37"/>
  <c r="G1922" i="37" s="1"/>
  <c r="F2746" i="37"/>
  <c r="G2746" i="37" s="1"/>
  <c r="F2648" i="37"/>
  <c r="G2648" i="37" s="1"/>
  <c r="F2542" i="37"/>
  <c r="G2542" i="37" s="1"/>
  <c r="F4006" i="37"/>
  <c r="G4006" i="37" s="1"/>
  <c r="F60" i="37"/>
  <c r="G60" i="37" s="1"/>
  <c r="F133" i="37"/>
  <c r="G133" i="37" s="1"/>
  <c r="F208" i="37"/>
  <c r="G208" i="37" s="1"/>
  <c r="F279" i="37"/>
  <c r="G279" i="37" s="1"/>
  <c r="F606" i="37"/>
  <c r="G606" i="37" s="1"/>
  <c r="F1253" i="37"/>
  <c r="G1253" i="37" s="1"/>
  <c r="F1450" i="37"/>
  <c r="G1450" i="37" s="1"/>
  <c r="F3991" i="37"/>
  <c r="G3991" i="37" s="1"/>
  <c r="F3969" i="37"/>
  <c r="G3969" i="37" s="1"/>
  <c r="F137" i="37"/>
  <c r="G137" i="37" s="1"/>
  <c r="F3974" i="37"/>
  <c r="G3974" i="37" s="1"/>
  <c r="F289" i="37"/>
  <c r="G289" i="37" s="1"/>
  <c r="F406" i="37"/>
  <c r="G406" i="37" s="1"/>
  <c r="F848" i="37"/>
  <c r="G848" i="37" s="1"/>
  <c r="F966" i="37"/>
  <c r="G966" i="37" s="1"/>
  <c r="F1179" i="37"/>
  <c r="G1179" i="37" s="1"/>
  <c r="F1198" i="37"/>
  <c r="G1198" i="37" s="1"/>
  <c r="F3963" i="37"/>
  <c r="G3963" i="37" s="1"/>
  <c r="F43" i="37"/>
  <c r="G43" i="37" s="1"/>
  <c r="F77" i="37"/>
  <c r="G77" i="37" s="1"/>
  <c r="F141" i="37"/>
  <c r="G141" i="37" s="1"/>
  <c r="F238" i="37"/>
  <c r="G238" i="37" s="1"/>
  <c r="F392" i="37"/>
  <c r="G392" i="37" s="1"/>
  <c r="F457" i="37"/>
  <c r="G457" i="37" s="1"/>
  <c r="F533" i="37"/>
  <c r="G533" i="37" s="1"/>
  <c r="F1141" i="37"/>
  <c r="G1141" i="37" s="1"/>
  <c r="F1283" i="37"/>
  <c r="G1283" i="37" s="1"/>
  <c r="F1355" i="37"/>
  <c r="G1355" i="37" s="1"/>
  <c r="F106" i="37"/>
  <c r="F380" i="37"/>
  <c r="G380" i="37" s="1"/>
  <c r="F367" i="37"/>
  <c r="G367" i="37" s="1"/>
  <c r="F588" i="37"/>
  <c r="G588" i="37" s="1"/>
  <c r="F731" i="37"/>
  <c r="G731" i="37" s="1"/>
  <c r="G944" i="37"/>
  <c r="F158" i="37"/>
  <c r="G158" i="37" s="1"/>
  <c r="F296" i="37"/>
  <c r="G296" i="37" s="1"/>
  <c r="F635" i="37"/>
  <c r="G635" i="37" s="1"/>
  <c r="F669" i="37"/>
  <c r="G669" i="37" s="1"/>
  <c r="F685" i="37"/>
  <c r="G685" i="37" s="1"/>
  <c r="F928" i="37"/>
  <c r="G928" i="37" s="1"/>
  <c r="F552" i="37"/>
  <c r="G552" i="37" s="1"/>
  <c r="F1378" i="37"/>
  <c r="G1378" i="37" s="1"/>
  <c r="F1564" i="37"/>
  <c r="G1564" i="37" s="1"/>
  <c r="F1671" i="37"/>
  <c r="G1671" i="37" s="1"/>
  <c r="F1788" i="37"/>
  <c r="G1788" i="37" s="1"/>
  <c r="F1866" i="37"/>
  <c r="G1866" i="37" s="1"/>
  <c r="F911" i="37"/>
  <c r="G911" i="37" s="1"/>
  <c r="F1166" i="37"/>
  <c r="G1166" i="37" s="1"/>
  <c r="F1383" i="37"/>
  <c r="G1383" i="37" s="1"/>
  <c r="F1776" i="37"/>
  <c r="G1776" i="37" s="1"/>
  <c r="F1837" i="37"/>
  <c r="G1837" i="37" s="1"/>
  <c r="F1852" i="37"/>
  <c r="G1852" i="37" s="1"/>
  <c r="F1889" i="37"/>
  <c r="G1889" i="37" s="1"/>
  <c r="F2145" i="37"/>
  <c r="G2145" i="37" s="1"/>
  <c r="F3014" i="37"/>
  <c r="G3014" i="37" s="1"/>
  <c r="F3572" i="37"/>
  <c r="G3572" i="37" s="1"/>
  <c r="F4020" i="37"/>
  <c r="G4020" i="37" s="1"/>
  <c r="F1152" i="37"/>
  <c r="G1152" i="37" s="1"/>
  <c r="F1421" i="37"/>
  <c r="G1421" i="37" s="1"/>
  <c r="F1435" i="37"/>
  <c r="G1435" i="37" s="1"/>
  <c r="F1538" i="37"/>
  <c r="G1538" i="37" s="1"/>
  <c r="F1763" i="37"/>
  <c r="G1763" i="37" s="1"/>
  <c r="F1980" i="37"/>
  <c r="G1980" i="37" s="1"/>
  <c r="F1997" i="37"/>
  <c r="G1997" i="37" s="1"/>
  <c r="F2578" i="37"/>
  <c r="G2578" i="37" s="1"/>
  <c r="F2640" i="37"/>
  <c r="G2640" i="37" s="1"/>
  <c r="F3053" i="37"/>
  <c r="G3053" i="37" s="1"/>
  <c r="F1288" i="37"/>
  <c r="G1288" i="37" s="1"/>
  <c r="F1464" i="37"/>
  <c r="G1464" i="37" s="1"/>
  <c r="F1805" i="37"/>
  <c r="G1805" i="37" s="1"/>
  <c r="F1913" i="37"/>
  <c r="G1913" i="37" s="1"/>
  <c r="F2397" i="37"/>
  <c r="G2397" i="37" s="1"/>
  <c r="F2505" i="37"/>
  <c r="G2505" i="37" s="1"/>
  <c r="F2679" i="37"/>
  <c r="G2679" i="37" s="1"/>
  <c r="F2694" i="37"/>
  <c r="G2694" i="37" s="1"/>
  <c r="G2702" i="37" s="1"/>
  <c r="F2799" i="37"/>
  <c r="G2799" i="37" s="1"/>
  <c r="F571" i="37"/>
  <c r="G571" i="37" s="1"/>
  <c r="F1901" i="37"/>
  <c r="G1901" i="37" s="1"/>
  <c r="F2625" i="37"/>
  <c r="G2625" i="37" s="1"/>
  <c r="F2714" i="37"/>
  <c r="G2714" i="37" s="1"/>
  <c r="G2721" i="37" s="1"/>
  <c r="G2711" i="37" s="1"/>
  <c r="F72" i="37"/>
  <c r="G72" i="37" s="1"/>
  <c r="F432" i="37"/>
  <c r="G432" i="37" s="1"/>
  <c r="F1300" i="37"/>
  <c r="G1300" i="37" s="1"/>
  <c r="F1494" i="37"/>
  <c r="G1494" i="37" s="1"/>
  <c r="F1632" i="37"/>
  <c r="G1632" i="37" s="1"/>
  <c r="F1707" i="37"/>
  <c r="G1707" i="37" s="1"/>
  <c r="F1876" i="37"/>
  <c r="G1876" i="37" s="1"/>
  <c r="F1934" i="37"/>
  <c r="G1934" i="37" s="1"/>
  <c r="F1966" i="37"/>
  <c r="G1966" i="37" s="1"/>
  <c r="F2547" i="37"/>
  <c r="G2547" i="37" s="1"/>
  <c r="F3585" i="37"/>
  <c r="G3585" i="37" s="1"/>
  <c r="F1395" i="37"/>
  <c r="G1395" i="37" s="1"/>
  <c r="F2221" i="37"/>
  <c r="F2562" i="37"/>
  <c r="G2562" i="37" s="1"/>
  <c r="F27" i="37"/>
  <c r="G27" i="37" s="1"/>
  <c r="F1509" i="37"/>
  <c r="G1509" i="37" s="1"/>
  <c r="F2195" i="37"/>
  <c r="G2195" i="37" s="1"/>
  <c r="F2236" i="37"/>
  <c r="F2309" i="37"/>
  <c r="G2309" i="37" s="1"/>
  <c r="G2331" i="37" s="1"/>
  <c r="F2384" i="37"/>
  <c r="G2384" i="37" s="1"/>
  <c r="F2806" i="37"/>
  <c r="G2806" i="37" s="1"/>
  <c r="F1132" i="37"/>
  <c r="G1132" i="37" s="1"/>
  <c r="F3025" i="37"/>
  <c r="G3025" i="37" s="1"/>
  <c r="F1282" i="37"/>
  <c r="G1282" i="37" s="1"/>
  <c r="F2331" i="37"/>
  <c r="F864" i="37"/>
  <c r="G864" i="37" s="1"/>
  <c r="F230" i="37"/>
  <c r="G230" i="37" s="1"/>
  <c r="F50" i="37"/>
  <c r="G50" i="37" s="1"/>
  <c r="F594" i="37"/>
  <c r="G594" i="37" s="1"/>
  <c r="F488" i="37"/>
  <c r="G488" i="37" s="1"/>
  <c r="F521" i="37"/>
  <c r="G521" i="37" s="1"/>
  <c r="F576" i="37"/>
  <c r="G576" i="37" s="1"/>
  <c r="F2377" i="37"/>
  <c r="G2377" i="37" s="1"/>
  <c r="F612" i="37"/>
  <c r="G612" i="37" s="1"/>
  <c r="F559" i="37"/>
  <c r="G559" i="37" s="1"/>
  <c r="F540" i="37"/>
  <c r="G540" i="37" s="1"/>
  <c r="F503" i="37"/>
  <c r="G503" i="37" s="1"/>
  <c r="F2448" i="37"/>
  <c r="G2448" i="37" s="1"/>
  <c r="G2418" i="37"/>
  <c r="F2450" i="37"/>
  <c r="G2450" i="37" s="1"/>
  <c r="F2584" i="37"/>
  <c r="G2584" i="37" s="1"/>
  <c r="F1882" i="37"/>
  <c r="F85" i="37"/>
  <c r="G85" i="37" s="1"/>
  <c r="F187" i="37"/>
  <c r="G187" i="37" s="1"/>
  <c r="F247" i="37"/>
  <c r="G247" i="37" s="1"/>
  <c r="F1289" i="37"/>
  <c r="G1289" i="37" s="1"/>
  <c r="F214" i="37"/>
  <c r="G214" i="37" s="1"/>
  <c r="F967" i="37"/>
  <c r="G967" i="37" s="1"/>
  <c r="F1180" i="37"/>
  <c r="G1180" i="37" s="1"/>
  <c r="F1199" i="37"/>
  <c r="G1199" i="37" s="1"/>
  <c r="F2071" i="37"/>
  <c r="G2071" i="37" s="1"/>
  <c r="F2055" i="37"/>
  <c r="G2055" i="37" s="1"/>
  <c r="F3270" i="37"/>
  <c r="F1301" i="37"/>
  <c r="G1301" i="37" s="1"/>
  <c r="F2087" i="37"/>
  <c r="G2087" i="37" s="1"/>
  <c r="G3252" i="37"/>
  <c r="F275" i="37"/>
  <c r="G275" i="37" s="1"/>
  <c r="F261" i="37"/>
  <c r="G261" i="37" s="1"/>
  <c r="F253" i="37"/>
  <c r="G253" i="37" s="1"/>
  <c r="F2060" i="37"/>
  <c r="G2060" i="37" s="1"/>
  <c r="F2405" i="37"/>
  <c r="G2405" i="37" s="1"/>
  <c r="F2490" i="37"/>
  <c r="G2490" i="37" s="1"/>
  <c r="F2489" i="37"/>
  <c r="G2489" i="37" s="1"/>
  <c r="F54" i="37"/>
  <c r="G54" i="37" s="1"/>
  <c r="F1754" i="37"/>
  <c r="F164" i="37"/>
  <c r="G164" i="37" s="1"/>
  <c r="F1155" i="37"/>
  <c r="G1155" i="37" s="1"/>
  <c r="F1135" i="37"/>
  <c r="F3472" i="37"/>
  <c r="G3472" i="37" s="1"/>
  <c r="F613" i="37"/>
  <c r="G613" i="37" s="1"/>
  <c r="F560" i="37"/>
  <c r="G560" i="37" s="1"/>
  <c r="F489" i="37"/>
  <c r="G489" i="37" s="1"/>
  <c r="F522" i="37"/>
  <c r="G522" i="37" s="1"/>
  <c r="F504" i="37"/>
  <c r="G504" i="37" s="1"/>
  <c r="F595" i="37"/>
  <c r="G595" i="37" s="1"/>
  <c r="F51" i="37"/>
  <c r="G51" i="37" s="1"/>
  <c r="F577" i="37"/>
  <c r="G577" i="37" s="1"/>
  <c r="F2378" i="37"/>
  <c r="G2378" i="37" s="1"/>
  <c r="F2067" i="37"/>
  <c r="G2067" i="37" s="1"/>
  <c r="F541" i="37"/>
  <c r="G541" i="37" s="1"/>
  <c r="F272" i="37"/>
  <c r="G272" i="37" s="1"/>
  <c r="F242" i="37"/>
  <c r="G242" i="37" s="1"/>
  <c r="F1781" i="37"/>
  <c r="G1781" i="37" s="1"/>
  <c r="F1769" i="37"/>
  <c r="G1769" i="37" s="1"/>
  <c r="F33" i="37"/>
  <c r="G33" i="37" s="1"/>
  <c r="F2449" i="37"/>
  <c r="G2449" i="37" s="1"/>
  <c r="F2632" i="37"/>
  <c r="G2632" i="37" s="1"/>
  <c r="F2810" i="37"/>
  <c r="G2810" i="37" s="1"/>
  <c r="F1921" i="37"/>
  <c r="G1921" i="37" s="1"/>
  <c r="F2569" i="37"/>
  <c r="G2569" i="37" s="1"/>
  <c r="F2745" i="37"/>
  <c r="G2745" i="37" s="1"/>
  <c r="F1871" i="37"/>
  <c r="F1832" i="37"/>
  <c r="G1832" i="37" s="1"/>
  <c r="F3549" i="37"/>
  <c r="G3549" i="37" s="1"/>
  <c r="F3571" i="37"/>
  <c r="G3571" i="37" s="1"/>
  <c r="F2862" i="37"/>
  <c r="F2940" i="37"/>
  <c r="G2940" i="37" s="1"/>
  <c r="F1254" i="37"/>
  <c r="G1254" i="37" s="1"/>
  <c r="F2863" i="37"/>
  <c r="F2864" i="37" s="1"/>
  <c r="F2881" i="37"/>
  <c r="F3565" i="37"/>
  <c r="G3565" i="37" s="1"/>
  <c r="F958" i="37"/>
  <c r="G958" i="37" s="1"/>
  <c r="F1183" i="37"/>
  <c r="G1183" i="37" s="1"/>
  <c r="F1202" i="37"/>
  <c r="G1202" i="37" s="1"/>
  <c r="F1304" i="37"/>
  <c r="G1304" i="37" s="1"/>
  <c r="F250" i="37"/>
  <c r="G250" i="37" s="1"/>
  <c r="F2947" i="37"/>
  <c r="G2947" i="37" s="1"/>
  <c r="F190" i="37"/>
  <c r="G190" i="37" s="1"/>
  <c r="F1488" i="37"/>
  <c r="G1488" i="37" s="1"/>
  <c r="F1627" i="37"/>
  <c r="G1627" i="37" s="1"/>
  <c r="F1504" i="37"/>
  <c r="G1504" i="37" s="1"/>
  <c r="F1430" i="37"/>
  <c r="G1430" i="37" s="1"/>
  <c r="F1559" i="37"/>
  <c r="G1559" i="37" s="1"/>
  <c r="F1533" i="37"/>
  <c r="G1533" i="37" s="1"/>
  <c r="F1445" i="37"/>
  <c r="G1445" i="37" s="1"/>
  <c r="F2794" i="37"/>
  <c r="G2794" i="37" s="1"/>
  <c r="F1486" i="37"/>
  <c r="G1486" i="37" s="1"/>
  <c r="F2568" i="37"/>
  <c r="G2568" i="37" s="1"/>
  <c r="F2646" i="37"/>
  <c r="G2646" i="37" s="1"/>
  <c r="F1920" i="37"/>
  <c r="G1920" i="37" s="1"/>
  <c r="F4019" i="37"/>
  <c r="G4019" i="37" s="1"/>
  <c r="F3928" i="37"/>
  <c r="G3928" i="37" s="1"/>
  <c r="F3797" i="37"/>
  <c r="G3797" i="37" s="1"/>
  <c r="F3787" i="37"/>
  <c r="G3787" i="37" s="1"/>
  <c r="F39" i="37"/>
  <c r="G39" i="37" s="1"/>
  <c r="F229" i="37"/>
  <c r="G229" i="37" s="1"/>
  <c r="F264" i="37"/>
  <c r="G264" i="37" s="1"/>
  <c r="F418" i="37"/>
  <c r="G418" i="37" s="1"/>
  <c r="F482" i="37"/>
  <c r="G482" i="37" s="1"/>
  <c r="F569" i="37"/>
  <c r="G569" i="37" s="1"/>
  <c r="F863" i="37"/>
  <c r="G863" i="37" s="1"/>
  <c r="F1131" i="37"/>
  <c r="G1131" i="37" s="1"/>
  <c r="F1382" i="37"/>
  <c r="G1382" i="37" s="1"/>
  <c r="F4068" i="37"/>
  <c r="G4068" i="37" s="1"/>
  <c r="G4074" i="37" s="1"/>
  <c r="F4005" i="37"/>
  <c r="G4005" i="37" s="1"/>
  <c r="F3774" i="37"/>
  <c r="G3774" i="37" s="1"/>
  <c r="F3764" i="37"/>
  <c r="G3764" i="37" s="1"/>
  <c r="F3831" i="37"/>
  <c r="G3831" i="37" s="1"/>
  <c r="F3990" i="37"/>
  <c r="G3990" i="37" s="1"/>
  <c r="F3819" i="37"/>
  <c r="G3819" i="37" s="1"/>
  <c r="F3751" i="37"/>
  <c r="G3751" i="37" s="1"/>
  <c r="F3741" i="37"/>
  <c r="G3741" i="37" s="1"/>
  <c r="F76" i="37"/>
  <c r="G76" i="37" s="1"/>
  <c r="G74" i="37" s="1"/>
  <c r="F288" i="37"/>
  <c r="G288" i="37" s="1"/>
  <c r="F405" i="37"/>
  <c r="G405" i="37" s="1"/>
  <c r="F3968" i="37"/>
  <c r="G3968" i="37" s="1"/>
  <c r="F3907" i="37"/>
  <c r="G3907" i="37" s="1"/>
  <c r="F3874" i="37"/>
  <c r="G3874" i="37" s="1"/>
  <c r="F3728" i="37"/>
  <c r="G3728" i="37" s="1"/>
  <c r="F3718" i="37"/>
  <c r="G3718" i="37" s="1"/>
  <c r="F140" i="37"/>
  <c r="G140" i="37" s="1"/>
  <c r="F237" i="37"/>
  <c r="G237" i="37" s="1"/>
  <c r="F391" i="37"/>
  <c r="G391" i="37" s="1"/>
  <c r="F456" i="37"/>
  <c r="G456" i="37" s="1"/>
  <c r="F586" i="37"/>
  <c r="G586" i="37" s="1"/>
  <c r="F1140" i="37"/>
  <c r="G1140" i="37" s="1"/>
  <c r="F4053" i="37"/>
  <c r="G4053" i="37" s="1"/>
  <c r="G4061" i="37" s="1"/>
  <c r="G4051" i="37" s="1"/>
  <c r="F4042" i="37"/>
  <c r="G4042" i="37" s="1"/>
  <c r="G4050" i="37" s="1"/>
  <c r="G4040" i="37" s="1"/>
  <c r="F4031" i="37"/>
  <c r="G4031" i="37" s="1"/>
  <c r="G4039" i="37" s="1"/>
  <c r="G4029" i="37" s="1"/>
  <c r="F3973" i="37"/>
  <c r="G3973" i="37" s="1"/>
  <c r="F3896" i="37"/>
  <c r="G3896" i="37" s="1"/>
  <c r="F3705" i="37"/>
  <c r="G3705" i="37" s="1"/>
  <c r="F3695" i="37"/>
  <c r="G3695" i="37" s="1"/>
  <c r="F3604" i="37"/>
  <c r="G3604" i="37" s="1"/>
  <c r="F105" i="37"/>
  <c r="F379" i="37"/>
  <c r="G379" i="37" s="1"/>
  <c r="F366" i="37"/>
  <c r="G366" i="37" s="1"/>
  <c r="F730" i="37"/>
  <c r="G730" i="37" s="1"/>
  <c r="F759" i="37"/>
  <c r="G759" i="37" s="1"/>
  <c r="G943" i="37"/>
  <c r="F1420" i="37"/>
  <c r="G1420" i="37" s="1"/>
  <c r="F3841" i="37"/>
  <c r="G3841" i="37" s="1"/>
  <c r="F3962" i="37"/>
  <c r="G3962" i="37" s="1"/>
  <c r="F3951" i="37"/>
  <c r="G3951" i="37" s="1"/>
  <c r="F3941" i="37"/>
  <c r="G3941" i="37" s="1"/>
  <c r="F3885" i="37"/>
  <c r="G3885" i="37" s="1"/>
  <c r="F3862" i="37"/>
  <c r="G3862" i="37" s="1"/>
  <c r="F3852" i="37"/>
  <c r="G3852" i="37" s="1"/>
  <c r="F3672" i="37"/>
  <c r="G3672" i="37" s="1"/>
  <c r="F124" i="37"/>
  <c r="G124" i="37" s="1"/>
  <c r="G118" i="37" s="1"/>
  <c r="F70" i="37"/>
  <c r="G70" i="37" s="1"/>
  <c r="F157" i="37"/>
  <c r="G157" i="37" s="1"/>
  <c r="F181" i="37"/>
  <c r="G181" i="37" s="1"/>
  <c r="G183" i="37" s="1"/>
  <c r="G178" i="37" s="1"/>
  <c r="F199" i="37"/>
  <c r="G199" i="37" s="1"/>
  <c r="F295" i="37"/>
  <c r="G295" i="37" s="1"/>
  <c r="F550" i="37"/>
  <c r="G550" i="37" s="1"/>
  <c r="F634" i="37"/>
  <c r="G634" i="37" s="1"/>
  <c r="F651" i="37"/>
  <c r="G651" i="37" s="1"/>
  <c r="F668" i="37"/>
  <c r="G668" i="37" s="1"/>
  <c r="F684" i="37"/>
  <c r="G684" i="37" s="1"/>
  <c r="F927" i="37"/>
  <c r="G927" i="37" s="1"/>
  <c r="F4079" i="37"/>
  <c r="G4079" i="37" s="1"/>
  <c r="G4085" i="37" s="1"/>
  <c r="F3682" i="37"/>
  <c r="G3682" i="37" s="1"/>
  <c r="F24" i="37"/>
  <c r="G24" i="37" s="1"/>
  <c r="F58" i="37"/>
  <c r="G58" i="37" s="1"/>
  <c r="F278" i="37"/>
  <c r="G278" i="37" s="1"/>
  <c r="F431" i="37"/>
  <c r="G431" i="37" s="1"/>
  <c r="F604" i="37"/>
  <c r="G604" i="37" s="1"/>
  <c r="F910" i="37"/>
  <c r="G910" i="37" s="1"/>
  <c r="F1126" i="37"/>
  <c r="G1126" i="37" s="1"/>
  <c r="G1128" i="37" s="1"/>
  <c r="G1124" i="37" s="1"/>
  <c r="F1151" i="37"/>
  <c r="G1151" i="37" s="1"/>
  <c r="F1165" i="37"/>
  <c r="G1165" i="37" s="1"/>
  <c r="F1280" i="37"/>
  <c r="G1280" i="37" s="1"/>
  <c r="F3918" i="37"/>
  <c r="G3918" i="37" s="1"/>
  <c r="F246" i="37"/>
  <c r="G246" i="37" s="1"/>
  <c r="F1434" i="37"/>
  <c r="G1434" i="37" s="1"/>
  <c r="F1775" i="37"/>
  <c r="G1775" i="37" s="1"/>
  <c r="F1836" i="37"/>
  <c r="G1836" i="37" s="1"/>
  <c r="F1888" i="37"/>
  <c r="G1888" i="37" s="1"/>
  <c r="F2054" i="37"/>
  <c r="G2054" i="37" s="1"/>
  <c r="F3052" i="37"/>
  <c r="G3052" i="37" s="1"/>
  <c r="F3237" i="37"/>
  <c r="G3237" i="37" s="1"/>
  <c r="G3245" i="37" s="1"/>
  <c r="G3246" i="37" s="1"/>
  <c r="F3498" i="37"/>
  <c r="G3498" i="37" s="1"/>
  <c r="F494" i="37"/>
  <c r="G494" i="37" s="1"/>
  <c r="F965" i="37"/>
  <c r="G965" i="37" s="1"/>
  <c r="F1178" i="37"/>
  <c r="G1178" i="37" s="1"/>
  <c r="F1449" i="37"/>
  <c r="G1449" i="37" s="1"/>
  <c r="F1463" i="37"/>
  <c r="G1463" i="37" s="1"/>
  <c r="F1537" i="37"/>
  <c r="G1537" i="37" s="1"/>
  <c r="F1762" i="37"/>
  <c r="G1762" i="37" s="1"/>
  <c r="F1931" i="37"/>
  <c r="G1931" i="37" s="1"/>
  <c r="F1979" i="37"/>
  <c r="G1979" i="37" s="1"/>
  <c r="F1996" i="37"/>
  <c r="G1996" i="37" s="1"/>
  <c r="F2395" i="37"/>
  <c r="G2395" i="37" s="1"/>
  <c r="F2577" i="37"/>
  <c r="G2577" i="37" s="1"/>
  <c r="F2639" i="37"/>
  <c r="G2639" i="37" s="1"/>
  <c r="F2798" i="37"/>
  <c r="G2798" i="37" s="1"/>
  <c r="F1563" i="37"/>
  <c r="G1563" i="37" s="1"/>
  <c r="F207" i="37"/>
  <c r="G207" i="37" s="1"/>
  <c r="F512" i="37"/>
  <c r="G512" i="37" s="1"/>
  <c r="F531" i="37"/>
  <c r="G531" i="37" s="1"/>
  <c r="F622" i="37"/>
  <c r="G622" i="37" s="1"/>
  <c r="F1197" i="37"/>
  <c r="G1197" i="37" s="1"/>
  <c r="F1287" i="37"/>
  <c r="G1287" i="37" s="1"/>
  <c r="F1299" i="37"/>
  <c r="G1299" i="37" s="1"/>
  <c r="F1631" i="37"/>
  <c r="G1631" i="37" s="1"/>
  <c r="F1804" i="37"/>
  <c r="G1804" i="37" s="1"/>
  <c r="F1912" i="37"/>
  <c r="G1912" i="37" s="1"/>
  <c r="F2396" i="37"/>
  <c r="G2396" i="37" s="1"/>
  <c r="F2504" i="37"/>
  <c r="G2504" i="37" s="1"/>
  <c r="F2545" i="37"/>
  <c r="G2545" i="37" s="1"/>
  <c r="F2836" i="37"/>
  <c r="G2836" i="37" s="1"/>
  <c r="F2861" i="37"/>
  <c r="F2939" i="37"/>
  <c r="G2939" i="37" s="1"/>
  <c r="F3509" i="37"/>
  <c r="G3509" i="37" s="1"/>
  <c r="F2086" i="37"/>
  <c r="G2086" i="37" s="1"/>
  <c r="F213" i="37"/>
  <c r="G213" i="37" s="1"/>
  <c r="F1252" i="37"/>
  <c r="G1252" i="37" s="1"/>
  <c r="F1493" i="37"/>
  <c r="G1493" i="37" s="1"/>
  <c r="F1508" i="37"/>
  <c r="G1508" i="37" s="1"/>
  <c r="F1706" i="37"/>
  <c r="G1706" i="37" s="1"/>
  <c r="F1875" i="37"/>
  <c r="G1875" i="37" s="1"/>
  <c r="F1965" i="37"/>
  <c r="G1965" i="37" s="1"/>
  <c r="F3018" i="37"/>
  <c r="G3018" i="37" s="1"/>
  <c r="G3020" i="37" s="1"/>
  <c r="G3016" i="37" s="1"/>
  <c r="F3477" i="37"/>
  <c r="G3477" i="37" s="1"/>
  <c r="F3547" i="37"/>
  <c r="G3547" i="37" s="1"/>
  <c r="F3554" i="37"/>
  <c r="G3554" i="37" s="1"/>
  <c r="F3584" i="37"/>
  <c r="G3584" i="37" s="1"/>
  <c r="F132" i="37"/>
  <c r="G132" i="37" s="1"/>
  <c r="F2777" i="37"/>
  <c r="G2777" i="37" s="1"/>
  <c r="G2786" i="37" s="1"/>
  <c r="G2775" i="37" s="1"/>
  <c r="F3809" i="37"/>
  <c r="G3809" i="37" s="1"/>
  <c r="F2235" i="37"/>
  <c r="F2383" i="37"/>
  <c r="G2383" i="37" s="1"/>
  <c r="F2754" i="37"/>
  <c r="G2754" i="37" s="1"/>
  <c r="F2880" i="37"/>
  <c r="F3489" i="37"/>
  <c r="G3489" i="37" s="1"/>
  <c r="F847" i="37"/>
  <c r="G847" i="37" s="1"/>
  <c r="F1354" i="37"/>
  <c r="G1354" i="37" s="1"/>
  <c r="F1394" i="37"/>
  <c r="G1394" i="37" s="1"/>
  <c r="F1900" i="37"/>
  <c r="G1900" i="37" s="1"/>
  <c r="F2220" i="37"/>
  <c r="F2561" i="37"/>
  <c r="G2561" i="37" s="1"/>
  <c r="F2624" i="37"/>
  <c r="G2624" i="37" s="1"/>
  <c r="F3527" i="37"/>
  <c r="G3527" i="37" s="1"/>
  <c r="F186" i="37"/>
  <c r="G186" i="37" s="1"/>
  <c r="F1787" i="37"/>
  <c r="G1787" i="37" s="1"/>
  <c r="F3570" i="37"/>
  <c r="G3570" i="37" s="1"/>
  <c r="F3012" i="37"/>
  <c r="G3012" i="37" s="1"/>
  <c r="F1670" i="37"/>
  <c r="G1670" i="37" s="1"/>
  <c r="F1865" i="37"/>
  <c r="G1865" i="37" s="1"/>
  <c r="F1377" i="37"/>
  <c r="G1377" i="37" s="1"/>
  <c r="F3024" i="37"/>
  <c r="G3024" i="37" s="1"/>
  <c r="F136" i="37"/>
  <c r="G136" i="37" s="1"/>
  <c r="F3065" i="37"/>
  <c r="G3065" i="37" s="1"/>
  <c r="F1851" i="37"/>
  <c r="G1851" i="37" s="1"/>
  <c r="F3232" i="37"/>
  <c r="G3232" i="37" s="1"/>
  <c r="G3234" i="37" s="1"/>
  <c r="G3230" i="37" s="1"/>
  <c r="F2070" i="37"/>
  <c r="G2070" i="37" s="1"/>
  <c r="F2805" i="37"/>
  <c r="G2805" i="37" s="1"/>
  <c r="F1203" i="37"/>
  <c r="G1203" i="37" s="1"/>
  <c r="F251" i="37"/>
  <c r="G251" i="37" s="1"/>
  <c r="F1305" i="37"/>
  <c r="G1305" i="37" s="1"/>
  <c r="F3224" i="37"/>
  <c r="G3224" i="37" s="1"/>
  <c r="F3070" i="37"/>
  <c r="G3070" i="37" s="1"/>
  <c r="F373" i="37"/>
  <c r="G373" i="37" s="1"/>
  <c r="F360" i="37"/>
  <c r="G360" i="37" s="1"/>
  <c r="F385" i="37"/>
  <c r="G385" i="37" s="1"/>
  <c r="F2374" i="37"/>
  <c r="G2374" i="37" s="1"/>
  <c r="F1702" i="37"/>
  <c r="G1702" i="37" s="1"/>
  <c r="F1666" i="37"/>
  <c r="G1666" i="37" s="1"/>
  <c r="F1757" i="37"/>
  <c r="G1757" i="37" s="1"/>
  <c r="F386" i="37"/>
  <c r="G386" i="37" s="1"/>
  <c r="F558" i="37"/>
  <c r="G558" i="37" s="1"/>
  <c r="F1428" i="37"/>
  <c r="G1428" i="37" s="1"/>
  <c r="F487" i="37"/>
  <c r="G487" i="37" s="1"/>
  <c r="F426" i="37"/>
  <c r="G426" i="37" s="1"/>
  <c r="F575" i="37"/>
  <c r="G575" i="37" s="1"/>
  <c r="F476" i="37"/>
  <c r="G476" i="37" s="1"/>
  <c r="F502" i="37"/>
  <c r="G502" i="37" s="1"/>
  <c r="F413" i="37"/>
  <c r="G413" i="37" s="1"/>
  <c r="F539" i="37"/>
  <c r="G539" i="37" s="1"/>
  <c r="F48" i="37"/>
  <c r="G48" i="37" s="1"/>
  <c r="F593" i="37"/>
  <c r="G593" i="37" s="1"/>
  <c r="F400" i="37"/>
  <c r="G400" i="37" s="1"/>
  <c r="F611" i="37"/>
  <c r="G611" i="37" s="1"/>
  <c r="F646" i="37"/>
  <c r="G646" i="37" s="1"/>
  <c r="F2375" i="37"/>
  <c r="G2375" i="37" s="1"/>
  <c r="F1557" i="37"/>
  <c r="G1557" i="37" s="1"/>
  <c r="F1894" i="37"/>
  <c r="G1894" i="37" s="1"/>
  <c r="F1883" i="37"/>
  <c r="G1883" i="37" s="1"/>
  <c r="F374" i="37"/>
  <c r="G374" i="37" s="1"/>
  <c r="F1625" i="37"/>
  <c r="G1625" i="37" s="1"/>
  <c r="F663" i="37"/>
  <c r="G663" i="37" s="1"/>
  <c r="F361" i="37"/>
  <c r="G361" i="37" s="1"/>
  <c r="F452" i="37"/>
  <c r="G452" i="37" s="1"/>
  <c r="F520" i="37"/>
  <c r="G520" i="37" s="1"/>
  <c r="F629" i="37"/>
  <c r="G629" i="37" s="1"/>
  <c r="F1443" i="37"/>
  <c r="G1443" i="37" s="1"/>
  <c r="F1531" i="37"/>
  <c r="G1531" i="37" s="1"/>
  <c r="F2792" i="37"/>
  <c r="G2792" i="37" s="1"/>
  <c r="F1458" i="37"/>
  <c r="G1458" i="37" s="1"/>
  <c r="F679" i="37"/>
  <c r="G679" i="37" s="1"/>
  <c r="F1502" i="37"/>
  <c r="G1502" i="37" s="1"/>
  <c r="F1906" i="37"/>
  <c r="G1906" i="37" s="1"/>
  <c r="F1487" i="37"/>
  <c r="G1487" i="37" s="1"/>
  <c r="F1193" i="37"/>
  <c r="G1193" i="37" s="1"/>
  <c r="F1261" i="37"/>
  <c r="G1261" i="37" s="1"/>
  <c r="F92" i="37"/>
  <c r="G92" i="37" s="1"/>
  <c r="F195" i="37"/>
  <c r="G195" i="37" s="1"/>
  <c r="F953" i="37"/>
  <c r="G953" i="37" s="1"/>
  <c r="F221" i="37"/>
  <c r="G221" i="37" s="1"/>
  <c r="F243" i="37"/>
  <c r="G243" i="37" s="1"/>
  <c r="F161" i="37"/>
  <c r="G161" i="37" s="1"/>
  <c r="F1295" i="37"/>
  <c r="G1295" i="37" s="1"/>
  <c r="G3590" i="37"/>
  <c r="F3074" i="37"/>
  <c r="G3074" i="37" s="1"/>
  <c r="F1845" i="37"/>
  <c r="G1845" i="37" s="1"/>
  <c r="F3228" i="37"/>
  <c r="G3228" i="37" s="1"/>
  <c r="F3482" i="37"/>
  <c r="G3482" i="37" s="1"/>
  <c r="F1206" i="37"/>
  <c r="G1206" i="37" s="1"/>
  <c r="F3244" i="37"/>
  <c r="G3244" i="37" s="1"/>
  <c r="F1308" i="37"/>
  <c r="G1308" i="37" s="1"/>
  <c r="F3577" i="37"/>
  <c r="G3577" i="37" s="1"/>
  <c r="F36" i="37"/>
  <c r="G36" i="37" s="1"/>
  <c r="F843" i="37"/>
  <c r="G843" i="37" s="1"/>
  <c r="F906" i="37"/>
  <c r="G906" i="37" s="1"/>
  <c r="F859" i="37"/>
  <c r="G859" i="37" s="1"/>
  <c r="F52" i="37"/>
  <c r="G52" i="37" s="1"/>
  <c r="F66" i="37"/>
  <c r="G66" i="37" s="1"/>
  <c r="F35" i="37"/>
  <c r="G35" i="37" s="1"/>
  <c r="F754" i="37"/>
  <c r="G754" i="37" s="1"/>
  <c r="F2501" i="37"/>
  <c r="G2501" i="37" s="1"/>
  <c r="F15" i="37"/>
  <c r="G15" i="37" s="1"/>
  <c r="F3562" i="37"/>
  <c r="G3562" i="37" s="1"/>
  <c r="F725" i="37"/>
  <c r="G725" i="37" s="1"/>
  <c r="F2647" i="37"/>
  <c r="G2647" i="37" s="1"/>
  <c r="F1415" i="37"/>
  <c r="G1415" i="37" s="1"/>
  <c r="F1833" i="37"/>
  <c r="G1833" i="37" s="1"/>
  <c r="F19" i="37"/>
  <c r="G19" i="37" s="1"/>
  <c r="F26" i="37"/>
  <c r="G26" i="37" s="1"/>
  <c r="F433" i="37"/>
  <c r="G433" i="37" s="1"/>
  <c r="F1436" i="37"/>
  <c r="G1436" i="37" s="1"/>
  <c r="F420" i="37"/>
  <c r="G420" i="37" s="1"/>
  <c r="F496" i="37"/>
  <c r="G496" i="37" s="1"/>
  <c r="F532" i="37"/>
  <c r="G532" i="37" s="1"/>
  <c r="F407" i="37"/>
  <c r="G407" i="37" s="1"/>
  <c r="F587" i="37"/>
  <c r="G587" i="37" s="1"/>
  <c r="F393" i="37"/>
  <c r="G393" i="37" s="1"/>
  <c r="F458" i="37"/>
  <c r="G458" i="37" s="1"/>
  <c r="F381" i="37"/>
  <c r="G381" i="37" s="1"/>
  <c r="F368" i="37"/>
  <c r="G368" i="37" s="1"/>
  <c r="F551" i="37"/>
  <c r="G551" i="37" s="1"/>
  <c r="F686" i="37"/>
  <c r="G686" i="37" s="1"/>
  <c r="F1510" i="37"/>
  <c r="G1510" i="37" s="1"/>
  <c r="F469" i="37"/>
  <c r="G469" i="37" s="1"/>
  <c r="G472" i="37" s="1"/>
  <c r="G461" i="37" s="1"/>
  <c r="F653" i="37"/>
  <c r="G653" i="37" s="1"/>
  <c r="F1565" i="37"/>
  <c r="G1565" i="37" s="1"/>
  <c r="F1539" i="37"/>
  <c r="G1539" i="37" s="1"/>
  <c r="F1854" i="37"/>
  <c r="G1854" i="37" s="1"/>
  <c r="F1933" i="37"/>
  <c r="G1933" i="37" s="1"/>
  <c r="F481" i="37"/>
  <c r="G481" i="37" s="1"/>
  <c r="F514" i="37"/>
  <c r="G514" i="37" s="1"/>
  <c r="F1451" i="37"/>
  <c r="G1451" i="37" s="1"/>
  <c r="F636" i="37"/>
  <c r="G636" i="37" s="1"/>
  <c r="F2385" i="37"/>
  <c r="G2385" i="37" s="1"/>
  <c r="F570" i="37"/>
  <c r="G570" i="37" s="1"/>
  <c r="F670" i="37"/>
  <c r="G670" i="37" s="1"/>
  <c r="F1465" i="37"/>
  <c r="G1465" i="37" s="1"/>
  <c r="F1495" i="37"/>
  <c r="G1495" i="37" s="1"/>
  <c r="F1633" i="37"/>
  <c r="G1633" i="37" s="1"/>
  <c r="F2800" i="37"/>
  <c r="G2800" i="37" s="1"/>
  <c r="F605" i="37"/>
  <c r="G605" i="37" s="1"/>
  <c r="F88" i="37"/>
  <c r="G88" i="37" s="1"/>
  <c r="F2667" i="37"/>
  <c r="G2667" i="37" s="1"/>
  <c r="G2674" i="37" s="1"/>
  <c r="F842" i="37"/>
  <c r="G842" i="37" s="1"/>
  <c r="F1390" i="37"/>
  <c r="G1390" i="37" s="1"/>
  <c r="F32" i="37"/>
  <c r="G32" i="37" s="1"/>
  <c r="F723" i="37"/>
  <c r="G723" i="37" s="1"/>
  <c r="F912" i="37"/>
  <c r="G912" i="37" s="1"/>
  <c r="F849" i="37"/>
  <c r="G849" i="37" s="1"/>
  <c r="F865" i="37"/>
  <c r="G865" i="37" s="1"/>
  <c r="F2144" i="37"/>
  <c r="G2144" i="37" s="1"/>
  <c r="F2194" i="37"/>
  <c r="G2194" i="37" s="1"/>
  <c r="F1982" i="37"/>
  <c r="G1982" i="37" s="1"/>
  <c r="F2308" i="37"/>
  <c r="G2308" i="37" s="1"/>
  <c r="G2330" i="37" s="1"/>
  <c r="F2330" i="37"/>
  <c r="F3523" i="37"/>
  <c r="G3523" i="37" s="1"/>
  <c r="F3542" i="37"/>
  <c r="G3542" i="37" s="1"/>
  <c r="F1926" i="37"/>
  <c r="G1926" i="37" s="1"/>
  <c r="F2083" i="37"/>
  <c r="G2083" i="37" s="1"/>
  <c r="F578" i="37"/>
  <c r="G578" i="37" s="1"/>
  <c r="F596" i="37"/>
  <c r="G596" i="37" s="1"/>
  <c r="F505" i="37"/>
  <c r="G505" i="37" s="1"/>
  <c r="F614" i="37"/>
  <c r="G614" i="37" s="1"/>
  <c r="F561" i="37"/>
  <c r="G561" i="37" s="1"/>
  <c r="F490" i="37"/>
  <c r="G490" i="37" s="1"/>
  <c r="F523" i="37"/>
  <c r="G523" i="37" s="1"/>
  <c r="F542" i="37"/>
  <c r="G542" i="37" s="1"/>
  <c r="F1756" i="37"/>
  <c r="G1756" i="37" s="1"/>
  <c r="F2392" i="37"/>
  <c r="G2392" i="37" s="1"/>
  <c r="F3262" i="37"/>
  <c r="F17" i="37"/>
  <c r="G17" i="37" s="1"/>
  <c r="F2631" i="37"/>
  <c r="G2631" i="37" s="1"/>
  <c r="F2809" i="37"/>
  <c r="G2809" i="37" s="1"/>
  <c r="F13" i="37"/>
  <c r="G13" i="37" s="1"/>
  <c r="F1416" i="37"/>
  <c r="G1416" i="37" s="1"/>
  <c r="F1844" i="37"/>
  <c r="G1844" i="37" s="1"/>
  <c r="F20" i="37"/>
  <c r="G20" i="37" s="1"/>
  <c r="F493" i="37"/>
  <c r="G493" i="37" s="1"/>
  <c r="F390" i="37"/>
  <c r="G390" i="37" s="1"/>
  <c r="F455" i="37"/>
  <c r="G455" i="37" s="1"/>
  <c r="F378" i="37"/>
  <c r="G378" i="37" s="1"/>
  <c r="F365" i="37"/>
  <c r="G365" i="37" s="1"/>
  <c r="F549" i="37"/>
  <c r="G549" i="37" s="1"/>
  <c r="F633" i="37"/>
  <c r="G633" i="37" s="1"/>
  <c r="F650" i="37"/>
  <c r="G650" i="37" s="1"/>
  <c r="F667" i="37"/>
  <c r="G667" i="37" s="1"/>
  <c r="F683" i="37"/>
  <c r="G683" i="37" s="1"/>
  <c r="F430" i="37"/>
  <c r="G430" i="37" s="1"/>
  <c r="F603" i="37"/>
  <c r="G603" i="37" s="1"/>
  <c r="F480" i="37"/>
  <c r="G480" i="37" s="1"/>
  <c r="F511" i="37"/>
  <c r="G511" i="37" s="1"/>
  <c r="F621" i="37"/>
  <c r="G621" i="37" s="1"/>
  <c r="G945" i="37"/>
  <c r="F1448" i="37"/>
  <c r="G1448" i="37" s="1"/>
  <c r="F1462" i="37"/>
  <c r="G1462" i="37" s="1"/>
  <c r="F1536" i="37"/>
  <c r="G1536" i="37" s="1"/>
  <c r="F2797" i="37"/>
  <c r="G2797" i="37" s="1"/>
  <c r="F404" i="37"/>
  <c r="G404" i="37" s="1"/>
  <c r="F530" i="37"/>
  <c r="G530" i="37" s="1"/>
  <c r="F1630" i="37"/>
  <c r="G1630" i="37" s="1"/>
  <c r="F417" i="37"/>
  <c r="G417" i="37" s="1"/>
  <c r="F1492" i="37"/>
  <c r="G1492" i="37" s="1"/>
  <c r="F1507" i="37"/>
  <c r="G1507" i="37" s="1"/>
  <c r="F1853" i="37"/>
  <c r="G1853" i="37" s="1"/>
  <c r="F1932" i="37"/>
  <c r="G1932" i="37" s="1"/>
  <c r="F585" i="37"/>
  <c r="G585" i="37" s="1"/>
  <c r="F2382" i="37"/>
  <c r="G2382" i="37" s="1"/>
  <c r="F2546" i="37"/>
  <c r="G2546" i="37" s="1"/>
  <c r="F25" i="37"/>
  <c r="G25" i="37" s="1"/>
  <c r="F568" i="37"/>
  <c r="G568" i="37" s="1"/>
  <c r="F929" i="37"/>
  <c r="G929" i="37" s="1"/>
  <c r="F1562" i="37"/>
  <c r="G1562" i="37" s="1"/>
  <c r="F1433" i="37"/>
  <c r="G1433" i="37" s="1"/>
  <c r="F526" i="37"/>
  <c r="G526" i="37" s="1"/>
  <c r="F639" i="37"/>
  <c r="G639" i="37" s="1"/>
  <c r="F656" i="37"/>
  <c r="G656" i="37" s="1"/>
  <c r="F673" i="37"/>
  <c r="G673" i="37" s="1"/>
  <c r="F689" i="37"/>
  <c r="G689" i="37" s="1"/>
  <c r="F545" i="37"/>
  <c r="G545" i="37" s="1"/>
  <c r="F599" i="37"/>
  <c r="G599" i="37" s="1"/>
  <c r="F508" i="37"/>
  <c r="G508" i="37" s="1"/>
  <c r="F617" i="37"/>
  <c r="G617" i="37" s="1"/>
  <c r="F564" i="37"/>
  <c r="G564" i="37" s="1"/>
  <c r="F581" i="37"/>
  <c r="G581" i="37" s="1"/>
  <c r="A12" i="10"/>
  <c r="D25" i="10"/>
  <c r="F2091" i="37"/>
  <c r="A378" i="10"/>
  <c r="A379" i="10" s="1"/>
  <c r="A380" i="10" s="1"/>
  <c r="A381" i="10" s="1"/>
  <c r="A382" i="10" s="1"/>
  <c r="A383" i="10" s="1"/>
  <c r="D66" i="10"/>
  <c r="F771" i="37" s="1"/>
  <c r="G771" i="37" s="1"/>
  <c r="J58" i="10"/>
  <c r="D58" i="10" s="1"/>
  <c r="F768" i="37" s="1"/>
  <c r="G768" i="37" s="1"/>
  <c r="J299" i="10"/>
  <c r="D299" i="10" s="1"/>
  <c r="J303" i="10"/>
  <c r="D303" i="10" s="1"/>
  <c r="F774" i="37" s="1"/>
  <c r="G774" i="37" s="1"/>
  <c r="G553" i="37" l="1"/>
  <c r="G536" i="37" s="1"/>
  <c r="G82" i="37"/>
  <c r="H131" i="70"/>
  <c r="G3282" i="37"/>
  <c r="H110" i="73"/>
  <c r="F110" i="73" s="1"/>
  <c r="G110" i="73" s="1"/>
  <c r="I42" i="72"/>
  <c r="F42" i="72"/>
  <c r="G42" i="72" s="1"/>
  <c r="H132" i="70"/>
  <c r="G778" i="37"/>
  <c r="G764" i="37" s="1"/>
  <c r="G3568" i="37"/>
  <c r="H135" i="70" s="1"/>
  <c r="G3262" i="37"/>
  <c r="G3263" i="37" s="1"/>
  <c r="G3247" i="37" s="1"/>
  <c r="F3280" i="37"/>
  <c r="G3280" i="37" s="1"/>
  <c r="F50" i="69"/>
  <c r="G49" i="69"/>
  <c r="F163" i="65"/>
  <c r="F188" i="65" s="1"/>
  <c r="F160" i="67"/>
  <c r="F43" i="67"/>
  <c r="G246" i="67"/>
  <c r="F271" i="67"/>
  <c r="AH496" i="67"/>
  <c r="AI496" i="67" s="1"/>
  <c r="AH471" i="67"/>
  <c r="AI471" i="67" s="1"/>
  <c r="AH446" i="67"/>
  <c r="AI446" i="67" s="1"/>
  <c r="R321" i="67"/>
  <c r="S321" i="67" s="1"/>
  <c r="AH246" i="67"/>
  <c r="AI246" i="67" s="1"/>
  <c r="R196" i="67"/>
  <c r="S196" i="67" s="1"/>
  <c r="Z146" i="67"/>
  <c r="AA146" i="67" s="1"/>
  <c r="F496" i="67"/>
  <c r="G496" i="67" s="1"/>
  <c r="F471" i="67"/>
  <c r="G471" i="67" s="1"/>
  <c r="Z421" i="67"/>
  <c r="AA421" i="67" s="1"/>
  <c r="F371" i="67"/>
  <c r="G371" i="67" s="1"/>
  <c r="F346" i="67"/>
  <c r="G346" i="67" s="1"/>
  <c r="Z296" i="67"/>
  <c r="AA296" i="67" s="1"/>
  <c r="AH271" i="67"/>
  <c r="AI271" i="67" s="1"/>
  <c r="AH171" i="67"/>
  <c r="AI171" i="67" s="1"/>
  <c r="Z371" i="67"/>
  <c r="AA371" i="67" s="1"/>
  <c r="Z221" i="67"/>
  <c r="AA221" i="67" s="1"/>
  <c r="R496" i="67"/>
  <c r="S496" i="67" s="1"/>
  <c r="R471" i="67"/>
  <c r="S471" i="67" s="1"/>
  <c r="R446" i="67"/>
  <c r="S446" i="67" s="1"/>
  <c r="Z396" i="67"/>
  <c r="AA396" i="67" s="1"/>
  <c r="AH371" i="67"/>
  <c r="AI371" i="67" s="1"/>
  <c r="AH346" i="67"/>
  <c r="AI346" i="67" s="1"/>
  <c r="R246" i="67"/>
  <c r="S246" i="67" s="1"/>
  <c r="AH221" i="67"/>
  <c r="AI221" i="67" s="1"/>
  <c r="Z171" i="67"/>
  <c r="AA171" i="67" s="1"/>
  <c r="F421" i="67"/>
  <c r="G421" i="67" s="1"/>
  <c r="Z321" i="67"/>
  <c r="AA321" i="67" s="1"/>
  <c r="R271" i="67"/>
  <c r="S271" i="67" s="1"/>
  <c r="Z196" i="67"/>
  <c r="AA196" i="67" s="1"/>
  <c r="R171" i="67"/>
  <c r="S171" i="67" s="1"/>
  <c r="AH146" i="67"/>
  <c r="AI146" i="67" s="1"/>
  <c r="AH196" i="67"/>
  <c r="AI196" i="67" s="1"/>
  <c r="AH421" i="67"/>
  <c r="AI421" i="67" s="1"/>
  <c r="F396" i="67"/>
  <c r="G396" i="67" s="1"/>
  <c r="R371" i="67"/>
  <c r="S371" i="67" s="1"/>
  <c r="R346" i="67"/>
  <c r="S346" i="67" s="1"/>
  <c r="AH296" i="67"/>
  <c r="AI296" i="67" s="1"/>
  <c r="R221" i="67"/>
  <c r="S221" i="67" s="1"/>
  <c r="R396" i="67"/>
  <c r="S396" i="67" s="1"/>
  <c r="Z496" i="67"/>
  <c r="AA496" i="67" s="1"/>
  <c r="Z471" i="67"/>
  <c r="AA471" i="67" s="1"/>
  <c r="Z446" i="67"/>
  <c r="AA446" i="67" s="1"/>
  <c r="AH396" i="67"/>
  <c r="AI396" i="67" s="1"/>
  <c r="F321" i="67"/>
  <c r="G321" i="67" s="1"/>
  <c r="Z246" i="67"/>
  <c r="AA246" i="67" s="1"/>
  <c r="R146" i="67"/>
  <c r="S146" i="67" s="1"/>
  <c r="Z346" i="67"/>
  <c r="AA346" i="67" s="1"/>
  <c r="R421" i="67"/>
  <c r="S421" i="67" s="1"/>
  <c r="AH321" i="67"/>
  <c r="AI321" i="67" s="1"/>
  <c r="R296" i="67"/>
  <c r="S296" i="67" s="1"/>
  <c r="Z271" i="67"/>
  <c r="AA271" i="67" s="1"/>
  <c r="F446" i="67"/>
  <c r="G446" i="67" s="1"/>
  <c r="F867" i="37"/>
  <c r="G867" i="37" s="1"/>
  <c r="F851" i="37"/>
  <c r="G851" i="37" s="1"/>
  <c r="G1079" i="37"/>
  <c r="G1066" i="37" s="1"/>
  <c r="F1028" i="37"/>
  <c r="G1028" i="37" s="1"/>
  <c r="F1120" i="37"/>
  <c r="G1120" i="37" s="1"/>
  <c r="G1114" i="37" s="1"/>
  <c r="F710" i="37"/>
  <c r="G710" i="37" s="1"/>
  <c r="G691" i="37"/>
  <c r="F1657" i="37"/>
  <c r="G1657" i="37" s="1"/>
  <c r="G1661" i="37" s="1"/>
  <c r="G1650" i="37" s="1"/>
  <c r="F714" i="37"/>
  <c r="G714" i="37" s="1"/>
  <c r="G447" i="37"/>
  <c r="G436" i="37" s="1"/>
  <c r="G197" i="37"/>
  <c r="G3217" i="37"/>
  <c r="G3090" i="37"/>
  <c r="G3118" i="37"/>
  <c r="G3104" i="37"/>
  <c r="G3076" i="37"/>
  <c r="G1541" i="37"/>
  <c r="F1800" i="37"/>
  <c r="G1800" i="37" s="1"/>
  <c r="F1749" i="37"/>
  <c r="G1749" i="37" s="1"/>
  <c r="G355" i="37"/>
  <c r="G343" i="37" s="1"/>
  <c r="G1580" i="37"/>
  <c r="G1528" i="37"/>
  <c r="G330" i="37"/>
  <c r="G1593" i="37"/>
  <c r="A13" i="10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G370" i="37"/>
  <c r="F2358" i="37" s="1"/>
  <c r="G357" i="37"/>
  <c r="G309" i="37"/>
  <c r="G1147" i="37"/>
  <c r="G1138" i="37" s="1"/>
  <c r="G3270" i="37"/>
  <c r="G1619" i="37"/>
  <c r="G1607" i="37" s="1"/>
  <c r="F938" i="37"/>
  <c r="G938" i="37" s="1"/>
  <c r="G946" i="37" s="1"/>
  <c r="G932" i="37" s="1"/>
  <c r="F922" i="37"/>
  <c r="G922" i="37" s="1"/>
  <c r="G930" i="37" s="1"/>
  <c r="G916" i="37" s="1"/>
  <c r="G1648" i="37"/>
  <c r="G1636" i="37" s="1"/>
  <c r="G1526" i="37"/>
  <c r="G1513" i="37" s="1"/>
  <c r="G1481" i="37"/>
  <c r="G1468" i="37" s="1"/>
  <c r="F299" i="37"/>
  <c r="G299" i="37" s="1"/>
  <c r="G307" i="37" s="1"/>
  <c r="G2666" i="37"/>
  <c r="G3611" i="37"/>
  <c r="G3602" i="37" s="1"/>
  <c r="G1228" i="37"/>
  <c r="G1208" i="37" s="1"/>
  <c r="G2605" i="37"/>
  <c r="G2591" i="37" s="1"/>
  <c r="G3479" i="37"/>
  <c r="G3470" i="37" s="1"/>
  <c r="A384" i="10"/>
  <c r="A385" i="10" s="1"/>
  <c r="A386" i="10" s="1"/>
  <c r="A387" i="10" s="1"/>
  <c r="A388" i="10" s="1"/>
  <c r="A389" i="10" s="1"/>
  <c r="A390" i="10" s="1"/>
  <c r="A391" i="10" s="1"/>
  <c r="A392" i="10" s="1"/>
  <c r="F753" i="37"/>
  <c r="G753" i="37" s="1"/>
  <c r="F828" i="37"/>
  <c r="G828" i="37" s="1"/>
  <c r="F783" i="37"/>
  <c r="G783" i="37" s="1"/>
  <c r="F798" i="37"/>
  <c r="G798" i="37" s="1"/>
  <c r="F813" i="37"/>
  <c r="G813" i="37" s="1"/>
  <c r="F739" i="37"/>
  <c r="G739" i="37" s="1"/>
  <c r="F804" i="37"/>
  <c r="G804" i="37" s="1"/>
  <c r="F819" i="37"/>
  <c r="G819" i="37" s="1"/>
  <c r="F744" i="37"/>
  <c r="G744" i="37" s="1"/>
  <c r="F834" i="37"/>
  <c r="G834" i="37" s="1"/>
  <c r="F789" i="37"/>
  <c r="G789" i="37" s="1"/>
  <c r="G3491" i="37"/>
  <c r="G3480" i="37" s="1"/>
  <c r="F801" i="37"/>
  <c r="G801" i="37" s="1"/>
  <c r="F786" i="37"/>
  <c r="G786" i="37" s="1"/>
  <c r="F816" i="37"/>
  <c r="G816" i="37" s="1"/>
  <c r="F831" i="37"/>
  <c r="G831" i="37" s="1"/>
  <c r="G154" i="37"/>
  <c r="G143" i="37" s="1"/>
  <c r="F1403" i="37"/>
  <c r="G1403" i="37" s="1"/>
  <c r="F1406" i="37"/>
  <c r="G1406" i="37" s="1"/>
  <c r="F1680" i="37"/>
  <c r="G1680" i="37" s="1"/>
  <c r="G1684" i="37" s="1"/>
  <c r="G1674" i="37" s="1"/>
  <c r="F1717" i="37"/>
  <c r="G1717" i="37" s="1"/>
  <c r="G1721" i="37" s="1"/>
  <c r="G1711" i="37" s="1"/>
  <c r="G266" i="37"/>
  <c r="J2695" i="37"/>
  <c r="G2691" i="37"/>
  <c r="G209" i="37"/>
  <c r="G204" i="37" s="1"/>
  <c r="G2050" i="37"/>
  <c r="G2051" i="37"/>
  <c r="G1296" i="37"/>
  <c r="G142" i="37"/>
  <c r="G139" i="37" s="1"/>
  <c r="G138" i="37"/>
  <c r="G135" i="37" s="1"/>
  <c r="G134" i="37"/>
  <c r="G131" i="37" s="1"/>
  <c r="G231" i="37"/>
  <c r="G224" i="37" s="1"/>
  <c r="I1853" i="37"/>
  <c r="G4111" i="37"/>
  <c r="G4087" i="37" s="1"/>
  <c r="G4112" i="37"/>
  <c r="G4123" i="37"/>
  <c r="G4000" i="37"/>
  <c r="G4014" i="37"/>
  <c r="G2950" i="37"/>
  <c r="G1914" i="37"/>
  <c r="G1904" i="37" s="1"/>
  <c r="G1384" i="37"/>
  <c r="G4028" i="37"/>
  <c r="G1379" i="37"/>
  <c r="G1813" i="37"/>
  <c r="G1802" i="37" s="1"/>
  <c r="G1156" i="37"/>
  <c r="G1149" i="37" s="1"/>
  <c r="G4086" i="37"/>
  <c r="G4062" i="37" s="1"/>
  <c r="G2589" i="37"/>
  <c r="G2575" i="37" s="1"/>
  <c r="G1437" i="37"/>
  <c r="G1424" i="37" s="1"/>
  <c r="G534" i="37"/>
  <c r="G1566" i="37"/>
  <c r="G1554" i="37" s="1"/>
  <c r="G421" i="37"/>
  <c r="G410" i="37" s="1"/>
  <c r="G1511" i="37"/>
  <c r="G1498" i="37" s="1"/>
  <c r="G484" i="37"/>
  <c r="G473" i="37" s="1"/>
  <c r="G2651" i="37"/>
  <c r="G2637" i="37" s="1"/>
  <c r="G1466" i="37"/>
  <c r="G1454" i="37" s="1"/>
  <c r="F1396" i="37"/>
  <c r="G1396" i="37" s="1"/>
  <c r="F41" i="37"/>
  <c r="G41" i="37" s="1"/>
  <c r="F71" i="37"/>
  <c r="G71" i="37" s="1"/>
  <c r="F732" i="37"/>
  <c r="G732" i="37" s="1"/>
  <c r="F761" i="37"/>
  <c r="G761" i="37" s="1"/>
  <c r="F1672" i="37"/>
  <c r="G1672" i="37" s="1"/>
  <c r="F59" i="37"/>
  <c r="G59" i="37" s="1"/>
  <c r="F1999" i="37"/>
  <c r="G1999" i="37" s="1"/>
  <c r="F3500" i="37"/>
  <c r="G3500" i="37" s="1"/>
  <c r="F1356" i="37"/>
  <c r="G1356" i="37" s="1"/>
  <c r="F1708" i="37"/>
  <c r="G1708" i="37" s="1"/>
  <c r="F2507" i="37"/>
  <c r="G2507" i="37" s="1"/>
  <c r="F3556" i="37"/>
  <c r="G3556" i="37" s="1"/>
  <c r="G1496" i="37"/>
  <c r="G1483" i="37" s="1"/>
  <c r="G459" i="37"/>
  <c r="G449" i="37" s="1"/>
  <c r="G515" i="37"/>
  <c r="G499" i="37" s="1"/>
  <c r="G196" i="37"/>
  <c r="G184" i="37" s="1"/>
  <c r="G1309" i="37"/>
  <c r="G1754" i="37"/>
  <c r="F1755" i="37"/>
  <c r="G1755" i="37" s="1"/>
  <c r="G657" i="37"/>
  <c r="G1860" i="37"/>
  <c r="F1862" i="37"/>
  <c r="G1862" i="37" s="1"/>
  <c r="G3591" i="37"/>
  <c r="G3582" i="37" s="1"/>
  <c r="G624" i="37"/>
  <c r="G609" i="37" s="1"/>
  <c r="G589" i="37"/>
  <c r="G573" i="37" s="1"/>
  <c r="G2636" i="37"/>
  <c r="G2622" i="37" s="1"/>
  <c r="G1207" i="37"/>
  <c r="G1195" i="37" s="1"/>
  <c r="G1135" i="37"/>
  <c r="G1136" i="37" s="1"/>
  <c r="G1129" i="37" s="1"/>
  <c r="G1170" i="37"/>
  <c r="G1174" i="37" s="1"/>
  <c r="G1163" i="37" s="1"/>
  <c r="F1885" i="37"/>
  <c r="G1885" i="37" s="1"/>
  <c r="G1882" i="37"/>
  <c r="G267" i="37"/>
  <c r="F1281" i="37"/>
  <c r="G1281" i="37" s="1"/>
  <c r="F3967" i="37"/>
  <c r="G3967" i="37" s="1"/>
  <c r="G3980" i="37" s="1"/>
  <c r="F909" i="37"/>
  <c r="G909" i="37" s="1"/>
  <c r="G913" i="37" s="1"/>
  <c r="F1251" i="37"/>
  <c r="G1251" i="37" s="1"/>
  <c r="G1262" i="37" s="1"/>
  <c r="F3013" i="37"/>
  <c r="G3013" i="37" s="1"/>
  <c r="G3015" i="37" s="1"/>
  <c r="F3066" i="37"/>
  <c r="G3066" i="37" s="1"/>
  <c r="G3062" i="37" s="1"/>
  <c r="F862" i="37"/>
  <c r="G862" i="37" s="1"/>
  <c r="F2193" i="37"/>
  <c r="G2193" i="37" s="1"/>
  <c r="G2196" i="37" s="1"/>
  <c r="G2182" i="37" s="1"/>
  <c r="F1981" i="37"/>
  <c r="G1981" i="37" s="1"/>
  <c r="G1986" i="37" s="1"/>
  <c r="G1968" i="37" s="1"/>
  <c r="F2307" i="37"/>
  <c r="G2307" i="37" s="1"/>
  <c r="F2329" i="37"/>
  <c r="F846" i="37"/>
  <c r="G846" i="37" s="1"/>
  <c r="F2398" i="37"/>
  <c r="G2398" i="37" s="1"/>
  <c r="G2399" i="37" s="1"/>
  <c r="G2389" i="37" s="1"/>
  <c r="F2755" i="37"/>
  <c r="G2755" i="37" s="1"/>
  <c r="F3023" i="37"/>
  <c r="G3023" i="37" s="1"/>
  <c r="F3548" i="37"/>
  <c r="G3548" i="37" s="1"/>
  <c r="F3051" i="37"/>
  <c r="G3051" i="37" s="1"/>
  <c r="G3060" i="37" s="1"/>
  <c r="G3049" i="37" s="1"/>
  <c r="F2143" i="37"/>
  <c r="G2143" i="37" s="1"/>
  <c r="G2146" i="37" s="1"/>
  <c r="F3528" i="37"/>
  <c r="G3528" i="37" s="1"/>
  <c r="F724" i="37"/>
  <c r="G724" i="37" s="1"/>
  <c r="F65" i="37"/>
  <c r="G65" i="37" s="1"/>
  <c r="F53" i="37"/>
  <c r="G53" i="37" s="1"/>
  <c r="F3561" i="37"/>
  <c r="G3561" i="37" s="1"/>
  <c r="F12" i="37"/>
  <c r="G12" i="37" s="1"/>
  <c r="F47" i="37"/>
  <c r="G47" i="37" s="1"/>
  <c r="G1855" i="37"/>
  <c r="G1841" i="37" s="1"/>
  <c r="G2801" i="37"/>
  <c r="G2788" i="37" s="1"/>
  <c r="G1634" i="37"/>
  <c r="G1621" i="37" s="1"/>
  <c r="G408" i="37"/>
  <c r="G396" i="37" s="1"/>
  <c r="G434" i="37"/>
  <c r="G423" i="37" s="1"/>
  <c r="G2815" i="37"/>
  <c r="G2803" i="37" s="1"/>
  <c r="G2573" i="37"/>
  <c r="G2559" i="37" s="1"/>
  <c r="G1194" i="37"/>
  <c r="G1176" i="37" s="1"/>
  <c r="G254" i="37"/>
  <c r="G240" i="37" s="1"/>
  <c r="G690" i="37"/>
  <c r="G675" i="37" s="1"/>
  <c r="G1817" i="37"/>
  <c r="G1826" i="37"/>
  <c r="F234" i="37"/>
  <c r="G234" i="37" s="1"/>
  <c r="G239" i="37" s="1"/>
  <c r="G232" i="37" s="1"/>
  <c r="I1436" i="37"/>
  <c r="G607" i="37"/>
  <c r="G591" i="37" s="1"/>
  <c r="G497" i="37"/>
  <c r="G222" i="37"/>
  <c r="G211" i="37" s="1"/>
  <c r="G290" i="37"/>
  <c r="G284" i="37" s="1"/>
  <c r="G291" i="37"/>
  <c r="F1897" i="37"/>
  <c r="G1897" i="37" s="1"/>
  <c r="G1896" i="37"/>
  <c r="G280" i="37"/>
  <c r="G281" i="37"/>
  <c r="G640" i="37"/>
  <c r="G625" i="37" s="1"/>
  <c r="G1452" i="37"/>
  <c r="G1439" i="37" s="1"/>
  <c r="I1565" i="37"/>
  <c r="I1539" i="37"/>
  <c r="G394" i="37"/>
  <c r="G383" i="37" s="1"/>
  <c r="G165" i="37"/>
  <c r="G155" i="37" s="1"/>
  <c r="F1872" i="37"/>
  <c r="G1872" i="37" s="1"/>
  <c r="G1871" i="37"/>
  <c r="G674" i="37"/>
  <c r="G659" i="37" s="1"/>
  <c r="F1276" i="37"/>
  <c r="G1276" i="37" s="1"/>
  <c r="F1032" i="37"/>
  <c r="G1032" i="37" s="1"/>
  <c r="G2091" i="37"/>
  <c r="G2094" i="37" s="1"/>
  <c r="F2075" i="37"/>
  <c r="G2075" i="37" s="1"/>
  <c r="G2078" i="37" s="1"/>
  <c r="F2059" i="37"/>
  <c r="G2059" i="37" s="1"/>
  <c r="G572" i="37"/>
  <c r="G555" i="37" s="1"/>
  <c r="G2404" i="37"/>
  <c r="G2419" i="37"/>
  <c r="G2548" i="37"/>
  <c r="G2540" i="37" s="1"/>
  <c r="G3511" i="37"/>
  <c r="G3503" i="37" s="1"/>
  <c r="J300" i="10"/>
  <c r="D300" i="10" s="1"/>
  <c r="F2760" i="37" l="1"/>
  <c r="G2760" i="37" s="1"/>
  <c r="H20" i="72"/>
  <c r="F132" i="70"/>
  <c r="G132" i="70" s="1"/>
  <c r="F102" i="71" s="1"/>
  <c r="G102" i="71" s="1"/>
  <c r="I132" i="70"/>
  <c r="H102" i="71" s="1"/>
  <c r="I102" i="71" s="1"/>
  <c r="H33" i="72"/>
  <c r="H37" i="72"/>
  <c r="H21" i="72"/>
  <c r="H39" i="72"/>
  <c r="H22" i="72"/>
  <c r="H29" i="72"/>
  <c r="I135" i="70"/>
  <c r="H105" i="71" s="1"/>
  <c r="F135" i="70"/>
  <c r="G135" i="70" s="1"/>
  <c r="F105" i="71" s="1"/>
  <c r="I131" i="70"/>
  <c r="H101" i="71" s="1"/>
  <c r="F131" i="70"/>
  <c r="G131" i="70" s="1"/>
  <c r="F101" i="71" s="1"/>
  <c r="G101" i="71" s="1"/>
  <c r="H32" i="72"/>
  <c r="H26" i="72"/>
  <c r="I101" i="71"/>
  <c r="G852" i="37"/>
  <c r="G853" i="37" s="1"/>
  <c r="G839" i="37" s="1"/>
  <c r="A393" i="10"/>
  <c r="F17" i="67"/>
  <c r="G17" i="67" s="1"/>
  <c r="G3281" i="37"/>
  <c r="G163" i="65"/>
  <c r="F148" i="65"/>
  <c r="F173" i="65" s="1"/>
  <c r="F30" i="67"/>
  <c r="F145" i="67"/>
  <c r="F165" i="65"/>
  <c r="F190" i="65" s="1"/>
  <c r="F162" i="67"/>
  <c r="F45" i="67"/>
  <c r="F147" i="65"/>
  <c r="F172" i="65" s="1"/>
  <c r="F144" i="67"/>
  <c r="F29" i="67"/>
  <c r="G160" i="67"/>
  <c r="F185" i="67"/>
  <c r="G50" i="69"/>
  <c r="F88" i="69"/>
  <c r="F66" i="67"/>
  <c r="G43" i="67"/>
  <c r="AH112" i="67"/>
  <c r="AI112" i="67" s="1"/>
  <c r="Z66" i="67"/>
  <c r="AA66" i="67" s="1"/>
  <c r="R112" i="67"/>
  <c r="S112" i="67" s="1"/>
  <c r="AH66" i="67"/>
  <c r="AI66" i="67" s="1"/>
  <c r="Z43" i="67"/>
  <c r="AA43" i="67" s="1"/>
  <c r="R43" i="67"/>
  <c r="S43" i="67" s="1"/>
  <c r="R135" i="67"/>
  <c r="S135" i="67" s="1"/>
  <c r="Z112" i="67"/>
  <c r="AA112" i="67" s="1"/>
  <c r="R89" i="67"/>
  <c r="S89" i="67" s="1"/>
  <c r="AH43" i="67"/>
  <c r="AI43" i="67" s="1"/>
  <c r="F112" i="67"/>
  <c r="G112" i="67" s="1"/>
  <c r="Z135" i="67"/>
  <c r="AA135" i="67" s="1"/>
  <c r="R66" i="67"/>
  <c r="S66" i="67" s="1"/>
  <c r="Z89" i="67"/>
  <c r="AA89" i="67" s="1"/>
  <c r="F135" i="67"/>
  <c r="G135" i="67" s="1"/>
  <c r="AH89" i="67"/>
  <c r="AI89" i="67" s="1"/>
  <c r="AH135" i="67"/>
  <c r="AI135" i="67" s="1"/>
  <c r="G868" i="37"/>
  <c r="G869" i="37" s="1"/>
  <c r="G271" i="67"/>
  <c r="F296" i="67"/>
  <c r="G296" i="67" s="1"/>
  <c r="F151" i="67"/>
  <c r="F35" i="67"/>
  <c r="F161" i="65"/>
  <c r="F186" i="65" s="1"/>
  <c r="F158" i="67"/>
  <c r="F41" i="67"/>
  <c r="F213" i="65"/>
  <c r="G188" i="65"/>
  <c r="F1110" i="37"/>
  <c r="G1110" i="37" s="1"/>
  <c r="F154" i="65"/>
  <c r="A75" i="10"/>
  <c r="A76" i="10" s="1"/>
  <c r="A77" i="10" s="1"/>
  <c r="G718" i="37"/>
  <c r="G707" i="37" s="1"/>
  <c r="F2251" i="37"/>
  <c r="F2262" i="37" s="1"/>
  <c r="F2010" i="37"/>
  <c r="G2010" i="37" s="1"/>
  <c r="G3264" i="37"/>
  <c r="F2736" i="37"/>
  <c r="G2736" i="37" s="1"/>
  <c r="F2738" i="37"/>
  <c r="G2738" i="37" s="1"/>
  <c r="F2687" i="37"/>
  <c r="G2687" i="37" s="1"/>
  <c r="F2180" i="37"/>
  <c r="G2180" i="37" s="1"/>
  <c r="F2157" i="37"/>
  <c r="G2157" i="37" s="1"/>
  <c r="F2768" i="37"/>
  <c r="G2768" i="37" s="1"/>
  <c r="G2774" i="37" s="1"/>
  <c r="G1410" i="37"/>
  <c r="G1399" i="37" s="1"/>
  <c r="G3032" i="37"/>
  <c r="G3021" i="37" s="1"/>
  <c r="G3000" i="37"/>
  <c r="F2162" i="37"/>
  <c r="G2162" i="37" s="1"/>
  <c r="F2173" i="37"/>
  <c r="G2173" i="37" s="1"/>
  <c r="F2163" i="37"/>
  <c r="G2163" i="37" s="1"/>
  <c r="F2174" i="37"/>
  <c r="G2174" i="37" s="1"/>
  <c r="F2130" i="37"/>
  <c r="G2130" i="37" s="1"/>
  <c r="F2169" i="37"/>
  <c r="G2169" i="37" s="1"/>
  <c r="G517" i="37"/>
  <c r="H23" i="72" s="1"/>
  <c r="G308" i="37"/>
  <c r="G293" i="37"/>
  <c r="F1948" i="37"/>
  <c r="G1948" i="37" s="1"/>
  <c r="F1947" i="37"/>
  <c r="G2095" i="37"/>
  <c r="G2081" i="37" s="1"/>
  <c r="G793" i="37"/>
  <c r="G779" i="37" s="1"/>
  <c r="H27" i="72" s="1"/>
  <c r="G838" i="37"/>
  <c r="G824" i="37" s="1"/>
  <c r="G808" i="37"/>
  <c r="G794" i="37" s="1"/>
  <c r="G748" i="37"/>
  <c r="G735" i="37" s="1"/>
  <c r="G823" i="37"/>
  <c r="G809" i="37" s="1"/>
  <c r="F2333" i="37"/>
  <c r="G2333" i="37" s="1"/>
  <c r="F2311" i="37"/>
  <c r="G2311" i="37" s="1"/>
  <c r="F2704" i="37"/>
  <c r="G2704" i="37" s="1"/>
  <c r="F1916" i="37"/>
  <c r="G1916" i="37" s="1"/>
  <c r="F2482" i="37"/>
  <c r="G2482" i="37" s="1"/>
  <c r="F2150" i="37"/>
  <c r="G2150" i="37" s="1"/>
  <c r="F2200" i="37"/>
  <c r="F2210" i="37" s="1"/>
  <c r="F2345" i="37"/>
  <c r="F2229" i="37"/>
  <c r="G2132" i="37"/>
  <c r="F2457" i="37"/>
  <c r="G2457" i="37" s="1"/>
  <c r="F2123" i="37"/>
  <c r="G2123" i="37" s="1"/>
  <c r="F2493" i="37"/>
  <c r="G2493" i="37" s="1"/>
  <c r="G2062" i="37"/>
  <c r="G2063" i="37" s="1"/>
  <c r="G2048" i="37" s="1"/>
  <c r="F2252" i="37"/>
  <c r="G2252" i="37" s="1"/>
  <c r="F2116" i="37"/>
  <c r="F2250" i="37"/>
  <c r="G2250" i="37" s="1"/>
  <c r="J304" i="10"/>
  <c r="D304" i="10" s="1"/>
  <c r="J314" i="10"/>
  <c r="D314" i="10" s="1"/>
  <c r="F3648" i="37" s="1"/>
  <c r="G3648" i="37" s="1"/>
  <c r="G3654" i="37" s="1"/>
  <c r="F2009" i="37"/>
  <c r="G2009" i="37" s="1"/>
  <c r="G4124" i="37"/>
  <c r="G914" i="37"/>
  <c r="G903" i="37"/>
  <c r="G268" i="37"/>
  <c r="G256" i="37"/>
  <c r="G2079" i="37"/>
  <c r="G2065" i="37" s="1"/>
  <c r="G282" i="37"/>
  <c r="G270" i="37"/>
  <c r="F18" i="37"/>
  <c r="G18" i="37" s="1"/>
  <c r="G485" i="37"/>
  <c r="F14" i="37"/>
  <c r="G14" i="37" s="1"/>
  <c r="G642" i="37"/>
  <c r="G2358" i="37"/>
  <c r="G1284" i="37"/>
  <c r="G1867" i="37"/>
  <c r="G1857" i="37" s="1"/>
  <c r="G1877" i="37"/>
  <c r="G1868" i="37" s="1"/>
  <c r="G1902" i="37"/>
  <c r="G1892" i="37" s="1"/>
  <c r="G1890" i="37"/>
  <c r="G1880" i="37" s="1"/>
  <c r="G3981" i="37"/>
  <c r="G3959" i="37"/>
  <c r="F2117" i="37"/>
  <c r="F2110" i="37"/>
  <c r="G2110" i="37" s="1"/>
  <c r="F1957" i="37"/>
  <c r="G1957" i="37" s="1"/>
  <c r="G1038" i="37"/>
  <c r="G1026" i="37" s="1"/>
  <c r="F28" i="37"/>
  <c r="G28" i="37" s="1"/>
  <c r="F729" i="37"/>
  <c r="G729" i="37" s="1"/>
  <c r="G733" i="37" s="1"/>
  <c r="F758" i="37"/>
  <c r="G758" i="37" s="1"/>
  <c r="G762" i="37" s="1"/>
  <c r="G749" i="37" s="1"/>
  <c r="F69" i="37"/>
  <c r="G69" i="37" s="1"/>
  <c r="G62" i="37" s="1"/>
  <c r="F57" i="37"/>
  <c r="G57" i="37" s="1"/>
  <c r="F1419" i="37"/>
  <c r="G1419" i="37" s="1"/>
  <c r="G1422" i="37" s="1"/>
  <c r="G1412" i="37" s="1"/>
  <c r="F3529" i="37"/>
  <c r="G3529" i="37" s="1"/>
  <c r="F1705" i="37"/>
  <c r="G1705" i="37" s="1"/>
  <c r="G1709" i="37" s="1"/>
  <c r="G1699" i="37" s="1"/>
  <c r="F1838" i="37"/>
  <c r="G1838" i="37" s="1"/>
  <c r="F1998" i="37"/>
  <c r="G1998" i="37" s="1"/>
  <c r="G1987" i="37" s="1"/>
  <c r="F3499" i="37"/>
  <c r="G3499" i="37" s="1"/>
  <c r="F1353" i="37"/>
  <c r="G1353" i="37" s="1"/>
  <c r="G1357" i="37" s="1"/>
  <c r="F1393" i="37"/>
  <c r="G1393" i="37" s="1"/>
  <c r="F2506" i="37"/>
  <c r="G2506" i="37" s="1"/>
  <c r="F3555" i="37"/>
  <c r="G3555" i="37" s="1"/>
  <c r="G3566" i="37" s="1"/>
  <c r="G3552" i="37" s="1"/>
  <c r="F1669" i="37"/>
  <c r="G1669" i="37" s="1"/>
  <c r="G1663" i="37" s="1"/>
  <c r="F40" i="37"/>
  <c r="G40" i="37" s="1"/>
  <c r="G2329" i="37"/>
  <c r="F2201" i="37"/>
  <c r="F2312" i="37"/>
  <c r="G2312" i="37" s="1"/>
  <c r="F2334" i="37"/>
  <c r="G2334" i="37" s="1"/>
  <c r="F2124" i="37"/>
  <c r="G2124" i="37" s="1"/>
  <c r="F2151" i="37"/>
  <c r="G2151" i="37" s="1"/>
  <c r="F2413" i="37"/>
  <c r="F2458" i="37"/>
  <c r="F2346" i="37"/>
  <c r="F2494" i="37"/>
  <c r="G2494" i="37" s="1"/>
  <c r="F950" i="37"/>
  <c r="G950" i="37" s="1"/>
  <c r="F2706" i="37"/>
  <c r="G2706" i="37" s="1"/>
  <c r="F2108" i="37"/>
  <c r="G2108" i="37" s="1"/>
  <c r="F2115" i="37"/>
  <c r="G2115" i="37" s="1"/>
  <c r="F2348" i="37"/>
  <c r="F2412" i="37"/>
  <c r="F1789" i="37"/>
  <c r="G1789" i="37" s="1"/>
  <c r="F1777" i="37"/>
  <c r="G1777" i="37" s="1"/>
  <c r="F1764" i="37"/>
  <c r="G1764" i="37" s="1"/>
  <c r="G1818" i="37"/>
  <c r="J305" i="10"/>
  <c r="D305" i="10" s="1"/>
  <c r="H28" i="72" l="1"/>
  <c r="F23" i="72"/>
  <c r="I23" i="72"/>
  <c r="H49" i="70"/>
  <c r="H27" i="70"/>
  <c r="H42" i="70"/>
  <c r="H22" i="70"/>
  <c r="H30" i="70"/>
  <c r="H51" i="70"/>
  <c r="H25" i="70"/>
  <c r="H41" i="70"/>
  <c r="H43" i="70"/>
  <c r="H23" i="70"/>
  <c r="H38" i="70"/>
  <c r="H16" i="70"/>
  <c r="H18" i="70"/>
  <c r="H31" i="70"/>
  <c r="H15" i="70"/>
  <c r="H19" i="70"/>
  <c r="H39" i="70"/>
  <c r="H17" i="70"/>
  <c r="H32" i="70"/>
  <c r="H50" i="70"/>
  <c r="H46" i="70"/>
  <c r="H47" i="70"/>
  <c r="H34" i="70"/>
  <c r="H33" i="70"/>
  <c r="H48" i="70"/>
  <c r="H26" i="70"/>
  <c r="H40" i="70"/>
  <c r="H14" i="70"/>
  <c r="H35" i="70"/>
  <c r="H24" i="70"/>
  <c r="F32" i="72"/>
  <c r="G32" i="72" s="1"/>
  <c r="I32" i="72"/>
  <c r="F22" i="72"/>
  <c r="G22" i="72" s="1"/>
  <c r="I22" i="72"/>
  <c r="F37" i="72"/>
  <c r="G37" i="72" s="1"/>
  <c r="I37" i="72"/>
  <c r="H30" i="72"/>
  <c r="H31" i="72"/>
  <c r="F27" i="72"/>
  <c r="G27" i="72" s="1"/>
  <c r="I27" i="72"/>
  <c r="G103" i="71"/>
  <c r="I26" i="72"/>
  <c r="F26" i="72"/>
  <c r="G26" i="72" s="1"/>
  <c r="F29" i="72"/>
  <c r="G29" i="72" s="1"/>
  <c r="I29" i="72"/>
  <c r="F39" i="72"/>
  <c r="G39" i="72" s="1"/>
  <c r="I39" i="72"/>
  <c r="F33" i="72"/>
  <c r="G33" i="72" s="1"/>
  <c r="I33" i="72"/>
  <c r="F20" i="72"/>
  <c r="G20" i="72" s="1"/>
  <c r="I20" i="72"/>
  <c r="H127" i="70"/>
  <c r="H123" i="70"/>
  <c r="H117" i="70"/>
  <c r="H111" i="70"/>
  <c r="H107" i="70"/>
  <c r="H101" i="70"/>
  <c r="H95" i="70"/>
  <c r="H91" i="70"/>
  <c r="H126" i="70"/>
  <c r="H122" i="70"/>
  <c r="H116" i="70"/>
  <c r="H110" i="70"/>
  <c r="H106" i="70"/>
  <c r="H100" i="70"/>
  <c r="H94" i="70"/>
  <c r="H90" i="70"/>
  <c r="H118" i="70"/>
  <c r="H108" i="70"/>
  <c r="H98" i="70"/>
  <c r="H114" i="70"/>
  <c r="H92" i="70"/>
  <c r="H125" i="70"/>
  <c r="H115" i="70"/>
  <c r="H103" i="70"/>
  <c r="H93" i="70"/>
  <c r="H124" i="70"/>
  <c r="H102" i="70"/>
  <c r="H119" i="70"/>
  <c r="H109" i="70"/>
  <c r="H99" i="70"/>
  <c r="G3646" i="37"/>
  <c r="H129" i="73"/>
  <c r="G3265" i="37"/>
  <c r="H107" i="73" s="1"/>
  <c r="H108" i="73"/>
  <c r="H109" i="73"/>
  <c r="I21" i="72"/>
  <c r="F21" i="72"/>
  <c r="G21" i="72" s="1"/>
  <c r="I18" i="68"/>
  <c r="I103" i="71"/>
  <c r="F19" i="75" s="1"/>
  <c r="G3502" i="37"/>
  <c r="G94" i="73" s="1"/>
  <c r="G97" i="73" s="1"/>
  <c r="E19" i="75"/>
  <c r="F19" i="67"/>
  <c r="G19" i="67" s="1"/>
  <c r="I19" i="68" s="1"/>
  <c r="F152" i="67"/>
  <c r="F177" i="67" s="1"/>
  <c r="G23" i="72"/>
  <c r="G161" i="65"/>
  <c r="G147" i="65"/>
  <c r="G148" i="65"/>
  <c r="G855" i="37"/>
  <c r="F2167" i="37"/>
  <c r="G2167" i="37" s="1"/>
  <c r="F2265" i="37"/>
  <c r="G2265" i="37" s="1"/>
  <c r="F2154" i="37"/>
  <c r="G2154" i="37" s="1"/>
  <c r="F2285" i="37"/>
  <c r="G2285" i="37" s="1"/>
  <c r="F2275" i="37"/>
  <c r="G2275" i="37" s="1"/>
  <c r="F2295" i="37"/>
  <c r="G2295" i="37" s="1"/>
  <c r="F2205" i="37"/>
  <c r="F2215" i="37" s="1"/>
  <c r="G2215" i="37" s="1"/>
  <c r="F2177" i="37"/>
  <c r="G2177" i="37" s="1"/>
  <c r="F2155" i="37"/>
  <c r="G2155" i="37" s="1"/>
  <c r="F2178" i="37"/>
  <c r="G2178" i="37" s="1"/>
  <c r="F2166" i="37"/>
  <c r="G2166" i="37" s="1"/>
  <c r="G29" i="67"/>
  <c r="F52" i="67"/>
  <c r="Z98" i="67"/>
  <c r="AA98" i="67" s="1"/>
  <c r="Z52" i="67"/>
  <c r="AA52" i="67" s="1"/>
  <c r="Z29" i="67"/>
  <c r="AA29" i="67" s="1"/>
  <c r="Z75" i="67"/>
  <c r="AA75" i="67" s="1"/>
  <c r="Z121" i="67"/>
  <c r="AA121" i="67" s="1"/>
  <c r="F98" i="67"/>
  <c r="G98" i="67" s="1"/>
  <c r="AH98" i="67"/>
  <c r="AI98" i="67" s="1"/>
  <c r="AH52" i="67"/>
  <c r="AI52" i="67" s="1"/>
  <c r="AH29" i="67"/>
  <c r="AI29" i="67" s="1"/>
  <c r="F121" i="67"/>
  <c r="G121" i="67" s="1"/>
  <c r="AH75" i="67"/>
  <c r="AI75" i="67" s="1"/>
  <c r="AH121" i="67"/>
  <c r="AI121" i="67" s="1"/>
  <c r="R98" i="67"/>
  <c r="S98" i="67" s="1"/>
  <c r="R52" i="67"/>
  <c r="S52" i="67" s="1"/>
  <c r="R29" i="67"/>
  <c r="S29" i="67" s="1"/>
  <c r="R75" i="67"/>
  <c r="S75" i="67" s="1"/>
  <c r="R121" i="67"/>
  <c r="S121" i="67" s="1"/>
  <c r="G30" i="67"/>
  <c r="F53" i="67"/>
  <c r="F122" i="67"/>
  <c r="G122" i="67" s="1"/>
  <c r="R53" i="67"/>
  <c r="S53" i="67" s="1"/>
  <c r="AH122" i="67"/>
  <c r="AI122" i="67" s="1"/>
  <c r="R99" i="67"/>
  <c r="S99" i="67" s="1"/>
  <c r="R76" i="67"/>
  <c r="S76" i="67" s="1"/>
  <c r="Z122" i="67"/>
  <c r="AA122" i="67" s="1"/>
  <c r="F99" i="67"/>
  <c r="G99" i="67" s="1"/>
  <c r="AH53" i="67"/>
  <c r="AI53" i="67" s="1"/>
  <c r="Z30" i="67"/>
  <c r="AA30" i="67" s="1"/>
  <c r="AH76" i="67"/>
  <c r="AI76" i="67" s="1"/>
  <c r="R122" i="67"/>
  <c r="S122" i="67" s="1"/>
  <c r="Z53" i="67"/>
  <c r="AA53" i="67" s="1"/>
  <c r="Z99" i="67"/>
  <c r="AA99" i="67" s="1"/>
  <c r="Z76" i="67"/>
  <c r="AA76" i="67" s="1"/>
  <c r="AH99" i="67"/>
  <c r="AI99" i="67" s="1"/>
  <c r="AH30" i="67"/>
  <c r="AI30" i="67" s="1"/>
  <c r="R30" i="67"/>
  <c r="S30" i="67" s="1"/>
  <c r="F210" i="67"/>
  <c r="G185" i="67"/>
  <c r="G145" i="67"/>
  <c r="F170" i="67"/>
  <c r="G88" i="69"/>
  <c r="F89" i="69"/>
  <c r="G162" i="67"/>
  <c r="F187" i="67"/>
  <c r="G165" i="65"/>
  <c r="G66" i="67"/>
  <c r="F89" i="67"/>
  <c r="G89" i="67" s="1"/>
  <c r="F68" i="67"/>
  <c r="G45" i="67"/>
  <c r="AH137" i="67"/>
  <c r="AI137" i="67" s="1"/>
  <c r="F114" i="67"/>
  <c r="G114" i="67" s="1"/>
  <c r="F137" i="67"/>
  <c r="G137" i="67" s="1"/>
  <c r="AH68" i="67"/>
  <c r="AI68" i="67" s="1"/>
  <c r="AH45" i="67"/>
  <c r="AI45" i="67" s="1"/>
  <c r="AH91" i="67"/>
  <c r="AI91" i="67" s="1"/>
  <c r="R114" i="67"/>
  <c r="S114" i="67" s="1"/>
  <c r="R91" i="67"/>
  <c r="S91" i="67" s="1"/>
  <c r="Z137" i="67"/>
  <c r="AA137" i="67" s="1"/>
  <c r="Z68" i="67"/>
  <c r="AA68" i="67" s="1"/>
  <c r="AH114" i="67"/>
  <c r="AI114" i="67" s="1"/>
  <c r="R137" i="67"/>
  <c r="S137" i="67" s="1"/>
  <c r="Z114" i="67"/>
  <c r="AA114" i="67" s="1"/>
  <c r="R68" i="67"/>
  <c r="S68" i="67" s="1"/>
  <c r="R45" i="67"/>
  <c r="S45" i="67" s="1"/>
  <c r="Z91" i="67"/>
  <c r="AA91" i="67" s="1"/>
  <c r="Z45" i="67"/>
  <c r="AA45" i="67" s="1"/>
  <c r="F166" i="65"/>
  <c r="G166" i="65" s="1"/>
  <c r="F163" i="67"/>
  <c r="F46" i="67"/>
  <c r="G144" i="67"/>
  <c r="F169" i="67"/>
  <c r="G151" i="67"/>
  <c r="F176" i="67"/>
  <c r="F58" i="67"/>
  <c r="G35" i="67"/>
  <c r="R127" i="67"/>
  <c r="S127" i="67" s="1"/>
  <c r="Z35" i="67"/>
  <c r="AA35" i="67" s="1"/>
  <c r="AH104" i="67"/>
  <c r="AI104" i="67" s="1"/>
  <c r="Z81" i="67"/>
  <c r="AA81" i="67" s="1"/>
  <c r="R104" i="67"/>
  <c r="S104" i="67" s="1"/>
  <c r="Z127" i="67"/>
  <c r="AA127" i="67" s="1"/>
  <c r="AH58" i="67"/>
  <c r="AI58" i="67" s="1"/>
  <c r="F127" i="67"/>
  <c r="G127" i="67" s="1"/>
  <c r="R58" i="67"/>
  <c r="S58" i="67" s="1"/>
  <c r="R35" i="67"/>
  <c r="S35" i="67" s="1"/>
  <c r="Z104" i="67"/>
  <c r="AA104" i="67" s="1"/>
  <c r="AH81" i="67"/>
  <c r="AI81" i="67" s="1"/>
  <c r="R81" i="67"/>
  <c r="S81" i="67" s="1"/>
  <c r="AH35" i="67"/>
  <c r="AI35" i="67" s="1"/>
  <c r="F104" i="67"/>
  <c r="G104" i="67" s="1"/>
  <c r="AH127" i="67"/>
  <c r="AI127" i="67" s="1"/>
  <c r="Z58" i="67"/>
  <c r="AA58" i="67" s="1"/>
  <c r="F152" i="65"/>
  <c r="F177" i="65" s="1"/>
  <c r="F149" i="67"/>
  <c r="F33" i="67"/>
  <c r="F157" i="65"/>
  <c r="F182" i="65" s="1"/>
  <c r="F154" i="67"/>
  <c r="F37" i="67"/>
  <c r="G158" i="67"/>
  <c r="F183" i="67"/>
  <c r="F64" i="67"/>
  <c r="G41" i="67"/>
  <c r="Z133" i="67"/>
  <c r="AA133" i="67" s="1"/>
  <c r="R110" i="67"/>
  <c r="S110" i="67" s="1"/>
  <c r="Z87" i="67"/>
  <c r="AA87" i="67" s="1"/>
  <c r="Z64" i="67"/>
  <c r="AA64" i="67" s="1"/>
  <c r="AH41" i="67"/>
  <c r="AI41" i="67" s="1"/>
  <c r="AH133" i="67"/>
  <c r="AI133" i="67" s="1"/>
  <c r="Z110" i="67"/>
  <c r="AA110" i="67" s="1"/>
  <c r="F133" i="67"/>
  <c r="G133" i="67" s="1"/>
  <c r="AH87" i="67"/>
  <c r="AI87" i="67" s="1"/>
  <c r="AH64" i="67"/>
  <c r="AI64" i="67" s="1"/>
  <c r="AH110" i="67"/>
  <c r="AI110" i="67" s="1"/>
  <c r="R41" i="67"/>
  <c r="S41" i="67" s="1"/>
  <c r="R133" i="67"/>
  <c r="S133" i="67" s="1"/>
  <c r="F110" i="67"/>
  <c r="G110" i="67" s="1"/>
  <c r="Z41" i="67"/>
  <c r="AA41" i="67" s="1"/>
  <c r="R87" i="67"/>
  <c r="S87" i="67" s="1"/>
  <c r="R64" i="67"/>
  <c r="S64" i="67" s="1"/>
  <c r="F164" i="65"/>
  <c r="F189" i="65" s="1"/>
  <c r="F161" i="67"/>
  <c r="F44" i="67"/>
  <c r="F153" i="65"/>
  <c r="F178" i="65" s="1"/>
  <c r="F150" i="67"/>
  <c r="F34" i="67"/>
  <c r="F2256" i="37"/>
  <c r="F2267" i="37" s="1"/>
  <c r="G2267" i="37" s="1"/>
  <c r="F238" i="65"/>
  <c r="G213" i="65"/>
  <c r="F211" i="65"/>
  <c r="G186" i="65"/>
  <c r="G153" i="65"/>
  <c r="G154" i="65"/>
  <c r="F179" i="65"/>
  <c r="F215" i="65"/>
  <c r="G190" i="65"/>
  <c r="F198" i="65"/>
  <c r="G173" i="65"/>
  <c r="F197" i="65"/>
  <c r="G172" i="65"/>
  <c r="F2761" i="37"/>
  <c r="G2761" i="37" s="1"/>
  <c r="F155" i="65"/>
  <c r="F2762" i="37"/>
  <c r="G2762" i="37" s="1"/>
  <c r="A78" i="10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G720" i="37"/>
  <c r="F1797" i="37"/>
  <c r="G1797" i="37" s="1"/>
  <c r="G1792" i="37" s="1"/>
  <c r="F1746" i="37"/>
  <c r="G1746" i="37" s="1"/>
  <c r="G1736" i="37" s="1"/>
  <c r="G1967" i="37"/>
  <c r="G1956" i="37"/>
  <c r="F2688" i="37"/>
  <c r="G2688" i="37" s="1"/>
  <c r="G2676" i="37" s="1"/>
  <c r="G2117" i="37"/>
  <c r="G2156" i="37"/>
  <c r="G45" i="37"/>
  <c r="G2765" i="37"/>
  <c r="F973" i="37"/>
  <c r="G973" i="37" s="1"/>
  <c r="G2508" i="37"/>
  <c r="G2497" i="37" s="1"/>
  <c r="G1839" i="37"/>
  <c r="G1829" i="37" s="1"/>
  <c r="G1397" i="37"/>
  <c r="G1386" i="37" s="1"/>
  <c r="F2707" i="37"/>
  <c r="G2707" i="37" s="1"/>
  <c r="F2739" i="37"/>
  <c r="G2739" i="37" s="1"/>
  <c r="F2737" i="37"/>
  <c r="G2737" i="37" s="1"/>
  <c r="F2165" i="37"/>
  <c r="G2165" i="37" s="1"/>
  <c r="F2176" i="37"/>
  <c r="G2176" i="37" s="1"/>
  <c r="F2164" i="37"/>
  <c r="G2164" i="37" s="1"/>
  <c r="F2175" i="37"/>
  <c r="G2175" i="37" s="1"/>
  <c r="F2466" i="37"/>
  <c r="G2466" i="37" s="1"/>
  <c r="F2437" i="37"/>
  <c r="G2437" i="37" s="1"/>
  <c r="F2435" i="37"/>
  <c r="G2435" i="37" s="1"/>
  <c r="G1947" i="37"/>
  <c r="G2116" i="37"/>
  <c r="F2109" i="37"/>
  <c r="G2109" i="37" s="1"/>
  <c r="G2106" i="37" s="1"/>
  <c r="F2379" i="37"/>
  <c r="G2379" i="37" s="1"/>
  <c r="G2386" i="37" s="1"/>
  <c r="G2371" i="37" s="1"/>
  <c r="F2314" i="37"/>
  <c r="G2314" i="37" s="1"/>
  <c r="F2336" i="37"/>
  <c r="G2336" i="37" s="1"/>
  <c r="F1927" i="37"/>
  <c r="G1927" i="37" s="1"/>
  <c r="F1917" i="37"/>
  <c r="G1917" i="37" s="1"/>
  <c r="F1928" i="37"/>
  <c r="G1928" i="37" s="1"/>
  <c r="F2481" i="37"/>
  <c r="G2481" i="37" s="1"/>
  <c r="G2200" i="37"/>
  <c r="F2261" i="37"/>
  <c r="F2271" i="37" s="1"/>
  <c r="F2263" i="37"/>
  <c r="F2273" i="37" s="1"/>
  <c r="F2474" i="37"/>
  <c r="G2474" i="37" s="1"/>
  <c r="F2363" i="37"/>
  <c r="G2363" i="37" s="1"/>
  <c r="G2345" i="37"/>
  <c r="F2354" i="37"/>
  <c r="G2354" i="37" s="1"/>
  <c r="F2349" i="37"/>
  <c r="G2349" i="37" s="1"/>
  <c r="F2223" i="37"/>
  <c r="G2210" i="37"/>
  <c r="F2153" i="37"/>
  <c r="G2153" i="37" s="1"/>
  <c r="F2203" i="37"/>
  <c r="G2229" i="37"/>
  <c r="F2244" i="37"/>
  <c r="G2244" i="37" s="1"/>
  <c r="F2126" i="37"/>
  <c r="G2126" i="37" s="1"/>
  <c r="F2420" i="37"/>
  <c r="G2420" i="37" s="1"/>
  <c r="G2021" i="37"/>
  <c r="G2006" i="37" s="1"/>
  <c r="F3776" i="37"/>
  <c r="G3776" i="37" s="1"/>
  <c r="F4587" i="37"/>
  <c r="G4587" i="37" s="1"/>
  <c r="G4593" i="37" s="1"/>
  <c r="G4583" i="37" s="1"/>
  <c r="F4420" i="37"/>
  <c r="G4420" i="37" s="1"/>
  <c r="G4426" i="37" s="1"/>
  <c r="G4416" i="37" s="1"/>
  <c r="F4387" i="37"/>
  <c r="G4387" i="37" s="1"/>
  <c r="G4393" i="37" s="1"/>
  <c r="G4383" i="37" s="1"/>
  <c r="F4409" i="37"/>
  <c r="G4409" i="37" s="1"/>
  <c r="G4415" i="37" s="1"/>
  <c r="G4405" i="37" s="1"/>
  <c r="F4442" i="37"/>
  <c r="G4442" i="37" s="1"/>
  <c r="G4448" i="37" s="1"/>
  <c r="G4438" i="37" s="1"/>
  <c r="F4464" i="37"/>
  <c r="G4464" i="37" s="1"/>
  <c r="G4470" i="37" s="1"/>
  <c r="G4460" i="37" s="1"/>
  <c r="F4486" i="37"/>
  <c r="G4486" i="37" s="1"/>
  <c r="G4492" i="37" s="1"/>
  <c r="G4482" i="37" s="1"/>
  <c r="F3887" i="37"/>
  <c r="G3887" i="37" s="1"/>
  <c r="F3730" i="37"/>
  <c r="G3730" i="37" s="1"/>
  <c r="F3820" i="37"/>
  <c r="G3820" i="37" s="1"/>
  <c r="G3824" i="37" s="1"/>
  <c r="F4598" i="37"/>
  <c r="G4598" i="37" s="1"/>
  <c r="G4604" i="37" s="1"/>
  <c r="F4554" i="37"/>
  <c r="G4554" i="37" s="1"/>
  <c r="G4560" i="37" s="1"/>
  <c r="G4550" i="37" s="1"/>
  <c r="F3810" i="37"/>
  <c r="G3810" i="37" s="1"/>
  <c r="G3814" i="37" s="1"/>
  <c r="G3805" i="37" s="1"/>
  <c r="F3864" i="37"/>
  <c r="G3864" i="37" s="1"/>
  <c r="F3908" i="37"/>
  <c r="G3908" i="37" s="1"/>
  <c r="G3912" i="37" s="1"/>
  <c r="G3903" i="37" s="1"/>
  <c r="F4576" i="37"/>
  <c r="G4576" i="37" s="1"/>
  <c r="G4582" i="37" s="1"/>
  <c r="G4572" i="37" s="1"/>
  <c r="F4532" i="37"/>
  <c r="G4532" i="37" s="1"/>
  <c r="G4538" i="37" s="1"/>
  <c r="G4528" i="37" s="1"/>
  <c r="F4398" i="37"/>
  <c r="G4398" i="37" s="1"/>
  <c r="G4404" i="37" s="1"/>
  <c r="G4394" i="37" s="1"/>
  <c r="F4431" i="37"/>
  <c r="G4431" i="37" s="1"/>
  <c r="G4437" i="37" s="1"/>
  <c r="G4427" i="37" s="1"/>
  <c r="F4453" i="37"/>
  <c r="G4453" i="37" s="1"/>
  <c r="G4459" i="37" s="1"/>
  <c r="G4449" i="37" s="1"/>
  <c r="F4475" i="37"/>
  <c r="G4475" i="37" s="1"/>
  <c r="G4481" i="37" s="1"/>
  <c r="G4471" i="37" s="1"/>
  <c r="F4497" i="37"/>
  <c r="G4497" i="37" s="1"/>
  <c r="G4503" i="37" s="1"/>
  <c r="G4493" i="37" s="1"/>
  <c r="F3799" i="37"/>
  <c r="G3799" i="37" s="1"/>
  <c r="F3876" i="37"/>
  <c r="G3876" i="37" s="1"/>
  <c r="F3898" i="37"/>
  <c r="G3898" i="37" s="1"/>
  <c r="F3842" i="37"/>
  <c r="G3842" i="37" s="1"/>
  <c r="G3846" i="37" s="1"/>
  <c r="G3837" i="37" s="1"/>
  <c r="F3832" i="37"/>
  <c r="G3832" i="37" s="1"/>
  <c r="G3836" i="37" s="1"/>
  <c r="G3827" i="37" s="1"/>
  <c r="F4565" i="37"/>
  <c r="G4565" i="37" s="1"/>
  <c r="G4571" i="37" s="1"/>
  <c r="G4561" i="37" s="1"/>
  <c r="F4376" i="37"/>
  <c r="G4376" i="37" s="1"/>
  <c r="G4382" i="37" s="1"/>
  <c r="G4372" i="37" s="1"/>
  <c r="F3930" i="37"/>
  <c r="G3930" i="37" s="1"/>
  <c r="F3684" i="37"/>
  <c r="G3684" i="37" s="1"/>
  <c r="F3707" i="37"/>
  <c r="G3707" i="37" s="1"/>
  <c r="F3753" i="37"/>
  <c r="G3753" i="37" s="1"/>
  <c r="G2251" i="37"/>
  <c r="F2705" i="37"/>
  <c r="G2705" i="37" s="1"/>
  <c r="F2125" i="37"/>
  <c r="G2125" i="37" s="1"/>
  <c r="F2335" i="37"/>
  <c r="G2335" i="37" s="1"/>
  <c r="F2202" i="37"/>
  <c r="G2202" i="37" s="1"/>
  <c r="F2152" i="37"/>
  <c r="G2152" i="37" s="1"/>
  <c r="F2313" i="37"/>
  <c r="G2313" i="37" s="1"/>
  <c r="F2347" i="37"/>
  <c r="G2347" i="37" s="1"/>
  <c r="G1819" i="37"/>
  <c r="F2211" i="37"/>
  <c r="G2201" i="37"/>
  <c r="G2346" i="37"/>
  <c r="F2355" i="37"/>
  <c r="G2355" i="37" s="1"/>
  <c r="F2364" i="37"/>
  <c r="G2364" i="37" s="1"/>
  <c r="G3983" i="37"/>
  <c r="G3984" i="37"/>
  <c r="G3982" i="37"/>
  <c r="G2348" i="37"/>
  <c r="F2357" i="37"/>
  <c r="G2357" i="37" s="1"/>
  <c r="G2458" i="37"/>
  <c r="F2475" i="37"/>
  <c r="G2475" i="37" s="1"/>
  <c r="F42" i="37"/>
  <c r="G42" i="37" s="1"/>
  <c r="G30" i="37" s="1"/>
  <c r="F1761" i="37"/>
  <c r="G1761" i="37" s="1"/>
  <c r="G1765" i="37" s="1"/>
  <c r="G1752" i="37" s="1"/>
  <c r="F1786" i="37"/>
  <c r="G1786" i="37" s="1"/>
  <c r="G1790" i="37" s="1"/>
  <c r="G1779" i="37" s="1"/>
  <c r="F1774" i="37"/>
  <c r="G1774" i="37" s="1"/>
  <c r="G1767" i="37" s="1"/>
  <c r="G2413" i="37"/>
  <c r="F2427" i="37"/>
  <c r="F2272" i="37"/>
  <c r="G2262" i="37"/>
  <c r="G2412" i="37"/>
  <c r="F2426" i="37"/>
  <c r="F2422" i="37" l="1"/>
  <c r="G2422" i="37" s="1"/>
  <c r="I109" i="73"/>
  <c r="F109" i="73"/>
  <c r="G109" i="73" s="1"/>
  <c r="I102" i="70"/>
  <c r="H72" i="71" s="1"/>
  <c r="F102" i="70"/>
  <c r="G102" i="70" s="1"/>
  <c r="F72" i="71" s="1"/>
  <c r="I115" i="70"/>
  <c r="H85" i="71" s="1"/>
  <c r="F115" i="70"/>
  <c r="G115" i="70" s="1"/>
  <c r="F85" i="71" s="1"/>
  <c r="I98" i="70"/>
  <c r="H68" i="71" s="1"/>
  <c r="F98" i="70"/>
  <c r="G98" i="70" s="1"/>
  <c r="F68" i="71" s="1"/>
  <c r="I94" i="70"/>
  <c r="H64" i="71" s="1"/>
  <c r="F94" i="70"/>
  <c r="G94" i="70" s="1"/>
  <c r="F64" i="71" s="1"/>
  <c r="I116" i="70"/>
  <c r="H86" i="71" s="1"/>
  <c r="F116" i="70"/>
  <c r="G116" i="70" s="1"/>
  <c r="F86" i="71" s="1"/>
  <c r="I95" i="70"/>
  <c r="H65" i="71" s="1"/>
  <c r="F95" i="70"/>
  <c r="G95" i="70" s="1"/>
  <c r="F65" i="71" s="1"/>
  <c r="I117" i="70"/>
  <c r="H87" i="71" s="1"/>
  <c r="F117" i="70"/>
  <c r="G117" i="70" s="1"/>
  <c r="F87" i="71" s="1"/>
  <c r="F31" i="72"/>
  <c r="G31" i="72" s="1"/>
  <c r="I31" i="72"/>
  <c r="I14" i="70"/>
  <c r="H18" i="71" s="1"/>
  <c r="F14" i="70"/>
  <c r="G14" i="70" s="1"/>
  <c r="F18" i="71" s="1"/>
  <c r="I33" i="70"/>
  <c r="H37" i="71" s="1"/>
  <c r="F33" i="70"/>
  <c r="G33" i="70" s="1"/>
  <c r="F37" i="71" s="1"/>
  <c r="I50" i="70"/>
  <c r="H54" i="71" s="1"/>
  <c r="F50" i="70"/>
  <c r="G50" i="70" s="1"/>
  <c r="F54" i="71" s="1"/>
  <c r="I19" i="70"/>
  <c r="H23" i="71" s="1"/>
  <c r="F19" i="70"/>
  <c r="G19" i="70" s="1"/>
  <c r="F23" i="71" s="1"/>
  <c r="I16" i="70"/>
  <c r="H20" i="71" s="1"/>
  <c r="F16" i="70"/>
  <c r="G16" i="70" s="1"/>
  <c r="F20" i="71" s="1"/>
  <c r="I41" i="70"/>
  <c r="H45" i="71" s="1"/>
  <c r="F41" i="70"/>
  <c r="G41" i="70" s="1"/>
  <c r="F45" i="71" s="1"/>
  <c r="I22" i="70"/>
  <c r="H26" i="71" s="1"/>
  <c r="F22" i="70"/>
  <c r="G22" i="70" s="1"/>
  <c r="F26" i="71" s="1"/>
  <c r="J19" i="68"/>
  <c r="G19" i="68"/>
  <c r="H19" i="68" s="1"/>
  <c r="I108" i="73"/>
  <c r="F108" i="73"/>
  <c r="G108" i="73" s="1"/>
  <c r="I110" i="73" s="1"/>
  <c r="I99" i="70"/>
  <c r="H69" i="71" s="1"/>
  <c r="F99" i="70"/>
  <c r="G99" i="70" s="1"/>
  <c r="F69" i="71" s="1"/>
  <c r="I124" i="70"/>
  <c r="H94" i="71" s="1"/>
  <c r="F124" i="70"/>
  <c r="G124" i="70" s="1"/>
  <c r="F94" i="71" s="1"/>
  <c r="I125" i="70"/>
  <c r="H95" i="71" s="1"/>
  <c r="F125" i="70"/>
  <c r="G125" i="70" s="1"/>
  <c r="F95" i="71" s="1"/>
  <c r="I108" i="70"/>
  <c r="H78" i="71" s="1"/>
  <c r="F108" i="70"/>
  <c r="G108" i="70" s="1"/>
  <c r="F78" i="71" s="1"/>
  <c r="F100" i="70"/>
  <c r="G100" i="70" s="1"/>
  <c r="F70" i="71" s="1"/>
  <c r="I100" i="70"/>
  <c r="H70" i="71" s="1"/>
  <c r="F122" i="70"/>
  <c r="G122" i="70" s="1"/>
  <c r="F92" i="71" s="1"/>
  <c r="I122" i="70"/>
  <c r="H92" i="71" s="1"/>
  <c r="I101" i="70"/>
  <c r="H71" i="71" s="1"/>
  <c r="F101" i="70"/>
  <c r="G101" i="70" s="1"/>
  <c r="F71" i="71" s="1"/>
  <c r="I123" i="70"/>
  <c r="H93" i="71" s="1"/>
  <c r="F123" i="70"/>
  <c r="G123" i="70" s="1"/>
  <c r="F93" i="71" s="1"/>
  <c r="I40" i="70"/>
  <c r="H44" i="71" s="1"/>
  <c r="F40" i="70"/>
  <c r="G40" i="70" s="1"/>
  <c r="F44" i="71" s="1"/>
  <c r="I34" i="70"/>
  <c r="H38" i="71" s="1"/>
  <c r="F34" i="70"/>
  <c r="G34" i="70" s="1"/>
  <c r="F38" i="71" s="1"/>
  <c r="I32" i="70"/>
  <c r="H36" i="71" s="1"/>
  <c r="F32" i="70"/>
  <c r="G32" i="70" s="1"/>
  <c r="F36" i="71" s="1"/>
  <c r="I15" i="70"/>
  <c r="H19" i="71" s="1"/>
  <c r="F15" i="70"/>
  <c r="G15" i="70" s="1"/>
  <c r="F19" i="71" s="1"/>
  <c r="I38" i="70"/>
  <c r="H42" i="71" s="1"/>
  <c r="F38" i="70"/>
  <c r="G38" i="70" s="1"/>
  <c r="F42" i="71" s="1"/>
  <c r="I25" i="70"/>
  <c r="H29" i="71" s="1"/>
  <c r="F25" i="70"/>
  <c r="G25" i="70" s="1"/>
  <c r="F29" i="71" s="1"/>
  <c r="I42" i="70"/>
  <c r="H46" i="71" s="1"/>
  <c r="F42" i="70"/>
  <c r="G42" i="70" s="1"/>
  <c r="F46" i="71" s="1"/>
  <c r="F156" i="65"/>
  <c r="H24" i="72"/>
  <c r="F107" i="73"/>
  <c r="G107" i="73" s="1"/>
  <c r="I107" i="73"/>
  <c r="I109" i="70"/>
  <c r="H79" i="71" s="1"/>
  <c r="F109" i="70"/>
  <c r="G109" i="70" s="1"/>
  <c r="F79" i="71" s="1"/>
  <c r="I93" i="70"/>
  <c r="H63" i="71" s="1"/>
  <c r="F93" i="70"/>
  <c r="G93" i="70" s="1"/>
  <c r="F63" i="71" s="1"/>
  <c r="I92" i="70"/>
  <c r="H62" i="71" s="1"/>
  <c r="F92" i="70"/>
  <c r="G92" i="70" s="1"/>
  <c r="F62" i="71" s="1"/>
  <c r="I118" i="70"/>
  <c r="H88" i="71" s="1"/>
  <c r="F118" i="70"/>
  <c r="G118" i="70" s="1"/>
  <c r="F88" i="71" s="1"/>
  <c r="I106" i="70"/>
  <c r="H76" i="71" s="1"/>
  <c r="F106" i="70"/>
  <c r="G106" i="70" s="1"/>
  <c r="F76" i="71" s="1"/>
  <c r="I126" i="70"/>
  <c r="H96" i="71" s="1"/>
  <c r="F126" i="70"/>
  <c r="G126" i="70" s="1"/>
  <c r="F96" i="71" s="1"/>
  <c r="F107" i="70"/>
  <c r="G107" i="70" s="1"/>
  <c r="F77" i="71" s="1"/>
  <c r="I107" i="70"/>
  <c r="H77" i="71" s="1"/>
  <c r="F127" i="70"/>
  <c r="G127" i="70" s="1"/>
  <c r="F97" i="71" s="1"/>
  <c r="I127" i="70"/>
  <c r="H97" i="71" s="1"/>
  <c r="I30" i="72"/>
  <c r="F30" i="72"/>
  <c r="G30" i="72" s="1"/>
  <c r="I24" i="70"/>
  <c r="H28" i="71" s="1"/>
  <c r="F24" i="70"/>
  <c r="G24" i="70" s="1"/>
  <c r="F28" i="71" s="1"/>
  <c r="I26" i="70"/>
  <c r="H30" i="71" s="1"/>
  <c r="F26" i="70"/>
  <c r="G26" i="70" s="1"/>
  <c r="F30" i="71" s="1"/>
  <c r="I47" i="70"/>
  <c r="H51" i="71" s="1"/>
  <c r="F47" i="70"/>
  <c r="G47" i="70" s="1"/>
  <c r="F51" i="71" s="1"/>
  <c r="I17" i="70"/>
  <c r="H21" i="71" s="1"/>
  <c r="F17" i="70"/>
  <c r="G17" i="70" s="1"/>
  <c r="F21" i="71" s="1"/>
  <c r="I31" i="70"/>
  <c r="H35" i="71" s="1"/>
  <c r="F31" i="70"/>
  <c r="G31" i="70" s="1"/>
  <c r="F35" i="71" s="1"/>
  <c r="I23" i="70"/>
  <c r="H27" i="71" s="1"/>
  <c r="F23" i="70"/>
  <c r="G23" i="70" s="1"/>
  <c r="F27" i="71" s="1"/>
  <c r="I51" i="70"/>
  <c r="H55" i="71" s="1"/>
  <c r="F51" i="70"/>
  <c r="G51" i="70" s="1"/>
  <c r="F55" i="71" s="1"/>
  <c r="I27" i="70"/>
  <c r="H31" i="71" s="1"/>
  <c r="F27" i="70"/>
  <c r="G27" i="70" s="1"/>
  <c r="F31" i="71" s="1"/>
  <c r="F28" i="72"/>
  <c r="G28" i="72" s="1"/>
  <c r="I28" i="72"/>
  <c r="I129" i="73"/>
  <c r="I130" i="73" s="1"/>
  <c r="F129" i="73"/>
  <c r="G129" i="73" s="1"/>
  <c r="G130" i="73" s="1"/>
  <c r="I119" i="70"/>
  <c r="H89" i="71" s="1"/>
  <c r="F119" i="70"/>
  <c r="G119" i="70" s="1"/>
  <c r="F89" i="71" s="1"/>
  <c r="I103" i="70"/>
  <c r="H73" i="71" s="1"/>
  <c r="F103" i="70"/>
  <c r="G103" i="70" s="1"/>
  <c r="F73" i="71" s="1"/>
  <c r="I114" i="70"/>
  <c r="H84" i="71" s="1"/>
  <c r="F114" i="70"/>
  <c r="G114" i="70" s="1"/>
  <c r="F84" i="71" s="1"/>
  <c r="I90" i="70"/>
  <c r="H60" i="71" s="1"/>
  <c r="F90" i="70"/>
  <c r="G90" i="70" s="1"/>
  <c r="F60" i="71" s="1"/>
  <c r="F110" i="70"/>
  <c r="G110" i="70" s="1"/>
  <c r="F80" i="71" s="1"/>
  <c r="I110" i="70"/>
  <c r="H80" i="71" s="1"/>
  <c r="I91" i="70"/>
  <c r="H61" i="71" s="1"/>
  <c r="F91" i="70"/>
  <c r="G91" i="70" s="1"/>
  <c r="F61" i="71" s="1"/>
  <c r="I111" i="70"/>
  <c r="H81" i="71" s="1"/>
  <c r="F111" i="70"/>
  <c r="G111" i="70" s="1"/>
  <c r="F81" i="71" s="1"/>
  <c r="I35" i="70"/>
  <c r="H39" i="71" s="1"/>
  <c r="F35" i="70"/>
  <c r="G35" i="70" s="1"/>
  <c r="F39" i="71" s="1"/>
  <c r="I48" i="70"/>
  <c r="H52" i="71" s="1"/>
  <c r="F48" i="70"/>
  <c r="G48" i="70" s="1"/>
  <c r="F52" i="71" s="1"/>
  <c r="I46" i="70"/>
  <c r="H50" i="71" s="1"/>
  <c r="F46" i="70"/>
  <c r="G46" i="70" s="1"/>
  <c r="F50" i="71" s="1"/>
  <c r="I39" i="70"/>
  <c r="H43" i="71" s="1"/>
  <c r="F39" i="70"/>
  <c r="G39" i="70" s="1"/>
  <c r="F43" i="71" s="1"/>
  <c r="I18" i="70"/>
  <c r="H22" i="71" s="1"/>
  <c r="F18" i="70"/>
  <c r="G18" i="70" s="1"/>
  <c r="F22" i="71" s="1"/>
  <c r="I43" i="70"/>
  <c r="H47" i="71" s="1"/>
  <c r="F43" i="70"/>
  <c r="G43" i="70" s="1"/>
  <c r="F47" i="71" s="1"/>
  <c r="G47" i="71" s="1"/>
  <c r="I47" i="71" s="1"/>
  <c r="I30" i="70"/>
  <c r="H34" i="71" s="1"/>
  <c r="F30" i="70"/>
  <c r="G30" i="70" s="1"/>
  <c r="F34" i="71" s="1"/>
  <c r="I49" i="70"/>
  <c r="H53" i="71" s="1"/>
  <c r="F49" i="70"/>
  <c r="G49" i="70" s="1"/>
  <c r="F53" i="71" s="1"/>
  <c r="J18" i="68"/>
  <c r="G18" i="68"/>
  <c r="H18" i="68" s="1"/>
  <c r="G105" i="71"/>
  <c r="E20" i="75" s="1"/>
  <c r="I105" i="71"/>
  <c r="F20" i="75" s="1"/>
  <c r="G3492" i="37"/>
  <c r="G20" i="67"/>
  <c r="F153" i="67"/>
  <c r="F178" i="67" s="1"/>
  <c r="A255" i="10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F1946" i="37"/>
  <c r="G1946" i="37" s="1"/>
  <c r="G1955" i="37" s="1"/>
  <c r="G1936" i="37" s="1"/>
  <c r="F2204" i="37"/>
  <c r="F2214" i="37" s="1"/>
  <c r="G2214" i="37" s="1"/>
  <c r="G2256" i="37"/>
  <c r="G157" i="65"/>
  <c r="F36" i="67"/>
  <c r="Z128" i="67" s="1"/>
  <c r="AA128" i="67" s="1"/>
  <c r="G152" i="67"/>
  <c r="G2205" i="37"/>
  <c r="F2254" i="37"/>
  <c r="G2254" i="37" s="1"/>
  <c r="F2337" i="37"/>
  <c r="G2337" i="37" s="1"/>
  <c r="G2341" i="37" s="1"/>
  <c r="G2321" i="37" s="1"/>
  <c r="F191" i="65"/>
  <c r="G191" i="65" s="1"/>
  <c r="F2751" i="37"/>
  <c r="G2751" i="37" s="1"/>
  <c r="G2742" i="37" s="1"/>
  <c r="G152" i="65"/>
  <c r="F1111" i="37"/>
  <c r="G1111" i="37" s="1"/>
  <c r="G1109" i="37" s="1"/>
  <c r="F2315" i="37"/>
  <c r="G2315" i="37" s="1"/>
  <c r="G2319" i="37" s="1"/>
  <c r="G2299" i="37" s="1"/>
  <c r="G53" i="67"/>
  <c r="F76" i="67"/>
  <c r="G76" i="67" s="1"/>
  <c r="F2128" i="37"/>
  <c r="G2128" i="37" s="1"/>
  <c r="F2127" i="37"/>
  <c r="G2127" i="37" s="1"/>
  <c r="F974" i="37"/>
  <c r="G974" i="37" s="1"/>
  <c r="G993" i="37" s="1"/>
  <c r="G971" i="37" s="1"/>
  <c r="F951" i="37"/>
  <c r="G951" i="37" s="1"/>
  <c r="G970" i="37" s="1"/>
  <c r="G163" i="67"/>
  <c r="F188" i="67"/>
  <c r="F212" i="67"/>
  <c r="G187" i="67"/>
  <c r="F69" i="67"/>
  <c r="G46" i="67"/>
  <c r="AH92" i="67"/>
  <c r="AI92" i="67" s="1"/>
  <c r="Z138" i="67"/>
  <c r="AA138" i="67" s="1"/>
  <c r="AH46" i="67"/>
  <c r="AI46" i="67" s="1"/>
  <c r="AH115" i="67"/>
  <c r="AI115" i="67" s="1"/>
  <c r="F115" i="67"/>
  <c r="G115" i="67" s="1"/>
  <c r="AH69" i="67"/>
  <c r="AI69" i="67" s="1"/>
  <c r="AH138" i="67"/>
  <c r="AI138" i="67" s="1"/>
  <c r="F138" i="67"/>
  <c r="G138" i="67" s="1"/>
  <c r="R92" i="67"/>
  <c r="S92" i="67" s="1"/>
  <c r="R46" i="67"/>
  <c r="S46" i="67" s="1"/>
  <c r="R115" i="67"/>
  <c r="S115" i="67" s="1"/>
  <c r="Z92" i="67"/>
  <c r="AA92" i="67" s="1"/>
  <c r="R69" i="67"/>
  <c r="S69" i="67" s="1"/>
  <c r="R138" i="67"/>
  <c r="S138" i="67" s="1"/>
  <c r="Z46" i="67"/>
  <c r="AA46" i="67" s="1"/>
  <c r="Z115" i="67"/>
  <c r="AA115" i="67" s="1"/>
  <c r="Z69" i="67"/>
  <c r="AA69" i="67" s="1"/>
  <c r="F235" i="67"/>
  <c r="G210" i="67"/>
  <c r="G169" i="67"/>
  <c r="F194" i="67"/>
  <c r="G68" i="67"/>
  <c r="F91" i="67"/>
  <c r="G91" i="67" s="1"/>
  <c r="F195" i="67"/>
  <c r="G170" i="67"/>
  <c r="G52" i="67"/>
  <c r="F75" i="67"/>
  <c r="G75" i="67" s="1"/>
  <c r="F90" i="69"/>
  <c r="G89" i="69"/>
  <c r="G33" i="67"/>
  <c r="F56" i="67"/>
  <c r="F125" i="67"/>
  <c r="G125" i="67" s="1"/>
  <c r="Z102" i="67"/>
  <c r="AA102" i="67" s="1"/>
  <c r="AH79" i="67"/>
  <c r="AI79" i="67" s="1"/>
  <c r="R79" i="67"/>
  <c r="S79" i="67" s="1"/>
  <c r="AH56" i="67"/>
  <c r="AI56" i="67" s="1"/>
  <c r="F102" i="67"/>
  <c r="G102" i="67" s="1"/>
  <c r="R56" i="67"/>
  <c r="S56" i="67" s="1"/>
  <c r="Z33" i="67"/>
  <c r="AA33" i="67" s="1"/>
  <c r="AH125" i="67"/>
  <c r="AI125" i="67" s="1"/>
  <c r="R125" i="67"/>
  <c r="S125" i="67" s="1"/>
  <c r="AH102" i="67"/>
  <c r="AI102" i="67" s="1"/>
  <c r="Z79" i="67"/>
  <c r="AA79" i="67" s="1"/>
  <c r="Z56" i="67"/>
  <c r="AA56" i="67" s="1"/>
  <c r="AH33" i="67"/>
  <c r="AI33" i="67" s="1"/>
  <c r="R102" i="67"/>
  <c r="S102" i="67" s="1"/>
  <c r="R33" i="67"/>
  <c r="S33" i="67" s="1"/>
  <c r="Z125" i="67"/>
  <c r="AA125" i="67" s="1"/>
  <c r="G161" i="67"/>
  <c r="F186" i="67"/>
  <c r="G58" i="67"/>
  <c r="F81" i="67"/>
  <c r="G81" i="67" s="1"/>
  <c r="G44" i="67"/>
  <c r="F67" i="67"/>
  <c r="AH136" i="67"/>
  <c r="AI136" i="67" s="1"/>
  <c r="R90" i="67"/>
  <c r="S90" i="67" s="1"/>
  <c r="F113" i="67"/>
  <c r="G113" i="67" s="1"/>
  <c r="R44" i="67"/>
  <c r="S44" i="67" s="1"/>
  <c r="R136" i="67"/>
  <c r="S136" i="67" s="1"/>
  <c r="AH113" i="67"/>
  <c r="AI113" i="67" s="1"/>
  <c r="Z67" i="67"/>
  <c r="AA67" i="67" s="1"/>
  <c r="Z90" i="67"/>
  <c r="AA90" i="67" s="1"/>
  <c r="R113" i="67"/>
  <c r="S113" i="67" s="1"/>
  <c r="Z44" i="67"/>
  <c r="AA44" i="67" s="1"/>
  <c r="Z136" i="67"/>
  <c r="AA136" i="67" s="1"/>
  <c r="AH67" i="67"/>
  <c r="AI67" i="67" s="1"/>
  <c r="F136" i="67"/>
  <c r="G136" i="67" s="1"/>
  <c r="Z113" i="67"/>
  <c r="AA113" i="67" s="1"/>
  <c r="AH90" i="67"/>
  <c r="AI90" i="67" s="1"/>
  <c r="R67" i="67"/>
  <c r="S67" i="67" s="1"/>
  <c r="AH44" i="67"/>
  <c r="AI44" i="67" s="1"/>
  <c r="G164" i="65"/>
  <c r="G150" i="67"/>
  <c r="F175" i="67"/>
  <c r="F208" i="67"/>
  <c r="G183" i="67"/>
  <c r="G177" i="67"/>
  <c r="F202" i="67"/>
  <c r="F57" i="67"/>
  <c r="G34" i="67"/>
  <c r="F103" i="67"/>
  <c r="G103" i="67" s="1"/>
  <c r="AH34" i="67"/>
  <c r="AI34" i="67" s="1"/>
  <c r="AH126" i="67"/>
  <c r="AI126" i="67" s="1"/>
  <c r="R126" i="67"/>
  <c r="S126" i="67" s="1"/>
  <c r="Z57" i="67"/>
  <c r="AA57" i="67" s="1"/>
  <c r="R34" i="67"/>
  <c r="S34" i="67" s="1"/>
  <c r="AH103" i="67"/>
  <c r="AI103" i="67" s="1"/>
  <c r="Z80" i="67"/>
  <c r="AA80" i="67" s="1"/>
  <c r="R103" i="67"/>
  <c r="S103" i="67" s="1"/>
  <c r="Z126" i="67"/>
  <c r="AA126" i="67" s="1"/>
  <c r="Z34" i="67"/>
  <c r="AA34" i="67" s="1"/>
  <c r="F126" i="67"/>
  <c r="G126" i="67" s="1"/>
  <c r="AH57" i="67"/>
  <c r="AI57" i="67" s="1"/>
  <c r="Z103" i="67"/>
  <c r="AA103" i="67" s="1"/>
  <c r="AH80" i="67"/>
  <c r="AI80" i="67" s="1"/>
  <c r="R80" i="67"/>
  <c r="S80" i="67" s="1"/>
  <c r="R57" i="67"/>
  <c r="S57" i="67" s="1"/>
  <c r="G64" i="67"/>
  <c r="F87" i="67"/>
  <c r="G87" i="67" s="1"/>
  <c r="F179" i="67"/>
  <c r="G154" i="67"/>
  <c r="G176" i="67"/>
  <c r="F201" i="67"/>
  <c r="G37" i="67"/>
  <c r="F60" i="67"/>
  <c r="F129" i="67"/>
  <c r="G129" i="67" s="1"/>
  <c r="AH83" i="67"/>
  <c r="AI83" i="67" s="1"/>
  <c r="R83" i="67"/>
  <c r="S83" i="67" s="1"/>
  <c r="AH37" i="67"/>
  <c r="AI37" i="67" s="1"/>
  <c r="Z106" i="67"/>
  <c r="AA106" i="67" s="1"/>
  <c r="R37" i="67"/>
  <c r="S37" i="67" s="1"/>
  <c r="F106" i="67"/>
  <c r="G106" i="67" s="1"/>
  <c r="Z60" i="67"/>
  <c r="AA60" i="67" s="1"/>
  <c r="AH129" i="67"/>
  <c r="AI129" i="67" s="1"/>
  <c r="R129" i="67"/>
  <c r="S129" i="67" s="1"/>
  <c r="Z83" i="67"/>
  <c r="AA83" i="67" s="1"/>
  <c r="Z37" i="67"/>
  <c r="AA37" i="67" s="1"/>
  <c r="AH106" i="67"/>
  <c r="AI106" i="67" s="1"/>
  <c r="R106" i="67"/>
  <c r="S106" i="67" s="1"/>
  <c r="AH60" i="67"/>
  <c r="AI60" i="67" s="1"/>
  <c r="Z129" i="67"/>
  <c r="AA129" i="67" s="1"/>
  <c r="R60" i="67"/>
  <c r="S60" i="67" s="1"/>
  <c r="G149" i="67"/>
  <c r="F174" i="67"/>
  <c r="F2277" i="37"/>
  <c r="F2287" i="37" s="1"/>
  <c r="F263" i="65"/>
  <c r="G238" i="65"/>
  <c r="G156" i="65"/>
  <c r="F181" i="65"/>
  <c r="F207" i="65"/>
  <c r="G182" i="65"/>
  <c r="F223" i="65"/>
  <c r="G198" i="65"/>
  <c r="F236" i="65"/>
  <c r="G211" i="65"/>
  <c r="F202" i="65"/>
  <c r="G177" i="65"/>
  <c r="F222" i="65"/>
  <c r="G197" i="65"/>
  <c r="F204" i="65"/>
  <c r="G179" i="65"/>
  <c r="F214" i="65"/>
  <c r="G189" i="65"/>
  <c r="F240" i="65"/>
  <c r="G215" i="65"/>
  <c r="G155" i="65"/>
  <c r="F180" i="65"/>
  <c r="F203" i="65"/>
  <c r="G178" i="65"/>
  <c r="F2451" i="37"/>
  <c r="G2451" i="37" s="1"/>
  <c r="F2408" i="37"/>
  <c r="G2408" i="37" s="1"/>
  <c r="F2406" i="37"/>
  <c r="G2406" i="37" s="1"/>
  <c r="F2483" i="37"/>
  <c r="G2483" i="37" s="1"/>
  <c r="F2763" i="37"/>
  <c r="G2763" i="37" s="1"/>
  <c r="G2758" i="37" s="1"/>
  <c r="F2830" i="37"/>
  <c r="G2830" i="37" s="1"/>
  <c r="G1915" i="37"/>
  <c r="G2118" i="37"/>
  <c r="G2112" i="37" s="1"/>
  <c r="G2158" i="37"/>
  <c r="G2148" i="37" s="1"/>
  <c r="G2735" i="37"/>
  <c r="G2709" i="37"/>
  <c r="J2680" i="37" s="1"/>
  <c r="F2468" i="37"/>
  <c r="F2470" i="37" s="1"/>
  <c r="G2470" i="37" s="1"/>
  <c r="G2181" i="37"/>
  <c r="G2171" i="37" s="1"/>
  <c r="G2170" i="37"/>
  <c r="G2160" i="37" s="1"/>
  <c r="F2530" i="37"/>
  <c r="F2514" i="37"/>
  <c r="F2847" i="37"/>
  <c r="G2847" i="37" s="1"/>
  <c r="G2848" i="37" s="1"/>
  <c r="G2834" i="37" s="1"/>
  <c r="G2263" i="37"/>
  <c r="G2261" i="37"/>
  <c r="G2350" i="37"/>
  <c r="G2343" i="37" s="1"/>
  <c r="F2213" i="37"/>
  <c r="G2203" i="37"/>
  <c r="G2223" i="37"/>
  <c r="F2238" i="37"/>
  <c r="G2238" i="37" s="1"/>
  <c r="G4371" i="37"/>
  <c r="G3825" i="37"/>
  <c r="G3826" i="37" s="1"/>
  <c r="G3815" i="37"/>
  <c r="G4594" i="37"/>
  <c r="G4605" i="37"/>
  <c r="F2356" i="37"/>
  <c r="G2356" i="37" s="1"/>
  <c r="G2359" i="37" s="1"/>
  <c r="G2352" i="37" s="1"/>
  <c r="F2212" i="37"/>
  <c r="G2212" i="37" s="1"/>
  <c r="F2365" i="37"/>
  <c r="G2365" i="37" s="1"/>
  <c r="G2369" i="37" s="1"/>
  <c r="G2361" i="37" s="1"/>
  <c r="F21" i="37"/>
  <c r="G21" i="37" s="1"/>
  <c r="G10" i="37" s="1"/>
  <c r="G2272" i="37"/>
  <c r="F2282" i="37"/>
  <c r="F2224" i="37"/>
  <c r="G2211" i="37"/>
  <c r="G1822" i="37"/>
  <c r="F3673" i="37"/>
  <c r="G3673" i="37" s="1"/>
  <c r="G3677" i="37" s="1"/>
  <c r="F3875" i="37"/>
  <c r="G3875" i="37" s="1"/>
  <c r="G3880" i="37" s="1"/>
  <c r="G3870" i="37" s="1"/>
  <c r="F3775" i="37"/>
  <c r="G3775" i="37" s="1"/>
  <c r="G3780" i="37" s="1"/>
  <c r="F3765" i="37"/>
  <c r="G3765" i="37" s="1"/>
  <c r="G3769" i="37" s="1"/>
  <c r="F3752" i="37"/>
  <c r="G3752" i="37" s="1"/>
  <c r="G3757" i="37" s="1"/>
  <c r="F3742" i="37"/>
  <c r="G3742" i="37" s="1"/>
  <c r="G3746" i="37" s="1"/>
  <c r="F3729" i="37"/>
  <c r="G3729" i="37" s="1"/>
  <c r="G3734" i="37" s="1"/>
  <c r="F3719" i="37"/>
  <c r="G3719" i="37" s="1"/>
  <c r="G3723" i="37" s="1"/>
  <c r="F3897" i="37"/>
  <c r="G3897" i="37" s="1"/>
  <c r="G3902" i="37" s="1"/>
  <c r="G3892" i="37" s="1"/>
  <c r="F3706" i="37"/>
  <c r="G3706" i="37" s="1"/>
  <c r="G3711" i="37" s="1"/>
  <c r="F3696" i="37"/>
  <c r="G3696" i="37" s="1"/>
  <c r="G3700" i="37" s="1"/>
  <c r="F3952" i="37"/>
  <c r="G3952" i="37" s="1"/>
  <c r="G3957" i="37" s="1"/>
  <c r="F3942" i="37"/>
  <c r="G3942" i="37" s="1"/>
  <c r="G3946" i="37" s="1"/>
  <c r="F3886" i="37"/>
  <c r="G3886" i="37" s="1"/>
  <c r="G3891" i="37" s="1"/>
  <c r="G3881" i="37" s="1"/>
  <c r="F3863" i="37"/>
  <c r="G3863" i="37" s="1"/>
  <c r="G3868" i="37" s="1"/>
  <c r="F3853" i="37"/>
  <c r="G3853" i="37" s="1"/>
  <c r="G3857" i="37" s="1"/>
  <c r="F3683" i="37"/>
  <c r="G3683" i="37" s="1"/>
  <c r="G3688" i="37" s="1"/>
  <c r="F3919" i="37"/>
  <c r="G3919" i="37" s="1"/>
  <c r="G3923" i="37" s="1"/>
  <c r="F3798" i="37"/>
  <c r="G3798" i="37" s="1"/>
  <c r="G3803" i="37" s="1"/>
  <c r="F3929" i="37"/>
  <c r="G3929" i="37" s="1"/>
  <c r="G3934" i="37" s="1"/>
  <c r="F3788" i="37"/>
  <c r="G3788" i="37" s="1"/>
  <c r="G3792" i="37" s="1"/>
  <c r="F2942" i="37"/>
  <c r="G2942" i="37" s="1"/>
  <c r="F2883" i="37"/>
  <c r="F2866" i="37"/>
  <c r="G2273" i="37"/>
  <c r="F2283" i="37"/>
  <c r="G2427" i="37"/>
  <c r="F2442" i="37"/>
  <c r="G2442" i="37" s="1"/>
  <c r="G2426" i="37"/>
  <c r="F2441" i="37"/>
  <c r="G2441" i="37" s="1"/>
  <c r="F2281" i="37"/>
  <c r="G2271" i="37"/>
  <c r="G948" i="37" l="1"/>
  <c r="J20" i="68"/>
  <c r="F23" i="75" s="1"/>
  <c r="G112" i="73"/>
  <c r="F24" i="72"/>
  <c r="G24" i="72" s="1"/>
  <c r="G49" i="72" s="1"/>
  <c r="G50" i="72" s="1"/>
  <c r="E25" i="75" s="1"/>
  <c r="I24" i="72"/>
  <c r="I49" i="72" s="1"/>
  <c r="I50" i="72" s="1"/>
  <c r="F25" i="75" s="1"/>
  <c r="I112" i="73"/>
  <c r="I131" i="73" s="1"/>
  <c r="G95" i="71"/>
  <c r="I95" i="71"/>
  <c r="I96" i="71"/>
  <c r="G96" i="71"/>
  <c r="I92" i="71"/>
  <c r="G92" i="71"/>
  <c r="G97" i="71"/>
  <c r="I97" i="71"/>
  <c r="I94" i="71"/>
  <c r="G94" i="71"/>
  <c r="G93" i="71"/>
  <c r="I93" i="71"/>
  <c r="I86" i="71"/>
  <c r="G86" i="71"/>
  <c r="I84" i="71"/>
  <c r="G84" i="71"/>
  <c r="I88" i="71"/>
  <c r="G88" i="71"/>
  <c r="G87" i="71"/>
  <c r="I87" i="71"/>
  <c r="G85" i="71"/>
  <c r="I85" i="71"/>
  <c r="G89" i="71"/>
  <c r="I89" i="71"/>
  <c r="G81" i="71"/>
  <c r="I81" i="71"/>
  <c r="I80" i="71"/>
  <c r="G80" i="71"/>
  <c r="G79" i="71"/>
  <c r="I79" i="71"/>
  <c r="I78" i="71"/>
  <c r="G78" i="71"/>
  <c r="I76" i="71"/>
  <c r="G76" i="71"/>
  <c r="G77" i="71"/>
  <c r="I77" i="71"/>
  <c r="G69" i="71"/>
  <c r="I69" i="71"/>
  <c r="G71" i="71"/>
  <c r="I71" i="71"/>
  <c r="I72" i="71"/>
  <c r="G72" i="71"/>
  <c r="I70" i="71"/>
  <c r="G70" i="71"/>
  <c r="G73" i="71"/>
  <c r="I73" i="71"/>
  <c r="I68" i="71"/>
  <c r="G68" i="71"/>
  <c r="G63" i="71"/>
  <c r="I63" i="71"/>
  <c r="I60" i="71"/>
  <c r="G60" i="71"/>
  <c r="G65" i="71"/>
  <c r="I65" i="71"/>
  <c r="I64" i="71"/>
  <c r="G64" i="71"/>
  <c r="G61" i="71"/>
  <c r="I61" i="71"/>
  <c r="I62" i="71"/>
  <c r="G62" i="71"/>
  <c r="G51" i="71"/>
  <c r="I51" i="71"/>
  <c r="G55" i="71"/>
  <c r="I55" i="71"/>
  <c r="I52" i="71"/>
  <c r="G52" i="71"/>
  <c r="I50" i="71"/>
  <c r="G50" i="71"/>
  <c r="I54" i="71"/>
  <c r="G54" i="71"/>
  <c r="G53" i="71"/>
  <c r="I53" i="71"/>
  <c r="I44" i="71"/>
  <c r="G44" i="71"/>
  <c r="I42" i="71"/>
  <c r="G42" i="71"/>
  <c r="G43" i="71"/>
  <c r="I43" i="71"/>
  <c r="G46" i="71"/>
  <c r="I46" i="71"/>
  <c r="I45" i="71"/>
  <c r="G45" i="71"/>
  <c r="G37" i="71"/>
  <c r="I37" i="71"/>
  <c r="I34" i="71"/>
  <c r="G34" i="71"/>
  <c r="I39" i="71"/>
  <c r="G39" i="71"/>
  <c r="I35" i="71"/>
  <c r="G35" i="71"/>
  <c r="G38" i="71"/>
  <c r="I38" i="71"/>
  <c r="G36" i="71"/>
  <c r="I36" i="71"/>
  <c r="G28" i="71"/>
  <c r="I28" i="71"/>
  <c r="I29" i="71"/>
  <c r="G29" i="71"/>
  <c r="G27" i="71"/>
  <c r="I27" i="71"/>
  <c r="G31" i="71"/>
  <c r="I31" i="71"/>
  <c r="G26" i="71"/>
  <c r="I26" i="71"/>
  <c r="I30" i="71"/>
  <c r="G30" i="71"/>
  <c r="G21" i="71"/>
  <c r="I21" i="71"/>
  <c r="I19" i="71"/>
  <c r="G19" i="71"/>
  <c r="I23" i="71"/>
  <c r="G23" i="71"/>
  <c r="I22" i="71"/>
  <c r="G22" i="71"/>
  <c r="I20" i="71"/>
  <c r="G20" i="71"/>
  <c r="G18" i="71"/>
  <c r="I18" i="71"/>
  <c r="H20" i="68"/>
  <c r="E23" i="75" s="1"/>
  <c r="G153" i="67"/>
  <c r="G164" i="67" s="1"/>
  <c r="G2204" i="37"/>
  <c r="G2206" i="37" s="1"/>
  <c r="G2198" i="37" s="1"/>
  <c r="G2277" i="37"/>
  <c r="AH59" i="67"/>
  <c r="AI59" i="67" s="1"/>
  <c r="AI70" i="67" s="1"/>
  <c r="F105" i="67"/>
  <c r="G105" i="67" s="1"/>
  <c r="G116" i="67" s="1"/>
  <c r="Z59" i="67"/>
  <c r="AA59" i="67" s="1"/>
  <c r="AA70" i="67" s="1"/>
  <c r="AH82" i="67"/>
  <c r="AI82" i="67" s="1"/>
  <c r="AI93" i="67" s="1"/>
  <c r="F128" i="67"/>
  <c r="G128" i="67" s="1"/>
  <c r="G139" i="67" s="1"/>
  <c r="R128" i="67"/>
  <c r="S128" i="67" s="1"/>
  <c r="S139" i="67" s="1"/>
  <c r="R59" i="67"/>
  <c r="S59" i="67" s="1"/>
  <c r="S70" i="67" s="1"/>
  <c r="AH128" i="67"/>
  <c r="AI128" i="67" s="1"/>
  <c r="AI139" i="67" s="1"/>
  <c r="F216" i="65"/>
  <c r="F241" i="65" s="1"/>
  <c r="Z36" i="67"/>
  <c r="AA36" i="67" s="1"/>
  <c r="AA47" i="67" s="1"/>
  <c r="R36" i="67"/>
  <c r="S36" i="67" s="1"/>
  <c r="S47" i="67" s="1"/>
  <c r="G36" i="67"/>
  <c r="G47" i="67" s="1"/>
  <c r="AH105" i="67"/>
  <c r="AI105" i="67" s="1"/>
  <c r="AI116" i="67" s="1"/>
  <c r="Z105" i="67"/>
  <c r="AA105" i="67" s="1"/>
  <c r="AA116" i="67" s="1"/>
  <c r="F59" i="67"/>
  <c r="F82" i="67" s="1"/>
  <c r="G82" i="67" s="1"/>
  <c r="Z82" i="67"/>
  <c r="AA82" i="67" s="1"/>
  <c r="AA93" i="67" s="1"/>
  <c r="R82" i="67"/>
  <c r="S82" i="67" s="1"/>
  <c r="S93" i="67" s="1"/>
  <c r="R105" i="67"/>
  <c r="S105" i="67" s="1"/>
  <c r="S116" i="67" s="1"/>
  <c r="AH36" i="67"/>
  <c r="AI36" i="67" s="1"/>
  <c r="AI47" i="67" s="1"/>
  <c r="G2131" i="37"/>
  <c r="G2121" i="37" s="1"/>
  <c r="F219" i="67"/>
  <c r="G194" i="67"/>
  <c r="F237" i="67"/>
  <c r="G212" i="67"/>
  <c r="G69" i="67"/>
  <c r="F92" i="67"/>
  <c r="G92" i="67" s="1"/>
  <c r="F220" i="67"/>
  <c r="G195" i="67"/>
  <c r="AA139" i="67"/>
  <c r="G235" i="67"/>
  <c r="F260" i="67"/>
  <c r="G90" i="69"/>
  <c r="F91" i="69"/>
  <c r="F213" i="67"/>
  <c r="G188" i="67"/>
  <c r="F79" i="67"/>
  <c r="G79" i="67" s="1"/>
  <c r="G56" i="67"/>
  <c r="F233" i="67"/>
  <c r="G208" i="67"/>
  <c r="F90" i="67"/>
  <c r="G90" i="67" s="1"/>
  <c r="G67" i="67"/>
  <c r="F199" i="67"/>
  <c r="G174" i="67"/>
  <c r="F204" i="67"/>
  <c r="G179" i="67"/>
  <c r="G186" i="67"/>
  <c r="F211" i="67"/>
  <c r="G178" i="67"/>
  <c r="F203" i="67"/>
  <c r="G60" i="67"/>
  <c r="F83" i="67"/>
  <c r="G83" i="67" s="1"/>
  <c r="G175" i="67"/>
  <c r="F200" i="67"/>
  <c r="G202" i="67"/>
  <c r="F227" i="67"/>
  <c r="G201" i="67"/>
  <c r="F226" i="67"/>
  <c r="F80" i="67"/>
  <c r="G80" i="67" s="1"/>
  <c r="G57" i="67"/>
  <c r="G167" i="65"/>
  <c r="F205" i="65"/>
  <c r="G180" i="65"/>
  <c r="F229" i="65"/>
  <c r="G204" i="65"/>
  <c r="F248" i="65"/>
  <c r="G223" i="65"/>
  <c r="F228" i="65"/>
  <c r="G203" i="65"/>
  <c r="F239" i="65"/>
  <c r="G214" i="65"/>
  <c r="F261" i="65"/>
  <c r="G236" i="65"/>
  <c r="R213" i="65"/>
  <c r="S213" i="65" s="1"/>
  <c r="AH188" i="65"/>
  <c r="AI188" i="65" s="1"/>
  <c r="R238" i="65"/>
  <c r="S238" i="65" s="1"/>
  <c r="AH163" i="65"/>
  <c r="AI163" i="65" s="1"/>
  <c r="AH238" i="65"/>
  <c r="AI238" i="65" s="1"/>
  <c r="Z213" i="65"/>
  <c r="AA213" i="65" s="1"/>
  <c r="R163" i="65"/>
  <c r="S163" i="65" s="1"/>
  <c r="R188" i="65"/>
  <c r="S188" i="65" s="1"/>
  <c r="R288" i="65"/>
  <c r="S288" i="65" s="1"/>
  <c r="AH213" i="65"/>
  <c r="AI213" i="65" s="1"/>
  <c r="Z163" i="65"/>
  <c r="AA163" i="65" s="1"/>
  <c r="Z188" i="65"/>
  <c r="AA188" i="65" s="1"/>
  <c r="R363" i="65"/>
  <c r="S363" i="65" s="1"/>
  <c r="Z238" i="65"/>
  <c r="AA238" i="65" s="1"/>
  <c r="Z363" i="65"/>
  <c r="AA363" i="65" s="1"/>
  <c r="R313" i="65"/>
  <c r="S313" i="65" s="1"/>
  <c r="AH363" i="65"/>
  <c r="AI363" i="65" s="1"/>
  <c r="Z263" i="65"/>
  <c r="AA263" i="65" s="1"/>
  <c r="AH413" i="65"/>
  <c r="AI413" i="65" s="1"/>
  <c r="Z388" i="65"/>
  <c r="AA388" i="65" s="1"/>
  <c r="AH288" i="65"/>
  <c r="AI288" i="65" s="1"/>
  <c r="R488" i="65"/>
  <c r="S488" i="65" s="1"/>
  <c r="AH513" i="65"/>
  <c r="AI513" i="65" s="1"/>
  <c r="Z488" i="65"/>
  <c r="AA488" i="65" s="1"/>
  <c r="AH388" i="65"/>
  <c r="AI388" i="65" s="1"/>
  <c r="G263" i="65"/>
  <c r="F438" i="65"/>
  <c r="G438" i="65" s="1"/>
  <c r="AH338" i="65"/>
  <c r="AI338" i="65" s="1"/>
  <c r="R438" i="65"/>
  <c r="S438" i="65" s="1"/>
  <c r="F288" i="65"/>
  <c r="G288" i="65" s="1"/>
  <c r="Z513" i="65"/>
  <c r="AA513" i="65" s="1"/>
  <c r="R338" i="65"/>
  <c r="S338" i="65" s="1"/>
  <c r="R463" i="65"/>
  <c r="S463" i="65" s="1"/>
  <c r="AH263" i="65"/>
  <c r="AI263" i="65" s="1"/>
  <c r="Z463" i="65"/>
  <c r="AA463" i="65" s="1"/>
  <c r="R413" i="65"/>
  <c r="S413" i="65" s="1"/>
  <c r="AH463" i="65"/>
  <c r="AI463" i="65" s="1"/>
  <c r="Z313" i="65"/>
  <c r="AA313" i="65" s="1"/>
  <c r="F488" i="65"/>
  <c r="G488" i="65" s="1"/>
  <c r="Z438" i="65"/>
  <c r="AA438" i="65" s="1"/>
  <c r="F463" i="65"/>
  <c r="G463" i="65" s="1"/>
  <c r="F513" i="65"/>
  <c r="G513" i="65" s="1"/>
  <c r="AH488" i="65"/>
  <c r="AI488" i="65" s="1"/>
  <c r="F313" i="65"/>
  <c r="G313" i="65" s="1"/>
  <c r="AH313" i="65"/>
  <c r="AI313" i="65" s="1"/>
  <c r="AH438" i="65"/>
  <c r="AI438" i="65" s="1"/>
  <c r="Z288" i="65"/>
  <c r="AA288" i="65" s="1"/>
  <c r="F388" i="65"/>
  <c r="G388" i="65" s="1"/>
  <c r="Z338" i="65"/>
  <c r="AA338" i="65" s="1"/>
  <c r="R388" i="65"/>
  <c r="S388" i="65" s="1"/>
  <c r="R513" i="65"/>
  <c r="S513" i="65" s="1"/>
  <c r="F363" i="65"/>
  <c r="G363" i="65" s="1"/>
  <c r="Z413" i="65"/>
  <c r="AA413" i="65" s="1"/>
  <c r="F413" i="65"/>
  <c r="G413" i="65" s="1"/>
  <c r="R263" i="65"/>
  <c r="S263" i="65" s="1"/>
  <c r="F338" i="65"/>
  <c r="G338" i="65" s="1"/>
  <c r="F265" i="65"/>
  <c r="G240" i="65"/>
  <c r="F206" i="65"/>
  <c r="G181" i="65"/>
  <c r="F227" i="65"/>
  <c r="G202" i="65"/>
  <c r="F247" i="65"/>
  <c r="G222" i="65"/>
  <c r="F232" i="65"/>
  <c r="G207" i="65"/>
  <c r="F2453" i="37"/>
  <c r="G2453" i="37" s="1"/>
  <c r="G2460" i="37" s="1"/>
  <c r="G2446" i="37" s="1"/>
  <c r="G2415" i="37"/>
  <c r="G2401" i="37" s="1"/>
  <c r="F2485" i="37"/>
  <c r="G2485" i="37" s="1"/>
  <c r="G2832" i="37"/>
  <c r="G2817" i="37"/>
  <c r="G2703" i="37"/>
  <c r="G2468" i="37"/>
  <c r="G2444" i="37"/>
  <c r="G2430" i="37" s="1"/>
  <c r="G2213" i="37"/>
  <c r="G2216" i="37" s="1"/>
  <c r="G2208" i="37" s="1"/>
  <c r="F2226" i="37"/>
  <c r="G2429" i="37"/>
  <c r="G2416" i="37" s="1"/>
  <c r="G2530" i="37"/>
  <c r="G2536" i="37" s="1"/>
  <c r="G2526" i="37" s="1"/>
  <c r="G2514" i="37"/>
  <c r="G2524" i="37" s="1"/>
  <c r="G2510" i="37" s="1"/>
  <c r="F2225" i="37"/>
  <c r="G2225" i="37" s="1"/>
  <c r="G3869" i="37"/>
  <c r="G3847" i="37" s="1"/>
  <c r="G3735" i="37"/>
  <c r="G3713" i="37" s="1"/>
  <c r="G3758" i="37"/>
  <c r="G3736" i="37" s="1"/>
  <c r="G3935" i="37"/>
  <c r="G3913" i="37" s="1"/>
  <c r="F2297" i="37"/>
  <c r="G2297" i="37" s="1"/>
  <c r="G2287" i="37"/>
  <c r="G1823" i="37"/>
  <c r="F2239" i="37"/>
  <c r="G2239" i="37" s="1"/>
  <c r="G2224" i="37"/>
  <c r="F2291" i="37"/>
  <c r="G2291" i="37" s="1"/>
  <c r="G2281" i="37"/>
  <c r="G3958" i="37"/>
  <c r="G3936" i="37" s="1"/>
  <c r="F2292" i="37"/>
  <c r="G2292" i="37" s="1"/>
  <c r="G2282" i="37"/>
  <c r="G3804" i="37"/>
  <c r="G3782" i="37" s="1"/>
  <c r="G3781" i="37"/>
  <c r="G3759" i="37" s="1"/>
  <c r="G2283" i="37"/>
  <c r="F2293" i="37"/>
  <c r="G2293" i="37" s="1"/>
  <c r="G3712" i="37"/>
  <c r="G3690" i="37" s="1"/>
  <c r="G3689" i="37"/>
  <c r="G3667" i="37" s="1"/>
  <c r="L129" i="73" l="1"/>
  <c r="G131" i="73"/>
  <c r="I87" i="68"/>
  <c r="I66" i="68"/>
  <c r="I45" i="68"/>
  <c r="I129" i="68"/>
  <c r="I426" i="68"/>
  <c r="I214" i="68"/>
  <c r="I193" i="68"/>
  <c r="I172" i="68"/>
  <c r="I215" i="68"/>
  <c r="I194" i="68"/>
  <c r="I236" i="68"/>
  <c r="I173" i="68"/>
  <c r="F32" i="75"/>
  <c r="F33" i="75" s="1"/>
  <c r="I132" i="73"/>
  <c r="I196" i="68"/>
  <c r="I238" i="68"/>
  <c r="I175" i="68"/>
  <c r="I217" i="68"/>
  <c r="I365" i="68"/>
  <c r="I344" i="68"/>
  <c r="I132" i="68"/>
  <c r="I111" i="68"/>
  <c r="I48" i="68"/>
  <c r="I69" i="68"/>
  <c r="I90" i="68"/>
  <c r="I92" i="68"/>
  <c r="I71" i="68"/>
  <c r="I113" i="68"/>
  <c r="I450" i="68"/>
  <c r="I556" i="68"/>
  <c r="I98" i="71"/>
  <c r="G98" i="71"/>
  <c r="I56" i="71"/>
  <c r="F18" i="75" s="1"/>
  <c r="F21" i="75" s="1"/>
  <c r="G56" i="71"/>
  <c r="G59" i="67"/>
  <c r="G70" i="67" s="1"/>
  <c r="G216" i="65"/>
  <c r="F92" i="69"/>
  <c r="G91" i="69"/>
  <c r="G220" i="67"/>
  <c r="F245" i="67"/>
  <c r="G219" i="67"/>
  <c r="F244" i="67"/>
  <c r="F238" i="67"/>
  <c r="G213" i="67"/>
  <c r="G237" i="67"/>
  <c r="F262" i="67"/>
  <c r="G93" i="67"/>
  <c r="G260" i="67"/>
  <c r="F285" i="67"/>
  <c r="Z510" i="67"/>
  <c r="AA510" i="67" s="1"/>
  <c r="AH385" i="67"/>
  <c r="AI385" i="67" s="1"/>
  <c r="F360" i="67"/>
  <c r="G360" i="67" s="1"/>
  <c r="R335" i="67"/>
  <c r="S335" i="67" s="1"/>
  <c r="Z310" i="67"/>
  <c r="AA310" i="67" s="1"/>
  <c r="Z260" i="67"/>
  <c r="AA260" i="67" s="1"/>
  <c r="R235" i="67"/>
  <c r="S235" i="67" s="1"/>
  <c r="AH160" i="67"/>
  <c r="AI160" i="67" s="1"/>
  <c r="Z160" i="67"/>
  <c r="AA160" i="67" s="1"/>
  <c r="AH460" i="67"/>
  <c r="AI460" i="67" s="1"/>
  <c r="Z435" i="67"/>
  <c r="AA435" i="67" s="1"/>
  <c r="F460" i="67"/>
  <c r="G460" i="67" s="1"/>
  <c r="F410" i="67"/>
  <c r="G410" i="67" s="1"/>
  <c r="F385" i="67"/>
  <c r="G385" i="67" s="1"/>
  <c r="Z285" i="67"/>
  <c r="AA285" i="67" s="1"/>
  <c r="AH210" i="67"/>
  <c r="AI210" i="67" s="1"/>
  <c r="Z185" i="67"/>
  <c r="AA185" i="67" s="1"/>
  <c r="Z210" i="67"/>
  <c r="AA210" i="67" s="1"/>
  <c r="Z485" i="67"/>
  <c r="AA485" i="67" s="1"/>
  <c r="AH435" i="67"/>
  <c r="AI435" i="67" s="1"/>
  <c r="R360" i="67"/>
  <c r="S360" i="67" s="1"/>
  <c r="Z335" i="67"/>
  <c r="AA335" i="67" s="1"/>
  <c r="AH310" i="67"/>
  <c r="AI310" i="67" s="1"/>
  <c r="Z235" i="67"/>
  <c r="AA235" i="67" s="1"/>
  <c r="AH510" i="67"/>
  <c r="AI510" i="67" s="1"/>
  <c r="F510" i="67"/>
  <c r="G510" i="67" s="1"/>
  <c r="R460" i="67"/>
  <c r="S460" i="67" s="1"/>
  <c r="F435" i="67"/>
  <c r="G435" i="67" s="1"/>
  <c r="R410" i="67"/>
  <c r="S410" i="67" s="1"/>
  <c r="R385" i="67"/>
  <c r="S385" i="67" s="1"/>
  <c r="AH285" i="67"/>
  <c r="AI285" i="67" s="1"/>
  <c r="AH260" i="67"/>
  <c r="AI260" i="67" s="1"/>
  <c r="Z360" i="67"/>
  <c r="AA360" i="67" s="1"/>
  <c r="AH335" i="67"/>
  <c r="AI335" i="67" s="1"/>
  <c r="AH235" i="67"/>
  <c r="AI235" i="67" s="1"/>
  <c r="AH185" i="67"/>
  <c r="AI185" i="67" s="1"/>
  <c r="R160" i="67"/>
  <c r="S160" i="67" s="1"/>
  <c r="R510" i="67"/>
  <c r="S510" i="67" s="1"/>
  <c r="AH485" i="67"/>
  <c r="AI485" i="67" s="1"/>
  <c r="F485" i="67"/>
  <c r="G485" i="67" s="1"/>
  <c r="Z460" i="67"/>
  <c r="AA460" i="67" s="1"/>
  <c r="R435" i="67"/>
  <c r="S435" i="67" s="1"/>
  <c r="Z410" i="67"/>
  <c r="AA410" i="67" s="1"/>
  <c r="Z385" i="67"/>
  <c r="AA385" i="67" s="1"/>
  <c r="R310" i="67"/>
  <c r="S310" i="67" s="1"/>
  <c r="R210" i="67"/>
  <c r="S210" i="67" s="1"/>
  <c r="R285" i="67"/>
  <c r="S285" i="67" s="1"/>
  <c r="R185" i="67"/>
  <c r="S185" i="67" s="1"/>
  <c r="AH360" i="67"/>
  <c r="AI360" i="67" s="1"/>
  <c r="F335" i="67"/>
  <c r="G335" i="67" s="1"/>
  <c r="R260" i="67"/>
  <c r="S260" i="67" s="1"/>
  <c r="R485" i="67"/>
  <c r="S485" i="67" s="1"/>
  <c r="AH410" i="67"/>
  <c r="AI410" i="67" s="1"/>
  <c r="G227" i="67"/>
  <c r="F252" i="67"/>
  <c r="G233" i="67"/>
  <c r="F258" i="67"/>
  <c r="G211" i="67"/>
  <c r="F236" i="67"/>
  <c r="F228" i="67"/>
  <c r="G203" i="67"/>
  <c r="G226" i="67"/>
  <c r="F251" i="67"/>
  <c r="F229" i="67"/>
  <c r="G204" i="67"/>
  <c r="G200" i="67"/>
  <c r="F225" i="67"/>
  <c r="G199" i="67"/>
  <c r="F224" i="67"/>
  <c r="G189" i="67"/>
  <c r="F231" i="65"/>
  <c r="G206" i="65"/>
  <c r="G192" i="65"/>
  <c r="F230" i="65"/>
  <c r="G205" i="65"/>
  <c r="F252" i="65"/>
  <c r="G227" i="65"/>
  <c r="F264" i="65"/>
  <c r="G239" i="65"/>
  <c r="F254" i="65"/>
  <c r="G229" i="65"/>
  <c r="F253" i="65"/>
  <c r="G228" i="65"/>
  <c r="R297" i="65"/>
  <c r="S297" i="65" s="1"/>
  <c r="R197" i="65"/>
  <c r="S197" i="65" s="1"/>
  <c r="Z147" i="65"/>
  <c r="AA147" i="65" s="1"/>
  <c r="Z222" i="65"/>
  <c r="AA222" i="65" s="1"/>
  <c r="R147" i="65"/>
  <c r="S147" i="65" s="1"/>
  <c r="AH297" i="65"/>
  <c r="AI297" i="65" s="1"/>
  <c r="R272" i="65"/>
  <c r="S272" i="65" s="1"/>
  <c r="Z272" i="65"/>
  <c r="AA272" i="65" s="1"/>
  <c r="AH222" i="65"/>
  <c r="AI222" i="65" s="1"/>
  <c r="Z172" i="65"/>
  <c r="AA172" i="65" s="1"/>
  <c r="R172" i="65"/>
  <c r="S172" i="65" s="1"/>
  <c r="R222" i="65"/>
  <c r="S222" i="65" s="1"/>
  <c r="Z297" i="65"/>
  <c r="AA297" i="65" s="1"/>
  <c r="F272" i="65"/>
  <c r="G272" i="65" s="1"/>
  <c r="Z197" i="65"/>
  <c r="AA197" i="65" s="1"/>
  <c r="AH147" i="65"/>
  <c r="AI147" i="65" s="1"/>
  <c r="Z497" i="65"/>
  <c r="AA497" i="65" s="1"/>
  <c r="AH197" i="65"/>
  <c r="AI197" i="65" s="1"/>
  <c r="AH272" i="65"/>
  <c r="AI272" i="65" s="1"/>
  <c r="AH172" i="65"/>
  <c r="AI172" i="65" s="1"/>
  <c r="F297" i="65"/>
  <c r="G297" i="65" s="1"/>
  <c r="R322" i="65"/>
  <c r="S322" i="65" s="1"/>
  <c r="Z372" i="65"/>
  <c r="AA372" i="65" s="1"/>
  <c r="R422" i="65"/>
  <c r="S422" i="65" s="1"/>
  <c r="AH372" i="65"/>
  <c r="AI372" i="65" s="1"/>
  <c r="AH472" i="65"/>
  <c r="AI472" i="65" s="1"/>
  <c r="F472" i="65"/>
  <c r="G472" i="65" s="1"/>
  <c r="F347" i="65"/>
  <c r="G347" i="65" s="1"/>
  <c r="F447" i="65"/>
  <c r="G447" i="65" s="1"/>
  <c r="F322" i="65"/>
  <c r="G322" i="65" s="1"/>
  <c r="F497" i="65"/>
  <c r="G497" i="65" s="1"/>
  <c r="F372" i="65"/>
  <c r="G372" i="65" s="1"/>
  <c r="AH497" i="65"/>
  <c r="AI497" i="65" s="1"/>
  <c r="R372" i="65"/>
  <c r="S372" i="65" s="1"/>
  <c r="Z422" i="65"/>
  <c r="AA422" i="65" s="1"/>
  <c r="R472" i="65"/>
  <c r="S472" i="65" s="1"/>
  <c r="F422" i="65"/>
  <c r="G422" i="65" s="1"/>
  <c r="AH447" i="65"/>
  <c r="AI447" i="65" s="1"/>
  <c r="Z322" i="65"/>
  <c r="AA322" i="65" s="1"/>
  <c r="G247" i="65"/>
  <c r="R497" i="65"/>
  <c r="S497" i="65" s="1"/>
  <c r="Z247" i="65"/>
  <c r="AA247" i="65" s="1"/>
  <c r="AH347" i="65"/>
  <c r="AI347" i="65" s="1"/>
  <c r="R247" i="65"/>
  <c r="S247" i="65" s="1"/>
  <c r="AH422" i="65"/>
  <c r="AI422" i="65" s="1"/>
  <c r="AH397" i="65"/>
  <c r="AI397" i="65" s="1"/>
  <c r="R347" i="65"/>
  <c r="S347" i="65" s="1"/>
  <c r="Z397" i="65"/>
  <c r="AA397" i="65" s="1"/>
  <c r="R447" i="65"/>
  <c r="S447" i="65" s="1"/>
  <c r="AH247" i="65"/>
  <c r="AI247" i="65" s="1"/>
  <c r="Z472" i="65"/>
  <c r="AA472" i="65" s="1"/>
  <c r="Z347" i="65"/>
  <c r="AA347" i="65" s="1"/>
  <c r="R397" i="65"/>
  <c r="S397" i="65" s="1"/>
  <c r="Z447" i="65"/>
  <c r="AA447" i="65" s="1"/>
  <c r="F397" i="65"/>
  <c r="G397" i="65" s="1"/>
  <c r="AH322" i="65"/>
  <c r="AI322" i="65" s="1"/>
  <c r="AH161" i="65"/>
  <c r="AI161" i="65" s="1"/>
  <c r="R211" i="65"/>
  <c r="S211" i="65" s="1"/>
  <c r="AH186" i="65"/>
  <c r="AI186" i="65" s="1"/>
  <c r="AH236" i="65"/>
  <c r="AI236" i="65" s="1"/>
  <c r="R236" i="65"/>
  <c r="S236" i="65" s="1"/>
  <c r="Z211" i="65"/>
  <c r="AA211" i="65" s="1"/>
  <c r="R161" i="65"/>
  <c r="S161" i="65" s="1"/>
  <c r="Z186" i="65"/>
  <c r="AA186" i="65" s="1"/>
  <c r="AH286" i="65"/>
  <c r="AI286" i="65" s="1"/>
  <c r="R186" i="65"/>
  <c r="S186" i="65" s="1"/>
  <c r="Z161" i="65"/>
  <c r="AA161" i="65" s="1"/>
  <c r="AH211" i="65"/>
  <c r="AI211" i="65" s="1"/>
  <c r="R411" i="65"/>
  <c r="S411" i="65" s="1"/>
  <c r="AH461" i="65"/>
  <c r="AI461" i="65" s="1"/>
  <c r="Z311" i="65"/>
  <c r="AA311" i="65" s="1"/>
  <c r="F411" i="65"/>
  <c r="G411" i="65" s="1"/>
  <c r="AH311" i="65"/>
  <c r="AI311" i="65" s="1"/>
  <c r="F461" i="65"/>
  <c r="G461" i="65" s="1"/>
  <c r="R461" i="65"/>
  <c r="S461" i="65" s="1"/>
  <c r="Z361" i="65"/>
  <c r="AA361" i="65" s="1"/>
  <c r="AH361" i="65"/>
  <c r="AI361" i="65" s="1"/>
  <c r="Z336" i="65"/>
  <c r="AA336" i="65" s="1"/>
  <c r="Z461" i="65"/>
  <c r="AA461" i="65" s="1"/>
  <c r="Z261" i="65"/>
  <c r="AA261" i="65" s="1"/>
  <c r="AH436" i="65"/>
  <c r="AI436" i="65" s="1"/>
  <c r="R261" i="65"/>
  <c r="S261" i="65" s="1"/>
  <c r="F386" i="65"/>
  <c r="G386" i="65" s="1"/>
  <c r="Z436" i="65"/>
  <c r="AA436" i="65" s="1"/>
  <c r="R386" i="65"/>
  <c r="S386" i="65" s="1"/>
  <c r="R311" i="65"/>
  <c r="S311" i="65" s="1"/>
  <c r="F436" i="65"/>
  <c r="G436" i="65" s="1"/>
  <c r="R436" i="65"/>
  <c r="S436" i="65" s="1"/>
  <c r="R511" i="65"/>
  <c r="S511" i="65" s="1"/>
  <c r="Z286" i="65"/>
  <c r="AA286" i="65" s="1"/>
  <c r="Z411" i="65"/>
  <c r="AA411" i="65" s="1"/>
  <c r="F511" i="65"/>
  <c r="G511" i="65" s="1"/>
  <c r="AH411" i="65"/>
  <c r="AI411" i="65" s="1"/>
  <c r="G261" i="65"/>
  <c r="AH486" i="65"/>
  <c r="AI486" i="65" s="1"/>
  <c r="R286" i="65"/>
  <c r="S286" i="65" s="1"/>
  <c r="AH336" i="65"/>
  <c r="AI336" i="65" s="1"/>
  <c r="F361" i="65"/>
  <c r="G361" i="65" s="1"/>
  <c r="F486" i="65"/>
  <c r="G486" i="65" s="1"/>
  <c r="R361" i="65"/>
  <c r="S361" i="65" s="1"/>
  <c r="R486" i="65"/>
  <c r="S486" i="65" s="1"/>
  <c r="AH261" i="65"/>
  <c r="AI261" i="65" s="1"/>
  <c r="Z386" i="65"/>
  <c r="AA386" i="65" s="1"/>
  <c r="Z511" i="65"/>
  <c r="AA511" i="65" s="1"/>
  <c r="AH386" i="65"/>
  <c r="AI386" i="65" s="1"/>
  <c r="AH511" i="65"/>
  <c r="AI511" i="65" s="1"/>
  <c r="F336" i="65"/>
  <c r="G336" i="65" s="1"/>
  <c r="R336" i="65"/>
  <c r="S336" i="65" s="1"/>
  <c r="Z236" i="65"/>
  <c r="AA236" i="65" s="1"/>
  <c r="Z486" i="65"/>
  <c r="AA486" i="65" s="1"/>
  <c r="F311" i="65"/>
  <c r="G311" i="65" s="1"/>
  <c r="F286" i="65"/>
  <c r="G286" i="65" s="1"/>
  <c r="F273" i="65"/>
  <c r="G273" i="65" s="1"/>
  <c r="R223" i="65"/>
  <c r="S223" i="65" s="1"/>
  <c r="AH148" i="65"/>
  <c r="AI148" i="65" s="1"/>
  <c r="R148" i="65"/>
  <c r="S148" i="65" s="1"/>
  <c r="Z273" i="65"/>
  <c r="AA273" i="65" s="1"/>
  <c r="Z198" i="65"/>
  <c r="AA198" i="65" s="1"/>
  <c r="R248" i="65"/>
  <c r="S248" i="65" s="1"/>
  <c r="AH198" i="65"/>
  <c r="AI198" i="65" s="1"/>
  <c r="AH173" i="65"/>
  <c r="AI173" i="65" s="1"/>
  <c r="AH223" i="65"/>
  <c r="AI223" i="65" s="1"/>
  <c r="Z223" i="65"/>
  <c r="AA223" i="65" s="1"/>
  <c r="R173" i="65"/>
  <c r="S173" i="65" s="1"/>
  <c r="R198" i="65"/>
  <c r="S198" i="65" s="1"/>
  <c r="Z173" i="65"/>
  <c r="AA173" i="65" s="1"/>
  <c r="Z148" i="65"/>
  <c r="AA148" i="65" s="1"/>
  <c r="F398" i="65"/>
  <c r="G398" i="65" s="1"/>
  <c r="R373" i="65"/>
  <c r="S373" i="65" s="1"/>
  <c r="AH398" i="65"/>
  <c r="AI398" i="65" s="1"/>
  <c r="AH423" i="65"/>
  <c r="AI423" i="65" s="1"/>
  <c r="R273" i="65"/>
  <c r="S273" i="65" s="1"/>
  <c r="Z498" i="65"/>
  <c r="AA498" i="65" s="1"/>
  <c r="G248" i="65"/>
  <c r="Z323" i="65"/>
  <c r="AA323" i="65" s="1"/>
  <c r="R423" i="65"/>
  <c r="S423" i="65" s="1"/>
  <c r="Z398" i="65"/>
  <c r="AA398" i="65" s="1"/>
  <c r="AH373" i="65"/>
  <c r="AI373" i="65" s="1"/>
  <c r="F448" i="65"/>
  <c r="G448" i="65" s="1"/>
  <c r="F473" i="65"/>
  <c r="G473" i="65" s="1"/>
  <c r="Z298" i="65"/>
  <c r="AA298" i="65" s="1"/>
  <c r="Z348" i="65"/>
  <c r="AA348" i="65" s="1"/>
  <c r="AH273" i="65"/>
  <c r="AI273" i="65" s="1"/>
  <c r="AH248" i="65"/>
  <c r="AI248" i="65" s="1"/>
  <c r="R448" i="65"/>
  <c r="S448" i="65" s="1"/>
  <c r="F423" i="65"/>
  <c r="G423" i="65" s="1"/>
  <c r="Z448" i="65"/>
  <c r="AA448" i="65" s="1"/>
  <c r="Z473" i="65"/>
  <c r="AA473" i="65" s="1"/>
  <c r="F348" i="65"/>
  <c r="G348" i="65" s="1"/>
  <c r="F323" i="65"/>
  <c r="G323" i="65" s="1"/>
  <c r="AH448" i="65"/>
  <c r="AI448" i="65" s="1"/>
  <c r="Z423" i="65"/>
  <c r="AA423" i="65" s="1"/>
  <c r="R498" i="65"/>
  <c r="S498" i="65" s="1"/>
  <c r="R298" i="65"/>
  <c r="S298" i="65" s="1"/>
  <c r="R323" i="65"/>
  <c r="S323" i="65" s="1"/>
  <c r="F298" i="65"/>
  <c r="G298" i="65" s="1"/>
  <c r="AH473" i="65"/>
  <c r="AI473" i="65" s="1"/>
  <c r="Z373" i="65"/>
  <c r="AA373" i="65" s="1"/>
  <c r="F498" i="65"/>
  <c r="G498" i="65" s="1"/>
  <c r="R473" i="65"/>
  <c r="S473" i="65" s="1"/>
  <c r="AH498" i="65"/>
  <c r="AI498" i="65" s="1"/>
  <c r="AH298" i="65"/>
  <c r="AI298" i="65" s="1"/>
  <c r="AH323" i="65"/>
  <c r="AI323" i="65" s="1"/>
  <c r="Z248" i="65"/>
  <c r="AA248" i="65" s="1"/>
  <c r="F373" i="65"/>
  <c r="G373" i="65" s="1"/>
  <c r="R348" i="65"/>
  <c r="S348" i="65" s="1"/>
  <c r="AH348" i="65"/>
  <c r="AI348" i="65" s="1"/>
  <c r="R398" i="65"/>
  <c r="S398" i="65" s="1"/>
  <c r="F257" i="65"/>
  <c r="G232" i="65"/>
  <c r="R215" i="65"/>
  <c r="S215" i="65" s="1"/>
  <c r="Z190" i="65"/>
  <c r="AA190" i="65" s="1"/>
  <c r="Z165" i="65"/>
  <c r="AA165" i="65" s="1"/>
  <c r="Z265" i="65"/>
  <c r="AA265" i="65" s="1"/>
  <c r="R240" i="65"/>
  <c r="S240" i="65" s="1"/>
  <c r="R165" i="65"/>
  <c r="S165" i="65" s="1"/>
  <c r="Z215" i="65"/>
  <c r="AA215" i="65" s="1"/>
  <c r="AH165" i="65"/>
  <c r="AI165" i="65" s="1"/>
  <c r="R315" i="65"/>
  <c r="S315" i="65" s="1"/>
  <c r="AH190" i="65"/>
  <c r="AI190" i="65" s="1"/>
  <c r="AH240" i="65"/>
  <c r="AI240" i="65" s="1"/>
  <c r="AH215" i="65"/>
  <c r="AI215" i="65" s="1"/>
  <c r="R190" i="65"/>
  <c r="S190" i="65" s="1"/>
  <c r="AH440" i="65"/>
  <c r="AI440" i="65" s="1"/>
  <c r="AH465" i="65"/>
  <c r="AI465" i="65" s="1"/>
  <c r="Z315" i="65"/>
  <c r="AA315" i="65" s="1"/>
  <c r="F515" i="65"/>
  <c r="G515" i="65" s="1"/>
  <c r="R490" i="65"/>
  <c r="S490" i="65" s="1"/>
  <c r="F340" i="65"/>
  <c r="G340" i="65" s="1"/>
  <c r="R390" i="65"/>
  <c r="S390" i="65" s="1"/>
  <c r="AH415" i="65"/>
  <c r="AI415" i="65" s="1"/>
  <c r="R515" i="65"/>
  <c r="S515" i="65" s="1"/>
  <c r="Z290" i="65"/>
  <c r="AA290" i="65" s="1"/>
  <c r="F390" i="65"/>
  <c r="G390" i="65" s="1"/>
  <c r="R365" i="65"/>
  <c r="S365" i="65" s="1"/>
  <c r="AH515" i="65"/>
  <c r="AI515" i="65" s="1"/>
  <c r="Z365" i="65"/>
  <c r="AA365" i="65" s="1"/>
  <c r="AH365" i="65"/>
  <c r="AI365" i="65" s="1"/>
  <c r="R440" i="65"/>
  <c r="S440" i="65" s="1"/>
  <c r="F365" i="65"/>
  <c r="G365" i="65" s="1"/>
  <c r="Z415" i="65"/>
  <c r="AA415" i="65" s="1"/>
  <c r="AH390" i="65"/>
  <c r="AI390" i="65" s="1"/>
  <c r="Z240" i="65"/>
  <c r="AA240" i="65" s="1"/>
  <c r="F440" i="65"/>
  <c r="G440" i="65" s="1"/>
  <c r="Z490" i="65"/>
  <c r="AA490" i="65" s="1"/>
  <c r="G265" i="65"/>
  <c r="R415" i="65"/>
  <c r="S415" i="65" s="1"/>
  <c r="Z440" i="65"/>
  <c r="AA440" i="65" s="1"/>
  <c r="AH290" i="65"/>
  <c r="AI290" i="65" s="1"/>
  <c r="Z390" i="65"/>
  <c r="AA390" i="65" s="1"/>
  <c r="F490" i="65"/>
  <c r="G490" i="65" s="1"/>
  <c r="R465" i="65"/>
  <c r="S465" i="65" s="1"/>
  <c r="R265" i="65"/>
  <c r="S265" i="65" s="1"/>
  <c r="Z465" i="65"/>
  <c r="AA465" i="65" s="1"/>
  <c r="AH315" i="65"/>
  <c r="AI315" i="65" s="1"/>
  <c r="F465" i="65"/>
  <c r="G465" i="65" s="1"/>
  <c r="Z515" i="65"/>
  <c r="AA515" i="65" s="1"/>
  <c r="AH490" i="65"/>
  <c r="AI490" i="65" s="1"/>
  <c r="F315" i="65"/>
  <c r="G315" i="65" s="1"/>
  <c r="R290" i="65"/>
  <c r="S290" i="65" s="1"/>
  <c r="R340" i="65"/>
  <c r="S340" i="65" s="1"/>
  <c r="Z340" i="65"/>
  <c r="AA340" i="65" s="1"/>
  <c r="AH340" i="65"/>
  <c r="AI340" i="65" s="1"/>
  <c r="AH265" i="65"/>
  <c r="AI265" i="65" s="1"/>
  <c r="F415" i="65"/>
  <c r="G415" i="65" s="1"/>
  <c r="F290" i="65"/>
  <c r="G290" i="65" s="1"/>
  <c r="F266" i="65"/>
  <c r="G241" i="65"/>
  <c r="F2464" i="37"/>
  <c r="G2464" i="37" s="1"/>
  <c r="G2477" i="37" s="1"/>
  <c r="G2462" i="37" s="1"/>
  <c r="F2487" i="37"/>
  <c r="G2487" i="37" s="1"/>
  <c r="G2495" i="37" s="1"/>
  <c r="G2479" i="37" s="1"/>
  <c r="F2240" i="37"/>
  <c r="G2240" i="37" s="1"/>
  <c r="F2241" i="37"/>
  <c r="G2241" i="37" s="1"/>
  <c r="F2253" i="37"/>
  <c r="G2226" i="37"/>
  <c r="G2231" i="37" s="1"/>
  <c r="G2218" i="37" s="1"/>
  <c r="G1825" i="37"/>
  <c r="G1824" i="37"/>
  <c r="E32" i="75" l="1"/>
  <c r="E33" i="75" s="1"/>
  <c r="G132" i="73"/>
  <c r="J71" i="68"/>
  <c r="G71" i="68"/>
  <c r="H71" i="68" s="1"/>
  <c r="G48" i="68"/>
  <c r="H48" i="68" s="1"/>
  <c r="J48" i="68"/>
  <c r="J365" i="68"/>
  <c r="G365" i="68"/>
  <c r="H365" i="68" s="1"/>
  <c r="J196" i="68"/>
  <c r="G196" i="68"/>
  <c r="H196" i="68" s="1"/>
  <c r="J236" i="68"/>
  <c r="G236" i="68"/>
  <c r="J193" i="68"/>
  <c r="G193" i="68"/>
  <c r="H193" i="68" s="1"/>
  <c r="G129" i="68"/>
  <c r="H129" i="68" s="1"/>
  <c r="J129" i="68"/>
  <c r="J556" i="68"/>
  <c r="G556" i="68"/>
  <c r="H556" i="68" s="1"/>
  <c r="G92" i="68"/>
  <c r="H92" i="68" s="1"/>
  <c r="J92" i="68"/>
  <c r="J111" i="68"/>
  <c r="G111" i="68"/>
  <c r="H111" i="68" s="1"/>
  <c r="G217" i="68"/>
  <c r="H217" i="68" s="1"/>
  <c r="J217" i="68"/>
  <c r="J194" i="68"/>
  <c r="G194" i="68"/>
  <c r="H194" i="68" s="1"/>
  <c r="J214" i="68"/>
  <c r="G214" i="68"/>
  <c r="I235" i="68" s="1"/>
  <c r="G45" i="68"/>
  <c r="H45" i="68" s="1"/>
  <c r="J45" i="68"/>
  <c r="I130" i="68"/>
  <c r="I88" i="68"/>
  <c r="I67" i="68"/>
  <c r="I46" i="68"/>
  <c r="J450" i="68"/>
  <c r="G450" i="68"/>
  <c r="H450" i="68" s="1"/>
  <c r="G90" i="68"/>
  <c r="H90" i="68" s="1"/>
  <c r="J90" i="68"/>
  <c r="J132" i="68"/>
  <c r="G132" i="68"/>
  <c r="H132" i="68" s="1"/>
  <c r="J175" i="68"/>
  <c r="G175" i="68"/>
  <c r="H175" i="68" s="1"/>
  <c r="G215" i="68"/>
  <c r="H215" i="68" s="1"/>
  <c r="J215" i="68"/>
  <c r="J426" i="68"/>
  <c r="G426" i="68"/>
  <c r="H426" i="68" s="1"/>
  <c r="J66" i="68"/>
  <c r="G66" i="68"/>
  <c r="H66" i="68" s="1"/>
  <c r="G113" i="68"/>
  <c r="H113" i="68" s="1"/>
  <c r="J113" i="68"/>
  <c r="G69" i="68"/>
  <c r="H69" i="68" s="1"/>
  <c r="J69" i="68"/>
  <c r="J344" i="68"/>
  <c r="G344" i="68"/>
  <c r="H344" i="68" s="1"/>
  <c r="J238" i="68"/>
  <c r="G238" i="68"/>
  <c r="J173" i="68"/>
  <c r="G173" i="68"/>
  <c r="H173" i="68" s="1"/>
  <c r="J172" i="68"/>
  <c r="G172" i="68"/>
  <c r="H172" i="68" s="1"/>
  <c r="J87" i="68"/>
  <c r="G87" i="68"/>
  <c r="H87" i="68" s="1"/>
  <c r="E18" i="75"/>
  <c r="E21" i="75" s="1"/>
  <c r="H214" i="68"/>
  <c r="G92" i="69"/>
  <c r="F93" i="69"/>
  <c r="G262" i="67"/>
  <c r="F287" i="67"/>
  <c r="F487" i="67"/>
  <c r="G487" i="67" s="1"/>
  <c r="AH462" i="67"/>
  <c r="AI462" i="67" s="1"/>
  <c r="AH387" i="67"/>
  <c r="AI387" i="67" s="1"/>
  <c r="F362" i="67"/>
  <c r="G362" i="67" s="1"/>
  <c r="Z312" i="67"/>
  <c r="AA312" i="67" s="1"/>
  <c r="Z287" i="67"/>
  <c r="AA287" i="67" s="1"/>
  <c r="AH412" i="67"/>
  <c r="AI412" i="67" s="1"/>
  <c r="AH162" i="67"/>
  <c r="AI162" i="67" s="1"/>
  <c r="Z512" i="67"/>
  <c r="AA512" i="67" s="1"/>
  <c r="F462" i="67"/>
  <c r="G462" i="67" s="1"/>
  <c r="Z437" i="67"/>
  <c r="AA437" i="67" s="1"/>
  <c r="F412" i="67"/>
  <c r="G412" i="67" s="1"/>
  <c r="R337" i="67"/>
  <c r="S337" i="67" s="1"/>
  <c r="AH262" i="67"/>
  <c r="AI262" i="67" s="1"/>
  <c r="Z237" i="67"/>
  <c r="AA237" i="67" s="1"/>
  <c r="AH212" i="67"/>
  <c r="AI212" i="67" s="1"/>
  <c r="Z187" i="67"/>
  <c r="AA187" i="67" s="1"/>
  <c r="R512" i="67"/>
  <c r="S512" i="67" s="1"/>
  <c r="R487" i="67"/>
  <c r="S487" i="67" s="1"/>
  <c r="F387" i="67"/>
  <c r="G387" i="67" s="1"/>
  <c r="R362" i="67"/>
  <c r="S362" i="67" s="1"/>
  <c r="AH312" i="67"/>
  <c r="AI312" i="67" s="1"/>
  <c r="AH287" i="67"/>
  <c r="AI287" i="67" s="1"/>
  <c r="AH512" i="67"/>
  <c r="AI512" i="67" s="1"/>
  <c r="R462" i="67"/>
  <c r="S462" i="67" s="1"/>
  <c r="AH437" i="67"/>
  <c r="AI437" i="67" s="1"/>
  <c r="R412" i="67"/>
  <c r="S412" i="67" s="1"/>
  <c r="Z337" i="67"/>
  <c r="AA337" i="67" s="1"/>
  <c r="AH237" i="67"/>
  <c r="AI237" i="67" s="1"/>
  <c r="R162" i="67"/>
  <c r="S162" i="67" s="1"/>
  <c r="AH362" i="67"/>
  <c r="AI362" i="67" s="1"/>
  <c r="AH487" i="67"/>
  <c r="AI487" i="67" s="1"/>
  <c r="Z212" i="67"/>
  <c r="AA212" i="67" s="1"/>
  <c r="Z487" i="67"/>
  <c r="AA487" i="67" s="1"/>
  <c r="F437" i="67"/>
  <c r="G437" i="67" s="1"/>
  <c r="R387" i="67"/>
  <c r="S387" i="67" s="1"/>
  <c r="Z362" i="67"/>
  <c r="AA362" i="67" s="1"/>
  <c r="R262" i="67"/>
  <c r="S262" i="67" s="1"/>
  <c r="AH187" i="67"/>
  <c r="AI187" i="67" s="1"/>
  <c r="R237" i="67"/>
  <c r="S237" i="67" s="1"/>
  <c r="F512" i="67"/>
  <c r="G512" i="67" s="1"/>
  <c r="Z462" i="67"/>
  <c r="AA462" i="67" s="1"/>
  <c r="Z412" i="67"/>
  <c r="AA412" i="67" s="1"/>
  <c r="R212" i="67"/>
  <c r="S212" i="67" s="1"/>
  <c r="Z162" i="67"/>
  <c r="AA162" i="67" s="1"/>
  <c r="R437" i="67"/>
  <c r="S437" i="67" s="1"/>
  <c r="Z387" i="67"/>
  <c r="AA387" i="67" s="1"/>
  <c r="AH337" i="67"/>
  <c r="AI337" i="67" s="1"/>
  <c r="F337" i="67"/>
  <c r="G337" i="67" s="1"/>
  <c r="R312" i="67"/>
  <c r="S312" i="67" s="1"/>
  <c r="R287" i="67"/>
  <c r="S287" i="67" s="1"/>
  <c r="Z262" i="67"/>
  <c r="AA262" i="67" s="1"/>
  <c r="R187" i="67"/>
  <c r="S187" i="67" s="1"/>
  <c r="G245" i="67"/>
  <c r="F270" i="67"/>
  <c r="Z495" i="67"/>
  <c r="AA495" i="67" s="1"/>
  <c r="Z470" i="67"/>
  <c r="AA470" i="67" s="1"/>
  <c r="AH420" i="67"/>
  <c r="AI420" i="67" s="1"/>
  <c r="F395" i="67"/>
  <c r="G395" i="67" s="1"/>
  <c r="R370" i="67"/>
  <c r="S370" i="67" s="1"/>
  <c r="R345" i="67"/>
  <c r="S345" i="67" s="1"/>
  <c r="AH295" i="67"/>
  <c r="AI295" i="67" s="1"/>
  <c r="R270" i="67"/>
  <c r="S270" i="67" s="1"/>
  <c r="R245" i="67"/>
  <c r="S245" i="67" s="1"/>
  <c r="Z195" i="67"/>
  <c r="AA195" i="67" s="1"/>
  <c r="R170" i="67"/>
  <c r="S170" i="67" s="1"/>
  <c r="AH145" i="67"/>
  <c r="AI145" i="67" s="1"/>
  <c r="AH170" i="67"/>
  <c r="AI170" i="67" s="1"/>
  <c r="F470" i="67"/>
  <c r="G470" i="67" s="1"/>
  <c r="Z445" i="67"/>
  <c r="AA445" i="67" s="1"/>
  <c r="AH395" i="67"/>
  <c r="AI395" i="67" s="1"/>
  <c r="F320" i="67"/>
  <c r="G320" i="67" s="1"/>
  <c r="R295" i="67"/>
  <c r="S295" i="67" s="1"/>
  <c r="R220" i="67"/>
  <c r="S220" i="67" s="1"/>
  <c r="F420" i="67"/>
  <c r="G420" i="67" s="1"/>
  <c r="F495" i="67"/>
  <c r="G495" i="67" s="1"/>
  <c r="R420" i="67"/>
  <c r="S420" i="67" s="1"/>
  <c r="AH320" i="67"/>
  <c r="AI320" i="67" s="1"/>
  <c r="R145" i="67"/>
  <c r="S145" i="67" s="1"/>
  <c r="AH470" i="67"/>
  <c r="AI470" i="67" s="1"/>
  <c r="F445" i="67"/>
  <c r="G445" i="67" s="1"/>
  <c r="R395" i="67"/>
  <c r="S395" i="67" s="1"/>
  <c r="Z370" i="67"/>
  <c r="AA370" i="67" s="1"/>
  <c r="Z345" i="67"/>
  <c r="AA345" i="67" s="1"/>
  <c r="Z270" i="67"/>
  <c r="AA270" i="67" s="1"/>
  <c r="Z245" i="67"/>
  <c r="AA245" i="67" s="1"/>
  <c r="AH195" i="67"/>
  <c r="AI195" i="67" s="1"/>
  <c r="Z170" i="67"/>
  <c r="AA170" i="67" s="1"/>
  <c r="AH495" i="67"/>
  <c r="AI495" i="67" s="1"/>
  <c r="R470" i="67"/>
  <c r="S470" i="67" s="1"/>
  <c r="AH445" i="67"/>
  <c r="AI445" i="67" s="1"/>
  <c r="R320" i="67"/>
  <c r="S320" i="67" s="1"/>
  <c r="Z220" i="67"/>
  <c r="AA220" i="67" s="1"/>
  <c r="Z320" i="67"/>
  <c r="AA320" i="67" s="1"/>
  <c r="R495" i="67"/>
  <c r="S495" i="67" s="1"/>
  <c r="Z420" i="67"/>
  <c r="AA420" i="67" s="1"/>
  <c r="F370" i="67"/>
  <c r="G370" i="67" s="1"/>
  <c r="F345" i="67"/>
  <c r="G345" i="67" s="1"/>
  <c r="Z295" i="67"/>
  <c r="AA295" i="67" s="1"/>
  <c r="R195" i="67"/>
  <c r="S195" i="67" s="1"/>
  <c r="Z145" i="67"/>
  <c r="AA145" i="67" s="1"/>
  <c r="R445" i="67"/>
  <c r="S445" i="67" s="1"/>
  <c r="Z395" i="67"/>
  <c r="AA395" i="67" s="1"/>
  <c r="AH370" i="67"/>
  <c r="AI370" i="67" s="1"/>
  <c r="AH345" i="67"/>
  <c r="AI345" i="67" s="1"/>
  <c r="AH270" i="67"/>
  <c r="AI270" i="67" s="1"/>
  <c r="AH245" i="67"/>
  <c r="AI245" i="67" s="1"/>
  <c r="AH220" i="67"/>
  <c r="AI220" i="67" s="1"/>
  <c r="G285" i="67"/>
  <c r="F310" i="67"/>
  <c r="G310" i="67" s="1"/>
  <c r="F269" i="67"/>
  <c r="G244" i="67"/>
  <c r="R494" i="67"/>
  <c r="S494" i="67" s="1"/>
  <c r="AH444" i="67"/>
  <c r="AI444" i="67" s="1"/>
  <c r="R319" i="67"/>
  <c r="S319" i="67" s="1"/>
  <c r="Z269" i="67"/>
  <c r="AA269" i="67" s="1"/>
  <c r="AH194" i="67"/>
  <c r="AI194" i="67" s="1"/>
  <c r="Z169" i="67"/>
  <c r="AA169" i="67" s="1"/>
  <c r="R394" i="67"/>
  <c r="S394" i="67" s="1"/>
  <c r="Z419" i="67"/>
  <c r="AA419" i="67" s="1"/>
  <c r="F369" i="67"/>
  <c r="G369" i="67" s="1"/>
  <c r="F344" i="67"/>
  <c r="G344" i="67" s="1"/>
  <c r="Z294" i="67"/>
  <c r="AA294" i="67" s="1"/>
  <c r="Z244" i="67"/>
  <c r="AA244" i="67" s="1"/>
  <c r="Z219" i="67"/>
  <c r="AA219" i="67" s="1"/>
  <c r="R194" i="67"/>
  <c r="S194" i="67" s="1"/>
  <c r="F444" i="67"/>
  <c r="G444" i="67" s="1"/>
  <c r="R144" i="67"/>
  <c r="S144" i="67" s="1"/>
  <c r="R444" i="67"/>
  <c r="S444" i="67" s="1"/>
  <c r="Z394" i="67"/>
  <c r="AA394" i="67" s="1"/>
  <c r="AH369" i="67"/>
  <c r="AI369" i="67" s="1"/>
  <c r="AH344" i="67"/>
  <c r="AI344" i="67" s="1"/>
  <c r="Z144" i="67"/>
  <c r="AA144" i="67" s="1"/>
  <c r="Z494" i="67"/>
  <c r="AA494" i="67" s="1"/>
  <c r="Z469" i="67"/>
  <c r="AA469" i="67" s="1"/>
  <c r="F419" i="67"/>
  <c r="G419" i="67" s="1"/>
  <c r="Z319" i="67"/>
  <c r="AA319" i="67" s="1"/>
  <c r="AH269" i="67"/>
  <c r="AI269" i="67" s="1"/>
  <c r="AH169" i="67"/>
  <c r="AI169" i="67" s="1"/>
  <c r="Z344" i="67"/>
  <c r="AA344" i="67" s="1"/>
  <c r="F469" i="67"/>
  <c r="G469" i="67" s="1"/>
  <c r="AH419" i="67"/>
  <c r="AI419" i="67" s="1"/>
  <c r="F394" i="67"/>
  <c r="G394" i="67" s="1"/>
  <c r="R369" i="67"/>
  <c r="S369" i="67" s="1"/>
  <c r="R344" i="67"/>
  <c r="S344" i="67" s="1"/>
  <c r="AH294" i="67"/>
  <c r="AI294" i="67" s="1"/>
  <c r="AH244" i="67"/>
  <c r="AI244" i="67" s="1"/>
  <c r="AH219" i="67"/>
  <c r="AI219" i="67" s="1"/>
  <c r="Z369" i="67"/>
  <c r="AA369" i="67" s="1"/>
  <c r="F494" i="67"/>
  <c r="G494" i="67" s="1"/>
  <c r="Z444" i="67"/>
  <c r="AA444" i="67" s="1"/>
  <c r="AH394" i="67"/>
  <c r="AI394" i="67" s="1"/>
  <c r="F319" i="67"/>
  <c r="G319" i="67" s="1"/>
  <c r="R269" i="67"/>
  <c r="S269" i="67" s="1"/>
  <c r="Z194" i="67"/>
  <c r="AA194" i="67" s="1"/>
  <c r="R169" i="67"/>
  <c r="S169" i="67" s="1"/>
  <c r="AH144" i="67"/>
  <c r="AI144" i="67" s="1"/>
  <c r="AH494" i="67"/>
  <c r="AI494" i="67" s="1"/>
  <c r="AH469" i="67"/>
  <c r="AI469" i="67" s="1"/>
  <c r="R419" i="67"/>
  <c r="S419" i="67" s="1"/>
  <c r="AH319" i="67"/>
  <c r="AI319" i="67" s="1"/>
  <c r="R294" i="67"/>
  <c r="S294" i="67" s="1"/>
  <c r="R244" i="67"/>
  <c r="S244" i="67" s="1"/>
  <c r="R219" i="67"/>
  <c r="S219" i="67" s="1"/>
  <c r="R469" i="67"/>
  <c r="S469" i="67" s="1"/>
  <c r="F263" i="67"/>
  <c r="G238" i="67"/>
  <c r="F250" i="67"/>
  <c r="G225" i="67"/>
  <c r="G258" i="67"/>
  <c r="F283" i="67"/>
  <c r="R508" i="67"/>
  <c r="S508" i="67" s="1"/>
  <c r="Z483" i="67"/>
  <c r="AA483" i="67" s="1"/>
  <c r="Z458" i="67"/>
  <c r="AA458" i="67" s="1"/>
  <c r="R408" i="67"/>
  <c r="S408" i="67" s="1"/>
  <c r="Z283" i="67"/>
  <c r="AA283" i="67" s="1"/>
  <c r="R233" i="67"/>
  <c r="S233" i="67" s="1"/>
  <c r="AH433" i="67"/>
  <c r="AI433" i="67" s="1"/>
  <c r="AH383" i="67"/>
  <c r="AI383" i="67" s="1"/>
  <c r="R358" i="67"/>
  <c r="S358" i="67" s="1"/>
  <c r="AH333" i="67"/>
  <c r="AI333" i="67" s="1"/>
  <c r="F333" i="67"/>
  <c r="G333" i="67" s="1"/>
  <c r="Z308" i="67"/>
  <c r="AA308" i="67" s="1"/>
  <c r="R208" i="67"/>
  <c r="S208" i="67" s="1"/>
  <c r="AH158" i="67"/>
  <c r="AI158" i="67" s="1"/>
  <c r="Z408" i="67"/>
  <c r="AA408" i="67" s="1"/>
  <c r="R258" i="67"/>
  <c r="S258" i="67" s="1"/>
  <c r="Z233" i="67"/>
  <c r="AA233" i="67" s="1"/>
  <c r="R183" i="67"/>
  <c r="S183" i="67" s="1"/>
  <c r="Z508" i="67"/>
  <c r="AA508" i="67" s="1"/>
  <c r="AH483" i="67"/>
  <c r="AI483" i="67" s="1"/>
  <c r="AH458" i="67"/>
  <c r="AI458" i="67" s="1"/>
  <c r="F433" i="67"/>
  <c r="G433" i="67" s="1"/>
  <c r="F383" i="67"/>
  <c r="G383" i="67" s="1"/>
  <c r="Z358" i="67"/>
  <c r="AA358" i="67" s="1"/>
  <c r="AH308" i="67"/>
  <c r="AI308" i="67" s="1"/>
  <c r="AH283" i="67"/>
  <c r="AI283" i="67" s="1"/>
  <c r="Z208" i="67"/>
  <c r="AA208" i="67" s="1"/>
  <c r="F483" i="67"/>
  <c r="G483" i="67" s="1"/>
  <c r="F458" i="67"/>
  <c r="G458" i="67" s="1"/>
  <c r="R333" i="67"/>
  <c r="S333" i="67" s="1"/>
  <c r="Z258" i="67"/>
  <c r="AA258" i="67" s="1"/>
  <c r="Z183" i="67"/>
  <c r="AA183" i="67" s="1"/>
  <c r="AH508" i="67"/>
  <c r="AI508" i="67" s="1"/>
  <c r="R433" i="67"/>
  <c r="S433" i="67" s="1"/>
  <c r="AH408" i="67"/>
  <c r="AI408" i="67" s="1"/>
  <c r="R383" i="67"/>
  <c r="S383" i="67" s="1"/>
  <c r="AH358" i="67"/>
  <c r="AI358" i="67" s="1"/>
  <c r="AH233" i="67"/>
  <c r="AI233" i="67" s="1"/>
  <c r="AH208" i="67"/>
  <c r="AI208" i="67" s="1"/>
  <c r="R158" i="67"/>
  <c r="S158" i="67" s="1"/>
  <c r="F508" i="67"/>
  <c r="G508" i="67" s="1"/>
  <c r="R483" i="67"/>
  <c r="S483" i="67" s="1"/>
  <c r="R458" i="67"/>
  <c r="S458" i="67" s="1"/>
  <c r="F408" i="67"/>
  <c r="G408" i="67" s="1"/>
  <c r="Z333" i="67"/>
  <c r="AA333" i="67" s="1"/>
  <c r="R308" i="67"/>
  <c r="S308" i="67" s="1"/>
  <c r="R283" i="67"/>
  <c r="S283" i="67" s="1"/>
  <c r="Z433" i="67"/>
  <c r="AA433" i="67" s="1"/>
  <c r="Z383" i="67"/>
  <c r="AA383" i="67" s="1"/>
  <c r="F358" i="67"/>
  <c r="G358" i="67" s="1"/>
  <c r="AH258" i="67"/>
  <c r="AI258" i="67" s="1"/>
  <c r="AH183" i="67"/>
  <c r="AI183" i="67" s="1"/>
  <c r="Z158" i="67"/>
  <c r="AA158" i="67" s="1"/>
  <c r="F277" i="67"/>
  <c r="G252" i="67"/>
  <c r="F477" i="67"/>
  <c r="G477" i="67" s="1"/>
  <c r="AH427" i="67"/>
  <c r="AI427" i="67" s="1"/>
  <c r="R427" i="67"/>
  <c r="S427" i="67" s="1"/>
  <c r="Z402" i="67"/>
  <c r="AA402" i="67" s="1"/>
  <c r="F402" i="67"/>
  <c r="G402" i="67" s="1"/>
  <c r="Z352" i="67"/>
  <c r="AA352" i="67" s="1"/>
  <c r="AH202" i="67"/>
  <c r="AI202" i="67" s="1"/>
  <c r="AH177" i="67"/>
  <c r="AI177" i="67" s="1"/>
  <c r="Z152" i="67"/>
  <c r="AA152" i="67" s="1"/>
  <c r="F352" i="67"/>
  <c r="G352" i="67" s="1"/>
  <c r="Z327" i="67"/>
  <c r="AA327" i="67" s="1"/>
  <c r="F327" i="67"/>
  <c r="G327" i="67" s="1"/>
  <c r="Z302" i="67"/>
  <c r="AA302" i="67" s="1"/>
  <c r="Z277" i="67"/>
  <c r="AA277" i="67" s="1"/>
  <c r="Z252" i="67"/>
  <c r="AA252" i="67" s="1"/>
  <c r="R202" i="67"/>
  <c r="S202" i="67" s="1"/>
  <c r="R177" i="67"/>
  <c r="S177" i="67" s="1"/>
  <c r="R502" i="67"/>
  <c r="S502" i="67" s="1"/>
  <c r="Z377" i="67"/>
  <c r="AA377" i="67" s="1"/>
  <c r="Z227" i="67"/>
  <c r="AA227" i="67" s="1"/>
  <c r="AH502" i="67"/>
  <c r="AI502" i="67" s="1"/>
  <c r="AH477" i="67"/>
  <c r="AI477" i="67" s="1"/>
  <c r="R477" i="67"/>
  <c r="S477" i="67" s="1"/>
  <c r="Z452" i="67"/>
  <c r="AA452" i="67" s="1"/>
  <c r="F452" i="67"/>
  <c r="G452" i="67" s="1"/>
  <c r="F377" i="67"/>
  <c r="G377" i="67" s="1"/>
  <c r="AH152" i="67"/>
  <c r="AI152" i="67" s="1"/>
  <c r="Z427" i="67"/>
  <c r="AA427" i="67" s="1"/>
  <c r="F427" i="67"/>
  <c r="G427" i="67" s="1"/>
  <c r="AH402" i="67"/>
  <c r="AI402" i="67" s="1"/>
  <c r="R402" i="67"/>
  <c r="S402" i="67" s="1"/>
  <c r="AH352" i="67"/>
  <c r="AI352" i="67" s="1"/>
  <c r="AH302" i="67"/>
  <c r="AI302" i="67" s="1"/>
  <c r="Z177" i="67"/>
  <c r="AA177" i="67" s="1"/>
  <c r="R152" i="67"/>
  <c r="S152" i="67" s="1"/>
  <c r="R352" i="67"/>
  <c r="S352" i="67" s="1"/>
  <c r="AH327" i="67"/>
  <c r="AI327" i="67" s="1"/>
  <c r="R327" i="67"/>
  <c r="S327" i="67" s="1"/>
  <c r="R302" i="67"/>
  <c r="S302" i="67" s="1"/>
  <c r="AH277" i="67"/>
  <c r="AI277" i="67" s="1"/>
  <c r="AH252" i="67"/>
  <c r="AI252" i="67" s="1"/>
  <c r="Z202" i="67"/>
  <c r="AA202" i="67" s="1"/>
  <c r="Z502" i="67"/>
  <c r="AA502" i="67" s="1"/>
  <c r="AH452" i="67"/>
  <c r="AI452" i="67" s="1"/>
  <c r="AH377" i="67"/>
  <c r="AI377" i="67" s="1"/>
  <c r="R277" i="67"/>
  <c r="S277" i="67" s="1"/>
  <c r="R252" i="67"/>
  <c r="S252" i="67" s="1"/>
  <c r="AH227" i="67"/>
  <c r="AI227" i="67" s="1"/>
  <c r="F502" i="67"/>
  <c r="G502" i="67" s="1"/>
  <c r="Z477" i="67"/>
  <c r="AA477" i="67" s="1"/>
  <c r="R452" i="67"/>
  <c r="S452" i="67" s="1"/>
  <c r="R377" i="67"/>
  <c r="S377" i="67" s="1"/>
  <c r="R227" i="67"/>
  <c r="S227" i="67" s="1"/>
  <c r="G214" i="67"/>
  <c r="G224" i="67"/>
  <c r="F249" i="67"/>
  <c r="G251" i="67"/>
  <c r="F276" i="67"/>
  <c r="AH451" i="67"/>
  <c r="AI451" i="67" s="1"/>
  <c r="AH376" i="67"/>
  <c r="AI376" i="67" s="1"/>
  <c r="AH251" i="67"/>
  <c r="AI251" i="67" s="1"/>
  <c r="Z176" i="67"/>
  <c r="AA176" i="67" s="1"/>
  <c r="Z476" i="67"/>
  <c r="AA476" i="67" s="1"/>
  <c r="AH426" i="67"/>
  <c r="AI426" i="67" s="1"/>
  <c r="R426" i="67"/>
  <c r="S426" i="67" s="1"/>
  <c r="Z401" i="67"/>
  <c r="AA401" i="67" s="1"/>
  <c r="F401" i="67"/>
  <c r="G401" i="67" s="1"/>
  <c r="R376" i="67"/>
  <c r="S376" i="67" s="1"/>
  <c r="AH226" i="67"/>
  <c r="AI226" i="67" s="1"/>
  <c r="R226" i="67"/>
  <c r="S226" i="67" s="1"/>
  <c r="R501" i="67"/>
  <c r="S501" i="67" s="1"/>
  <c r="F476" i="67"/>
  <c r="G476" i="67" s="1"/>
  <c r="Z326" i="67"/>
  <c r="AA326" i="67" s="1"/>
  <c r="F326" i="67"/>
  <c r="G326" i="67" s="1"/>
  <c r="Z301" i="67"/>
  <c r="AA301" i="67" s="1"/>
  <c r="Z276" i="67"/>
  <c r="AA276" i="67" s="1"/>
  <c r="R201" i="67"/>
  <c r="S201" i="67" s="1"/>
  <c r="Z151" i="67"/>
  <c r="AA151" i="67" s="1"/>
  <c r="AH501" i="67"/>
  <c r="AI501" i="67" s="1"/>
  <c r="Z351" i="67"/>
  <c r="AA351" i="67" s="1"/>
  <c r="F351" i="67"/>
  <c r="G351" i="67" s="1"/>
  <c r="Z251" i="67"/>
  <c r="AA251" i="67" s="1"/>
  <c r="AH201" i="67"/>
  <c r="AI201" i="67" s="1"/>
  <c r="AH176" i="67"/>
  <c r="AI176" i="67" s="1"/>
  <c r="Z451" i="67"/>
  <c r="AA451" i="67" s="1"/>
  <c r="F451" i="67"/>
  <c r="G451" i="67" s="1"/>
  <c r="R176" i="67"/>
  <c r="S176" i="67" s="1"/>
  <c r="AH476" i="67"/>
  <c r="AI476" i="67" s="1"/>
  <c r="R476" i="67"/>
  <c r="S476" i="67" s="1"/>
  <c r="Z426" i="67"/>
  <c r="AA426" i="67" s="1"/>
  <c r="F426" i="67"/>
  <c r="G426" i="67" s="1"/>
  <c r="AH401" i="67"/>
  <c r="AI401" i="67" s="1"/>
  <c r="R401" i="67"/>
  <c r="S401" i="67" s="1"/>
  <c r="Z376" i="67"/>
  <c r="AA376" i="67" s="1"/>
  <c r="F376" i="67"/>
  <c r="G376" i="67" s="1"/>
  <c r="R301" i="67"/>
  <c r="S301" i="67" s="1"/>
  <c r="Z226" i="67"/>
  <c r="AA226" i="67" s="1"/>
  <c r="R151" i="67"/>
  <c r="S151" i="67" s="1"/>
  <c r="F501" i="67"/>
  <c r="G501" i="67" s="1"/>
  <c r="AH351" i="67"/>
  <c r="AI351" i="67" s="1"/>
  <c r="AH326" i="67"/>
  <c r="AI326" i="67" s="1"/>
  <c r="R326" i="67"/>
  <c r="S326" i="67" s="1"/>
  <c r="R276" i="67"/>
  <c r="S276" i="67" s="1"/>
  <c r="R251" i="67"/>
  <c r="S251" i="67" s="1"/>
  <c r="AH151" i="67"/>
  <c r="AI151" i="67" s="1"/>
  <c r="Z501" i="67"/>
  <c r="AA501" i="67" s="1"/>
  <c r="R451" i="67"/>
  <c r="S451" i="67" s="1"/>
  <c r="R351" i="67"/>
  <c r="S351" i="67" s="1"/>
  <c r="AH301" i="67"/>
  <c r="AI301" i="67" s="1"/>
  <c r="AH276" i="67"/>
  <c r="AI276" i="67" s="1"/>
  <c r="Z201" i="67"/>
  <c r="AA201" i="67" s="1"/>
  <c r="G236" i="67"/>
  <c r="F261" i="67"/>
  <c r="G229" i="67"/>
  <c r="F254" i="67"/>
  <c r="G228" i="67"/>
  <c r="F253" i="67"/>
  <c r="AH229" i="65"/>
  <c r="AI229" i="65" s="1"/>
  <c r="R179" i="65"/>
  <c r="S179" i="65" s="1"/>
  <c r="Z154" i="65"/>
  <c r="AA154" i="65" s="1"/>
  <c r="Z179" i="65"/>
  <c r="AA179" i="65" s="1"/>
  <c r="Z204" i="65"/>
  <c r="AA204" i="65" s="1"/>
  <c r="AH179" i="65"/>
  <c r="AI179" i="65" s="1"/>
  <c r="AH154" i="65"/>
  <c r="AI154" i="65" s="1"/>
  <c r="AH204" i="65"/>
  <c r="AI204" i="65" s="1"/>
  <c r="R154" i="65"/>
  <c r="S154" i="65" s="1"/>
  <c r="Z229" i="65"/>
  <c r="AA229" i="65" s="1"/>
  <c r="R204" i="65"/>
  <c r="S204" i="65" s="1"/>
  <c r="Z379" i="65"/>
  <c r="AA379" i="65" s="1"/>
  <c r="R479" i="65"/>
  <c r="S479" i="65" s="1"/>
  <c r="F454" i="65"/>
  <c r="G454" i="65" s="1"/>
  <c r="R304" i="65"/>
  <c r="S304" i="65" s="1"/>
  <c r="R329" i="65"/>
  <c r="S329" i="65" s="1"/>
  <c r="R379" i="65"/>
  <c r="S379" i="65" s="1"/>
  <c r="R504" i="65"/>
  <c r="S504" i="65" s="1"/>
  <c r="AH404" i="65"/>
  <c r="AI404" i="65" s="1"/>
  <c r="Z504" i="65"/>
  <c r="AA504" i="65" s="1"/>
  <c r="R254" i="65"/>
  <c r="S254" i="65" s="1"/>
  <c r="Z329" i="65"/>
  <c r="AA329" i="65" s="1"/>
  <c r="Z354" i="65"/>
  <c r="AA354" i="65" s="1"/>
  <c r="AH304" i="65"/>
  <c r="AI304" i="65" s="1"/>
  <c r="AH254" i="65"/>
  <c r="AI254" i="65" s="1"/>
  <c r="F279" i="65"/>
  <c r="G279" i="65" s="1"/>
  <c r="R454" i="65"/>
  <c r="S454" i="65" s="1"/>
  <c r="F329" i="65"/>
  <c r="G329" i="65" s="1"/>
  <c r="R279" i="65"/>
  <c r="S279" i="65" s="1"/>
  <c r="AH354" i="65"/>
  <c r="AI354" i="65" s="1"/>
  <c r="AH379" i="65"/>
  <c r="AI379" i="65" s="1"/>
  <c r="F404" i="65"/>
  <c r="G404" i="65" s="1"/>
  <c r="AH479" i="65"/>
  <c r="AI479" i="65" s="1"/>
  <c r="F504" i="65"/>
  <c r="G504" i="65" s="1"/>
  <c r="F379" i="65"/>
  <c r="G379" i="65" s="1"/>
  <c r="F354" i="65"/>
  <c r="G354" i="65" s="1"/>
  <c r="AH279" i="65"/>
  <c r="AI279" i="65" s="1"/>
  <c r="F304" i="65"/>
  <c r="G304" i="65" s="1"/>
  <c r="Z479" i="65"/>
  <c r="AA479" i="65" s="1"/>
  <c r="F429" i="65"/>
  <c r="G429" i="65" s="1"/>
  <c r="Z304" i="65"/>
  <c r="AA304" i="65" s="1"/>
  <c r="R404" i="65"/>
  <c r="S404" i="65" s="1"/>
  <c r="R429" i="65"/>
  <c r="S429" i="65" s="1"/>
  <c r="AH454" i="65"/>
  <c r="AI454" i="65" s="1"/>
  <c r="Z404" i="65"/>
  <c r="AA404" i="65" s="1"/>
  <c r="AH429" i="65"/>
  <c r="AI429" i="65" s="1"/>
  <c r="AH504" i="65"/>
  <c r="AI504" i="65" s="1"/>
  <c r="Z254" i="65"/>
  <c r="AA254" i="65" s="1"/>
  <c r="AH329" i="65"/>
  <c r="AI329" i="65" s="1"/>
  <c r="Z429" i="65"/>
  <c r="AA429" i="65" s="1"/>
  <c r="Z454" i="65"/>
  <c r="AA454" i="65" s="1"/>
  <c r="R229" i="65"/>
  <c r="S229" i="65" s="1"/>
  <c r="Z279" i="65"/>
  <c r="AA279" i="65" s="1"/>
  <c r="G254" i="65"/>
  <c r="R354" i="65"/>
  <c r="S354" i="65" s="1"/>
  <c r="F479" i="65"/>
  <c r="G479" i="65" s="1"/>
  <c r="F256" i="65"/>
  <c r="G231" i="65"/>
  <c r="F303" i="65"/>
  <c r="G303" i="65" s="1"/>
  <c r="F278" i="65"/>
  <c r="G278" i="65" s="1"/>
  <c r="R203" i="65"/>
  <c r="S203" i="65" s="1"/>
  <c r="R153" i="65"/>
  <c r="S153" i="65" s="1"/>
  <c r="F453" i="65"/>
  <c r="G453" i="65" s="1"/>
  <c r="Z228" i="65"/>
  <c r="AA228" i="65" s="1"/>
  <c r="AH153" i="65"/>
  <c r="AI153" i="65" s="1"/>
  <c r="AH253" i="65"/>
  <c r="AI253" i="65" s="1"/>
  <c r="AH178" i="65"/>
  <c r="AI178" i="65" s="1"/>
  <c r="R178" i="65"/>
  <c r="S178" i="65" s="1"/>
  <c r="Z153" i="65"/>
  <c r="AA153" i="65" s="1"/>
  <c r="R253" i="65"/>
  <c r="S253" i="65" s="1"/>
  <c r="AH228" i="65"/>
  <c r="AI228" i="65" s="1"/>
  <c r="Z203" i="65"/>
  <c r="AA203" i="65" s="1"/>
  <c r="Z328" i="65"/>
  <c r="AA328" i="65" s="1"/>
  <c r="AH203" i="65"/>
  <c r="AI203" i="65" s="1"/>
  <c r="Z178" i="65"/>
  <c r="AA178" i="65" s="1"/>
  <c r="R228" i="65"/>
  <c r="S228" i="65" s="1"/>
  <c r="Z278" i="65"/>
  <c r="AA278" i="65" s="1"/>
  <c r="G253" i="65"/>
  <c r="F403" i="65"/>
  <c r="G403" i="65" s="1"/>
  <c r="R328" i="65"/>
  <c r="S328" i="65" s="1"/>
  <c r="R303" i="65"/>
  <c r="S303" i="65" s="1"/>
  <c r="R503" i="65"/>
  <c r="S503" i="65" s="1"/>
  <c r="R353" i="65"/>
  <c r="S353" i="65" s="1"/>
  <c r="AH453" i="65"/>
  <c r="AI453" i="65" s="1"/>
  <c r="AH428" i="65"/>
  <c r="AI428" i="65" s="1"/>
  <c r="AH503" i="65"/>
  <c r="AI503" i="65" s="1"/>
  <c r="AH278" i="65"/>
  <c r="AI278" i="65" s="1"/>
  <c r="AH478" i="65"/>
  <c r="AI478" i="65" s="1"/>
  <c r="R403" i="65"/>
  <c r="S403" i="65" s="1"/>
  <c r="AH303" i="65"/>
  <c r="AI303" i="65" s="1"/>
  <c r="Z253" i="65"/>
  <c r="AA253" i="65" s="1"/>
  <c r="F503" i="65"/>
  <c r="G503" i="65" s="1"/>
  <c r="F378" i="65"/>
  <c r="G378" i="65" s="1"/>
  <c r="F478" i="65"/>
  <c r="G478" i="65" s="1"/>
  <c r="Z428" i="65"/>
  <c r="AA428" i="65" s="1"/>
  <c r="R278" i="65"/>
  <c r="S278" i="65" s="1"/>
  <c r="Z303" i="65"/>
  <c r="AA303" i="65" s="1"/>
  <c r="Z403" i="65"/>
  <c r="AA403" i="65" s="1"/>
  <c r="Z503" i="65"/>
  <c r="AA503" i="65" s="1"/>
  <c r="AH403" i="65"/>
  <c r="AI403" i="65" s="1"/>
  <c r="R428" i="65"/>
  <c r="S428" i="65" s="1"/>
  <c r="F353" i="65"/>
  <c r="G353" i="65" s="1"/>
  <c r="R478" i="65"/>
  <c r="S478" i="65" s="1"/>
  <c r="F328" i="65"/>
  <c r="G328" i="65" s="1"/>
  <c r="F428" i="65"/>
  <c r="G428" i="65" s="1"/>
  <c r="AH328" i="65"/>
  <c r="AI328" i="65" s="1"/>
  <c r="R453" i="65"/>
  <c r="S453" i="65" s="1"/>
  <c r="Z353" i="65"/>
  <c r="AA353" i="65" s="1"/>
  <c r="Z453" i="65"/>
  <c r="AA453" i="65" s="1"/>
  <c r="AH353" i="65"/>
  <c r="AI353" i="65" s="1"/>
  <c r="AH378" i="65"/>
  <c r="AI378" i="65" s="1"/>
  <c r="Z478" i="65"/>
  <c r="AA478" i="65" s="1"/>
  <c r="R378" i="65"/>
  <c r="S378" i="65" s="1"/>
  <c r="Z378" i="65"/>
  <c r="AA378" i="65" s="1"/>
  <c r="F255" i="65"/>
  <c r="G230" i="65"/>
  <c r="G217" i="65"/>
  <c r="R207" i="65"/>
  <c r="S207" i="65" s="1"/>
  <c r="Z182" i="65"/>
  <c r="AA182" i="65" s="1"/>
  <c r="R257" i="65"/>
  <c r="S257" i="65" s="1"/>
  <c r="AH232" i="65"/>
  <c r="AI232" i="65" s="1"/>
  <c r="Z157" i="65"/>
  <c r="AA157" i="65" s="1"/>
  <c r="AH207" i="65"/>
  <c r="AI207" i="65" s="1"/>
  <c r="R232" i="65"/>
  <c r="S232" i="65" s="1"/>
  <c r="AH182" i="65"/>
  <c r="AI182" i="65" s="1"/>
  <c r="F332" i="65"/>
  <c r="G332" i="65" s="1"/>
  <c r="Z332" i="65"/>
  <c r="AA332" i="65" s="1"/>
  <c r="Z282" i="65"/>
  <c r="AA282" i="65" s="1"/>
  <c r="Z207" i="65"/>
  <c r="AA207" i="65" s="1"/>
  <c r="R182" i="65"/>
  <c r="S182" i="65" s="1"/>
  <c r="AH157" i="65"/>
  <c r="AI157" i="65" s="1"/>
  <c r="F282" i="65"/>
  <c r="G282" i="65" s="1"/>
  <c r="Z307" i="65"/>
  <c r="AA307" i="65" s="1"/>
  <c r="AH257" i="65"/>
  <c r="AI257" i="65" s="1"/>
  <c r="Z232" i="65"/>
  <c r="AA232" i="65" s="1"/>
  <c r="R157" i="65"/>
  <c r="S157" i="65" s="1"/>
  <c r="Z507" i="65"/>
  <c r="AA507" i="65" s="1"/>
  <c r="G257" i="65"/>
  <c r="F507" i="65"/>
  <c r="G507" i="65" s="1"/>
  <c r="AH307" i="65"/>
  <c r="AI307" i="65" s="1"/>
  <c r="R332" i="65"/>
  <c r="S332" i="65" s="1"/>
  <c r="Z357" i="65"/>
  <c r="AA357" i="65" s="1"/>
  <c r="Z457" i="65"/>
  <c r="AA457" i="65" s="1"/>
  <c r="R307" i="65"/>
  <c r="S307" i="65" s="1"/>
  <c r="AH357" i="65"/>
  <c r="AI357" i="65" s="1"/>
  <c r="F357" i="65"/>
  <c r="G357" i="65" s="1"/>
  <c r="AH407" i="65"/>
  <c r="AI407" i="65" s="1"/>
  <c r="AH282" i="65"/>
  <c r="AI282" i="65" s="1"/>
  <c r="Z432" i="65"/>
  <c r="AA432" i="65" s="1"/>
  <c r="R407" i="65"/>
  <c r="S407" i="65" s="1"/>
  <c r="R282" i="65"/>
  <c r="S282" i="65" s="1"/>
  <c r="R482" i="65"/>
  <c r="S482" i="65" s="1"/>
  <c r="AH332" i="65"/>
  <c r="AI332" i="65" s="1"/>
  <c r="R357" i="65"/>
  <c r="S357" i="65" s="1"/>
  <c r="F307" i="65"/>
  <c r="G307" i="65" s="1"/>
  <c r="F407" i="65"/>
  <c r="G407" i="65" s="1"/>
  <c r="Z257" i="65"/>
  <c r="AA257" i="65" s="1"/>
  <c r="R507" i="65"/>
  <c r="S507" i="65" s="1"/>
  <c r="AH507" i="65"/>
  <c r="AI507" i="65" s="1"/>
  <c r="F457" i="65"/>
  <c r="G457" i="65" s="1"/>
  <c r="AH432" i="65"/>
  <c r="AI432" i="65" s="1"/>
  <c r="R432" i="65"/>
  <c r="S432" i="65" s="1"/>
  <c r="F382" i="65"/>
  <c r="G382" i="65" s="1"/>
  <c r="Z407" i="65"/>
  <c r="AA407" i="65" s="1"/>
  <c r="F482" i="65"/>
  <c r="G482" i="65" s="1"/>
  <c r="R382" i="65"/>
  <c r="S382" i="65" s="1"/>
  <c r="AH382" i="65"/>
  <c r="AI382" i="65" s="1"/>
  <c r="Z382" i="65"/>
  <c r="AA382" i="65" s="1"/>
  <c r="AH482" i="65"/>
  <c r="AI482" i="65" s="1"/>
  <c r="AH457" i="65"/>
  <c r="AI457" i="65" s="1"/>
  <c r="F432" i="65"/>
  <c r="G432" i="65" s="1"/>
  <c r="R457" i="65"/>
  <c r="S457" i="65" s="1"/>
  <c r="Z482" i="65"/>
  <c r="AA482" i="65" s="1"/>
  <c r="Z152" i="65"/>
  <c r="AA152" i="65" s="1"/>
  <c r="AH227" i="65"/>
  <c r="AI227" i="65" s="1"/>
  <c r="R227" i="65"/>
  <c r="S227" i="65" s="1"/>
  <c r="AH202" i="65"/>
  <c r="AI202" i="65" s="1"/>
  <c r="R202" i="65"/>
  <c r="S202" i="65" s="1"/>
  <c r="AH152" i="65"/>
  <c r="AI152" i="65" s="1"/>
  <c r="R152" i="65"/>
  <c r="S152" i="65" s="1"/>
  <c r="Z177" i="65"/>
  <c r="AA177" i="65" s="1"/>
  <c r="AH177" i="65"/>
  <c r="AI177" i="65" s="1"/>
  <c r="R177" i="65"/>
  <c r="S177" i="65" s="1"/>
  <c r="Z202" i="65"/>
  <c r="AA202" i="65" s="1"/>
  <c r="F277" i="65"/>
  <c r="G277" i="65" s="1"/>
  <c r="Z477" i="65"/>
  <c r="AA477" i="65" s="1"/>
  <c r="F427" i="65"/>
  <c r="G427" i="65" s="1"/>
  <c r="F452" i="65"/>
  <c r="G452" i="65" s="1"/>
  <c r="R302" i="65"/>
  <c r="S302" i="65" s="1"/>
  <c r="R427" i="65"/>
  <c r="S427" i="65" s="1"/>
  <c r="R452" i="65"/>
  <c r="S452" i="65" s="1"/>
  <c r="Z327" i="65"/>
  <c r="AA327" i="65" s="1"/>
  <c r="F327" i="65"/>
  <c r="G327" i="65" s="1"/>
  <c r="R327" i="65"/>
  <c r="S327" i="65" s="1"/>
  <c r="Z427" i="65"/>
  <c r="AA427" i="65" s="1"/>
  <c r="AH402" i="65"/>
  <c r="AI402" i="65" s="1"/>
  <c r="F502" i="65"/>
  <c r="G502" i="65" s="1"/>
  <c r="Z502" i="65"/>
  <c r="AA502" i="65" s="1"/>
  <c r="R277" i="65"/>
  <c r="S277" i="65" s="1"/>
  <c r="AH377" i="65"/>
  <c r="AI377" i="65" s="1"/>
  <c r="AH502" i="65"/>
  <c r="AI502" i="65" s="1"/>
  <c r="Z227" i="65"/>
  <c r="AA227" i="65" s="1"/>
  <c r="F477" i="65"/>
  <c r="G477" i="65" s="1"/>
  <c r="R252" i="65"/>
  <c r="S252" i="65" s="1"/>
  <c r="AH277" i="65"/>
  <c r="AI277" i="65" s="1"/>
  <c r="AH327" i="65"/>
  <c r="AI327" i="65" s="1"/>
  <c r="AH352" i="65"/>
  <c r="AI352" i="65" s="1"/>
  <c r="R402" i="65"/>
  <c r="S402" i="65" s="1"/>
  <c r="Z352" i="65"/>
  <c r="AA352" i="65" s="1"/>
  <c r="Z252" i="65"/>
  <c r="AA252" i="65" s="1"/>
  <c r="F352" i="65"/>
  <c r="G352" i="65" s="1"/>
  <c r="F302" i="65"/>
  <c r="G302" i="65" s="1"/>
  <c r="F402" i="65"/>
  <c r="G402" i="65" s="1"/>
  <c r="R352" i="65"/>
  <c r="S352" i="65" s="1"/>
  <c r="R377" i="65"/>
  <c r="S377" i="65" s="1"/>
  <c r="AH477" i="65"/>
  <c r="AI477" i="65" s="1"/>
  <c r="F377" i="65"/>
  <c r="G377" i="65" s="1"/>
  <c r="G252" i="65"/>
  <c r="Z302" i="65"/>
  <c r="AA302" i="65" s="1"/>
  <c r="AH427" i="65"/>
  <c r="AI427" i="65" s="1"/>
  <c r="AH452" i="65"/>
  <c r="AI452" i="65" s="1"/>
  <c r="R502" i="65"/>
  <c r="S502" i="65" s="1"/>
  <c r="Z452" i="65"/>
  <c r="AA452" i="65" s="1"/>
  <c r="AH252" i="65"/>
  <c r="AI252" i="65" s="1"/>
  <c r="R477" i="65"/>
  <c r="S477" i="65" s="1"/>
  <c r="AH302" i="65"/>
  <c r="AI302" i="65" s="1"/>
  <c r="Z377" i="65"/>
  <c r="AA377" i="65" s="1"/>
  <c r="Z402" i="65"/>
  <c r="AA402" i="65" s="1"/>
  <c r="Z277" i="65"/>
  <c r="AA277" i="65" s="1"/>
  <c r="R291" i="65"/>
  <c r="S291" i="65" s="1"/>
  <c r="R241" i="65"/>
  <c r="S241" i="65" s="1"/>
  <c r="R216" i="65"/>
  <c r="S216" i="65" s="1"/>
  <c r="Z166" i="65"/>
  <c r="AA166" i="65" s="1"/>
  <c r="AH266" i="65"/>
  <c r="AI266" i="65" s="1"/>
  <c r="R191" i="65"/>
  <c r="S191" i="65" s="1"/>
  <c r="Z241" i="65"/>
  <c r="AA241" i="65" s="1"/>
  <c r="Z191" i="65"/>
  <c r="AA191" i="65" s="1"/>
  <c r="AH166" i="65"/>
  <c r="AI166" i="65" s="1"/>
  <c r="AH316" i="65"/>
  <c r="AI316" i="65" s="1"/>
  <c r="AH291" i="65"/>
  <c r="AI291" i="65" s="1"/>
  <c r="AH491" i="65"/>
  <c r="AI491" i="65" s="1"/>
  <c r="Z216" i="65"/>
  <c r="AA216" i="65" s="1"/>
  <c r="G266" i="65"/>
  <c r="AH191" i="65"/>
  <c r="AI191" i="65" s="1"/>
  <c r="R266" i="65"/>
  <c r="S266" i="65" s="1"/>
  <c r="R166" i="65"/>
  <c r="S166" i="65" s="1"/>
  <c r="AH241" i="65"/>
  <c r="AI241" i="65" s="1"/>
  <c r="AH216" i="65"/>
  <c r="AI216" i="65" s="1"/>
  <c r="F291" i="65"/>
  <c r="G291" i="65" s="1"/>
  <c r="R316" i="65"/>
  <c r="S316" i="65" s="1"/>
  <c r="R416" i="65"/>
  <c r="S416" i="65" s="1"/>
  <c r="Z266" i="65"/>
  <c r="AA266" i="65" s="1"/>
  <c r="R466" i="65"/>
  <c r="S466" i="65" s="1"/>
  <c r="F491" i="65"/>
  <c r="G491" i="65" s="1"/>
  <c r="F466" i="65"/>
  <c r="G466" i="65" s="1"/>
  <c r="F416" i="65"/>
  <c r="G416" i="65" s="1"/>
  <c r="AH366" i="65"/>
  <c r="AI366" i="65" s="1"/>
  <c r="F341" i="65"/>
  <c r="G341" i="65" s="1"/>
  <c r="Z341" i="65"/>
  <c r="AA341" i="65" s="1"/>
  <c r="Z366" i="65"/>
  <c r="AA366" i="65" s="1"/>
  <c r="AH466" i="65"/>
  <c r="AI466" i="65" s="1"/>
  <c r="Z466" i="65"/>
  <c r="AA466" i="65" s="1"/>
  <c r="Z441" i="65"/>
  <c r="AA441" i="65" s="1"/>
  <c r="Z316" i="65"/>
  <c r="AA316" i="65" s="1"/>
  <c r="R341" i="65"/>
  <c r="S341" i="65" s="1"/>
  <c r="R441" i="65"/>
  <c r="S441" i="65" s="1"/>
  <c r="Z291" i="65"/>
  <c r="AA291" i="65" s="1"/>
  <c r="R516" i="65"/>
  <c r="S516" i="65" s="1"/>
  <c r="F441" i="65"/>
  <c r="G441" i="65" s="1"/>
  <c r="AH416" i="65"/>
  <c r="AI416" i="65" s="1"/>
  <c r="AH516" i="65"/>
  <c r="AI516" i="65" s="1"/>
  <c r="F316" i="65"/>
  <c r="G316" i="65" s="1"/>
  <c r="AH391" i="65"/>
  <c r="AI391" i="65" s="1"/>
  <c r="AH341" i="65"/>
  <c r="AI341" i="65" s="1"/>
  <c r="Z416" i="65"/>
  <c r="AA416" i="65" s="1"/>
  <c r="F391" i="65"/>
  <c r="G391" i="65" s="1"/>
  <c r="Z516" i="65"/>
  <c r="AA516" i="65" s="1"/>
  <c r="F366" i="65"/>
  <c r="G366" i="65" s="1"/>
  <c r="Z491" i="65"/>
  <c r="AA491" i="65" s="1"/>
  <c r="R391" i="65"/>
  <c r="S391" i="65" s="1"/>
  <c r="R491" i="65"/>
  <c r="S491" i="65" s="1"/>
  <c r="F516" i="65"/>
  <c r="G516" i="65" s="1"/>
  <c r="AH441" i="65"/>
  <c r="AI441" i="65" s="1"/>
  <c r="R366" i="65"/>
  <c r="S366" i="65" s="1"/>
  <c r="Z391" i="65"/>
  <c r="AA391" i="65" s="1"/>
  <c r="R214" i="65"/>
  <c r="S214" i="65" s="1"/>
  <c r="R289" i="65"/>
  <c r="S289" i="65" s="1"/>
  <c r="AH189" i="65"/>
  <c r="AI189" i="65" s="1"/>
  <c r="Z214" i="65"/>
  <c r="AA214" i="65" s="1"/>
  <c r="AH164" i="65"/>
  <c r="AI164" i="65" s="1"/>
  <c r="AH214" i="65"/>
  <c r="AI214" i="65" s="1"/>
  <c r="R189" i="65"/>
  <c r="S189" i="65" s="1"/>
  <c r="R164" i="65"/>
  <c r="S164" i="65" s="1"/>
  <c r="Z189" i="65"/>
  <c r="AA189" i="65" s="1"/>
  <c r="Z164" i="65"/>
  <c r="AA164" i="65" s="1"/>
  <c r="AH264" i="65"/>
  <c r="AI264" i="65" s="1"/>
  <c r="R264" i="65"/>
  <c r="S264" i="65" s="1"/>
  <c r="R489" i="65"/>
  <c r="S489" i="65" s="1"/>
  <c r="R514" i="65"/>
  <c r="S514" i="65" s="1"/>
  <c r="R314" i="65"/>
  <c r="S314" i="65" s="1"/>
  <c r="R339" i="65"/>
  <c r="S339" i="65" s="1"/>
  <c r="R364" i="65"/>
  <c r="S364" i="65" s="1"/>
  <c r="AH439" i="65"/>
  <c r="AI439" i="65" s="1"/>
  <c r="F514" i="65"/>
  <c r="G514" i="65" s="1"/>
  <c r="Z464" i="65"/>
  <c r="AA464" i="65" s="1"/>
  <c r="Z514" i="65"/>
  <c r="AA514" i="65" s="1"/>
  <c r="AH489" i="65"/>
  <c r="AI489" i="65" s="1"/>
  <c r="AH514" i="65"/>
  <c r="AI514" i="65" s="1"/>
  <c r="AH314" i="65"/>
  <c r="AI314" i="65" s="1"/>
  <c r="AH339" i="65"/>
  <c r="AI339" i="65" s="1"/>
  <c r="AH364" i="65"/>
  <c r="AI364" i="65" s="1"/>
  <c r="F339" i="65"/>
  <c r="G339" i="65" s="1"/>
  <c r="F364" i="65"/>
  <c r="G364" i="65" s="1"/>
  <c r="F389" i="65"/>
  <c r="G389" i="65" s="1"/>
  <c r="F414" i="65"/>
  <c r="G414" i="65" s="1"/>
  <c r="Z239" i="65"/>
  <c r="AA239" i="65" s="1"/>
  <c r="AH414" i="65"/>
  <c r="AI414" i="65" s="1"/>
  <c r="F464" i="65"/>
  <c r="G464" i="65" s="1"/>
  <c r="Z489" i="65"/>
  <c r="AA489" i="65" s="1"/>
  <c r="Z339" i="65"/>
  <c r="AA339" i="65" s="1"/>
  <c r="Z364" i="65"/>
  <c r="AA364" i="65" s="1"/>
  <c r="Z389" i="65"/>
  <c r="AA389" i="65" s="1"/>
  <c r="Z414" i="65"/>
  <c r="AA414" i="65" s="1"/>
  <c r="R239" i="65"/>
  <c r="S239" i="65" s="1"/>
  <c r="F489" i="65"/>
  <c r="G489" i="65" s="1"/>
  <c r="Z314" i="65"/>
  <c r="AA314" i="65" s="1"/>
  <c r="Z289" i="65"/>
  <c r="AA289" i="65" s="1"/>
  <c r="R389" i="65"/>
  <c r="S389" i="65" s="1"/>
  <c r="R414" i="65"/>
  <c r="S414" i="65" s="1"/>
  <c r="R439" i="65"/>
  <c r="S439" i="65" s="1"/>
  <c r="R464" i="65"/>
  <c r="S464" i="65" s="1"/>
  <c r="F289" i="65"/>
  <c r="G289" i="65" s="1"/>
  <c r="AH289" i="65"/>
  <c r="AI289" i="65" s="1"/>
  <c r="AH239" i="65"/>
  <c r="AI239" i="65" s="1"/>
  <c r="AH389" i="65"/>
  <c r="AI389" i="65" s="1"/>
  <c r="AH464" i="65"/>
  <c r="AI464" i="65" s="1"/>
  <c r="Z264" i="65"/>
  <c r="AA264" i="65" s="1"/>
  <c r="F439" i="65"/>
  <c r="G439" i="65" s="1"/>
  <c r="F314" i="65"/>
  <c r="G314" i="65" s="1"/>
  <c r="Z439" i="65"/>
  <c r="AA439" i="65" s="1"/>
  <c r="G264" i="65"/>
  <c r="G2245" i="37"/>
  <c r="G2233" i="37" s="1"/>
  <c r="G2253" i="37"/>
  <c r="G2257" i="37" s="1"/>
  <c r="G2248" i="37" s="1"/>
  <c r="F2264" i="37"/>
  <c r="G46" i="68" l="1"/>
  <c r="H46" i="68" s="1"/>
  <c r="J46" i="68"/>
  <c r="G67" i="68"/>
  <c r="H67" i="68" s="1"/>
  <c r="J67" i="68"/>
  <c r="I259" i="68"/>
  <c r="H238" i="68"/>
  <c r="G88" i="68"/>
  <c r="H88" i="68" s="1"/>
  <c r="J88" i="68"/>
  <c r="J235" i="68"/>
  <c r="G235" i="68"/>
  <c r="I257" i="68"/>
  <c r="H236" i="68"/>
  <c r="G130" i="68"/>
  <c r="H130" i="68" s="1"/>
  <c r="J130" i="68"/>
  <c r="G263" i="67"/>
  <c r="F288" i="67"/>
  <c r="AH413" i="67"/>
  <c r="AI413" i="67" s="1"/>
  <c r="F363" i="67"/>
  <c r="G363" i="67" s="1"/>
  <c r="F338" i="67"/>
  <c r="G338" i="67" s="1"/>
  <c r="Z313" i="67"/>
  <c r="AA313" i="67" s="1"/>
  <c r="Z238" i="67"/>
  <c r="AA238" i="67" s="1"/>
  <c r="AH363" i="67"/>
  <c r="AI363" i="67" s="1"/>
  <c r="Z288" i="67"/>
  <c r="AA288" i="67" s="1"/>
  <c r="R188" i="67"/>
  <c r="S188" i="67" s="1"/>
  <c r="Z513" i="67"/>
  <c r="AA513" i="67" s="1"/>
  <c r="AH488" i="67"/>
  <c r="AI488" i="67" s="1"/>
  <c r="F488" i="67"/>
  <c r="G488" i="67" s="1"/>
  <c r="AH463" i="67"/>
  <c r="AI463" i="67" s="1"/>
  <c r="Z438" i="67"/>
  <c r="AA438" i="67" s="1"/>
  <c r="F413" i="67"/>
  <c r="G413" i="67" s="1"/>
  <c r="AH388" i="67"/>
  <c r="AI388" i="67" s="1"/>
  <c r="AH288" i="67"/>
  <c r="AI288" i="67" s="1"/>
  <c r="AH213" i="67"/>
  <c r="AI213" i="67" s="1"/>
  <c r="Z188" i="67"/>
  <c r="AA188" i="67" s="1"/>
  <c r="F388" i="67"/>
  <c r="G388" i="67" s="1"/>
  <c r="R363" i="67"/>
  <c r="S363" i="67" s="1"/>
  <c r="R338" i="67"/>
  <c r="S338" i="67" s="1"/>
  <c r="AH313" i="67"/>
  <c r="AI313" i="67" s="1"/>
  <c r="AH238" i="67"/>
  <c r="AI238" i="67" s="1"/>
  <c r="AH513" i="67"/>
  <c r="AI513" i="67" s="1"/>
  <c r="R488" i="67"/>
  <c r="S488" i="67" s="1"/>
  <c r="F463" i="67"/>
  <c r="G463" i="67" s="1"/>
  <c r="R413" i="67"/>
  <c r="S413" i="67" s="1"/>
  <c r="R263" i="67"/>
  <c r="S263" i="67" s="1"/>
  <c r="R163" i="67"/>
  <c r="S163" i="67" s="1"/>
  <c r="AH263" i="67"/>
  <c r="AI263" i="67" s="1"/>
  <c r="AH163" i="67"/>
  <c r="AI163" i="67" s="1"/>
  <c r="AH438" i="67"/>
  <c r="AI438" i="67" s="1"/>
  <c r="R388" i="67"/>
  <c r="S388" i="67" s="1"/>
  <c r="Z363" i="67"/>
  <c r="AA363" i="67" s="1"/>
  <c r="Z338" i="67"/>
  <c r="AA338" i="67" s="1"/>
  <c r="AH188" i="67"/>
  <c r="AI188" i="67" s="1"/>
  <c r="Z463" i="67"/>
  <c r="AA463" i="67" s="1"/>
  <c r="R438" i="67"/>
  <c r="S438" i="67" s="1"/>
  <c r="Z213" i="67"/>
  <c r="AA213" i="67" s="1"/>
  <c r="F513" i="67"/>
  <c r="G513" i="67" s="1"/>
  <c r="R463" i="67"/>
  <c r="S463" i="67" s="1"/>
  <c r="F438" i="67"/>
  <c r="G438" i="67" s="1"/>
  <c r="Z413" i="67"/>
  <c r="AA413" i="67" s="1"/>
  <c r="R288" i="67"/>
  <c r="S288" i="67" s="1"/>
  <c r="Z263" i="67"/>
  <c r="AA263" i="67" s="1"/>
  <c r="R213" i="67"/>
  <c r="S213" i="67" s="1"/>
  <c r="Z163" i="67"/>
  <c r="AA163" i="67" s="1"/>
  <c r="R513" i="67"/>
  <c r="S513" i="67" s="1"/>
  <c r="Z488" i="67"/>
  <c r="AA488" i="67" s="1"/>
  <c r="Z388" i="67"/>
  <c r="AA388" i="67" s="1"/>
  <c r="AH338" i="67"/>
  <c r="AI338" i="67" s="1"/>
  <c r="R313" i="67"/>
  <c r="S313" i="67" s="1"/>
  <c r="R238" i="67"/>
  <c r="S238" i="67" s="1"/>
  <c r="F96" i="69"/>
  <c r="G93" i="69"/>
  <c r="G269" i="67"/>
  <c r="F294" i="67"/>
  <c r="G294" i="67" s="1"/>
  <c r="F295" i="67"/>
  <c r="G295" i="67" s="1"/>
  <c r="G270" i="67"/>
  <c r="G287" i="67"/>
  <c r="F312" i="67"/>
  <c r="G312" i="67" s="1"/>
  <c r="F278" i="67"/>
  <c r="G253" i="67"/>
  <c r="F328" i="67"/>
  <c r="G328" i="67" s="1"/>
  <c r="AH503" i="67"/>
  <c r="AI503" i="67" s="1"/>
  <c r="AH478" i="67"/>
  <c r="AI478" i="67" s="1"/>
  <c r="Z453" i="67"/>
  <c r="AA453" i="67" s="1"/>
  <c r="AH403" i="67"/>
  <c r="AI403" i="67" s="1"/>
  <c r="Z378" i="67"/>
  <c r="AA378" i="67" s="1"/>
  <c r="F378" i="67"/>
  <c r="G378" i="67" s="1"/>
  <c r="AH303" i="67"/>
  <c r="AI303" i="67" s="1"/>
  <c r="AH253" i="67"/>
  <c r="AI253" i="67" s="1"/>
  <c r="Z178" i="67"/>
  <c r="AA178" i="67" s="1"/>
  <c r="AH153" i="67"/>
  <c r="AI153" i="67" s="1"/>
  <c r="R153" i="67"/>
  <c r="S153" i="67" s="1"/>
  <c r="R503" i="67"/>
  <c r="S503" i="67" s="1"/>
  <c r="R478" i="67"/>
  <c r="S478" i="67" s="1"/>
  <c r="F453" i="67"/>
  <c r="G453" i="67" s="1"/>
  <c r="Z428" i="67"/>
  <c r="AA428" i="67" s="1"/>
  <c r="AH353" i="67"/>
  <c r="AI353" i="67" s="1"/>
  <c r="R303" i="67"/>
  <c r="S303" i="67" s="1"/>
  <c r="AH278" i="67"/>
  <c r="AI278" i="67" s="1"/>
  <c r="R253" i="67"/>
  <c r="S253" i="67" s="1"/>
  <c r="Z203" i="67"/>
  <c r="AA203" i="67" s="1"/>
  <c r="F428" i="67"/>
  <c r="G428" i="67" s="1"/>
  <c r="R403" i="67"/>
  <c r="S403" i="67" s="1"/>
  <c r="R353" i="67"/>
  <c r="S353" i="67" s="1"/>
  <c r="AH328" i="67"/>
  <c r="AI328" i="67" s="1"/>
  <c r="R278" i="67"/>
  <c r="S278" i="67" s="1"/>
  <c r="AH228" i="67"/>
  <c r="AI228" i="67" s="1"/>
  <c r="R328" i="67"/>
  <c r="S328" i="67" s="1"/>
  <c r="R228" i="67"/>
  <c r="S228" i="67" s="1"/>
  <c r="AH453" i="67"/>
  <c r="AI453" i="67" s="1"/>
  <c r="AH378" i="67"/>
  <c r="AI378" i="67" s="1"/>
  <c r="R378" i="67"/>
  <c r="S378" i="67" s="1"/>
  <c r="AH203" i="67"/>
  <c r="AI203" i="67" s="1"/>
  <c r="AH178" i="67"/>
  <c r="AI178" i="67" s="1"/>
  <c r="Z153" i="67"/>
  <c r="AA153" i="67" s="1"/>
  <c r="Z503" i="67"/>
  <c r="AA503" i="67" s="1"/>
  <c r="Z478" i="67"/>
  <c r="AA478" i="67" s="1"/>
  <c r="F478" i="67"/>
  <c r="G478" i="67" s="1"/>
  <c r="R453" i="67"/>
  <c r="S453" i="67" s="1"/>
  <c r="AH428" i="67"/>
  <c r="AI428" i="67" s="1"/>
  <c r="R428" i="67"/>
  <c r="S428" i="67" s="1"/>
  <c r="Z403" i="67"/>
  <c r="AA403" i="67" s="1"/>
  <c r="Z353" i="67"/>
  <c r="AA353" i="67" s="1"/>
  <c r="Z303" i="67"/>
  <c r="AA303" i="67" s="1"/>
  <c r="Z278" i="67"/>
  <c r="AA278" i="67" s="1"/>
  <c r="Z253" i="67"/>
  <c r="AA253" i="67" s="1"/>
  <c r="R203" i="67"/>
  <c r="S203" i="67" s="1"/>
  <c r="R178" i="67"/>
  <c r="S178" i="67" s="1"/>
  <c r="F503" i="67"/>
  <c r="G503" i="67" s="1"/>
  <c r="F403" i="67"/>
  <c r="G403" i="67" s="1"/>
  <c r="F353" i="67"/>
  <c r="G353" i="67" s="1"/>
  <c r="Z328" i="67"/>
  <c r="AA328" i="67" s="1"/>
  <c r="Z228" i="67"/>
  <c r="AA228" i="67" s="1"/>
  <c r="F275" i="67"/>
  <c r="G250" i="67"/>
  <c r="F500" i="67"/>
  <c r="G500" i="67" s="1"/>
  <c r="AH450" i="67"/>
  <c r="AI450" i="67" s="1"/>
  <c r="R350" i="67"/>
  <c r="S350" i="67" s="1"/>
  <c r="R325" i="67"/>
  <c r="S325" i="67" s="1"/>
  <c r="R300" i="67"/>
  <c r="S300" i="67" s="1"/>
  <c r="AH275" i="67"/>
  <c r="AI275" i="67" s="1"/>
  <c r="R450" i="67"/>
  <c r="S450" i="67" s="1"/>
  <c r="AH375" i="67"/>
  <c r="AI375" i="67" s="1"/>
  <c r="R275" i="67"/>
  <c r="S275" i="67" s="1"/>
  <c r="Z200" i="67"/>
  <c r="AA200" i="67" s="1"/>
  <c r="AH500" i="67"/>
  <c r="AI500" i="67" s="1"/>
  <c r="Z475" i="67"/>
  <c r="AA475" i="67" s="1"/>
  <c r="AH425" i="67"/>
  <c r="AI425" i="67" s="1"/>
  <c r="Z400" i="67"/>
  <c r="AA400" i="67" s="1"/>
  <c r="R375" i="67"/>
  <c r="S375" i="67" s="1"/>
  <c r="AH250" i="67"/>
  <c r="AI250" i="67" s="1"/>
  <c r="Z175" i="67"/>
  <c r="AA175" i="67" s="1"/>
  <c r="Z150" i="67"/>
  <c r="AA150" i="67" s="1"/>
  <c r="R500" i="67"/>
  <c r="S500" i="67" s="1"/>
  <c r="F475" i="67"/>
  <c r="G475" i="67" s="1"/>
  <c r="R425" i="67"/>
  <c r="S425" i="67" s="1"/>
  <c r="Z350" i="67"/>
  <c r="AA350" i="67" s="1"/>
  <c r="Z325" i="67"/>
  <c r="AA325" i="67" s="1"/>
  <c r="R250" i="67"/>
  <c r="S250" i="67" s="1"/>
  <c r="AH225" i="67"/>
  <c r="AI225" i="67" s="1"/>
  <c r="Z450" i="67"/>
  <c r="AA450" i="67" s="1"/>
  <c r="F400" i="67"/>
  <c r="G400" i="67" s="1"/>
  <c r="F350" i="67"/>
  <c r="G350" i="67" s="1"/>
  <c r="F325" i="67"/>
  <c r="G325" i="67" s="1"/>
  <c r="Z300" i="67"/>
  <c r="AA300" i="67" s="1"/>
  <c r="Z275" i="67"/>
  <c r="AA275" i="67" s="1"/>
  <c r="R225" i="67"/>
  <c r="S225" i="67" s="1"/>
  <c r="AH200" i="67"/>
  <c r="AI200" i="67" s="1"/>
  <c r="AH475" i="67"/>
  <c r="AI475" i="67" s="1"/>
  <c r="F450" i="67"/>
  <c r="G450" i="67" s="1"/>
  <c r="Z375" i="67"/>
  <c r="AA375" i="67" s="1"/>
  <c r="R200" i="67"/>
  <c r="S200" i="67" s="1"/>
  <c r="Z425" i="67"/>
  <c r="AA425" i="67" s="1"/>
  <c r="AH400" i="67"/>
  <c r="AI400" i="67" s="1"/>
  <c r="F375" i="67"/>
  <c r="G375" i="67" s="1"/>
  <c r="Z250" i="67"/>
  <c r="AA250" i="67" s="1"/>
  <c r="AH175" i="67"/>
  <c r="AI175" i="67" s="1"/>
  <c r="AH150" i="67"/>
  <c r="AI150" i="67" s="1"/>
  <c r="Z500" i="67"/>
  <c r="AA500" i="67" s="1"/>
  <c r="R475" i="67"/>
  <c r="S475" i="67" s="1"/>
  <c r="F425" i="67"/>
  <c r="G425" i="67" s="1"/>
  <c r="R400" i="67"/>
  <c r="S400" i="67" s="1"/>
  <c r="AH350" i="67"/>
  <c r="AI350" i="67" s="1"/>
  <c r="AH325" i="67"/>
  <c r="AI325" i="67" s="1"/>
  <c r="AH300" i="67"/>
  <c r="AI300" i="67" s="1"/>
  <c r="Z225" i="67"/>
  <c r="AA225" i="67" s="1"/>
  <c r="R175" i="67"/>
  <c r="S175" i="67" s="1"/>
  <c r="R150" i="67"/>
  <c r="S150" i="67" s="1"/>
  <c r="F302" i="67"/>
  <c r="G302" i="67" s="1"/>
  <c r="G277" i="67"/>
  <c r="G283" i="67"/>
  <c r="F308" i="67"/>
  <c r="G308" i="67" s="1"/>
  <c r="G239" i="67"/>
  <c r="F279" i="67"/>
  <c r="G254" i="67"/>
  <c r="AH504" i="67"/>
  <c r="AI504" i="67" s="1"/>
  <c r="R504" i="67"/>
  <c r="S504" i="67" s="1"/>
  <c r="F454" i="67"/>
  <c r="G454" i="67" s="1"/>
  <c r="Z429" i="67"/>
  <c r="AA429" i="67" s="1"/>
  <c r="AH404" i="67"/>
  <c r="AI404" i="67" s="1"/>
  <c r="R404" i="67"/>
  <c r="S404" i="67" s="1"/>
  <c r="Z379" i="67"/>
  <c r="AA379" i="67" s="1"/>
  <c r="F379" i="67"/>
  <c r="G379" i="67" s="1"/>
  <c r="AH279" i="67"/>
  <c r="AI279" i="67" s="1"/>
  <c r="F429" i="67"/>
  <c r="G429" i="67" s="1"/>
  <c r="AH354" i="67"/>
  <c r="AI354" i="67" s="1"/>
  <c r="R354" i="67"/>
  <c r="S354" i="67" s="1"/>
  <c r="AH329" i="67"/>
  <c r="AI329" i="67" s="1"/>
  <c r="R279" i="67"/>
  <c r="S279" i="67" s="1"/>
  <c r="AH229" i="67"/>
  <c r="AI229" i="67" s="1"/>
  <c r="AH454" i="67"/>
  <c r="AI454" i="67" s="1"/>
  <c r="R329" i="67"/>
  <c r="S329" i="67" s="1"/>
  <c r="Z254" i="67"/>
  <c r="AA254" i="67" s="1"/>
  <c r="R229" i="67"/>
  <c r="S229" i="67" s="1"/>
  <c r="AH204" i="67"/>
  <c r="AI204" i="67" s="1"/>
  <c r="Z479" i="67"/>
  <c r="AA479" i="67" s="1"/>
  <c r="Z304" i="67"/>
  <c r="AA304" i="67" s="1"/>
  <c r="R204" i="67"/>
  <c r="S204" i="67" s="1"/>
  <c r="AH179" i="67"/>
  <c r="AI179" i="67" s="1"/>
  <c r="Z154" i="67"/>
  <c r="AA154" i="67" s="1"/>
  <c r="Z504" i="67"/>
  <c r="AA504" i="67" s="1"/>
  <c r="F479" i="67"/>
  <c r="G479" i="67" s="1"/>
  <c r="R454" i="67"/>
  <c r="S454" i="67" s="1"/>
  <c r="AH429" i="67"/>
  <c r="AI429" i="67" s="1"/>
  <c r="Z404" i="67"/>
  <c r="AA404" i="67" s="1"/>
  <c r="F404" i="67"/>
  <c r="G404" i="67" s="1"/>
  <c r="AH379" i="67"/>
  <c r="AI379" i="67" s="1"/>
  <c r="R379" i="67"/>
  <c r="S379" i="67" s="1"/>
  <c r="Z279" i="67"/>
  <c r="AA279" i="67" s="1"/>
  <c r="R179" i="67"/>
  <c r="S179" i="67" s="1"/>
  <c r="F504" i="67"/>
  <c r="G504" i="67" s="1"/>
  <c r="R429" i="67"/>
  <c r="S429" i="67" s="1"/>
  <c r="Z354" i="67"/>
  <c r="AA354" i="67" s="1"/>
  <c r="F354" i="67"/>
  <c r="G354" i="67" s="1"/>
  <c r="Z329" i="67"/>
  <c r="AA329" i="67" s="1"/>
  <c r="Z229" i="67"/>
  <c r="AA229" i="67" s="1"/>
  <c r="AH479" i="67"/>
  <c r="AI479" i="67" s="1"/>
  <c r="F329" i="67"/>
  <c r="G329" i="67" s="1"/>
  <c r="AH254" i="67"/>
  <c r="AI254" i="67" s="1"/>
  <c r="AH154" i="67"/>
  <c r="AI154" i="67" s="1"/>
  <c r="R479" i="67"/>
  <c r="S479" i="67" s="1"/>
  <c r="Z454" i="67"/>
  <c r="AA454" i="67" s="1"/>
  <c r="AH304" i="67"/>
  <c r="AI304" i="67" s="1"/>
  <c r="R304" i="67"/>
  <c r="S304" i="67" s="1"/>
  <c r="R254" i="67"/>
  <c r="S254" i="67" s="1"/>
  <c r="Z204" i="67"/>
  <c r="AA204" i="67" s="1"/>
  <c r="Z179" i="67"/>
  <c r="AA179" i="67" s="1"/>
  <c r="R154" i="67"/>
  <c r="S154" i="67" s="1"/>
  <c r="G249" i="67"/>
  <c r="F274" i="67"/>
  <c r="AH474" i="67"/>
  <c r="AI474" i="67" s="1"/>
  <c r="Z424" i="67"/>
  <c r="AA424" i="67" s="1"/>
  <c r="F374" i="67"/>
  <c r="G374" i="67" s="1"/>
  <c r="R199" i="67"/>
  <c r="S199" i="67" s="1"/>
  <c r="Z499" i="67"/>
  <c r="AA499" i="67" s="1"/>
  <c r="F499" i="67"/>
  <c r="G499" i="67" s="1"/>
  <c r="R474" i="67"/>
  <c r="S474" i="67" s="1"/>
  <c r="F424" i="67"/>
  <c r="G424" i="67" s="1"/>
  <c r="AH399" i="67"/>
  <c r="AI399" i="67" s="1"/>
  <c r="AH349" i="67"/>
  <c r="AI349" i="67" s="1"/>
  <c r="AH324" i="67"/>
  <c r="AI324" i="67" s="1"/>
  <c r="Z224" i="67"/>
  <c r="AA224" i="67" s="1"/>
  <c r="AH174" i="67"/>
  <c r="AI174" i="67" s="1"/>
  <c r="AH149" i="67"/>
  <c r="AI149" i="67" s="1"/>
  <c r="AH449" i="67"/>
  <c r="AI449" i="67" s="1"/>
  <c r="R449" i="67"/>
  <c r="S449" i="67" s="1"/>
  <c r="R399" i="67"/>
  <c r="S399" i="67" s="1"/>
  <c r="R349" i="67"/>
  <c r="S349" i="67" s="1"/>
  <c r="R324" i="67"/>
  <c r="S324" i="67" s="1"/>
  <c r="AH299" i="67"/>
  <c r="AI299" i="67" s="1"/>
  <c r="AH274" i="67"/>
  <c r="AI274" i="67" s="1"/>
  <c r="Z249" i="67"/>
  <c r="AA249" i="67" s="1"/>
  <c r="R174" i="67"/>
  <c r="S174" i="67" s="1"/>
  <c r="R149" i="67"/>
  <c r="S149" i="67" s="1"/>
  <c r="AH424" i="67"/>
  <c r="AI424" i="67" s="1"/>
  <c r="AH374" i="67"/>
  <c r="AI374" i="67" s="1"/>
  <c r="R299" i="67"/>
  <c r="S299" i="67" s="1"/>
  <c r="R274" i="67"/>
  <c r="S274" i="67" s="1"/>
  <c r="AH499" i="67"/>
  <c r="AI499" i="67" s="1"/>
  <c r="Z474" i="67"/>
  <c r="AA474" i="67" s="1"/>
  <c r="R374" i="67"/>
  <c r="S374" i="67" s="1"/>
  <c r="Z199" i="67"/>
  <c r="AA199" i="67" s="1"/>
  <c r="R499" i="67"/>
  <c r="S499" i="67" s="1"/>
  <c r="R424" i="67"/>
  <c r="S424" i="67" s="1"/>
  <c r="Z399" i="67"/>
  <c r="AA399" i="67" s="1"/>
  <c r="Z349" i="67"/>
  <c r="AA349" i="67" s="1"/>
  <c r="Z324" i="67"/>
  <c r="AA324" i="67" s="1"/>
  <c r="AH249" i="67"/>
  <c r="AI249" i="67" s="1"/>
  <c r="AH224" i="67"/>
  <c r="AI224" i="67" s="1"/>
  <c r="Z174" i="67"/>
  <c r="AA174" i="67" s="1"/>
  <c r="Z149" i="67"/>
  <c r="AA149" i="67" s="1"/>
  <c r="F474" i="67"/>
  <c r="G474" i="67" s="1"/>
  <c r="Z449" i="67"/>
  <c r="AA449" i="67" s="1"/>
  <c r="F399" i="67"/>
  <c r="G399" i="67" s="1"/>
  <c r="F349" i="67"/>
  <c r="G349" i="67" s="1"/>
  <c r="F324" i="67"/>
  <c r="G324" i="67" s="1"/>
  <c r="Z274" i="67"/>
  <c r="AA274" i="67" s="1"/>
  <c r="R249" i="67"/>
  <c r="S249" i="67" s="1"/>
  <c r="R224" i="67"/>
  <c r="S224" i="67" s="1"/>
  <c r="F449" i="67"/>
  <c r="G449" i="67" s="1"/>
  <c r="Z374" i="67"/>
  <c r="AA374" i="67" s="1"/>
  <c r="Z299" i="67"/>
  <c r="AA299" i="67" s="1"/>
  <c r="AH199" i="67"/>
  <c r="AI199" i="67" s="1"/>
  <c r="G261" i="67"/>
  <c r="F286" i="67"/>
  <c r="Z511" i="67"/>
  <c r="AA511" i="67" s="1"/>
  <c r="R436" i="67"/>
  <c r="S436" i="67" s="1"/>
  <c r="F411" i="67"/>
  <c r="G411" i="67" s="1"/>
  <c r="R386" i="67"/>
  <c r="S386" i="67" s="1"/>
  <c r="F361" i="67"/>
  <c r="G361" i="67" s="1"/>
  <c r="AH311" i="67"/>
  <c r="AI311" i="67" s="1"/>
  <c r="R261" i="67"/>
  <c r="S261" i="67" s="1"/>
  <c r="R236" i="67"/>
  <c r="S236" i="67" s="1"/>
  <c r="AH211" i="67"/>
  <c r="AI211" i="67" s="1"/>
  <c r="Z486" i="67"/>
  <c r="AA486" i="67" s="1"/>
  <c r="AH461" i="67"/>
  <c r="AI461" i="67" s="1"/>
  <c r="AH411" i="67"/>
  <c r="AI411" i="67" s="1"/>
  <c r="AH361" i="67"/>
  <c r="AI361" i="67" s="1"/>
  <c r="R311" i="67"/>
  <c r="S311" i="67" s="1"/>
  <c r="Z286" i="67"/>
  <c r="AA286" i="67" s="1"/>
  <c r="AH186" i="67"/>
  <c r="AI186" i="67" s="1"/>
  <c r="F511" i="67"/>
  <c r="G511" i="67" s="1"/>
  <c r="F486" i="67"/>
  <c r="G486" i="67" s="1"/>
  <c r="R461" i="67"/>
  <c r="S461" i="67" s="1"/>
  <c r="Z336" i="67"/>
  <c r="AA336" i="67" s="1"/>
  <c r="R211" i="67"/>
  <c r="S211" i="67" s="1"/>
  <c r="AH511" i="67"/>
  <c r="AI511" i="67" s="1"/>
  <c r="Z436" i="67"/>
  <c r="AA436" i="67" s="1"/>
  <c r="R411" i="67"/>
  <c r="S411" i="67" s="1"/>
  <c r="Z386" i="67"/>
  <c r="AA386" i="67" s="1"/>
  <c r="R361" i="67"/>
  <c r="S361" i="67" s="1"/>
  <c r="Z261" i="67"/>
  <c r="AA261" i="67" s="1"/>
  <c r="Z236" i="67"/>
  <c r="AA236" i="67" s="1"/>
  <c r="R186" i="67"/>
  <c r="S186" i="67" s="1"/>
  <c r="AH161" i="67"/>
  <c r="AI161" i="67" s="1"/>
  <c r="AH486" i="67"/>
  <c r="AI486" i="67" s="1"/>
  <c r="F336" i="67"/>
  <c r="G336" i="67" s="1"/>
  <c r="AH286" i="67"/>
  <c r="AI286" i="67" s="1"/>
  <c r="R161" i="67"/>
  <c r="S161" i="67" s="1"/>
  <c r="R511" i="67"/>
  <c r="S511" i="67" s="1"/>
  <c r="R486" i="67"/>
  <c r="S486" i="67" s="1"/>
  <c r="Z461" i="67"/>
  <c r="AA461" i="67" s="1"/>
  <c r="F436" i="67"/>
  <c r="G436" i="67" s="1"/>
  <c r="F386" i="67"/>
  <c r="G386" i="67" s="1"/>
  <c r="AH336" i="67"/>
  <c r="AI336" i="67" s="1"/>
  <c r="Z311" i="67"/>
  <c r="AA311" i="67" s="1"/>
  <c r="Z211" i="67"/>
  <c r="AA211" i="67" s="1"/>
  <c r="AH436" i="67"/>
  <c r="AI436" i="67" s="1"/>
  <c r="Z411" i="67"/>
  <c r="AA411" i="67" s="1"/>
  <c r="AH386" i="67"/>
  <c r="AI386" i="67" s="1"/>
  <c r="Z361" i="67"/>
  <c r="AA361" i="67" s="1"/>
  <c r="R286" i="67"/>
  <c r="S286" i="67" s="1"/>
  <c r="AH261" i="67"/>
  <c r="AI261" i="67" s="1"/>
  <c r="AH236" i="67"/>
  <c r="AI236" i="67" s="1"/>
  <c r="Z186" i="67"/>
  <c r="AA186" i="67" s="1"/>
  <c r="F461" i="67"/>
  <c r="G461" i="67" s="1"/>
  <c r="R336" i="67"/>
  <c r="S336" i="67" s="1"/>
  <c r="Z161" i="67"/>
  <c r="AA161" i="67" s="1"/>
  <c r="G276" i="67"/>
  <c r="F301" i="67"/>
  <c r="G301" i="67" s="1"/>
  <c r="G242" i="65"/>
  <c r="F330" i="65"/>
  <c r="G330" i="65" s="1"/>
  <c r="Z505" i="65"/>
  <c r="AA505" i="65" s="1"/>
  <c r="Z205" i="65"/>
  <c r="AA205" i="65" s="1"/>
  <c r="R180" i="65"/>
  <c r="S180" i="65" s="1"/>
  <c r="AH255" i="65"/>
  <c r="AI255" i="65" s="1"/>
  <c r="R230" i="65"/>
  <c r="S230" i="65" s="1"/>
  <c r="AH155" i="65"/>
  <c r="AI155" i="65" s="1"/>
  <c r="F280" i="65"/>
  <c r="G280" i="65" s="1"/>
  <c r="AH180" i="65"/>
  <c r="AI180" i="65" s="1"/>
  <c r="Z305" i="65"/>
  <c r="AA305" i="65" s="1"/>
  <c r="R255" i="65"/>
  <c r="S255" i="65" s="1"/>
  <c r="AH205" i="65"/>
  <c r="AI205" i="65" s="1"/>
  <c r="R155" i="65"/>
  <c r="S155" i="65" s="1"/>
  <c r="Z230" i="65"/>
  <c r="AA230" i="65" s="1"/>
  <c r="R205" i="65"/>
  <c r="S205" i="65" s="1"/>
  <c r="Z180" i="65"/>
  <c r="AA180" i="65" s="1"/>
  <c r="Z330" i="65"/>
  <c r="AA330" i="65" s="1"/>
  <c r="AH230" i="65"/>
  <c r="AI230" i="65" s="1"/>
  <c r="Z280" i="65"/>
  <c r="AA280" i="65" s="1"/>
  <c r="Z155" i="65"/>
  <c r="AA155" i="65" s="1"/>
  <c r="G255" i="65"/>
  <c r="R505" i="65"/>
  <c r="S505" i="65" s="1"/>
  <c r="R280" i="65"/>
  <c r="S280" i="65" s="1"/>
  <c r="R480" i="65"/>
  <c r="S480" i="65" s="1"/>
  <c r="Z405" i="65"/>
  <c r="AA405" i="65" s="1"/>
  <c r="AH480" i="65"/>
  <c r="AI480" i="65" s="1"/>
  <c r="R455" i="65"/>
  <c r="S455" i="65" s="1"/>
  <c r="Z480" i="65"/>
  <c r="AA480" i="65" s="1"/>
  <c r="Z355" i="65"/>
  <c r="AA355" i="65" s="1"/>
  <c r="Z455" i="65"/>
  <c r="AA455" i="65" s="1"/>
  <c r="R305" i="65"/>
  <c r="S305" i="65" s="1"/>
  <c r="AH380" i="65"/>
  <c r="AI380" i="65" s="1"/>
  <c r="R405" i="65"/>
  <c r="S405" i="65" s="1"/>
  <c r="AH355" i="65"/>
  <c r="AI355" i="65" s="1"/>
  <c r="AH330" i="65"/>
  <c r="AI330" i="65" s="1"/>
  <c r="F305" i="65"/>
  <c r="G305" i="65" s="1"/>
  <c r="F405" i="65"/>
  <c r="G405" i="65" s="1"/>
  <c r="F505" i="65"/>
  <c r="G505" i="65" s="1"/>
  <c r="AH305" i="65"/>
  <c r="AI305" i="65" s="1"/>
  <c r="R330" i="65"/>
  <c r="S330" i="65" s="1"/>
  <c r="AH455" i="65"/>
  <c r="AI455" i="65" s="1"/>
  <c r="F430" i="65"/>
  <c r="G430" i="65" s="1"/>
  <c r="AH430" i="65"/>
  <c r="AI430" i="65" s="1"/>
  <c r="AH405" i="65"/>
  <c r="AI405" i="65" s="1"/>
  <c r="F380" i="65"/>
  <c r="G380" i="65" s="1"/>
  <c r="Z430" i="65"/>
  <c r="AA430" i="65" s="1"/>
  <c r="R430" i="65"/>
  <c r="S430" i="65" s="1"/>
  <c r="R355" i="65"/>
  <c r="S355" i="65" s="1"/>
  <c r="AH505" i="65"/>
  <c r="AI505" i="65" s="1"/>
  <c r="F355" i="65"/>
  <c r="G355" i="65" s="1"/>
  <c r="F455" i="65"/>
  <c r="G455" i="65" s="1"/>
  <c r="Z255" i="65"/>
  <c r="AA255" i="65" s="1"/>
  <c r="R380" i="65"/>
  <c r="S380" i="65" s="1"/>
  <c r="Z380" i="65"/>
  <c r="AA380" i="65" s="1"/>
  <c r="F480" i="65"/>
  <c r="G480" i="65" s="1"/>
  <c r="AH280" i="65"/>
  <c r="AI280" i="65" s="1"/>
  <c r="Z281" i="65"/>
  <c r="AA281" i="65" s="1"/>
  <c r="Z231" i="65"/>
  <c r="AA231" i="65" s="1"/>
  <c r="Z256" i="65"/>
  <c r="AA256" i="65" s="1"/>
  <c r="R181" i="65"/>
  <c r="S181" i="65" s="1"/>
  <c r="Z206" i="65"/>
  <c r="AA206" i="65" s="1"/>
  <c r="AH206" i="65"/>
  <c r="AI206" i="65" s="1"/>
  <c r="Z181" i="65"/>
  <c r="AA181" i="65" s="1"/>
  <c r="R156" i="65"/>
  <c r="S156" i="65" s="1"/>
  <c r="R206" i="65"/>
  <c r="S206" i="65" s="1"/>
  <c r="Z156" i="65"/>
  <c r="AA156" i="65" s="1"/>
  <c r="AH156" i="65"/>
  <c r="AI156" i="65" s="1"/>
  <c r="AH181" i="65"/>
  <c r="AI181" i="65" s="1"/>
  <c r="R431" i="65"/>
  <c r="S431" i="65" s="1"/>
  <c r="F306" i="65"/>
  <c r="G306" i="65" s="1"/>
  <c r="F431" i="65"/>
  <c r="G431" i="65" s="1"/>
  <c r="R281" i="65"/>
  <c r="S281" i="65" s="1"/>
  <c r="R406" i="65"/>
  <c r="S406" i="65" s="1"/>
  <c r="S417" i="65" s="1"/>
  <c r="R356" i="65"/>
  <c r="S356" i="65" s="1"/>
  <c r="AH281" i="65"/>
  <c r="AI281" i="65" s="1"/>
  <c r="R456" i="65"/>
  <c r="S456" i="65" s="1"/>
  <c r="AH506" i="65"/>
  <c r="AI506" i="65" s="1"/>
  <c r="Z381" i="65"/>
  <c r="AA381" i="65" s="1"/>
  <c r="Z506" i="65"/>
  <c r="AA506" i="65" s="1"/>
  <c r="AH356" i="65"/>
  <c r="AI356" i="65" s="1"/>
  <c r="AH481" i="65"/>
  <c r="AI481" i="65" s="1"/>
  <c r="F456" i="65"/>
  <c r="G456" i="65" s="1"/>
  <c r="AH381" i="65"/>
  <c r="AI381" i="65" s="1"/>
  <c r="Z356" i="65"/>
  <c r="AA356" i="65" s="1"/>
  <c r="F406" i="65"/>
  <c r="G406" i="65" s="1"/>
  <c r="AH231" i="65"/>
  <c r="AI231" i="65" s="1"/>
  <c r="R381" i="65"/>
  <c r="S381" i="65" s="1"/>
  <c r="R506" i="65"/>
  <c r="S506" i="65" s="1"/>
  <c r="Z306" i="65"/>
  <c r="AA306" i="65" s="1"/>
  <c r="F331" i="65"/>
  <c r="G331" i="65" s="1"/>
  <c r="R231" i="65"/>
  <c r="S231" i="65" s="1"/>
  <c r="F381" i="65"/>
  <c r="G381" i="65" s="1"/>
  <c r="Z481" i="65"/>
  <c r="AA481" i="65" s="1"/>
  <c r="R256" i="65"/>
  <c r="S256" i="65" s="1"/>
  <c r="AH456" i="65"/>
  <c r="AI456" i="65" s="1"/>
  <c r="Z331" i="65"/>
  <c r="AA331" i="65" s="1"/>
  <c r="AH431" i="65"/>
  <c r="AI431" i="65" s="1"/>
  <c r="Z406" i="65"/>
  <c r="AA406" i="65" s="1"/>
  <c r="Z456" i="65"/>
  <c r="AA456" i="65" s="1"/>
  <c r="F506" i="65"/>
  <c r="G506" i="65" s="1"/>
  <c r="AH331" i="65"/>
  <c r="AI331" i="65" s="1"/>
  <c r="R481" i="65"/>
  <c r="S481" i="65" s="1"/>
  <c r="F356" i="65"/>
  <c r="G356" i="65" s="1"/>
  <c r="G256" i="65"/>
  <c r="F481" i="65"/>
  <c r="G481" i="65" s="1"/>
  <c r="AH306" i="65"/>
  <c r="AI306" i="65" s="1"/>
  <c r="Z431" i="65"/>
  <c r="AA431" i="65" s="1"/>
  <c r="F281" i="65"/>
  <c r="G281" i="65" s="1"/>
  <c r="R331" i="65"/>
  <c r="S331" i="65" s="1"/>
  <c r="R306" i="65"/>
  <c r="S306" i="65" s="1"/>
  <c r="AH406" i="65"/>
  <c r="AI406" i="65" s="1"/>
  <c r="AH256" i="65"/>
  <c r="AI256" i="65" s="1"/>
  <c r="F2274" i="37"/>
  <c r="G2264" i="37"/>
  <c r="G2268" i="37" s="1"/>
  <c r="G2259" i="37" s="1"/>
  <c r="J257" i="68" l="1"/>
  <c r="G257" i="68"/>
  <c r="H257" i="68" s="1"/>
  <c r="I256" i="68"/>
  <c r="H235" i="68"/>
  <c r="J259" i="68"/>
  <c r="G259" i="68"/>
  <c r="H259" i="68" s="1"/>
  <c r="AI417" i="65"/>
  <c r="G317" i="65"/>
  <c r="AI217" i="65"/>
  <c r="AI367" i="65"/>
  <c r="G339" i="67"/>
  <c r="AA489" i="67"/>
  <c r="AA264" i="67"/>
  <c r="AA317" i="65"/>
  <c r="AI492" i="65"/>
  <c r="G364" i="67"/>
  <c r="AA339" i="67"/>
  <c r="AI289" i="67"/>
  <c r="AI189" i="67"/>
  <c r="AA514" i="67"/>
  <c r="G288" i="67"/>
  <c r="F313" i="67"/>
  <c r="G313" i="67" s="1"/>
  <c r="S292" i="65"/>
  <c r="F97" i="69"/>
  <c r="G96" i="69"/>
  <c r="AI214" i="67"/>
  <c r="F311" i="67"/>
  <c r="G311" i="67" s="1"/>
  <c r="G286" i="67"/>
  <c r="AI164" i="67"/>
  <c r="AA289" i="67"/>
  <c r="AI239" i="67"/>
  <c r="S389" i="67"/>
  <c r="S189" i="67"/>
  <c r="AI464" i="67"/>
  <c r="S489" i="67"/>
  <c r="G264" i="67"/>
  <c r="G274" i="67"/>
  <c r="F299" i="67"/>
  <c r="G299" i="67" s="1"/>
  <c r="F304" i="67"/>
  <c r="G304" i="67" s="1"/>
  <c r="G279" i="67"/>
  <c r="G267" i="65"/>
  <c r="S167" i="65"/>
  <c r="S264" i="67"/>
  <c r="AA189" i="67"/>
  <c r="AA214" i="67"/>
  <c r="S164" i="67"/>
  <c r="S464" i="67"/>
  <c r="G439" i="67"/>
  <c r="AI514" i="67"/>
  <c r="S239" i="67"/>
  <c r="AA164" i="67"/>
  <c r="S514" i="67"/>
  <c r="AI439" i="67"/>
  <c r="S414" i="67"/>
  <c r="AI414" i="67"/>
  <c r="AI489" i="67"/>
  <c r="G278" i="67"/>
  <c r="F303" i="67"/>
  <c r="G303" i="67" s="1"/>
  <c r="G514" i="67"/>
  <c r="AI267" i="65"/>
  <c r="AA242" i="65"/>
  <c r="G464" i="67"/>
  <c r="G489" i="67"/>
  <c r="S439" i="67"/>
  <c r="AI389" i="67"/>
  <c r="S364" i="67"/>
  <c r="AI364" i="67"/>
  <c r="AA439" i="67"/>
  <c r="AA467" i="65"/>
  <c r="S242" i="65"/>
  <c r="AA389" i="67"/>
  <c r="AA464" i="67"/>
  <c r="AA414" i="67"/>
  <c r="S314" i="67"/>
  <c r="S339" i="67"/>
  <c r="AI339" i="67"/>
  <c r="G389" i="67"/>
  <c r="F300" i="67"/>
  <c r="G300" i="67" s="1"/>
  <c r="G275" i="67"/>
  <c r="AI264" i="67"/>
  <c r="AA442" i="65"/>
  <c r="AA314" i="67"/>
  <c r="G414" i="67"/>
  <c r="AA364" i="67"/>
  <c r="S289" i="67"/>
  <c r="AI314" i="67"/>
  <c r="AA239" i="67"/>
  <c r="S214" i="67"/>
  <c r="G367" i="65"/>
  <c r="AA517" i="65"/>
  <c r="G442" i="65"/>
  <c r="AA417" i="65"/>
  <c r="G342" i="65"/>
  <c r="AI517" i="65"/>
  <c r="AI467" i="65"/>
  <c r="AI317" i="65"/>
  <c r="AI167" i="65"/>
  <c r="G492" i="65"/>
  <c r="G467" i="65"/>
  <c r="S367" i="65"/>
  <c r="AI292" i="65"/>
  <c r="G292" i="65"/>
  <c r="S342" i="65"/>
  <c r="S317" i="65"/>
  <c r="S517" i="65"/>
  <c r="AA192" i="65"/>
  <c r="S217" i="65"/>
  <c r="G517" i="65"/>
  <c r="S492" i="65"/>
  <c r="AA342" i="65"/>
  <c r="AI242" i="65"/>
  <c r="AI442" i="65"/>
  <c r="AI342" i="65"/>
  <c r="S467" i="65"/>
  <c r="AA292" i="65"/>
  <c r="S267" i="65"/>
  <c r="AA217" i="65"/>
  <c r="G392" i="65"/>
  <c r="G417" i="65"/>
  <c r="AA267" i="65"/>
  <c r="AA492" i="65"/>
  <c r="AA167" i="65"/>
  <c r="S192" i="65"/>
  <c r="S392" i="65"/>
  <c r="AA367" i="65"/>
  <c r="AA392" i="65"/>
  <c r="S442" i="65"/>
  <c r="AI392" i="65"/>
  <c r="AI192" i="65"/>
  <c r="F2284" i="37"/>
  <c r="G2274" i="37"/>
  <c r="G2278" i="37" s="1"/>
  <c r="G2269" i="37" s="1"/>
  <c r="I200" i="68" l="1"/>
  <c r="I242" i="68"/>
  <c r="I221" i="68"/>
  <c r="I181" i="68"/>
  <c r="I244" i="68"/>
  <c r="I202" i="68"/>
  <c r="I265" i="68"/>
  <c r="I223" i="68"/>
  <c r="J256" i="68"/>
  <c r="G256" i="68"/>
  <c r="H256" i="68" s="1"/>
  <c r="I198" i="68"/>
  <c r="I254" i="66"/>
  <c r="I347" i="66"/>
  <c r="G97" i="69"/>
  <c r="F98" i="69"/>
  <c r="G289" i="67"/>
  <c r="G314" i="67"/>
  <c r="G2284" i="37"/>
  <c r="G2288" i="37" s="1"/>
  <c r="G2279" i="37" s="1"/>
  <c r="F2294" i="37"/>
  <c r="G2294" i="37" s="1"/>
  <c r="G2298" i="37" s="1"/>
  <c r="G2289" i="37" s="1"/>
  <c r="J244" i="68" l="1"/>
  <c r="G244" i="68"/>
  <c r="H244" i="68" s="1"/>
  <c r="J347" i="66"/>
  <c r="G347" i="66"/>
  <c r="H347" i="66" s="1"/>
  <c r="J198" i="68"/>
  <c r="G198" i="68"/>
  <c r="H198" i="68" s="1"/>
  <c r="J223" i="68"/>
  <c r="G223" i="68"/>
  <c r="H223" i="68" s="1"/>
  <c r="J181" i="68"/>
  <c r="G181" i="68"/>
  <c r="H181" i="68" s="1"/>
  <c r="J265" i="68"/>
  <c r="G265" i="68"/>
  <c r="H265" i="68" s="1"/>
  <c r="J221" i="68"/>
  <c r="G221" i="68"/>
  <c r="H221" i="68" s="1"/>
  <c r="G254" i="66"/>
  <c r="H254" i="66" s="1"/>
  <c r="H490" i="66" s="1"/>
  <c r="J254" i="66"/>
  <c r="J490" i="66" s="1"/>
  <c r="J202" i="68"/>
  <c r="G202" i="68"/>
  <c r="H202" i="68" s="1"/>
  <c r="J242" i="68"/>
  <c r="G242" i="68"/>
  <c r="H242" i="68" s="1"/>
  <c r="H658" i="68" s="1"/>
  <c r="J200" i="68"/>
  <c r="G200" i="68"/>
  <c r="H200" i="68" s="1"/>
  <c r="F99" i="69"/>
  <c r="G98" i="69"/>
  <c r="J396" i="10"/>
  <c r="D396" i="10" s="1"/>
  <c r="J405" i="10"/>
  <c r="D405" i="10" s="1"/>
  <c r="J658" i="68" l="1"/>
  <c r="F24" i="75" s="1"/>
  <c r="F26" i="75" s="1"/>
  <c r="F34" i="75" s="1"/>
  <c r="E24" i="75"/>
  <c r="E26" i="75" s="1"/>
  <c r="G99" i="69"/>
  <c r="F100" i="69"/>
  <c r="C6" i="18"/>
  <c r="F27" i="75" l="1"/>
  <c r="G100" i="69"/>
  <c r="F101" i="69"/>
  <c r="C5" i="18"/>
  <c r="C3" i="18" s="1"/>
  <c r="C25" i="18"/>
  <c r="G101" i="69" l="1"/>
  <c r="F104" i="69"/>
  <c r="C8" i="18"/>
  <c r="C14" i="18"/>
  <c r="C17" i="18"/>
  <c r="C11" i="18"/>
  <c r="G104" i="69" l="1"/>
  <c r="F105" i="69"/>
  <c r="D17" i="18"/>
  <c r="E17" i="18" s="1"/>
  <c r="D19" i="18"/>
  <c r="D18" i="18"/>
  <c r="D9" i="18"/>
  <c r="D8" i="18"/>
  <c r="D10" i="18"/>
  <c r="D11" i="18"/>
  <c r="D13" i="18"/>
  <c r="D12" i="18"/>
  <c r="D15" i="18"/>
  <c r="D14" i="18"/>
  <c r="D16" i="18"/>
  <c r="G105" i="69" l="1"/>
  <c r="F106" i="69"/>
  <c r="E18" i="18"/>
  <c r="E9" i="18"/>
  <c r="E8" i="18"/>
  <c r="F10" i="18"/>
  <c r="E12" i="18"/>
  <c r="E15" i="18"/>
  <c r="E10" i="18"/>
  <c r="E19" i="18"/>
  <c r="F16" i="18"/>
  <c r="E14" i="18"/>
  <c r="E11" i="18"/>
  <c r="F13" i="18"/>
  <c r="E16" i="18"/>
  <c r="E13" i="18"/>
  <c r="F107" i="69" l="1"/>
  <c r="G106" i="69"/>
  <c r="C21" i="18"/>
  <c r="F108" i="69" l="1"/>
  <c r="G107" i="69"/>
  <c r="F109" i="69" l="1"/>
  <c r="G108" i="69"/>
  <c r="F112" i="69" l="1"/>
  <c r="G109" i="69"/>
  <c r="F113" i="69" l="1"/>
  <c r="G112" i="69"/>
  <c r="F114" i="69" l="1"/>
  <c r="G113" i="69"/>
  <c r="G114" i="69" l="1"/>
  <c r="F115" i="69"/>
  <c r="G115" i="69" l="1"/>
  <c r="F116" i="69"/>
  <c r="G116" i="69" l="1"/>
  <c r="F117" i="69"/>
  <c r="G117" i="69" l="1"/>
  <c r="F120" i="69"/>
  <c r="G120" i="69" l="1"/>
  <c r="F121" i="69"/>
  <c r="G121" i="69" l="1"/>
  <c r="F122" i="69"/>
  <c r="G122" i="69" l="1"/>
  <c r="F123" i="69"/>
  <c r="F124" i="69" l="1"/>
  <c r="G123" i="69"/>
  <c r="G124" i="69" l="1"/>
  <c r="F125" i="69"/>
  <c r="F128" i="69" l="1"/>
  <c r="G128" i="69" s="1"/>
  <c r="G125" i="69"/>
  <c r="I102" i="74"/>
  <c r="I104" i="74" l="1"/>
  <c r="E14" i="75" s="1"/>
  <c r="E15" i="75" s="1"/>
  <c r="E34" i="75" l="1"/>
  <c r="E27" i="75"/>
</calcChain>
</file>

<file path=xl/comments1.xml><?xml version="1.0" encoding="utf-8"?>
<comments xmlns="http://schemas.openxmlformats.org/spreadsheetml/2006/main">
  <authors>
    <author>Cepi</author>
  </authors>
  <commentList>
    <comment ref="F95" authorId="0">
      <text>
        <r>
          <rPr>
            <b/>
            <sz val="9"/>
            <color indexed="81"/>
            <rFont val="Tahoma"/>
            <family val="2"/>
          </rPr>
          <t>PPN:</t>
        </r>
        <r>
          <rPr>
            <sz val="9"/>
            <color indexed="81"/>
            <rFont val="Tahoma"/>
            <family val="2"/>
          </rPr>
          <t xml:space="preserve">
Referensi Siantan - Tayan Sec#2</t>
        </r>
      </text>
    </comment>
    <comment ref="H95" authorId="0">
      <text>
        <r>
          <rPr>
            <b/>
            <sz val="9"/>
            <color indexed="81"/>
            <rFont val="Tahoma"/>
            <family val="2"/>
          </rPr>
          <t>PPN:</t>
        </r>
        <r>
          <rPr>
            <sz val="9"/>
            <color indexed="81"/>
            <rFont val="Tahoma"/>
            <family val="2"/>
          </rPr>
          <t xml:space="preserve">
Referensi Siantan - Tayan Sec#2</t>
        </r>
      </text>
    </comment>
  </commentList>
</comments>
</file>

<file path=xl/sharedStrings.xml><?xml version="1.0" encoding="utf-8"?>
<sst xmlns="http://schemas.openxmlformats.org/spreadsheetml/2006/main" count="21911" uniqueCount="4358">
  <si>
    <t>Back Filling</t>
  </si>
  <si>
    <t>kg</t>
  </si>
  <si>
    <t>unit</t>
  </si>
  <si>
    <t>m</t>
  </si>
  <si>
    <t>m2</t>
  </si>
  <si>
    <t>sheet</t>
  </si>
  <si>
    <t>SCHEDULE 2 : BREAKDOWN PRICE ANALYSIS FOR CIVIL WORKS</t>
  </si>
  <si>
    <t>UNIT PRICE</t>
  </si>
  <si>
    <t>TOTAL PRICE</t>
  </si>
  <si>
    <t>KETERANGAN</t>
  </si>
  <si>
    <t>NO</t>
  </si>
  <si>
    <t>DESCRIPTION</t>
  </si>
  <si>
    <t>UNIT</t>
  </si>
  <si>
    <t>QTY</t>
  </si>
  <si>
    <t>LOCAL CURRENCY</t>
  </si>
  <si>
    <t>LOCAL</t>
  </si>
  <si>
    <t>PORTION</t>
  </si>
  <si>
    <t>(RUPIAH)</t>
  </si>
  <si>
    <t>A. PREPARATION WORK</t>
  </si>
  <si>
    <t>LA. 02 hal 176</t>
  </si>
  <si>
    <t xml:space="preserve"> - Material</t>
  </si>
  <si>
    <t xml:space="preserve">   - Beam meranti 5/7</t>
  </si>
  <si>
    <t xml:space="preserve">   - plywood 4 mm</t>
  </si>
  <si>
    <t xml:space="preserve">   - pondasi pas batu</t>
  </si>
  <si>
    <t xml:space="preserve">   - Nail</t>
  </si>
  <si>
    <t xml:space="preserve">   - Zinc</t>
  </si>
  <si>
    <t>lbr</t>
  </si>
  <si>
    <t xml:space="preserve">   - Paku asbes</t>
  </si>
  <si>
    <t xml:space="preserve">   - Beton K-100</t>
  </si>
  <si>
    <t xml:space="preserve">   - Louvre frame window</t>
  </si>
  <si>
    <t xml:space="preserve">   - cat dinding plafond</t>
  </si>
  <si>
    <t xml:space="preserve"> - Remuneration</t>
  </si>
  <si>
    <t xml:space="preserve">   - Worker</t>
  </si>
  <si>
    <t>man/day</t>
  </si>
  <si>
    <t xml:space="preserve">   - Brick Layer</t>
  </si>
  <si>
    <t xml:space="preserve">   - Brick layer Chief</t>
  </si>
  <si>
    <t xml:space="preserve">   - Supervisor</t>
  </si>
  <si>
    <t>LA. 03 hal 176     and PERMEN PUPR 2016 HAL 346</t>
  </si>
  <si>
    <t xml:space="preserve">   - plywood 18 mm</t>
  </si>
  <si>
    <t xml:space="preserve">   - Beam meranti 8/12 Class II</t>
  </si>
  <si>
    <t>m3</t>
  </si>
  <si>
    <t>Catatan: dalam PERMEN, satuan : m3, dalam jurnal, satuan batang/ frame</t>
  </si>
  <si>
    <t xml:space="preserve">   - Paint Wood</t>
  </si>
  <si>
    <t xml:space="preserve">   - Nail (5 cm and 7 cm)</t>
  </si>
  <si>
    <t xml:space="preserve">   - Steel L.30.30.3</t>
  </si>
  <si>
    <t xml:space="preserve">   - Carpenter</t>
  </si>
  <si>
    <t xml:space="preserve">   - Carpenter Chief</t>
  </si>
  <si>
    <t xml:space="preserve">   - Paint worker</t>
  </si>
  <si>
    <t>A.2.2.1.2 hal 370 and PERMEN PUPR 2016 HAL 571</t>
  </si>
  <si>
    <t xml:space="preserve">   - Dolken  φ 8-10/400 cm</t>
  </si>
  <si>
    <t>stick</t>
  </si>
  <si>
    <t xml:space="preserve">   - Portland  Cement</t>
  </si>
  <si>
    <t>Kg</t>
  </si>
  <si>
    <t xml:space="preserve">   - Sand (Pasir Beton)</t>
  </si>
  <si>
    <t xml:space="preserve">   - Split</t>
  </si>
  <si>
    <t xml:space="preserve">   - Nail 2' - 5'</t>
  </si>
  <si>
    <t xml:space="preserve">   - Naturally Paint (Meni Besi)</t>
  </si>
  <si>
    <t>liter</t>
  </si>
  <si>
    <t>Catatan: dalam PERMEN, satuan : liter, dalam jurnal, satuan: kaleng</t>
  </si>
  <si>
    <t>A.2.2.1.4 hal 371</t>
  </si>
  <si>
    <t xml:space="preserve">   - Plank meranti 3/20</t>
  </si>
  <si>
    <t xml:space="preserve">   - Carpenter chief</t>
  </si>
  <si>
    <t>SDA: A.1.1 hal 69 + tambahan sewa mesin pemotong rumput</t>
  </si>
  <si>
    <t>Equipment</t>
  </si>
  <si>
    <t>- Mesin Potong Rumput</t>
  </si>
  <si>
    <t>unit/day</t>
  </si>
  <si>
    <t>- Remuneration</t>
  </si>
  <si>
    <t>man/hour</t>
  </si>
  <si>
    <t xml:space="preserve">  - Operator</t>
  </si>
  <si>
    <t>Permen PU halaman 207</t>
  </si>
  <si>
    <t>- Equipment</t>
  </si>
  <si>
    <t xml:space="preserve">   - Buldozer</t>
  </si>
  <si>
    <t>hour</t>
  </si>
  <si>
    <t xml:space="preserve">   - Alat Bantu</t>
  </si>
  <si>
    <t>Ls</t>
  </si>
  <si>
    <t>- Material</t>
  </si>
  <si>
    <t xml:space="preserve">   - BBM (solar)</t>
  </si>
  <si>
    <t>Ltr</t>
  </si>
  <si>
    <t>Remuneration</t>
  </si>
  <si>
    <t xml:space="preserve">    - Worker</t>
  </si>
  <si>
    <t xml:space="preserve">    - Supervisor</t>
  </si>
  <si>
    <t xml:space="preserve">    - Water Pump</t>
  </si>
  <si>
    <t xml:space="preserve">    - Tools (wrench, rope)</t>
  </si>
  <si>
    <t xml:space="preserve">    - Genset</t>
  </si>
  <si>
    <t xml:space="preserve">    - Wire</t>
  </si>
  <si>
    <t xml:space="preserve">    - Water Hose layflat</t>
  </si>
  <si>
    <t xml:space="preserve">    - BBM/solar</t>
  </si>
  <si>
    <t>litre</t>
  </si>
  <si>
    <t>B. SOIL WORK</t>
  </si>
  <si>
    <t>SNI 2835 TAHUN 2008, HAL 3</t>
  </si>
  <si>
    <t>galian tanah keras hingga kedalaman  2 meter</t>
  </si>
  <si>
    <t>Permen PUPR hal 92</t>
  </si>
  <si>
    <t>Renumeration</t>
  </si>
  <si>
    <t>Material</t>
  </si>
  <si>
    <t xml:space="preserve"> - BBM </t>
  </si>
  <si>
    <t>ltr</t>
  </si>
  <si>
    <t>Tools</t>
  </si>
  <si>
    <t xml:space="preserve"> - Jack Hammer</t>
  </si>
  <si>
    <t>unit-day</t>
  </si>
  <si>
    <t>A.2.3.1.4 hal 378</t>
  </si>
  <si>
    <t>1. Sewa Mesin Potong Rumput /hari</t>
  </si>
  <si>
    <t>A.2.3.1.5 hal 379</t>
  </si>
  <si>
    <t>tanah berbatuan Kedalaman 1 meter</t>
  </si>
  <si>
    <t>permen pu 2013 Halaman 207</t>
  </si>
  <si>
    <t xml:space="preserve">   - Excavator Setara Komatsu PC-200-6 (0.8 - 0.9 m3)</t>
  </si>
  <si>
    <t xml:space="preserve">   - Dump Truck</t>
  </si>
  <si>
    <t>A.2.3.1.9 hal 380</t>
  </si>
  <si>
    <t>A.2.3.1.8 hal 380</t>
  </si>
  <si>
    <t>A.2.3.1.11 hal 381</t>
  </si>
  <si>
    <t xml:space="preserve">   - Sand (Pasir Urug)</t>
  </si>
  <si>
    <t>A.2.3.1.11</t>
  </si>
  <si>
    <t xml:space="preserve">   - Soil (tanah merah)</t>
  </si>
  <si>
    <t xml:space="preserve">  -  Solar</t>
  </si>
  <si>
    <t xml:space="preserve">   - Operator</t>
  </si>
  <si>
    <t>Rent of Equipment</t>
  </si>
  <si>
    <t xml:space="preserve"> - Excavator</t>
  </si>
  <si>
    <t xml:space="preserve"> - Truck</t>
  </si>
  <si>
    <t xml:space="preserve"> - Vibro roller</t>
  </si>
  <si>
    <t xml:space="preserve"> - Water Truck</t>
  </si>
  <si>
    <t>T.14 hal 82</t>
  </si>
  <si>
    <t>timbunan + Pemadatan pasir</t>
  </si>
  <si>
    <t xml:space="preserve">   - Sand</t>
  </si>
  <si>
    <t xml:space="preserve">  -Stamper </t>
  </si>
  <si>
    <t xml:space="preserve">   - Gravel</t>
  </si>
  <si>
    <t>tidak ada dalam PERMEN</t>
  </si>
  <si>
    <t>tidak tercantum upah</t>
  </si>
  <si>
    <t>luasan m2 tebal 20 cm</t>
  </si>
  <si>
    <t xml:space="preserve">  - Supervisor</t>
  </si>
  <si>
    <t>Permen PU Halaman 2013</t>
  </si>
  <si>
    <t xml:space="preserve">   - Buldozer (100 - 150 HP)</t>
  </si>
  <si>
    <t>unit/hour</t>
  </si>
  <si>
    <t xml:space="preserve">      - Biaya Sewa Alat</t>
  </si>
  <si>
    <t xml:space="preserve">      - Bahan Bakar</t>
  </si>
  <si>
    <t xml:space="preserve">      - Pelumas</t>
  </si>
  <si>
    <t xml:space="preserve">      - Biaya Bengkel</t>
  </si>
  <si>
    <t xml:space="preserve">      - Perawatan &amp; perbaikan</t>
  </si>
  <si>
    <t xml:space="preserve">      - Operator</t>
  </si>
  <si>
    <t xml:space="preserve">      - Pembantu Operator</t>
  </si>
  <si>
    <t>C. CONCRETE WORK (Brick, Concrete, steel, foundation, piling)</t>
  </si>
  <si>
    <t>A.4.4.1.9 hal 433</t>
  </si>
  <si>
    <t xml:space="preserve">   - Red brick</t>
  </si>
  <si>
    <t>pcs</t>
  </si>
  <si>
    <t>Catatan: dalam PERMEN, satuan: m3. dalam jurnal, satuan buah</t>
  </si>
  <si>
    <t xml:space="preserve">   - Portland cement (PC)</t>
  </si>
  <si>
    <t xml:space="preserve">   - Sand (Pasir Pasang)</t>
  </si>
  <si>
    <t xml:space="preserve">   - Brick layer</t>
  </si>
  <si>
    <t xml:space="preserve">   -Brick Layer chief</t>
  </si>
  <si>
    <t>A.4.4.1.7 hal 432</t>
  </si>
  <si>
    <t>A.4.4.2.4 hal 442</t>
  </si>
  <si>
    <t xml:space="preserve">  - Brick Layer chief</t>
  </si>
  <si>
    <t>A.4.4.2.2 hal 441</t>
  </si>
  <si>
    <t>A.4.4.2.27 hal 454</t>
  </si>
  <si>
    <t>A.4.1.1.4 hal 389</t>
  </si>
  <si>
    <t xml:space="preserve">   - Split 2/3</t>
  </si>
  <si>
    <t xml:space="preserve">   - Water</t>
  </si>
  <si>
    <t xml:space="preserve">   - Brick Layer chief</t>
  </si>
  <si>
    <t>B.02 hal 121</t>
  </si>
  <si>
    <t xml:space="preserve"> - Equipment</t>
  </si>
  <si>
    <t xml:space="preserve">   - Mollen 0.35 m3</t>
  </si>
  <si>
    <t xml:space="preserve">   - Brick layer chief</t>
  </si>
  <si>
    <t>B.05 hal 124</t>
  </si>
  <si>
    <t>B.10 hal 129</t>
  </si>
  <si>
    <t>B.07 hal 126</t>
  </si>
  <si>
    <t xml:space="preserve">   - Sand (Pasir beton)</t>
  </si>
  <si>
    <t>P.01 hal 90</t>
  </si>
  <si>
    <t xml:space="preserve">   - Crushed stone </t>
  </si>
  <si>
    <t xml:space="preserve">  - Molen of Machine</t>
  </si>
  <si>
    <t xml:space="preserve">  - Molen Machine</t>
  </si>
  <si>
    <t>B.27 hal 141</t>
  </si>
  <si>
    <t xml:space="preserve">   - beam meranti 5/7</t>
  </si>
  <si>
    <t>2 kali pemakaian</t>
  </si>
  <si>
    <t>B.17 hal 135</t>
  </si>
  <si>
    <t xml:space="preserve">   - Steel Bar (Reinforcement) U 24 or BJTP 24</t>
  </si>
  <si>
    <t xml:space="preserve">   - Concrete wire</t>
  </si>
  <si>
    <t xml:space="preserve">   - Steel worker</t>
  </si>
  <si>
    <t xml:space="preserve">   - Chief of steel Worker </t>
  </si>
  <si>
    <t xml:space="preserve">   Per kg</t>
  </si>
  <si>
    <t xml:space="preserve">   - Steel Bar (Reinforcement) U 39 or BJTD 39</t>
  </si>
  <si>
    <t>tdk ada dalam PERMEN</t>
  </si>
  <si>
    <t xml:space="preserve">   - Steel Structure (HTS)</t>
  </si>
  <si>
    <t>ton</t>
  </si>
  <si>
    <t xml:space="preserve">   - Steel Structure (MS)</t>
  </si>
  <si>
    <t xml:space="preserve">   - Bolt and Nuts </t>
  </si>
  <si>
    <t xml:space="preserve">   - Band plate </t>
  </si>
  <si>
    <t xml:space="preserve">  Per kg</t>
  </si>
  <si>
    <t xml:space="preserve">   - Profil IWF</t>
  </si>
  <si>
    <t xml:space="preserve">   - Steel painting</t>
  </si>
  <si>
    <t xml:space="preserve">   - Welder</t>
  </si>
  <si>
    <t xml:space="preserve">   - Welder chief</t>
  </si>
  <si>
    <t xml:space="preserve">  - Welding Machine</t>
  </si>
  <si>
    <t>F.03 hal 152</t>
  </si>
  <si>
    <t>sangat berbeda dengan permen, permen langsung menggambarka 1 tiang pancang sedangkan PLNE dengan harga masing2 bahan tiang pancang</t>
  </si>
  <si>
    <t>diskusi ke uip V dahulu</t>
  </si>
  <si>
    <t xml:space="preserve">   - Driven Pile with reinforced concrete 30x30 cm</t>
  </si>
  <si>
    <t>m'</t>
  </si>
  <si>
    <t xml:space="preserve">   - Tripod height 5 m</t>
  </si>
  <si>
    <t xml:space="preserve">   - Hammer 1-2 ton manual</t>
  </si>
  <si>
    <t xml:space="preserve">   - Pile connection</t>
  </si>
  <si>
    <t xml:space="preserve">   - Driven Pile with reinforced concrete 20x20 cm</t>
  </si>
  <si>
    <t>F.08 hal. 154</t>
  </si>
  <si>
    <t xml:space="preserve">   - Sheet Pile Corrugated Precast 40 x 15</t>
  </si>
  <si>
    <t>- Dolken  dia 10 cm</t>
  </si>
  <si>
    <t>- Hammer 1-2 ton (manually)</t>
  </si>
  <si>
    <t>- Tripod height 5 m</t>
  </si>
  <si>
    <t>pc</t>
  </si>
  <si>
    <t xml:space="preserve">    - Operator</t>
  </si>
  <si>
    <t xml:space="preserve">    - Steel Worker</t>
  </si>
  <si>
    <t xml:space="preserve">    - Truk Trailer 20 feet</t>
  </si>
  <si>
    <t xml:space="preserve">    - Forklift kapasitas 3 ton</t>
  </si>
  <si>
    <t>Tools (include sling, clamp, etc)</t>
  </si>
  <si>
    <t>ls</t>
  </si>
  <si>
    <t>BBM + Tolls</t>
  </si>
  <si>
    <t xml:space="preserve">    - BBM / Solar</t>
  </si>
  <si>
    <t xml:space="preserve">    - Tolls</t>
  </si>
  <si>
    <t>-Remuneration</t>
  </si>
  <si>
    <t>B.40 hal. 148</t>
  </si>
  <si>
    <t>-Equipment</t>
  </si>
  <si>
    <t xml:space="preserve"> -  Jack Hammer</t>
  </si>
  <si>
    <t>permen pu hal 94</t>
  </si>
  <si>
    <t xml:space="preserve">   - Palu / Godam</t>
  </si>
  <si>
    <t xml:space="preserve">   - Pahat Beton (Baja Keras)</t>
  </si>
  <si>
    <t xml:space="preserve">   - Linggis (Baja Keras)</t>
  </si>
  <si>
    <t>A.2.2.1.13 hal. 375</t>
  </si>
  <si>
    <t xml:space="preserve">   - Sewa  Jack Hammer</t>
  </si>
  <si>
    <t>day</t>
  </si>
  <si>
    <t>Rata - rata jasa pengeboran sumur dalam di DKI tahun 2016</t>
  </si>
  <si>
    <t>bh</t>
  </si>
  <si>
    <t xml:space="preserve">   - Scaffholding</t>
  </si>
  <si>
    <t xml:space="preserve">      Main Frame Scaffolding 1.9 m</t>
  </si>
  <si>
    <t xml:space="preserve">      Horizontal Frame Scaffolding</t>
  </si>
  <si>
    <t xml:space="preserve">      Cross Brace</t>
  </si>
  <si>
    <t xml:space="preserve">      Jack Base Scaffolding</t>
  </si>
  <si>
    <t xml:space="preserve">   - Anchor</t>
  </si>
  <si>
    <t xml:space="preserve">   - Steel Worker</t>
  </si>
  <si>
    <t xml:space="preserve">   - Welding Machine</t>
  </si>
  <si>
    <t xml:space="preserve">   - Genset</t>
  </si>
  <si>
    <t xml:space="preserve"> </t>
  </si>
  <si>
    <t xml:space="preserve">Material </t>
  </si>
  <si>
    <t xml:space="preserve">    - BBM (Solar)</t>
  </si>
  <si>
    <t xml:space="preserve">    - Tools (seling, tirfor, etc)</t>
  </si>
  <si>
    <t xml:space="preserve">    - Chain block</t>
  </si>
  <si>
    <t xml:space="preserve">    - Haspel</t>
  </si>
  <si>
    <t>A.4.5.2.40 hal. 510</t>
  </si>
  <si>
    <t>A.4.5.1.7 hal 489</t>
  </si>
  <si>
    <t xml:space="preserve">   - Gypsum board 9 mm</t>
  </si>
  <si>
    <t xml:space="preserve">   - Nail screws</t>
  </si>
  <si>
    <t xml:space="preserve">   - list gypsum profil</t>
  </si>
  <si>
    <t xml:space="preserve">   - Tepung gypsum</t>
  </si>
  <si>
    <t>A.4.4.3.13 hal. 460</t>
  </si>
  <si>
    <t xml:space="preserve">   - Granite tile 600 x 600 mm</t>
  </si>
  <si>
    <t>Cat: dalam PERMEN, satuan buah. Dalam jurnal, satuan m2</t>
  </si>
  <si>
    <t xml:space="preserve">   - Portland Cement (PC)</t>
  </si>
  <si>
    <t xml:space="preserve">   - Colour Cement (PC)</t>
  </si>
  <si>
    <t>A.4.4.3.10 hal 459</t>
  </si>
  <si>
    <t xml:space="preserve">   - Granite tile 300 x 300 mm</t>
  </si>
  <si>
    <t xml:space="preserve">   - Colour Cement </t>
  </si>
  <si>
    <t xml:space="preserve">   - Granite tile 300 x 600 mm</t>
  </si>
  <si>
    <t>A.4.4.3.11 hal 459</t>
  </si>
  <si>
    <t xml:space="preserve">   - Not glazed ceramic floor tiles 400 x 400 mm</t>
  </si>
  <si>
    <t xml:space="preserve">   - Colour Cement</t>
  </si>
  <si>
    <t>A.4.4.3.9 hal. 458</t>
  </si>
  <si>
    <t xml:space="preserve">   - Granite wall tiles 400 x 400 mm</t>
  </si>
  <si>
    <t>A.4.4.3.28 hal. 468</t>
  </si>
  <si>
    <t xml:space="preserve">   - Granite plint tile 100 x 300 mm  </t>
  </si>
  <si>
    <t xml:space="preserve">   - Brick layerr chief</t>
  </si>
  <si>
    <t>A.4.4.3.21 hal. 464</t>
  </si>
  <si>
    <t xml:space="preserve">   - Glazed plint tiles 100 x 400 mm  </t>
  </si>
  <si>
    <t>A.4.4.3.18 hal. 463</t>
  </si>
  <si>
    <t xml:space="preserve">   - Stepnosing 100 x 400 mm</t>
  </si>
  <si>
    <t xml:space="preserve">   -  Roofing klip lock HI-TEN </t>
  </si>
  <si>
    <t xml:space="preserve">   -  Nail drat (Paku hak panjang 15 cm)</t>
  </si>
  <si>
    <t xml:space="preserve">   -  Nail drat</t>
  </si>
  <si>
    <t>A.4.5.2.41 hal. 510</t>
  </si>
  <si>
    <t xml:space="preserve">   -  Nok Standard  HI-TEN (40x18)</t>
  </si>
  <si>
    <t>A.4.5.2.41 hal.510</t>
  </si>
  <si>
    <t>A.4.5.2.42 hal. 511</t>
  </si>
  <si>
    <t xml:space="preserve">   -  Glasswool t=10 cm, aluminium foil (single sided) with 2 (two) layer</t>
  </si>
  <si>
    <t xml:space="preserve">   -  Roof mesh</t>
  </si>
  <si>
    <t>Cat: dalam PERMEN tidak tercantum material roof mesh</t>
  </si>
  <si>
    <t>A.4.7.1.18 hal. 545</t>
  </si>
  <si>
    <t xml:space="preserve">   -Naturally Paint (Meni) A</t>
  </si>
  <si>
    <t xml:space="preserve">   -Naturally Paint (Meni) B</t>
  </si>
  <si>
    <t xml:space="preserve">   - Colour painting steel</t>
  </si>
  <si>
    <t xml:space="preserve">   - Kuas</t>
  </si>
  <si>
    <t xml:space="preserve">   - Thinner</t>
  </si>
  <si>
    <t xml:space="preserve">   - Chief of paint worker</t>
  </si>
  <si>
    <t>A.4.7.1.10 hal. 541</t>
  </si>
  <si>
    <t xml:space="preserve">   - Plamur</t>
  </si>
  <si>
    <t xml:space="preserve">   - Naturally paint</t>
  </si>
  <si>
    <t xml:space="preserve">   - Colour painting wall emulsi</t>
  </si>
  <si>
    <t xml:space="preserve">   - Paint Worker</t>
  </si>
  <si>
    <t xml:space="preserve">   - Colour painting wall weathershield</t>
  </si>
  <si>
    <t>Material :</t>
  </si>
  <si>
    <t xml:space="preserve">   - Pupuk kandang kering (1 karung = 7 kg)</t>
  </si>
  <si>
    <t>karung</t>
  </si>
  <si>
    <t xml:space="preserve">   - Tanaman pohon</t>
  </si>
  <si>
    <t xml:space="preserve">   - Tanaman Perdu (tanaman teh - tehan tinggi 25 - 35 cm)</t>
  </si>
  <si>
    <t xml:space="preserve">   - Rumput Gajah Mini</t>
  </si>
  <si>
    <t>Glass door (t=5mm) complete with aluminium frame and accessories:</t>
  </si>
  <si>
    <t xml:space="preserve">   a. Type P1  (single door+boven) 2900 x 1100 mm</t>
  </si>
  <si>
    <t xml:space="preserve">   b.Type P2  (double door+boven) 2900 x 1650 mm</t>
  </si>
  <si>
    <t>Type P3 (Single fibre door) 2050 x 800 mm</t>
  </si>
  <si>
    <t>Type P4 (Steel Galvanizing Automatic Roling door) 3500 x 2200 mm</t>
  </si>
  <si>
    <t>http://rollingdoorklu.com/</t>
  </si>
  <si>
    <t>Glass windows (t=5mm) &amp; ventilation complete with aluminium frame and accessories:</t>
  </si>
  <si>
    <t xml:space="preserve"> a.Type boven (1 casement glass) total area 700 x 800 mm</t>
  </si>
  <si>
    <t>jt</t>
  </si>
  <si>
    <t xml:space="preserve"> b.Type J1 (2 casement glass ) total area 800 x 1350 mm</t>
  </si>
  <si>
    <t xml:space="preserve"> c. Type J2 (2 window glass, 2 casement glass) total area 2350 x 1550 mm</t>
  </si>
  <si>
    <t xml:space="preserve"> d. Type J3 (3 window glass, 3 casment glass) total area 2350 x 2300 mm</t>
  </si>
  <si>
    <t xml:space="preserve"> f. Type V1 (boven, 2 fix glass) total area 1650 x 400 mm</t>
  </si>
  <si>
    <t>Type V2 (2 alumunium louver) total area 1650 x 300 mm</t>
  </si>
  <si>
    <t>inc</t>
  </si>
  <si>
    <t>http://olx.co.id/iklan/louvre-jalusi-aluminium-kusen-aluminium-IDiiuPX.html</t>
  </si>
  <si>
    <t xml:space="preserve">   - Waterproofing</t>
  </si>
  <si>
    <t xml:space="preserve">   - Serat Fiber</t>
  </si>
  <si>
    <t xml:space="preserve">   - Floorhardener</t>
  </si>
  <si>
    <t>A.5.1.1.1 hal. 547</t>
  </si>
  <si>
    <t xml:space="preserve">   - BBM</t>
  </si>
  <si>
    <t xml:space="preserve">   - Sewa Trowel</t>
  </si>
  <si>
    <t>Close-coupled with eco washer</t>
  </si>
  <si>
    <t xml:space="preserve">   - Close-coupled</t>
  </si>
  <si>
    <t xml:space="preserve">   - Jet Washer</t>
  </si>
  <si>
    <t xml:space="preserve">   - Accessories 6% x price water closed </t>
  </si>
  <si>
    <t>%</t>
  </si>
  <si>
    <t>A.5.1.1.4 hal. 549</t>
  </si>
  <si>
    <t>Lavatory basin</t>
  </si>
  <si>
    <t xml:space="preserve">   - Lavatory</t>
  </si>
  <si>
    <t>A.5.1.1.5 hal. 549</t>
  </si>
  <si>
    <t>Urinoir work</t>
  </si>
  <si>
    <t xml:space="preserve">   - Urinoir</t>
  </si>
  <si>
    <t xml:space="preserve">   - Portland Cement</t>
  </si>
  <si>
    <t xml:space="preserve">   - Accessories 30% x price urinoir</t>
  </si>
  <si>
    <t>Wash basin</t>
  </si>
  <si>
    <t xml:space="preserve">   - Wastafel</t>
  </si>
  <si>
    <t xml:space="preserve">   - Accessories 12% x price wastafel</t>
  </si>
  <si>
    <t>A.4.6.1.21 hal.521</t>
  </si>
  <si>
    <t>Cat: dalam PERMEN menggunakan kayu kelas I atau kelas II</t>
  </si>
  <si>
    <t>Sink Complete</t>
  </si>
  <si>
    <t xml:space="preserve">   - Sink</t>
  </si>
  <si>
    <t>Septictank cap 3 m3 (1 x 1.5 x  h = 2 )m included infiltrate cap  1 m3 (1 x 1 x 1) complete with PVC, palm fibre and sand stone</t>
  </si>
  <si>
    <t>- Exavation Soil</t>
  </si>
  <si>
    <t>- Half Brick 1 pc : 4 ps</t>
  </si>
  <si>
    <t xml:space="preserve">  - Pipa PVC 4"</t>
  </si>
  <si>
    <t xml:space="preserve">  - Pipa PVC 1"</t>
  </si>
  <si>
    <t xml:space="preserve">  - Elbow 1"</t>
  </si>
  <si>
    <t xml:space="preserve">  - seal tape</t>
  </si>
  <si>
    <t xml:space="preserve">  - lem pipa</t>
  </si>
  <si>
    <t>kaleng</t>
  </si>
  <si>
    <t xml:space="preserve">  - palm fibre</t>
  </si>
  <si>
    <t xml:space="preserve">  - split (t=20cm)</t>
  </si>
  <si>
    <t xml:space="preserve">  - lantai kerja K-100</t>
  </si>
  <si>
    <t xml:space="preserve">  - penutup septic tank K - 175 Fe = 100</t>
  </si>
  <si>
    <t xml:space="preserve">   - Brick Layer Chief</t>
  </si>
  <si>
    <t xml:space="preserve"> - Soil Excavation</t>
  </si>
  <si>
    <t xml:space="preserve">   - Common Excavation</t>
  </si>
  <si>
    <t xml:space="preserve">   - Back filling</t>
  </si>
  <si>
    <t xml:space="preserve"> - Sub Base Coarce</t>
  </si>
  <si>
    <t xml:space="preserve">   - Comp. Sand gravel (sirtu) 300 mm thick</t>
  </si>
  <si>
    <t xml:space="preserve"> - Base Coarce</t>
  </si>
  <si>
    <t xml:space="preserve">   - Crush stone 3 - 5, 250 mm thick</t>
  </si>
  <si>
    <t xml:space="preserve">   - Stomwalls operator</t>
  </si>
  <si>
    <t xml:space="preserve">   - Asphalt hot 60/70</t>
  </si>
  <si>
    <t xml:space="preserve">   - Dust split</t>
  </si>
  <si>
    <t xml:space="preserve">   - Split 1/2</t>
  </si>
  <si>
    <t xml:space="preserve">   - Firewood</t>
  </si>
  <si>
    <t xml:space="preserve">   - Asphalt Worker</t>
  </si>
  <si>
    <t xml:space="preserve">   - Hot mix</t>
  </si>
  <si>
    <t xml:space="preserve">   - Worker Aspalt</t>
  </si>
  <si>
    <t>kg/m3</t>
  </si>
  <si>
    <t xml:space="preserve">   - Asphalt pen 60/70</t>
  </si>
  <si>
    <t>bj</t>
  </si>
  <si>
    <t xml:space="preserve">   - Asphalt cair</t>
  </si>
  <si>
    <t xml:space="preserve">   - Worker  </t>
  </si>
  <si>
    <t xml:space="preserve">   - Tandem Roller</t>
  </si>
  <si>
    <t>http://sewaalatberat-trimurtisugih.blogspot.co.id/p/list-harga-sewa-alat-berat.html</t>
  </si>
  <si>
    <t xml:space="preserve">   - Water Tanker</t>
  </si>
  <si>
    <t xml:space="preserve">   - Crushed stone 3/4 cm</t>
  </si>
  <si>
    <t xml:space="preserve">   - Rent Stomwalls /stamper</t>
  </si>
  <si>
    <t xml:space="preserve">- Kerb concrete K-175 </t>
  </si>
  <si>
    <t>- Plaster 1 PC : 4 PS</t>
  </si>
  <si>
    <t>- Compacted sand t = 10 cm</t>
  </si>
  <si>
    <t>- Common excavation</t>
  </si>
  <si>
    <t>A.4.4.3.61 hal. 484</t>
  </si>
  <si>
    <t xml:space="preserve">   - Brick </t>
  </si>
  <si>
    <t>P.06 hal. 98</t>
  </si>
  <si>
    <t xml:space="preserve">   - Concrete Sand (Pasir Beton)</t>
  </si>
  <si>
    <t xml:space="preserve">   - Reinforced Concrete BJTP-24</t>
  </si>
  <si>
    <t>F.05 hal 153</t>
  </si>
  <si>
    <t>- Crushed Stone</t>
  </si>
  <si>
    <t>- Galvanised Wire Mash dia 2,7 mm</t>
  </si>
  <si>
    <t>- Worker (Pengisi Batu)</t>
  </si>
  <si>
    <t>- Worker (Pekerja Penganyam)</t>
  </si>
  <si>
    <t>- Supervisor</t>
  </si>
  <si>
    <t>- Steel Worker (Tukang Penganyam)</t>
  </si>
  <si>
    <t>1m' Fence BRC height 1.90 m</t>
  </si>
  <si>
    <t>- BRC height 1.90 m</t>
  </si>
  <si>
    <t>- Steel pipe dia  2 inc and clamp</t>
  </si>
  <si>
    <t>- Barbed wire</t>
  </si>
  <si>
    <t>- Sloof 20/30 reinforced concrete K 175;</t>
  </si>
  <si>
    <t>- Excavation of Soil</t>
  </si>
  <si>
    <t>- Back Filling</t>
  </si>
  <si>
    <t>- Erection of Fence</t>
  </si>
  <si>
    <t>- BRC height 1.50 m</t>
  </si>
  <si>
    <t>- Galvanized Wire Mesh height 2.00 m</t>
  </si>
  <si>
    <t>- Galvanized steel angle 40.40.5</t>
  </si>
  <si>
    <t>- Strip plat 20.3</t>
  </si>
  <si>
    <t>Sliding Gate BRC height 1.50 m wide 6.3 m</t>
  </si>
  <si>
    <t>- Steel pipe dia  3 inc</t>
  </si>
  <si>
    <t>- Pipe of support dia  2 inc and clamp</t>
  </si>
  <si>
    <t>- Colom 30/60 reinforced concrete K 175;</t>
  </si>
  <si>
    <t>- Erection of Gate</t>
  </si>
  <si>
    <t>- Concrete height 2.00 m</t>
  </si>
  <si>
    <t>- Colom 30/50 rinforced concrete K 175;</t>
  </si>
  <si>
    <t>- Sloof 30/40 reinforced concrete K 175;</t>
  </si>
  <si>
    <t>- Brick 1pc : 4ps</t>
  </si>
  <si>
    <t>- Plaster cement 1 pc : 4 ps thickness 10 mm</t>
  </si>
  <si>
    <t>- Colom 20/30 reinforced concrete K 175;</t>
  </si>
  <si>
    <t>A.4.2.1.2 hal. 419</t>
  </si>
  <si>
    <t xml:space="preserve">   - listplank Superplank (GRC board)</t>
  </si>
  <si>
    <t xml:space="preserve">   - Profil Channel</t>
  </si>
  <si>
    <t xml:space="preserve">   - Wind Bracing</t>
  </si>
  <si>
    <t>P.01 (G) hal. 92</t>
  </si>
  <si>
    <t xml:space="preserve">   - Raised Floor</t>
  </si>
  <si>
    <t xml:space="preserve">m2 </t>
  </si>
  <si>
    <t xml:space="preserve">   -Worker</t>
  </si>
  <si>
    <t xml:space="preserve">   -Brick Layer</t>
  </si>
  <si>
    <t>A.2.2.1.14 hal. 376</t>
  </si>
  <si>
    <t xml:space="preserve">  - Sewa peralatan (Auger, Kunci Inggris, Pipa besi)</t>
  </si>
  <si>
    <t>-Material</t>
  </si>
  <si>
    <t xml:space="preserve">   - PVC Pipe dia 4 "</t>
  </si>
  <si>
    <t xml:space="preserve">   - PVC Pipe dia 1"</t>
  </si>
  <si>
    <t xml:space="preserve">   - Knee</t>
  </si>
  <si>
    <t xml:space="preserve">   -Pipe Tape</t>
  </si>
  <si>
    <t xml:space="preserve">   -Lem Pipa</t>
  </si>
  <si>
    <t>klg</t>
  </si>
  <si>
    <t xml:space="preserve">   - PVC Pipe dia 1./2"</t>
  </si>
  <si>
    <t xml:space="preserve">   - elbow dia 1./2"</t>
  </si>
  <si>
    <t xml:space="preserve">   - Knee dia 1./2"</t>
  </si>
  <si>
    <t xml:space="preserve">   - PVC Pipe dia 3"</t>
  </si>
  <si>
    <t xml:space="preserve">   - elbow dia 3"</t>
  </si>
  <si>
    <t xml:space="preserve">   - Knee dia 3"</t>
  </si>
  <si>
    <t>- Sewa alat</t>
  </si>
  <si>
    <t>- Bahan bakar</t>
  </si>
  <si>
    <t>- Pelumas</t>
  </si>
  <si>
    <t>- Biaya Bengkel</t>
  </si>
  <si>
    <t>- BiayaPerawatan</t>
  </si>
  <si>
    <t>-Operator</t>
  </si>
  <si>
    <t>-Pembantu Operator</t>
  </si>
  <si>
    <t>AHS AKLI DKI</t>
  </si>
  <si>
    <t xml:space="preserve">   - Instalator</t>
  </si>
  <si>
    <t xml:space="preserve">   - Tiang Lampu Octagonal tinggi 9 m (3 - 4.5 m),  desain diameter per segmen 2.5" - 5", flandes 30 x 30 x 1.4 cm, ornamen 1.5" x 2 meter, anti clim 1 set, Hot Deep Galvanized</t>
  </si>
  <si>
    <t xml:space="preserve">   - Lampu Phillips HPL/N (Mercury) 250 Watt</t>
  </si>
  <si>
    <t xml:space="preserve">   - Kabel NYM 3x2,5MM @100M</t>
  </si>
  <si>
    <t xml:space="preserve">   - Accessories ( fuse box, grounding system and installation of cable conduit and wiring and all accessories )</t>
  </si>
  <si>
    <t>set</t>
  </si>
  <si>
    <t xml:space="preserve">   - Lampu Jalan Model Cobra Starlight untuk Lampu Mercury HPL-N 250 Watt atau HPI-T 250 Watt - 400 Watt, bisa untuk SON-T 150 Watt - 400 Watt. Terbuat dari Bahan Almunium Cor.</t>
  </si>
  <si>
    <t xml:space="preserve">   - Tiang Lampu Octagonal tinggi 6 m (3 - 4.5 m),  desain diameter per segmen 2,5"-4", flandes 30 x 30 x 1.4 cm, ornamen 1.5" x 2 meter, anti clim 1 set, Hot Deep Galvanized</t>
  </si>
  <si>
    <t xml:space="preserve">   - Lampu Phillips SON-T (Mercury) 150 Watt</t>
  </si>
  <si>
    <t>- Galian Tanah biasa</t>
  </si>
  <si>
    <t>- Pemadatan Sirtu</t>
  </si>
  <si>
    <t>- Beton K-225</t>
  </si>
  <si>
    <t>- Urugan Pasir</t>
  </si>
  <si>
    <t xml:space="preserve">   - Kap Lampu Jalan Setara PJU Philips SPP 165, untuk SON-T 70 Watt</t>
  </si>
  <si>
    <t xml:space="preserve">   - Tiang Lampu Octagonal tinggi 2 m (3 - 4.5 m),  desain diameter per segmen 2.5" -4", flandes 30 x 30 x 1.4 cm, ornamen 1.5" x 2 meter, anti clim 1 set, Hot Deep Galvanized</t>
  </si>
  <si>
    <t xml:space="preserve">   - Lampu  Setara Phillips SON 70 W E27</t>
  </si>
  <si>
    <t>Water tank and steel structures tower ( cap : 2 m3 ) and installation of pipe</t>
  </si>
  <si>
    <t xml:space="preserve">  - Water Torn  Plastic Cap 2m3 setara Penguin</t>
  </si>
  <si>
    <t xml:space="preserve">  - elbow 1"</t>
  </si>
  <si>
    <t xml:space="preserve">  - knee 1"</t>
  </si>
  <si>
    <t xml:space="preserve">  - besi siku L 50.50.5</t>
  </si>
  <si>
    <t xml:space="preserve">  - Foundation work  (concrete f'c = 26.4 MPa (K 300), Fe : 150 kg/m3, Formwork)</t>
  </si>
  <si>
    <t xml:space="preserve">   - Technician Electrical</t>
  </si>
  <si>
    <t xml:space="preserve">   - Tools (tang kabel, selotip, test pen, multitester)</t>
  </si>
  <si>
    <t>lot</t>
  </si>
  <si>
    <t xml:space="preserve">  - Kabel NYM 3x2,5MM @100M</t>
  </si>
  <si>
    <t>roll</t>
  </si>
  <si>
    <t xml:space="preserve">  - Clamp kabel beton 4-10 mm</t>
  </si>
  <si>
    <t>pack</t>
  </si>
  <si>
    <t xml:space="preserve">   - Bath basin Fiber</t>
  </si>
  <si>
    <t xml:space="preserve">   -Clamp Pipa</t>
  </si>
  <si>
    <t xml:space="preserve"> Remuneration</t>
  </si>
  <si>
    <t xml:space="preserve"> Equipment</t>
  </si>
  <si>
    <t xml:space="preserve">   - Tools (martil, mesin bor, tang kabel, selotip, test pen, multitester)</t>
  </si>
  <si>
    <t xml:space="preserve"> Material</t>
  </si>
  <si>
    <t xml:space="preserve">  - Tiang splitzen 1/2'  ; 50-60 cm</t>
  </si>
  <si>
    <t>http://sinarutamagrounding.indonetwork.co.id/product/air-terminal-tombak-penangkal-petir-splitzen-lapis-tembaga-4341776</t>
  </si>
  <si>
    <t xml:space="preserve">  - Kabel BC 25</t>
  </si>
  <si>
    <t>http://www.materialgrounding.com/product/bare-copper-bc-p20382.aspx</t>
  </si>
  <si>
    <t xml:space="preserve">  - Clamp kabel / skun kabel</t>
  </si>
  <si>
    <t>https://www.bukalapak.com/p/industrial/mesin/148zpi-jual-skun-kabel-sc-240-cable-skun</t>
  </si>
  <si>
    <t xml:space="preserve">  - Cooper rod/pentanahan</t>
  </si>
  <si>
    <t xml:space="preserve">  - Control box, brick 60x60 cm2</t>
  </si>
  <si>
    <t>Worker</t>
  </si>
  <si>
    <t>Digger</t>
  </si>
  <si>
    <t>Supervisor</t>
  </si>
  <si>
    <t>UNIT PRICE MATERIAL, REMUNERATION AND RENT OF EQUIPMENT</t>
  </si>
  <si>
    <t>SCHEDULE 2 :  BREAKDOWN PRICE ANALYSIS FOR CIVIL WORKS</t>
  </si>
  <si>
    <t>NO.</t>
  </si>
  <si>
    <t>PRICE</t>
  </si>
  <si>
    <t>REMARK</t>
  </si>
  <si>
    <t>ROK</t>
  </si>
  <si>
    <t>(Rp.)</t>
  </si>
  <si>
    <t>Journal</t>
  </si>
  <si>
    <t>I</t>
  </si>
  <si>
    <t>MATERIAL :</t>
  </si>
  <si>
    <t>Portland Cemen (PC)</t>
  </si>
  <si>
    <t>Colour Cement</t>
  </si>
  <si>
    <t>Split 2/3</t>
  </si>
  <si>
    <t>Gravel</t>
  </si>
  <si>
    <t>Sirtu</t>
  </si>
  <si>
    <t>Dust split</t>
  </si>
  <si>
    <t>Sand</t>
  </si>
  <si>
    <t>Sand (Pasir Pasang)</t>
  </si>
  <si>
    <t>Sand (Pasir Urug)</t>
  </si>
  <si>
    <t>Sand (Pasir Beton)</t>
  </si>
  <si>
    <t>Soil</t>
  </si>
  <si>
    <t>BBM / solar</t>
  </si>
  <si>
    <t>http://www.infohargabbm.com/2017/01/harga-keekonomian-bbm-solar-industri-pt_16.html</t>
  </si>
  <si>
    <t xml:space="preserve">Water </t>
  </si>
  <si>
    <t>Plain reinforced steel U 24 - BJTP 24</t>
  </si>
  <si>
    <t>Galvanis steel angle HTS</t>
  </si>
  <si>
    <t>Galvanis steel angle MS</t>
  </si>
  <si>
    <t>Galvanis Bolt and Nuts</t>
  </si>
  <si>
    <t>Profil IWF</t>
  </si>
  <si>
    <t>Profil Kanal</t>
  </si>
  <si>
    <t>Paint of steel</t>
  </si>
  <si>
    <t>Paint of wooden</t>
  </si>
  <si>
    <t>Paint of wall Emulsi</t>
  </si>
  <si>
    <t>Thinner</t>
  </si>
  <si>
    <t>Liter</t>
  </si>
  <si>
    <t>Kuas / Rol</t>
  </si>
  <si>
    <t>Plamur of wall</t>
  </si>
  <si>
    <t>Concrete wire</t>
  </si>
  <si>
    <t>Galvanis of wire mesh dia 4 mm</t>
  </si>
  <si>
    <t>barbed wire</t>
  </si>
  <si>
    <t>Wooden</t>
  </si>
  <si>
    <t>plain meranti 2/20 cm</t>
  </si>
  <si>
    <t>plank meranti 3/20 cm</t>
  </si>
  <si>
    <t>Cat: harga berdasarkan jurnal: 41.000/btg)</t>
  </si>
  <si>
    <t>Papan 2x30x400 cm</t>
  </si>
  <si>
    <t>Granite wall tiles 400 x 400 mm</t>
  </si>
  <si>
    <t>Granite floor tiles 600 x 600 mm</t>
  </si>
  <si>
    <t>Granite floor tiles 300 x 300 mm</t>
  </si>
  <si>
    <t>Granite floor tiles 300 x 600 mm</t>
  </si>
  <si>
    <t>Stepnosing 100 x 400 mm</t>
  </si>
  <si>
    <t>Naturally paint (Meni Kayu)</t>
  </si>
  <si>
    <t>Naturally paint (Meni besi)</t>
  </si>
  <si>
    <t>Cat: dalam jurnal satuan kaleng (1 klg=5kg), lalu dikonversi ke dalam satuan liter (sesuai dengan PERMEN)</t>
  </si>
  <si>
    <t>BJ meni= 1,45 kg/ltr</t>
  </si>
  <si>
    <t>kg/liter</t>
  </si>
  <si>
    <t>V=</t>
  </si>
  <si>
    <t>Minyak bekisting</t>
  </si>
  <si>
    <t>Fence BRC height 1,50 m lenght 2,40 m</t>
  </si>
  <si>
    <t>Fence BRC height 1,90 m lenght 2,40 m</t>
  </si>
  <si>
    <t>Nail Asbestos</t>
  </si>
  <si>
    <t>Nail Screws</t>
  </si>
  <si>
    <t>Nail drat</t>
  </si>
  <si>
    <t>Double Gate BRC height 1,90 m lenght 3,30 m complete</t>
  </si>
  <si>
    <t>Single Gate BRC height 1,90 m lenght 1,10 m complete</t>
  </si>
  <si>
    <t>Pipe of steel  Dia 2 inc lenght 6,00 m</t>
  </si>
  <si>
    <t>Pipe of steel  Dia 3 inc lenght 6,00 m</t>
  </si>
  <si>
    <t>Pipa Concrete dia 30 cm</t>
  </si>
  <si>
    <t>PTFE Thread Seal Tape ISO 9002, Certified 10 m (12 mm x 0.075 mm x 10 m)</t>
  </si>
  <si>
    <t>harga 2016</t>
  </si>
  <si>
    <t>Sambungan knee AW 1"</t>
  </si>
  <si>
    <t>harga 2015</t>
  </si>
  <si>
    <t>Lem Pipa (400 gram)</t>
  </si>
  <si>
    <t>knee 1/2"</t>
  </si>
  <si>
    <t>knee 1"</t>
  </si>
  <si>
    <t>knee 2"</t>
  </si>
  <si>
    <t>knee 3"</t>
  </si>
  <si>
    <t>knee 4"</t>
  </si>
  <si>
    <t xml:space="preserve">Zinc  </t>
  </si>
  <si>
    <t>Asbes Plafond 5mm</t>
  </si>
  <si>
    <t>Roofing Klip-lock Hi-Ten t=0.50 mm</t>
  </si>
  <si>
    <t>http://www.mediabangunan.com/2013/06/daftar-harga-atap-metal-bluescope.html</t>
  </si>
  <si>
    <t>Cat: dikonversi ke dalam satuan sheet (lihat civil work) dengan ukuran per lembar 0,78x0,41</t>
  </si>
  <si>
    <t>Roofing Spandek Colorbond</t>
  </si>
  <si>
    <t xml:space="preserve">Nok Standard Hi-Ten  </t>
  </si>
  <si>
    <t>Nok Spandek Colorbond</t>
  </si>
  <si>
    <t>T/L 1 x 36  Watt (incld armateur)</t>
  </si>
  <si>
    <t>no</t>
  </si>
  <si>
    <t>T/L 2 x 36  Watt (incld armateur)</t>
  </si>
  <si>
    <t>T/L CDL E27 (1 x 8 W)</t>
  </si>
  <si>
    <t>T/L CDL E27 (1 x 23 W)</t>
  </si>
  <si>
    <t>Clear lamp celling 60 watt</t>
  </si>
  <si>
    <t>Downlight</t>
  </si>
  <si>
    <t>Plywood 4 mm</t>
  </si>
  <si>
    <t>Plywood 18 mm</t>
  </si>
  <si>
    <t>Gypsum board 9 mm</t>
  </si>
  <si>
    <t>Listplank Superplank (GRC board)</t>
  </si>
  <si>
    <t>Cat: ukuran GR 1,2X2,4 m, tebal :9 mm</t>
  </si>
  <si>
    <t>List profil gypsum</t>
  </si>
  <si>
    <t>Tepung gypsum</t>
  </si>
  <si>
    <t xml:space="preserve">Glasswool t=5 cm 2 layer density 16 kg/m3, aluminium foil (single sided) </t>
  </si>
  <si>
    <t>Roof mesh</t>
  </si>
  <si>
    <t>Close-coupled (Toto CW660NJ/SW660J)</t>
  </si>
  <si>
    <t>Lavatory basin including spectacles (Toto LW230J)</t>
  </si>
  <si>
    <t>Chromium plate toiled roll holder</t>
  </si>
  <si>
    <t>UPDATE JANUARI 2016</t>
  </si>
  <si>
    <t>Chromium plate soap dish</t>
  </si>
  <si>
    <t>Chromium plated hat and coat hook</t>
  </si>
  <si>
    <t>Kansteen (10 x 20 x 60) cm</t>
  </si>
  <si>
    <t>Kansteen (25 x 30 x 50) cm</t>
  </si>
  <si>
    <t>Sodding (gebalan rumput)</t>
  </si>
  <si>
    <t>Stop contact incl installation wiring</t>
  </si>
  <si>
    <t>Exhaus fan wall 60 W/220 Volt (16") industrial</t>
  </si>
  <si>
    <t>http://harga.link/elektronik-rumah-tangga/list-daftar-harga-exhaust-fan-saat-ini/</t>
  </si>
  <si>
    <t>Exhaus fan ceiling 40 W/220 Volt (10") very low noice</t>
  </si>
  <si>
    <t>Emergency lighting lamp 40 W complete</t>
  </si>
  <si>
    <t>http://harga.link/peralatan-rumah-tangga/list-daftar-harga-emergency-lamp-terkini/</t>
  </si>
  <si>
    <t>Hot mix</t>
  </si>
  <si>
    <t>Asphalt 60/70</t>
  </si>
  <si>
    <t>Anchor  bolt  36 mm</t>
  </si>
  <si>
    <t>Anchor  bolt  24 mm</t>
  </si>
  <si>
    <t>http://www.kairosbaut.com/productlist.php</t>
  </si>
  <si>
    <t>Waterproofing</t>
  </si>
  <si>
    <t>Serat Fiber</t>
  </si>
  <si>
    <t>Floorhardener ex sika</t>
  </si>
  <si>
    <t>U-ditch 400/400 (panjang 1.2 m)</t>
  </si>
  <si>
    <t>U-ditch 600/600</t>
  </si>
  <si>
    <t>U-ditch 1000/1000</t>
  </si>
  <si>
    <t>U-ditch 1200/1200</t>
  </si>
  <si>
    <t>umit</t>
  </si>
  <si>
    <t>U-ditch 800/800</t>
  </si>
  <si>
    <t>TUTUP U-DITCH UPDATE 2016</t>
  </si>
  <si>
    <t xml:space="preserve">U-ditch BC 1000/1200 </t>
  </si>
  <si>
    <t>Cover U 400 LD (panjang 0.6 m)</t>
  </si>
  <si>
    <t>Cover U 600 LD</t>
  </si>
  <si>
    <t>Cover U 800 LD</t>
  </si>
  <si>
    <t>Cover U 1000 LD</t>
  </si>
  <si>
    <t>Cover U 1200 LD</t>
  </si>
  <si>
    <t>Sheet Pile Corrugated</t>
  </si>
  <si>
    <t>Raised Floor</t>
  </si>
  <si>
    <t>http://mytrijaya.produkanda.com/sell/index.php?itemid=17091</t>
  </si>
  <si>
    <t>Driven Pile with reinforced concrete 30x30 cm</t>
  </si>
  <si>
    <t>Driven Pile with reinforced concrete 20x20 cm</t>
  </si>
  <si>
    <t>Teakwood double door (nyatoh)</t>
  </si>
  <si>
    <t>http://www.mediabangunan.com/2012/06/daftar-harga-kusen-dan-pintu-kayu.html</t>
  </si>
  <si>
    <t>Cat: harga berdasarkan jurnal : 700000/bh, dikonversi dengan ukuran pintu teakwood double door (2x0,82mx2m)</t>
  </si>
  <si>
    <t>Louvre frame window</t>
  </si>
  <si>
    <t>Cat: harga berdasarkan jurnal : 575000/bh, dikonversi dengan ukuran jendela (1mx1m)</t>
  </si>
  <si>
    <t>Firewood (kayu bakar)</t>
  </si>
  <si>
    <t>Solar Industri</t>
  </si>
  <si>
    <t>http://hargasolarterbaru.blogspot.co.id/</t>
  </si>
  <si>
    <t>update 14 Agustus 2016</t>
  </si>
  <si>
    <t>Pelumas Diesel Alat berat (Pertamina Meditran SX15 W-40)</t>
  </si>
  <si>
    <t>http://oli68.blogspot.co.id/2014/10/daftar-harga-oli-pertamina-terbaru-2014.html</t>
  </si>
  <si>
    <t>Pupuk Kandang (1 karung = 7 kg)</t>
  </si>
  <si>
    <t>https://www.tokopedia.com/ismailtoys/for-sale-pupuk-kandang-sapi-1</t>
  </si>
  <si>
    <t>Pohon Mangga (tinggi bibit 50 - 70 )</t>
  </si>
  <si>
    <t>https://www.tokopedia.com/sm2/bibit-pohon-mangga-gincu-pendopo</t>
  </si>
  <si>
    <t>Rumput Gajah Mini</t>
  </si>
  <si>
    <t>Tanaman Teh-tehan (tinggi 25 - 35 cm)</t>
  </si>
  <si>
    <t>https://www.tokopedia.com/berdikari-indah/pohon-teh-tehan-i-tanaman-pagar</t>
  </si>
  <si>
    <t>Kap Lampu Jalan Model Cobra Starlight untuk Lampu Mercury HPL-N 250 Watt atau HPI-T 250 Watt - 400 Watt, bisa untuk SON-T 150 Watt - 400 Watt. Terbuat dari Bahan Almunium Cor.</t>
  </si>
  <si>
    <t>http://lampujalanutama.com/?lampu-led=3&amp;idc=1</t>
  </si>
  <si>
    <t>HARGA TIANG LAMPU 9 M</t>
  </si>
  <si>
    <t>Tiang Lampu Octagonal tinggi 9 m (3 - 4.5 m),  desain diameter per segmen 2.5" - 5", flandes 30 x 30 x 1.4 cm, ornamen 1.5" x 2 meter, anti clim 1 set, Hot Deep Galvanized</t>
  </si>
  <si>
    <t>http://distributorpanelsurya.com/products.php?product=PILIHAN-TIANG-PJU</t>
  </si>
  <si>
    <t>Lampu setara Phillips HPL/N (Mercury) 250 Watt</t>
  </si>
  <si>
    <t>Kabel NYM 3x2,5MM @100M</t>
  </si>
  <si>
    <t>1 roll</t>
  </si>
  <si>
    <t>Kap Lampu Jalan Setara PJU Philips SPP 165, untuk SON-T 70 Watt</t>
  </si>
  <si>
    <t>Tiang Lampu Octagonal tinggi 6 m (3 - 4.5 m),  desain diameter per segmen 2,5"-4", flandes 30 x 30 x 1.4 cm, ornamen 1.5" x 2 meter, anti clim 1 set, Hot Deep Galvanized</t>
  </si>
  <si>
    <t>Lampu  Setara Phillips SON 70 W E27</t>
  </si>
  <si>
    <t>Kawat las</t>
  </si>
  <si>
    <t>Door Glass + Frame Aluminium</t>
  </si>
  <si>
    <t>survey harga pasar</t>
  </si>
  <si>
    <t xml:space="preserve">Kusen Aluminium </t>
  </si>
  <si>
    <t>Window Glass + Frame Aluminium</t>
  </si>
  <si>
    <t>Exhaust Van setara Panasonic 16"</t>
  </si>
  <si>
    <t>Unit</t>
  </si>
  <si>
    <t>www.hargaglodok.com</t>
  </si>
  <si>
    <t>Kitchen Sink Stainless setara Delizia</t>
  </si>
  <si>
    <t xml:space="preserve">www.blibli.com </t>
  </si>
  <si>
    <t>Water Torn cap 2m3 setara Penguin Plastic</t>
  </si>
  <si>
    <t>http://www.harga-ac.com/daftar-harga-ac-daikin.html</t>
  </si>
  <si>
    <t xml:space="preserve">Panel Box MCB complete with R.S.T lamp indicator and contactor grounding Panel Box  80x120x25 cm  </t>
  </si>
  <si>
    <t>https://jayamapan.com/panel-box/</t>
  </si>
  <si>
    <t>Downlight 9 Watt inculding fitting spotlight installation wiring and switch</t>
  </si>
  <si>
    <t>http://www.depo-led.com/3-downlight-led</t>
  </si>
  <si>
    <t>Emergency lighting including wiring and lamp 30 Watt</t>
  </si>
  <si>
    <t>www.tokopedia.com</t>
  </si>
  <si>
    <t>Alarm bell 6'' ( 150 mm ) diameter to approval surface mounted in Lobby</t>
  </si>
  <si>
    <t>http://anekapemadamkebakaran.blogspot.co.id/2016/08/jual-alarm-bell-6-inch-diameter-untuk.html</t>
  </si>
  <si>
    <t xml:space="preserve">Smoke detector  </t>
  </si>
  <si>
    <t>http://www.indotrading.com/showcase/smoke-detector</t>
  </si>
  <si>
    <t>Fixed and rate of rice temperature detector</t>
  </si>
  <si>
    <t>http://utamaservice045.blogspot.co.id/2012/09/appron-fire-alarm.html</t>
  </si>
  <si>
    <t>MCFA ( Master control fire alarm ) kap 15 zone included indication lamp, battery rectifier and all accessories</t>
  </si>
  <si>
    <t>https://www.tokopedia.com/hanselindo/mcfafacp-fire-alarm-control-panel-kap-15-zone-murah-berkualitas?src=other</t>
  </si>
  <si>
    <t>Portable fire extinghuister type dry chemical ( 5 kg hallon )</t>
  </si>
  <si>
    <t>http://www.jualalatpemadamapi.net/harga-produk</t>
  </si>
  <si>
    <t>Mobile unit powder fire extinghuister ( 50 kg hallon )</t>
  </si>
  <si>
    <t>Portable type 6 kg CO2 c/w wall bracket</t>
  </si>
  <si>
    <t>Lampu SON-T 150 watt</t>
  </si>
  <si>
    <t>http://tokolampuglodok.com/index.php?route=product/category&amp;path=57</t>
  </si>
  <si>
    <t>Clamp kabel beton no 4-10</t>
  </si>
  <si>
    <t>Bath basin (fiber) oval capacity 200 ltr</t>
  </si>
  <si>
    <t>Clamp pipa PVC 3'/4'</t>
  </si>
  <si>
    <t>https://www.tokopedia.com/mitratools/klem-pipa-pvc-klem-pipa-pvc-4</t>
  </si>
  <si>
    <t>Pintu Swing BRC single h :1.5 m, lebar 2.4 m</t>
  </si>
  <si>
    <t xml:space="preserve">Railling Tangga </t>
  </si>
  <si>
    <t>https://www.indosteel.net/daftar-harga/</t>
  </si>
  <si>
    <t>Spiral Staircase</t>
  </si>
  <si>
    <t>Balcony fence</t>
  </si>
  <si>
    <t>Grill Oil Pit</t>
  </si>
  <si>
    <t>Baut 5/8 - 30 cm</t>
  </si>
  <si>
    <t>baut</t>
  </si>
  <si>
    <t>Haspel dia 1.2 m tinggi 0.9 m</t>
  </si>
  <si>
    <t>https://www.bukalapak.com/p/rumah-tangga/furniture-interior/intwi-jual-meja-haspel-meja-gulungan-kabel?dtm_source=product_detail&amp;dtm_section=detail-2&amp;dtm_campaign=fvt_product</t>
  </si>
  <si>
    <t>Sling</t>
  </si>
  <si>
    <t>Plastic</t>
  </si>
  <si>
    <t xml:space="preserve">Driven Concrete Pile dia 40 cm </t>
  </si>
  <si>
    <t>harga survey</t>
  </si>
  <si>
    <t>II</t>
  </si>
  <si>
    <t>REMUNERATION</t>
  </si>
  <si>
    <t>Surveyor</t>
  </si>
  <si>
    <t>Operator</t>
  </si>
  <si>
    <t>a</t>
  </si>
  <si>
    <t>Helper Operator</t>
  </si>
  <si>
    <t>Brick Layer</t>
  </si>
  <si>
    <t>Steel worker</t>
  </si>
  <si>
    <t>Carpenter</t>
  </si>
  <si>
    <t>Paint worker</t>
  </si>
  <si>
    <t>Mechanic</t>
  </si>
  <si>
    <t xml:space="preserve">Asphalt worker </t>
  </si>
  <si>
    <t>Plumber</t>
  </si>
  <si>
    <t>Welder</t>
  </si>
  <si>
    <t>Instalator</t>
  </si>
  <si>
    <t>Electrical Technician</t>
  </si>
  <si>
    <t>Juru Ukur</t>
  </si>
  <si>
    <t>Pembantu Juru Ukur</t>
  </si>
  <si>
    <t>III</t>
  </si>
  <si>
    <t>RENT OF EQUIPMENT</t>
  </si>
  <si>
    <t>Molen of machine 0.5 m3</t>
  </si>
  <si>
    <t>Driven Pile of Machine</t>
  </si>
  <si>
    <t>Mobilisasion Equipment</t>
  </si>
  <si>
    <t>Support equipment ( key + safety belt )</t>
  </si>
  <si>
    <t>Stamper /Stomwalls</t>
  </si>
  <si>
    <t>Cat: Pemakaian 8jam/hari</t>
  </si>
  <si>
    <t>Theodolit</t>
  </si>
  <si>
    <t>http://www.globalsurveybandung.com/p/rental.html</t>
  </si>
  <si>
    <t>Small crane</t>
  </si>
  <si>
    <t>Pile connection</t>
  </si>
  <si>
    <t>Jack Hammer</t>
  </si>
  <si>
    <t>Tripod tinggi 5 m</t>
  </si>
  <si>
    <t>Vibro Roller 5-8 T</t>
  </si>
  <si>
    <t>Water Tank Truck (2 hours / day)</t>
  </si>
  <si>
    <t xml:space="preserve">Excavator Standard bucket 0.8 m3 </t>
  </si>
  <si>
    <t>Mesin Potong rumput</t>
  </si>
  <si>
    <t>Tandem Roller</t>
  </si>
  <si>
    <t>Jack Hydrolic</t>
  </si>
  <si>
    <t>Forklift</t>
  </si>
  <si>
    <t>http://www.rajarental.com/rental_forklift.html</t>
  </si>
  <si>
    <t>Chain Block 5 ton</t>
  </si>
  <si>
    <t>Drop Hammer</t>
  </si>
  <si>
    <t>Tripod tinggi 7 m</t>
  </si>
  <si>
    <t>IV</t>
  </si>
  <si>
    <t>EQUIPMENT</t>
  </si>
  <si>
    <t>Steel saw</t>
  </si>
  <si>
    <t>indoteknik.com</t>
  </si>
  <si>
    <t>Hammer</t>
  </si>
  <si>
    <t>Steel Chisel</t>
  </si>
  <si>
    <t>Hand Bor Machine</t>
  </si>
  <si>
    <t>http://sewastamperkuda.yolasite.com/</t>
  </si>
  <si>
    <t>Welding Machine</t>
  </si>
  <si>
    <t>http://www.anekasewajasa.com/?prm=sewa&amp;cmd=detail&amp;id=38</t>
  </si>
  <si>
    <t>Genset 5kvA include Bensin, Operator dan transport 10 jam</t>
  </si>
  <si>
    <t>Main Frame Scaffolding 1.9 m</t>
  </si>
  <si>
    <t>http://www.signalreadymix.co/harga-sewa-scaffolding-steger-terbaru#popup</t>
  </si>
  <si>
    <t>Jack Base Scaffolding</t>
  </si>
  <si>
    <t>Cross Brace</t>
  </si>
  <si>
    <t>Horizontal Frame Scaffolding</t>
  </si>
  <si>
    <t>V</t>
  </si>
  <si>
    <t>JASA PENGUJIAN</t>
  </si>
  <si>
    <t>Boring Mesin Kedalaman maksimum 30 m termasuk :</t>
  </si>
  <si>
    <t>titik</t>
  </si>
  <si>
    <t xml:space="preserve">  - Uji Penetrasi Standar (SPT)</t>
  </si>
  <si>
    <t xml:space="preserve">  - Uji Laboratorium Mektan </t>
  </si>
  <si>
    <t xml:space="preserve">  - Uji Sifat Tanah</t>
  </si>
  <si>
    <t xml:space="preserve">  - Pengambilan contoh tanah terganggu (Disturbed Sample) dilaksanakan pada setiap interval 2 meter atau pada setiap perubahan tanah. </t>
  </si>
  <si>
    <t>Sondir</t>
  </si>
  <si>
    <t>Laporan pengujian termasuk :</t>
  </si>
  <si>
    <t xml:space="preserve">   - 1set laporan hard copy (uraian kondisi awal, foto-foto pelaksanaan, hasil pengujian dan pengambilan sampel di lapangan, analisa dan rekomendasi)</t>
  </si>
  <si>
    <t xml:space="preserve">   - 1set laporan soft copy dalam format CD (uraian kondisi awal, foto-foto pelaksanaan, hasil pengujian dan pengambilan sampel di lapangan, analisa dan rekomendasi)</t>
  </si>
  <si>
    <t>Sand Cone Test per 20 cm Layer</t>
  </si>
  <si>
    <t>Note:</t>
  </si>
  <si>
    <t xml:space="preserve"> Schedule 2 (only owner Reference)</t>
  </si>
  <si>
    <t xml:space="preserve">   - Vibrator</t>
  </si>
  <si>
    <t xml:space="preserve">   - Multiplex 12 mm/18 mm</t>
  </si>
  <si>
    <t>lembar</t>
  </si>
  <si>
    <t xml:space="preserve">   - Minayk Bekisting</t>
  </si>
  <si>
    <t xml:space="preserve">   -  Screew Reinfoced of Steel U 32 - BJTD 40</t>
  </si>
  <si>
    <t xml:space="preserve">   -  Casing</t>
  </si>
  <si>
    <t xml:space="preserve">   -  Fuel</t>
  </si>
  <si>
    <t>lt</t>
  </si>
  <si>
    <t xml:space="preserve">   - Engineer</t>
  </si>
  <si>
    <t xml:space="preserve">   - Surveyor</t>
  </si>
  <si>
    <t>Pipe Tremi</t>
  </si>
  <si>
    <t>Supporting of Equipment ( Welder and Cutting Machine )</t>
  </si>
  <si>
    <t xml:space="preserve">   -  Drilling Pile of Machine</t>
  </si>
  <si>
    <t xml:space="preserve">   -  Pipe Tremi</t>
  </si>
  <si>
    <t xml:space="preserve">   -  Theodolit</t>
  </si>
  <si>
    <t xml:space="preserve">   -  Supporting of Equipment ( Welder and Cutting Machine )</t>
  </si>
  <si>
    <t xml:space="preserve"> - Mobilization</t>
  </si>
  <si>
    <t xml:space="preserve">   -  Mobilisasion of Drilling or Driven Machine</t>
  </si>
  <si>
    <t>Jurnal Bekasi 2015</t>
  </si>
  <si>
    <t xml:space="preserve">   - Concrete K-225</t>
  </si>
  <si>
    <t xml:space="preserve">   - PVC Pipe dia 4"</t>
  </si>
  <si>
    <t xml:space="preserve">   - elbow dia 4"</t>
  </si>
  <si>
    <t xml:space="preserve">   - Knee dia 4"</t>
  </si>
  <si>
    <t>Angkur D30</t>
  </si>
  <si>
    <t>No</t>
  </si>
  <si>
    <t>A</t>
  </si>
  <si>
    <t>Bouwplank</t>
  </si>
  <si>
    <t>B</t>
  </si>
  <si>
    <t>C</t>
  </si>
  <si>
    <t>D</t>
  </si>
  <si>
    <t>E</t>
  </si>
  <si>
    <t>G</t>
  </si>
  <si>
    <t>H</t>
  </si>
  <si>
    <t>Total</t>
  </si>
  <si>
    <t>Panjang</t>
  </si>
  <si>
    <t>Bamboo</t>
  </si>
  <si>
    <t>J</t>
  </si>
  <si>
    <t>K</t>
  </si>
  <si>
    <t>L</t>
  </si>
  <si>
    <t xml:space="preserve">   - Zinc / Seng Gelombang</t>
  </si>
  <si>
    <t>PERMEN PUPR HAL 572</t>
  </si>
  <si>
    <t>PUPR 2016 HAL 594</t>
  </si>
  <si>
    <t>PUPR 2016 HAL 595</t>
  </si>
  <si>
    <t>Paving Stone</t>
  </si>
  <si>
    <t>Split 3/5</t>
  </si>
  <si>
    <t>Cat: harga berdasarkan jurnal: 95.600/btg)</t>
  </si>
  <si>
    <t>Cat: harga berdasarkan jurnal: 132.700/btg)</t>
  </si>
  <si>
    <t>Greader Komatsu</t>
  </si>
  <si>
    <t>Concrete Vibrator</t>
  </si>
  <si>
    <t>Bored Pile Machine</t>
  </si>
  <si>
    <t>Concrete Pump cap 4 m3</t>
  </si>
  <si>
    <t>000000000000</t>
  </si>
  <si>
    <t>isi disini</t>
  </si>
  <si>
    <t>Terbilang :</t>
  </si>
  <si>
    <t>Satu</t>
  </si>
  <si>
    <t>Dua</t>
  </si>
  <si>
    <t>Tiga</t>
  </si>
  <si>
    <t>Empat</t>
  </si>
  <si>
    <t>Lima</t>
  </si>
  <si>
    <t>Enam</t>
  </si>
  <si>
    <t>Tujuh</t>
  </si>
  <si>
    <t>Delapan</t>
  </si>
  <si>
    <t>Sembilan</t>
  </si>
  <si>
    <t>Compacted Soil</t>
  </si>
  <si>
    <t>Crushed Stone 15/20</t>
  </si>
  <si>
    <t>Concrete K-175</t>
  </si>
  <si>
    <t>- Excavation Soil</t>
  </si>
  <si>
    <t xml:space="preserve">   - Supporting tools</t>
  </si>
  <si>
    <t xml:space="preserve">   - Pupuk Kandang</t>
  </si>
  <si>
    <t xml:space="preserve">   - Rumput gajah mini</t>
  </si>
  <si>
    <t>krg</t>
  </si>
  <si>
    <t>Ladder Ø 16 mm &amp; painted</t>
  </si>
  <si>
    <t xml:space="preserve">   - Humous Soil</t>
  </si>
  <si>
    <t>Sand (Humus)</t>
  </si>
  <si>
    <t>Buis Beton dia 60 cm/m</t>
  </si>
  <si>
    <t>Equipment (supporting tools)</t>
  </si>
  <si>
    <t>SNI 6897:2008 No.6.22</t>
  </si>
  <si>
    <t xml:space="preserve">   - Roster</t>
  </si>
  <si>
    <t>SNI 6897:2008 No.6.3</t>
  </si>
  <si>
    <t>Roster uk.22x22 cm</t>
  </si>
  <si>
    <t xml:space="preserve">   - Wiremesh</t>
  </si>
  <si>
    <t>Permen PUPR 2016 hal 600</t>
  </si>
  <si>
    <t>btg</t>
  </si>
  <si>
    <t>-</t>
  </si>
  <si>
    <t xml:space="preserve">Mobillization </t>
  </si>
  <si>
    <t xml:space="preserve">   - Main truss C-75-75</t>
  </si>
  <si>
    <t xml:space="preserve">   - Self drilling screw dia 6 x 20 mm (truss screw)</t>
  </si>
  <si>
    <t xml:space="preserve">   - Self drilling screw dia 4 x 20 mm (roof bottom screw)</t>
  </si>
  <si>
    <t xml:space="preserve">   - Roof bottom/Reng R 33-0,45</t>
  </si>
  <si>
    <t xml:space="preserve">   - dynabolt dia 12 x 120 mm</t>
  </si>
  <si>
    <t xml:space="preserve">   - Steel Worker Chief</t>
  </si>
  <si>
    <t xml:space="preserve"> - Tools</t>
  </si>
  <si>
    <t xml:space="preserve">   - Supporting tools (Genset/Bor Machine)</t>
  </si>
  <si>
    <t>Self drilling screw dia 6 x 20 mm</t>
  </si>
  <si>
    <t>Self drilling screw dia 4 x 20 mm</t>
  </si>
  <si>
    <t>http://www.softwarerab.com/analisa-harga-satuan-pekerjaan-rangka-atap-baja-ringan.htm</t>
  </si>
  <si>
    <t>Dyna Bolt M 12</t>
  </si>
  <si>
    <t xml:space="preserve">   -  Roofing Onduline Classic</t>
  </si>
  <si>
    <t>Roofing Onduline</t>
  </si>
  <si>
    <t>http://agenbajaringan.com/atap-upvc-onduline.php</t>
  </si>
  <si>
    <t>Nok Onduline</t>
  </si>
  <si>
    <t>https://atapmurahonduline.wordpress.com/tag/harga-atap-onduline/</t>
  </si>
  <si>
    <t xml:space="preserve">   -  Nok Onduline Classic</t>
  </si>
  <si>
    <t>Screew reinforced steel U 39 - BJTD 39</t>
  </si>
  <si>
    <t xml:space="preserve">Alumunium foil </t>
  </si>
  <si>
    <t>SNI 2011</t>
  </si>
  <si>
    <t xml:space="preserve">   - Profil Alumunium T</t>
  </si>
  <si>
    <t xml:space="preserve">   - Kawat f 4 mm</t>
  </si>
  <si>
    <t xml:space="preserve">   - Akustik t-9</t>
  </si>
  <si>
    <t>Panel Acoustic Armstrong 120x60cm, tebal 9 mm</t>
  </si>
  <si>
    <t>http://kutamandiri.blogspot.co.id/p/plafond-acoustic.html</t>
  </si>
  <si>
    <t>Main Tee for plafond</t>
  </si>
  <si>
    <t>http://spandrealumuniuml.blogspot.co.id/2016/06/plafon-aluminium-spandrel-spandrell.html</t>
  </si>
  <si>
    <t>Alumunium Plafond + installation</t>
  </si>
  <si>
    <t>Ceramic uk.20 cm x 20 cm</t>
  </si>
  <si>
    <t>Ceramic uk.60 cm x 60 cm setipe Platinum</t>
  </si>
  <si>
    <t xml:space="preserve">   - Ceramic tile 600 x 600 mm</t>
  </si>
  <si>
    <t xml:space="preserve">   - Ceramic tile 200 x 200 mm</t>
  </si>
  <si>
    <t>SNI 7395 2008</t>
  </si>
  <si>
    <t xml:space="preserve">   - Granite plint tile 100 x 600 mm  </t>
  </si>
  <si>
    <t>SNI 7395-2008</t>
  </si>
  <si>
    <t>Ceramic Plint tiles 100 x 600 mm</t>
  </si>
  <si>
    <t>TL Lamp 18 watt equal phillips</t>
  </si>
  <si>
    <t>Downlight 18 watt</t>
  </si>
  <si>
    <t>http://agenlampusorot.com/index.php?route=product/product&amp;product_id=254</t>
  </si>
  <si>
    <t xml:space="preserve">Double switch equal SCHNEIDER 
</t>
  </si>
  <si>
    <t>http://www.bhinneka.com/category/saklar.aspx</t>
  </si>
  <si>
    <t>Set</t>
  </si>
  <si>
    <t>Lot</t>
  </si>
  <si>
    <t>Pemasangan Steel Structure DS</t>
  </si>
  <si>
    <t>man-day</t>
  </si>
  <si>
    <t>orang</t>
  </si>
  <si>
    <t>Skill Worker</t>
  </si>
  <si>
    <t>Mekanik</t>
  </si>
  <si>
    <t>Rent of Equipment  :</t>
  </si>
  <si>
    <t>- Truck crane 3 ton</t>
  </si>
  <si>
    <t>Pemasangan Peralatan DS</t>
  </si>
  <si>
    <t>Pemasangan Steel Structure DS+E</t>
  </si>
  <si>
    <t>Pemasangan Peralatan DS+E</t>
  </si>
  <si>
    <t>Pemasangan Steel Structure CB</t>
  </si>
  <si>
    <t>Pemasangan Peralatan CB</t>
  </si>
  <si>
    <t>Pemasangan Steel Structure CT</t>
  </si>
  <si>
    <t>Pemasangan Peralatan CT</t>
  </si>
  <si>
    <t>Pemasangan Steel Structure CVT</t>
  </si>
  <si>
    <t>Pemasangan Peralatan CVT</t>
  </si>
  <si>
    <t>Pemasangan Steel Structure LA</t>
  </si>
  <si>
    <t>Pemasangan Peralatan LA</t>
  </si>
  <si>
    <t xml:space="preserve">Pemasangan dan Pengaktifan DFR </t>
  </si>
  <si>
    <t>hari</t>
  </si>
  <si>
    <t>Bare Alluminium conductor of 1 x TAL 850 sqmm/phase for 3 phase  (m)</t>
  </si>
  <si>
    <t>Pemasangan Post Insulator dan Steel Structure , 150 kV  (1 set = 3 unit)</t>
  </si>
  <si>
    <t>Pemasangan Steel Structure PI</t>
  </si>
  <si>
    <t>Pemasangan Peralatan PI</t>
  </si>
  <si>
    <t>Pemasangan Conventional control and protection panel (separated panel box)</t>
  </si>
  <si>
    <t>Pemasangan clamps connectors and accessories</t>
  </si>
  <si>
    <t>Pemasangan Marshalling Kiosk</t>
  </si>
  <si>
    <t xml:space="preserve">Pemasangan 'LV power cable, control cable &amp; optical cable </t>
  </si>
  <si>
    <t>Pemasangan LT 150 kV dan Steel Structure (1 unit)</t>
  </si>
  <si>
    <t>Pemasangan ES 150 kV dan Steel Structure (1 unit)</t>
  </si>
  <si>
    <t>Erection Post Steel dan Beam Steel Structure (1 ton)</t>
  </si>
  <si>
    <t>Sortir Material of Steel Structure</t>
  </si>
  <si>
    <t>- Worker</t>
  </si>
  <si>
    <t>- Worker Leader</t>
  </si>
  <si>
    <t>Erection Steel Structure</t>
  </si>
  <si>
    <t>- Steel Worker</t>
  </si>
  <si>
    <t>- Supervisor/Technician/Inspector</t>
  </si>
  <si>
    <t>Penyetelan dan Pengencangan baut</t>
  </si>
  <si>
    <t>- Katrol dan peralatan erection Gantry</t>
  </si>
  <si>
    <t>- Kunci momen, kunci pas, tali panjat, sling, tambang, peralatan safety</t>
  </si>
  <si>
    <t>Post Steel Structure (18 m)</t>
  </si>
  <si>
    <t>Post Steel Structure (9 m) from</t>
  </si>
  <si>
    <t>Beam steel structure Type-1 for Fly Bus (14 m)</t>
  </si>
  <si>
    <t>SUBSTATION EARTHING SYSTEM</t>
  </si>
  <si>
    <t>Copper strip or flexible conductors of the cross section specified, installed so as to form a grid system laid directly in the ground enclosing the complete substation together with all accessories</t>
  </si>
  <si>
    <t>- Engineer</t>
  </si>
  <si>
    <t>- Alat elektronik untuk pengukuran</t>
  </si>
  <si>
    <t>- Eskavator kecil</t>
  </si>
  <si>
    <t>- Peralatan cangkul</t>
  </si>
  <si>
    <t>set/day</t>
  </si>
  <si>
    <t>- Alat press conductor</t>
  </si>
  <si>
    <t>Copper strip or flexible conductors to connect metalclad parts of all equipment, structures and overhead line gantry to main Earth System with all accessories</t>
  </si>
  <si>
    <t>Bare Alluminium conductor of 2 x TAL 630 sqmm/phase for 3 phase  (m)</t>
  </si>
  <si>
    <t>Fly Bus dan Jumper connector (single/double conductor &amp; string set) lenght 28 m' / set</t>
  </si>
  <si>
    <t>Steel Erection Worker</t>
  </si>
  <si>
    <t>jam</t>
  </si>
  <si>
    <t>Fly Bus dan Jumper connector (single/double conductor &amp; string set) lenght 14 m' / set</t>
  </si>
  <si>
    <t>Fly Bus dan Jumper connector untuk Kopel Back to Back (single/double conductor &amp; string set) lenght 14 m' dan 28 m'/ set</t>
  </si>
  <si>
    <t>Pemasangan CT Netral Sistem 150 kV</t>
  </si>
  <si>
    <t>Pengadaan Steel Structure CT / CVT</t>
  </si>
  <si>
    <t>Pemasangan Steel Structure CT/ CVT</t>
  </si>
  <si>
    <t>Pemasangan CT/ CVT</t>
  </si>
  <si>
    <t>Pemasangan CT Netral Sistem 70 kV</t>
  </si>
  <si>
    <t>Neutral Grounding Resistor (NGR)</t>
  </si>
  <si>
    <t>Pemasangan Fire Prevention System untuk Trafo</t>
  </si>
  <si>
    <t>Pemasangan Capacitor</t>
  </si>
  <si>
    <t>20 kV Indoor Metalclad Switchgear Single-Busbar Scheme Comprising :</t>
  </si>
  <si>
    <t>Incoming Cubicle comprising :</t>
  </si>
  <si>
    <t>Outgoing Feeder Cubicle comprising :</t>
  </si>
  <si>
    <t>Bus Section Cubicle (Bus Couple Cubicle)  comprising :</t>
  </si>
  <si>
    <t>Busbar PT + Earthing Switch Cubicle  comprising :</t>
  </si>
  <si>
    <t>Auxiliary Transformer Cubicle</t>
  </si>
  <si>
    <t>TELECOMUNICATION EQUIPMENT (Existing SDH Rembang S/S and Blora S/S ABB FOX 515)</t>
  </si>
  <si>
    <t xml:space="preserve">Node SDH-ADM </t>
  </si>
  <si>
    <t>Technician</t>
  </si>
  <si>
    <t>Electrician</t>
  </si>
  <si>
    <t>Engineer</t>
  </si>
  <si>
    <t xml:space="preserve">STM-1/4 Line Interface </t>
  </si>
  <si>
    <t xml:space="preserve">2 MB Interface  </t>
  </si>
  <si>
    <t>DIU Data Interfacing Unit 64 Kbps</t>
  </si>
  <si>
    <t>VF 2/4 Wire E/M Interface</t>
  </si>
  <si>
    <t xml:space="preserve">FXO and FXS card included with telephone subscriber and extention PAX existing at Rembang &amp; telephone subscriber </t>
  </si>
  <si>
    <t>Ethernet Interface</t>
  </si>
  <si>
    <t xml:space="preserve">All of the SDH-ADM software tools included MIB files for supporting telecommunication network management system (SNMO Protocols)  </t>
  </si>
  <si>
    <t>MDF Main Distribution Frame</t>
  </si>
  <si>
    <t>Rack/Cabinet</t>
  </si>
  <si>
    <t xml:space="preserve">Digital Teleprotection </t>
  </si>
  <si>
    <t>Inverter 110VDC to 220VAC 50Hz dengan kapasitas 2X beban (redundant)</t>
  </si>
  <si>
    <t>AC Distribution Board</t>
  </si>
  <si>
    <t>150 kV SUBSTATION  AUXILIARIES  EQUIPMENT</t>
  </si>
  <si>
    <t>110 V DC Battery suitable for supplying all 110 V DC load for 8 hours discharge</t>
  </si>
  <si>
    <t>Peralatan Pengujian Baterai</t>
  </si>
  <si>
    <t>110V DC Switch Fuse Distribution Board suitable for 110V DC battery set, HV equipment of minimum 10 bays, MV switchgear, etc</t>
  </si>
  <si>
    <t>400V AC Switch Fuse Distribution Board suitable for the 2 (two) units station service transformer</t>
  </si>
  <si>
    <t>20/0.4 kV ≥ 200 kVA 3-phase station auxiliary transformer complete with necessary accessories (vector group DYn 5)</t>
  </si>
  <si>
    <t xml:space="preserve">LV power cable, control cable and accesorries and necessary equipment (cable ladder, clamp, cable lug, terminal, etc.) </t>
  </si>
  <si>
    <t>Ground Wire Steel (GSW) 70 mm2 for shield wire for installation of shield wire as specified/bay</t>
  </si>
  <si>
    <t>Worker Stringging</t>
  </si>
  <si>
    <t>Foreman TL</t>
  </si>
  <si>
    <t>Engineer expert</t>
  </si>
  <si>
    <t>Supporting of Equipment ( Key and Safety belt )</t>
  </si>
  <si>
    <t>RESIKO</t>
  </si>
  <si>
    <t>OVERHEAD</t>
  </si>
  <si>
    <t>KEUNTUNGAN</t>
  </si>
  <si>
    <t>PPH</t>
  </si>
  <si>
    <t>Split</t>
  </si>
  <si>
    <t>Crushed Stone</t>
  </si>
  <si>
    <t>Oil Machine</t>
  </si>
  <si>
    <t>INKINDO 2016</t>
  </si>
  <si>
    <t>Foreman</t>
  </si>
  <si>
    <t>Driver</t>
  </si>
  <si>
    <t>Brick layer</t>
  </si>
  <si>
    <t>Steel worker leader</t>
  </si>
  <si>
    <t>Biaya Langsung Personil</t>
  </si>
  <si>
    <t>Pully</t>
  </si>
  <si>
    <t>Computer + Printer</t>
  </si>
  <si>
    <t>Cord</t>
  </si>
  <si>
    <t>meter</t>
  </si>
  <si>
    <t>Casing</t>
  </si>
  <si>
    <t>indoalatberat.com/crane/rental-hiab-truck-cranes</t>
  </si>
  <si>
    <t>Alat Pengukuran Earthing</t>
  </si>
  <si>
    <t>Cangkul</t>
  </si>
  <si>
    <t>http://jayaciptapersada.com/sewa-penyewaan-alat-berat/</t>
  </si>
  <si>
    <t>Mesin Press</t>
  </si>
  <si>
    <t>unit / day</t>
  </si>
  <si>
    <t>Truck Crane 35 to</t>
  </si>
  <si>
    <t>http://rentalmobilecrane.blogspot.co.id/p/list-harga-rental-crane.html</t>
  </si>
  <si>
    <t>Eskavator kecil</t>
  </si>
  <si>
    <t>Miscellaneous equipment and material including cables, patch cord, pig tail, telephone cable, connectors, compression terminal, connection to individual items of equipment, etc, to complete the scope of works.</t>
  </si>
  <si>
    <t>Clamp</t>
  </si>
  <si>
    <t>GSW 55</t>
  </si>
  <si>
    <t>Galvanis of Steel angle MS</t>
  </si>
  <si>
    <t xml:space="preserve">Remuneration </t>
  </si>
  <si>
    <t>1 set Earthing angle, including galvanized steel angle 1,5 m</t>
  </si>
  <si>
    <t>Fitting sets</t>
  </si>
  <si>
    <t>PVC pipe 2"</t>
  </si>
  <si>
    <t>Worker chief</t>
  </si>
  <si>
    <t>1 m installation PVC pipe type AW dia 2"</t>
  </si>
  <si>
    <t>Oil</t>
  </si>
  <si>
    <t>Solar</t>
  </si>
  <si>
    <t>Welding wire</t>
  </si>
  <si>
    <t>Weld worker</t>
  </si>
  <si>
    <t xml:space="preserve">   - Theodolite</t>
  </si>
  <si>
    <t xml:space="preserve">   - Paku 2-3cm</t>
  </si>
  <si>
    <t>btl</t>
  </si>
  <si>
    <t xml:space="preserve">   - Kayu Meranti 5/7</t>
  </si>
  <si>
    <t xml:space="preserve">   - Meranti 3/20</t>
  </si>
  <si>
    <t xml:space="preserve">   - Foreman</t>
  </si>
  <si>
    <t>- Welding Machine</t>
  </si>
  <si>
    <t>- Chain block 5 ton</t>
  </si>
  <si>
    <t>- Jack drum</t>
  </si>
  <si>
    <t>- Tripod</t>
  </si>
  <si>
    <t>- Forklift</t>
  </si>
  <si>
    <t>batang besi</t>
  </si>
  <si>
    <t>Baut 5/8, 30 cm</t>
  </si>
  <si>
    <t>Kawat las harmonika</t>
  </si>
  <si>
    <t xml:space="preserve">batang </t>
  </si>
  <si>
    <t>Pipa GIP 2 inch</t>
  </si>
  <si>
    <t>Target Selesai</t>
  </si>
  <si>
    <t>Jml Orng</t>
  </si>
  <si>
    <t>Paku</t>
  </si>
  <si>
    <t>kg/batang</t>
  </si>
  <si>
    <t xml:space="preserve">Besi baja 16mm, 12 meter </t>
  </si>
  <si>
    <t>Kayu Klas II 2/20cm</t>
  </si>
  <si>
    <t>Cat tembok</t>
  </si>
  <si>
    <t>Patok beton uk. 10cm x 10 cm</t>
  </si>
  <si>
    <t>Rope fibers</t>
  </si>
  <si>
    <t>Water Pump 30 m3/day</t>
  </si>
  <si>
    <t>Dewatering with pump ( 24 hours, capacity 30 m3/s)</t>
  </si>
  <si>
    <t>Steel Saw</t>
  </si>
  <si>
    <t>Installed of  Number Plate Phase ( 2 pcs/tower )</t>
  </si>
  <si>
    <t>Installed of Danger Plate ( 2 pcs / tower )</t>
  </si>
  <si>
    <t>Installed of  Anti Climbing Device ( 1 set / tower )</t>
  </si>
  <si>
    <t>Installed of Spacer  for  Jumper</t>
  </si>
  <si>
    <t>Installed of  Repair Sleeve for ACSR/AS or TACSR</t>
  </si>
  <si>
    <t>Installed of Mid Span Joint for AS 95 or OPGW 100 mm2</t>
  </si>
  <si>
    <t>Installed of Mid Span Joint for ACSR/AS or TACSR</t>
  </si>
  <si>
    <t>Installed Vibration damper for AS 95 or OPGW 100 mm2</t>
  </si>
  <si>
    <t xml:space="preserve">Installed of Spacer damper for ACSR/AS or TACSR </t>
  </si>
  <si>
    <t>Installed of Jumper Support Insulator set ( incl. Clamp &amp; Armour rod )</t>
  </si>
  <si>
    <t>Installed of Earthwire Tension set ( incl. Clamp &amp; Armour rod )</t>
  </si>
  <si>
    <t>Installed of Earthwire Suspension set  ( incl. Clamp &amp; Armour rod )</t>
  </si>
  <si>
    <t>Sagging of Equipment</t>
  </si>
  <si>
    <t xml:space="preserve">1 KMS Sagging of Stringing </t>
  </si>
  <si>
    <t>Galvanis of Wire  dia  4 mm</t>
  </si>
  <si>
    <t>Communication of Equipment</t>
  </si>
  <si>
    <t>Stringing of Equipment</t>
  </si>
  <si>
    <t>1 KMR Stringing of Earthing conductor</t>
  </si>
  <si>
    <t>1 KMS</t>
  </si>
  <si>
    <t>Chain Saw</t>
  </si>
  <si>
    <t>1 KMR Bus Clearing</t>
  </si>
  <si>
    <t>1 m3 Handling of Material Foundation</t>
  </si>
  <si>
    <t>Car ( Truck )</t>
  </si>
  <si>
    <t>Steel Worker</t>
  </si>
  <si>
    <t xml:space="preserve">   - Cord</t>
  </si>
  <si>
    <t xml:space="preserve">   - Pully</t>
  </si>
  <si>
    <t xml:space="preserve">   - Bamboo</t>
  </si>
  <si>
    <t xml:space="preserve">   - Engineer expert</t>
  </si>
  <si>
    <t>Jumlah Hari</t>
  </si>
  <si>
    <t>Jumlah Pekerja</t>
  </si>
  <si>
    <t>1 ton Dismantling Materials and Accessories Tower</t>
  </si>
  <si>
    <t xml:space="preserve">1 ton Erection Tower  </t>
  </si>
  <si>
    <t>1.0 Ton  Sortir Material of Tower</t>
  </si>
  <si>
    <t xml:space="preserve"> -  Supporting of Equipment ( Welder and Cutting Machine )</t>
  </si>
  <si>
    <t xml:space="preserve"> -  Drilling of Machine</t>
  </si>
  <si>
    <t xml:space="preserve"> -  Galvanis of Steel Plate</t>
  </si>
  <si>
    <t xml:space="preserve"> -  Galvanis Bolt and Nuts</t>
  </si>
  <si>
    <t xml:space="preserve"> -  Galvanis of Steel angle MS</t>
  </si>
  <si>
    <t xml:space="preserve"> -  Galvanis of Steel angle HTS</t>
  </si>
  <si>
    <t xml:space="preserve">   - Safety equipment (Gas detector)</t>
  </si>
  <si>
    <t xml:space="preserve">   - Tackel &amp; Handle crane 2T</t>
  </si>
  <si>
    <t xml:space="preserve">   - Grinding disk</t>
  </si>
  <si>
    <t xml:space="preserve">   - Argon</t>
  </si>
  <si>
    <t xml:space="preserve">   - Electroda</t>
  </si>
  <si>
    <t xml:space="preserve">   - Safety</t>
  </si>
  <si>
    <t xml:space="preserve">   - Supervsion</t>
  </si>
  <si>
    <t xml:space="preserve">   - Rigger</t>
  </si>
  <si>
    <t xml:space="preserve">   - Fitter</t>
  </si>
  <si>
    <t>Tabung</t>
  </si>
  <si>
    <t xml:space="preserve">   - Acetelin</t>
  </si>
  <si>
    <t xml:space="preserve">   - Oxigen</t>
  </si>
  <si>
    <t xml:space="preserve">   - Excavator</t>
  </si>
  <si>
    <t xml:space="preserve">   -  </t>
  </si>
  <si>
    <t xml:space="preserve">   - Exavator</t>
  </si>
  <si>
    <t>Plastik</t>
  </si>
  <si>
    <t>Geotekstil</t>
  </si>
  <si>
    <t>Permen PUPR Hal 216</t>
  </si>
  <si>
    <t xml:space="preserve">   - Palm Fibre</t>
  </si>
  <si>
    <t xml:space="preserve">   - Pipe Concrete Ø 30 cm</t>
  </si>
  <si>
    <t xml:space="preserve">   - Compacted sand layer</t>
  </si>
  <si>
    <t xml:space="preserve">   - Backfilling</t>
  </si>
  <si>
    <t xml:space="preserve">   - Excavation of soil</t>
  </si>
  <si>
    <t>A.5.1.1.17 hal. 555</t>
  </si>
  <si>
    <t xml:space="preserve">   - Brick 1 pc : 4 ps</t>
  </si>
  <si>
    <t xml:space="preserve">   - Plaster cement 1:4</t>
  </si>
  <si>
    <t xml:space="preserve">   - Stone Masonry 1 PC : 3 Sand</t>
  </si>
  <si>
    <t xml:space="preserve">   - Dyna Bolt</t>
  </si>
  <si>
    <t xml:space="preserve">   - Plat Bordes 6 mm</t>
  </si>
  <si>
    <t xml:space="preserve">   - Steel L50x50x5</t>
  </si>
  <si>
    <t xml:space="preserve">   - Reinforced Concrete Grade 175 Fe 100 </t>
  </si>
  <si>
    <t xml:space="preserve">   - Lean concrete K100</t>
  </si>
  <si>
    <t xml:space="preserve">  - Chief of Steel Worker</t>
  </si>
  <si>
    <t xml:space="preserve">  - Steel Worker  </t>
  </si>
  <si>
    <t xml:space="preserve">  - Tools</t>
  </si>
  <si>
    <t>steel cover</t>
  </si>
  <si>
    <t xml:space="preserve">  - Bor Machine</t>
  </si>
  <si>
    <t>1220mm x 2440mm x 6 mm =145 kg</t>
  </si>
  <si>
    <t xml:space="preserve">   - Reinforced Concrete Grade 175/20</t>
  </si>
  <si>
    <t xml:space="preserve">   - Reinforced Concrete Grade 175/ Fe 100</t>
  </si>
  <si>
    <t>F. FOR CABLE TRENCH 20 kV CONTROL BUILDING ROOM</t>
  </si>
  <si>
    <t>`</t>
  </si>
  <si>
    <t xml:space="preserve"> - Steel L50x50x5 for cable tray large</t>
  </si>
  <si>
    <t xml:space="preserve"> - U-Ditch Cover 800 (panjang 0.6 m)</t>
  </si>
  <si>
    <t xml:space="preserve"> - U-Ditch 800/800 (panjang 1.2 m)</t>
  </si>
  <si>
    <t xml:space="preserve"> - Lean concrete K100</t>
  </si>
  <si>
    <t xml:space="preserve"> - Compacted sand layer</t>
  </si>
  <si>
    <t xml:space="preserve"> - Backfilling</t>
  </si>
  <si>
    <t xml:space="preserve"> - Excavation of soil</t>
  </si>
  <si>
    <t xml:space="preserve">  - Worker  </t>
  </si>
  <si>
    <t xml:space="preserve"> - U-Ditch Cover 1000 (panjang 0.6 m)</t>
  </si>
  <si>
    <t xml:space="preserve"> - U-Ditch 1000/1000 (panjang 1.2 m)</t>
  </si>
  <si>
    <t xml:space="preserve"> - Reinforced Concrete Grade 175 Fe 100 for cover</t>
  </si>
  <si>
    <t xml:space="preserve"> - Reinforced Concrete Grade 175 Fe 100 for trench</t>
  </si>
  <si>
    <t xml:space="preserve"> - Dyna Bolt M20</t>
  </si>
  <si>
    <t xml:space="preserve">  - Steel L50x50x5 for Cable Tray</t>
  </si>
  <si>
    <t>TRAY</t>
  </si>
  <si>
    <t xml:space="preserve"> - Reinforced Concrete Grade 175, Fe 100 for cover</t>
  </si>
  <si>
    <t xml:space="preserve"> - Reinforced Concrete Grade 175, Fe 100 for trench</t>
  </si>
  <si>
    <t>Tipe 1</t>
  </si>
  <si>
    <t xml:space="preserve">  - Dyna Bolt M20</t>
  </si>
  <si>
    <t>Tipe 2</t>
  </si>
  <si>
    <t>berat</t>
  </si>
  <si>
    <t xml:space="preserve">       Pohon Mangga ukuran tinggi + 2 m</t>
  </si>
  <si>
    <t>Jurnal 2016 hal 338</t>
  </si>
  <si>
    <t>Jurnal 2016 hal 337</t>
  </si>
  <si>
    <t>Permen PU Hal 148</t>
  </si>
  <si>
    <t>Permen PU Hal 375</t>
  </si>
  <si>
    <t xml:space="preserve">   - BBM (Solar)</t>
  </si>
  <si>
    <t xml:space="preserve">   - Mobile crane</t>
  </si>
  <si>
    <t>org</t>
  </si>
  <si>
    <t xml:space="preserve"> - Foreman</t>
  </si>
  <si>
    <t xml:space="preserve"> - Supervision</t>
  </si>
  <si>
    <t xml:space="preserve"> - Steel worker</t>
  </si>
  <si>
    <t>100 m / hari</t>
  </si>
  <si>
    <t xml:space="preserve"> - Worker</t>
  </si>
  <si>
    <t>Rewinding</t>
  </si>
  <si>
    <t xml:space="preserve">    - Steel saw</t>
  </si>
  <si>
    <t xml:space="preserve">   - Sling</t>
  </si>
  <si>
    <t xml:space="preserve">   - BBM / Solar</t>
  </si>
  <si>
    <t xml:space="preserve">   - Excavator-mounted hydraulic jackhammer</t>
  </si>
  <si>
    <t xml:space="preserve"> -  Steel Chisel (Baja Keras)</t>
  </si>
  <si>
    <t xml:space="preserve"> -  Steel Saw</t>
  </si>
  <si>
    <t xml:space="preserve"> - Hammer (Palu)</t>
  </si>
  <si>
    <t>Hari</t>
  </si>
  <si>
    <t>Jumlah Alat</t>
  </si>
  <si>
    <t>jumlah orang</t>
  </si>
  <si>
    <t xml:space="preserve">   - Foreman'</t>
  </si>
  <si>
    <t xml:space="preserve">    - Oil formwork</t>
  </si>
  <si>
    <t xml:space="preserve">    - Paku 5 cm and 7 cm</t>
  </si>
  <si>
    <t xml:space="preserve">    - Wooden 5/7 cm</t>
  </si>
  <si>
    <t xml:space="preserve">    - 3/20 cm Wooden plank class II</t>
  </si>
  <si>
    <t>Transportation</t>
  </si>
  <si>
    <t>pcs/month</t>
  </si>
  <si>
    <t>Compression Test</t>
  </si>
  <si>
    <t>Cube Molding</t>
  </si>
  <si>
    <t>Concrete Test (per usia/7,14,28)</t>
  </si>
  <si>
    <t xml:space="preserve">   - Nail 2-3cm</t>
  </si>
  <si>
    <t>- Skill Worker</t>
  </si>
  <si>
    <t>- Mekanik</t>
  </si>
  <si>
    <t>- Electrical Technician</t>
  </si>
  <si>
    <t>- Laptop</t>
  </si>
  <si>
    <t>Kebutuhan Orang</t>
  </si>
  <si>
    <t>Target</t>
  </si>
  <si>
    <t>Panjang 3 phase per Line Bay = 14 m</t>
  </si>
  <si>
    <t>Pemasangan untuk 2 Bay</t>
  </si>
  <si>
    <t>Engineer Expert</t>
  </si>
  <si>
    <t>Carpenter leader</t>
  </si>
  <si>
    <t>Paint worker leader</t>
  </si>
  <si>
    <t>Plumber leader</t>
  </si>
  <si>
    <t>Stringing Worker</t>
  </si>
  <si>
    <t>Truck Crane Cap. 5 ton</t>
  </si>
  <si>
    <t>- Scaffolding</t>
  </si>
  <si>
    <t>Pemasangan Peralatan LT</t>
  </si>
  <si>
    <t>Pemasangan Steel Structure LT</t>
  </si>
  <si>
    <t>Pemasangan Steel Structure ES</t>
  </si>
  <si>
    <t>Pemasangan Peralatan ES</t>
  </si>
  <si>
    <t>- Foreman</t>
  </si>
  <si>
    <t>- Bambu</t>
  </si>
  <si>
    <t>Harga Per Ton</t>
  </si>
  <si>
    <t>Harga Per Kg</t>
  </si>
  <si>
    <t>Jurnal Bekasi 2017 Hal 347</t>
  </si>
  <si>
    <t>Singkup</t>
  </si>
  <si>
    <t>Copper strip or flexible conductors to bond all overhead line towers direct to the substation Earth System.</t>
  </si>
  <si>
    <t>Bare Alluminium conductor of 1 x TAL 630 sqmm/phase for 3 phase  (m)</t>
  </si>
  <si>
    <t>- Steel Erection Worker</t>
  </si>
  <si>
    <t>- Sewa Crane 30 ton (incl. Opr + BBM)</t>
  </si>
  <si>
    <t>- Peralatan bantu</t>
  </si>
  <si>
    <t>man-hour</t>
  </si>
  <si>
    <t>Skill Wiring Worker</t>
  </si>
  <si>
    <t>Pemasangan Sistem Grounding/ 100 m'</t>
  </si>
  <si>
    <t>Total per Bay</t>
  </si>
  <si>
    <t>Total per 2 Bay</t>
  </si>
  <si>
    <t>Pemasangan Trafo dan Accesoriesnya</t>
  </si>
  <si>
    <t>Pemasangan Trafo 150/70 kV, 100 MVA, dan Accesoriesnya</t>
  </si>
  <si>
    <t>Pemasangan Trafo 150/70 kV, 60 MVA /30 MVA dan Accesoriesnya</t>
  </si>
  <si>
    <t>Pemasangan Auxillary Tranformer 20/0,4 kV dan Accesoriesnya</t>
  </si>
  <si>
    <t>Pemasangan Supporting Structure For Y Connection of 1 x Shunt Reactor/IBT 500 kV</t>
  </si>
  <si>
    <t>Gelar dan pemasangan Power Cable XLPE, 150 kV Single Core or Three Core</t>
  </si>
  <si>
    <t>Power Cable 150 kV, dalam Ducting, Cubicle include Cable Support/ 100 m'</t>
  </si>
  <si>
    <t>Power Cable 150 kV, dalam galian include Cable Support/ 100 m'</t>
  </si>
  <si>
    <t>Terminasi Kabel 150 kV / Set</t>
  </si>
  <si>
    <t>Pemasangan Link Box with SVL</t>
  </si>
  <si>
    <t>Gelar dan pemasangan Power Cable XLPE, 20 kV Single Core or Three Core</t>
  </si>
  <si>
    <t>Power Cable 150 kV/20 kV, Transformer and 20 kV inc Cubicle incl Cable Support</t>
  </si>
  <si>
    <t>Power Cable 150 kV/20 kV Transformer, and NGR</t>
  </si>
  <si>
    <t>Power Cable between Bus Section Group-1 and Bus Riser Group-2 incl Cable Support</t>
  </si>
  <si>
    <t>Power Cable between 20 kV Aux, Trafo Cubicle, and the Aux Trafo, incl Cable Support</t>
  </si>
  <si>
    <t>Gelar Kabel Power 20 kV per 100 m (dalam Ducting)</t>
  </si>
  <si>
    <t>Pemasangan LV power cable for Control and Protection/ Bay</t>
  </si>
  <si>
    <t>- Technician</t>
  </si>
  <si>
    <t>- Electrician</t>
  </si>
  <si>
    <t>- Sewa Laptop</t>
  </si>
  <si>
    <t>F</t>
  </si>
  <si>
    <t>AC SUPPLY EQUIPMENT FOR SUBSTATION AUTOMATIC</t>
  </si>
  <si>
    <t>- Peralatan Pengujian Baterai</t>
  </si>
  <si>
    <t>Battery charger min. 60 A for 110V DC Battery complete with Panel Board (subject to calculation)</t>
  </si>
  <si>
    <t>Total 2 Bay</t>
  </si>
  <si>
    <t>1 kali pemakaian</t>
  </si>
  <si>
    <t>REVISI</t>
  </si>
  <si>
    <t xml:space="preserve">   - PVC Pipe dia 2"</t>
  </si>
  <si>
    <t xml:space="preserve">   - elbow dia 2"</t>
  </si>
  <si>
    <t xml:space="preserve">   - Knee dia 2"</t>
  </si>
  <si>
    <t>Brick Layer leader</t>
  </si>
  <si>
    <t>Plywood 12 mm</t>
  </si>
  <si>
    <t>Nail 1 " - 4 "</t>
  </si>
  <si>
    <t>Dia</t>
  </si>
  <si>
    <t>Luas Penampang (cm2)</t>
  </si>
  <si>
    <t>Berat Nominal (Kg/m)</t>
  </si>
  <si>
    <t>Jurnal Bekasi 2017 Hal 341</t>
  </si>
  <si>
    <t>Jurnal Bekasi 2017 Hal 337</t>
  </si>
  <si>
    <t>Jurnal Bekasi 2017 Hal 336</t>
  </si>
  <si>
    <t>Jurnal Bekasi 2017 Hal 349</t>
  </si>
  <si>
    <t>Jurnal Jakarta 2017 Hal 323</t>
  </si>
  <si>
    <t>Jurnal Jakarta 2017 hal 248</t>
  </si>
  <si>
    <t xml:space="preserve">Kayu Meranti Balok uk. 6/12 - 4 M </t>
  </si>
  <si>
    <t xml:space="preserve">Kayu Meranti Balok uk. 5/7 - 4 M </t>
  </si>
  <si>
    <t>Kayu Meranti Balok uk. 8/12 - 4 M</t>
  </si>
  <si>
    <t>OH/8 Jam</t>
  </si>
  <si>
    <t>Jurnal Jakarta 2016</t>
  </si>
  <si>
    <t xml:space="preserve">   - elbow dia 1"</t>
  </si>
  <si>
    <t xml:space="preserve">   - Knee dia 1"</t>
  </si>
  <si>
    <t>Ball Valve</t>
  </si>
  <si>
    <t>1 m2</t>
  </si>
  <si>
    <t>15 cm</t>
  </si>
  <si>
    <t>20 cm</t>
  </si>
  <si>
    <t>Jurnal Bekasi 2017 Hal 346</t>
  </si>
  <si>
    <t>Jurnal Jakarta 2017 Hal 281</t>
  </si>
  <si>
    <t>Jurnal Jakarta 2017 Hal 284</t>
  </si>
  <si>
    <t>Tiang Pagar BRC height 1,5 m</t>
  </si>
  <si>
    <t>Tiang Pagar BRC height 1,9 m</t>
  </si>
  <si>
    <t>http://www.hargamaterialbangunan.com/2016/08/harga-pagar-tiang-brc.html</t>
  </si>
  <si>
    <t>Jurnal Jakarta 2017 Hal 282</t>
  </si>
  <si>
    <t xml:space="preserve">Jurnal Bekasi 2016 </t>
  </si>
  <si>
    <t xml:space="preserve">Profil Siku </t>
  </si>
  <si>
    <t>Palm Fibre</t>
  </si>
  <si>
    <t>Jurnal Bekasi 2017 Hal. 343</t>
  </si>
  <si>
    <t>Jurnal Jakarta 2017 Hal 267</t>
  </si>
  <si>
    <t>http://www.hargabangunane.com/harga-granit-marmer-murah/#</t>
  </si>
  <si>
    <t>Jurnal Jakarta 2017 Hal 285</t>
  </si>
  <si>
    <t>Jurnal Jakarta 2017 Hal 301</t>
  </si>
  <si>
    <t xml:space="preserve">   -  Roofing Spandek Colorbond</t>
  </si>
  <si>
    <t xml:space="preserve">   -  Nok Spandek Colorbond</t>
  </si>
  <si>
    <t>Jurnal Jakarta 2017 hal 269</t>
  </si>
  <si>
    <t xml:space="preserve">   - Hollow steel 40.40.2 mm</t>
  </si>
  <si>
    <t xml:space="preserve">   - Accessories</t>
  </si>
  <si>
    <t>Door Closer</t>
  </si>
  <si>
    <t>Jurnal Jakarta 2017 Hal 291</t>
  </si>
  <si>
    <t>Grendel for Door</t>
  </si>
  <si>
    <t>Jurnal Jakarta 2017 Hal 292</t>
  </si>
  <si>
    <t>Jurnal Jakarta 2015</t>
  </si>
  <si>
    <t>Wind Hook For Window (1 set = 2 pcs)</t>
  </si>
  <si>
    <t>Grendel for window  (1 set = 2 pcs)</t>
  </si>
  <si>
    <t>Jurnal Bekasi 2017 Hal 344</t>
  </si>
  <si>
    <t>Jurnal Jawa Barat 2016 (Kerawang)</t>
  </si>
  <si>
    <t xml:space="preserve">(Steel Galvanizing Automatic Roling door) 3500 x 2200 </t>
  </si>
  <si>
    <t>INSTALLMENT ALL TYPE DOOR</t>
  </si>
  <si>
    <t>Jurnal Jakarta 2017 hal 299</t>
  </si>
  <si>
    <t>Door Holder (1 set = 2 pcs)</t>
  </si>
  <si>
    <t>Door Lock</t>
  </si>
  <si>
    <t>Lampu LED 9 Watt Putih</t>
  </si>
  <si>
    <t>https://www.tokopedia.com/mitraled/lampu-led-philips-9-watt</t>
  </si>
  <si>
    <t>Besi Pelat Rata-rata</t>
  </si>
  <si>
    <t xml:space="preserve">  - Formwork</t>
  </si>
  <si>
    <t>Per m3 beton k.100 membutuhkan 18 karung pasir, 20 karung split dan 5 sak semen</t>
  </si>
  <si>
    <t>Ongkos angkut material = Rp.5.000 /karung atau /sak semen</t>
  </si>
  <si>
    <t>Kuantitas</t>
  </si>
  <si>
    <t>Pasir</t>
  </si>
  <si>
    <t>Jawa</t>
  </si>
  <si>
    <t>kalimantan</t>
  </si>
  <si>
    <t>Semen</t>
  </si>
  <si>
    <t>sak</t>
  </si>
  <si>
    <t>karung/sak</t>
  </si>
  <si>
    <t>Harga satuan</t>
  </si>
  <si>
    <t>Harga total</t>
  </si>
  <si>
    <t>Per m3 beton k.225 membutuhkan 13 karung pasir, 13 karung split dan 8 sak semen</t>
  </si>
  <si>
    <t>Per m3 beton k.300 membutuhkan 14 karung pasir, 21 karung split dan 9 sak semen</t>
  </si>
  <si>
    <t>7,4 MPa</t>
  </si>
  <si>
    <t>9,8 MPa</t>
  </si>
  <si>
    <t>12,2 MPa</t>
  </si>
  <si>
    <t>14,5 MPa</t>
  </si>
  <si>
    <t>16,9 MPa</t>
  </si>
  <si>
    <t>19,3 MPa</t>
  </si>
  <si>
    <t>21,7 MPa</t>
  </si>
  <si>
    <t>24,0 MPa</t>
  </si>
  <si>
    <t>26,4 MPa</t>
  </si>
  <si>
    <t>28,8 MPa</t>
  </si>
  <si>
    <t>31,2 MPa</t>
  </si>
  <si>
    <t>K100</t>
  </si>
  <si>
    <t>K125</t>
  </si>
  <si>
    <t>K150</t>
  </si>
  <si>
    <t>K175</t>
  </si>
  <si>
    <t>K200</t>
  </si>
  <si>
    <t>K225</t>
  </si>
  <si>
    <t>K250</t>
  </si>
  <si>
    <t>K275</t>
  </si>
  <si>
    <t>K300</t>
  </si>
  <si>
    <t>K325</t>
  </si>
  <si>
    <t>K350</t>
  </si>
  <si>
    <t>SEMEN (Kg)</t>
  </si>
  <si>
    <t>Pasir (Kg)</t>
  </si>
  <si>
    <t>Kerikil (Kg)</t>
  </si>
  <si>
    <t>Air (liter)</t>
  </si>
  <si>
    <t>w/c Ratio</t>
  </si>
  <si>
    <t>Mutu Beton</t>
  </si>
  <si>
    <t>Water Pump 30m3/day</t>
  </si>
  <si>
    <t>SNI 7394.2008</t>
  </si>
  <si>
    <t>PUPR 2016 Hal 244</t>
  </si>
  <si>
    <t>PUPR 2016 Hal 246</t>
  </si>
  <si>
    <t>Jurnal Jakarta 2017 Hal 311</t>
  </si>
  <si>
    <t>Jurnal Jakarta 2017 Hal 305</t>
  </si>
  <si>
    <t>Jurnal Jakarta 2017 Hal 312</t>
  </si>
  <si>
    <t>Lampu sorot 250 watt setara philips</t>
  </si>
  <si>
    <t>Aluminium plate uk. 12cm x 12 cm</t>
  </si>
  <si>
    <t>Colour steel paint</t>
  </si>
  <si>
    <t>Shifitng Conductor per  span per phase</t>
  </si>
  <si>
    <t>Supervision</t>
  </si>
  <si>
    <t>Mob &amp; Demob</t>
  </si>
  <si>
    <t>Tools (Turnbuckle. Tirfor, BV, sukle, come along, tacle, rope)</t>
  </si>
  <si>
    <t>Total station</t>
  </si>
  <si>
    <t>Truck</t>
  </si>
  <si>
    <t>Truck Crane</t>
  </si>
  <si>
    <t>set-day</t>
  </si>
  <si>
    <t>BBM/Solar</t>
  </si>
  <si>
    <t>Genset</t>
  </si>
  <si>
    <t>Press machine</t>
  </si>
  <si>
    <t>Rope</t>
  </si>
  <si>
    <t>Jack Drum</t>
  </si>
  <si>
    <t>Safety Equipment</t>
  </si>
  <si>
    <t>D. DEMOLISHING WORK</t>
  </si>
  <si>
    <t>E. FINISHING WORK</t>
  </si>
  <si>
    <t>F. ROAD WORK</t>
  </si>
  <si>
    <t>G. CABEL FOR SWITCHYARD</t>
  </si>
  <si>
    <t>H. INSTALLATION WORK</t>
  </si>
  <si>
    <t>I. TOWER WORK</t>
  </si>
  <si>
    <t>J. PEMASANGAN PERALATAN GARDU INDUK</t>
  </si>
  <si>
    <t>PM 78 thn 2014</t>
  </si>
  <si>
    <t>Permen PUPR Hal 283</t>
  </si>
  <si>
    <t>SNI 7394-2008-20</t>
  </si>
  <si>
    <t xml:space="preserve">   - beam meranti 5/7 Class II or III</t>
  </si>
  <si>
    <t xml:space="preserve">   - Dolken Kayu dia 8 cm</t>
  </si>
  <si>
    <t>PM 78 th 2014 Hal 270</t>
  </si>
  <si>
    <t>Plywood 9 mm</t>
  </si>
  <si>
    <t xml:space="preserve">   - Plywood 9 mm/12 mm</t>
  </si>
  <si>
    <t xml:space="preserve">    - Anchor Bar</t>
  </si>
  <si>
    <t xml:space="preserve">    - Bolt</t>
  </si>
  <si>
    <t xml:space="preserve">    - Baja IWF</t>
  </si>
  <si>
    <t xml:space="preserve">    - Las Wire</t>
  </si>
  <si>
    <t xml:space="preserve">    - Las Machine </t>
  </si>
  <si>
    <t>Dump Truck 5 m3  (4 hour/day)</t>
  </si>
  <si>
    <t>Buldozer Setara Catterpillar D6D cap 0.8 m  (4 hour/day)</t>
  </si>
  <si>
    <t xml:space="preserve">pagar BRC per m2 </t>
  </si>
  <si>
    <t>Jurnal Jakarta 2017</t>
  </si>
  <si>
    <t xml:space="preserve">keliling </t>
  </si>
  <si>
    <t>Wash basin complete (Toto LW 820J )</t>
  </si>
  <si>
    <t xml:space="preserve">  - Water torn Plastic Cap 2 m3 setara Penguin</t>
  </si>
  <si>
    <t xml:space="preserve">  - Knee 1"</t>
  </si>
  <si>
    <t xml:space="preserve">  - Steel angle L.50.50.5</t>
  </si>
  <si>
    <t xml:space="preserve"> - Fondation work ( Conc K-300 ; Fe = 100 kg/m3 ; and  formwork)</t>
  </si>
  <si>
    <t xml:space="preserve">  - Soil Excavation</t>
  </si>
  <si>
    <t xml:space="preserve">  - Back filling</t>
  </si>
  <si>
    <t>Glazed plint tiles 100 x 400 mm  setara granito</t>
  </si>
  <si>
    <t>Granite plint tiles 100 x 300 mm  setara granito</t>
  </si>
  <si>
    <t>Hinge For Window 4 in (1 set = 2 pcs)</t>
  </si>
  <si>
    <t>Hinge For Door 5 in (engsel) (1 set = 3 pcs)</t>
  </si>
  <si>
    <t>Grendel for Door double Swing Steel Door</t>
  </si>
  <si>
    <t>Stop Contact stara Panasonic in bow single</t>
  </si>
  <si>
    <t>Saklar stara Panasonic Double Inbow</t>
  </si>
  <si>
    <t>Hammer 4,5 kg Sellery Heavy Duty</t>
  </si>
  <si>
    <t>Linggis Besi Ulir L=110 cm dia. 1/4-1 "</t>
  </si>
  <si>
    <t>https://www.tokopedia.com/teknik-marine/linggis-besi-ulir-1-14-x-110cm</t>
  </si>
  <si>
    <t>Pahat besi beton ujung lancip 19 mm</t>
  </si>
  <si>
    <t>https://www.tokopedia.com/madu-madu/pahat-besi-beton-ulir-ujung-lancip-19-mm-ujung-tajam-pe-limited</t>
  </si>
  <si>
    <t>Meranti/m3</t>
  </si>
  <si>
    <t>1 m3 = 41 lmbr</t>
  </si>
  <si>
    <t>Residu</t>
  </si>
  <si>
    <t>Harga Perlembar (rol/40 )</t>
  </si>
  <si>
    <t>Jurnal Jakarta 2017 hal 266</t>
  </si>
  <si>
    <t>Jurnal Jakarta Hal 253</t>
  </si>
  <si>
    <t>harga jurnal 2016</t>
  </si>
  <si>
    <t>Jurnal Jakarta 2017 Hal 256</t>
  </si>
  <si>
    <t>Jurnal Jakarta 2017 Hal 278</t>
  </si>
  <si>
    <t>elbow 1/2" 90</t>
  </si>
  <si>
    <t>elbow 1" 90</t>
  </si>
  <si>
    <t>elbow 2" 90</t>
  </si>
  <si>
    <t>elbow 3" 90</t>
  </si>
  <si>
    <t>elbow 4" 90</t>
  </si>
  <si>
    <t>Squatting water closed complete (Toto CE9)</t>
  </si>
  <si>
    <t>Jurnal Banten 2016</t>
  </si>
  <si>
    <t>Jurnal Kerawang 2016</t>
  </si>
  <si>
    <t>https://www.tokopedia.com/tukangrumput/rumput-gajah-mini-harga-petani</t>
  </si>
  <si>
    <t>Jurnal Jakarta 2017 Hal 306</t>
  </si>
  <si>
    <t>SISTEM 150 KV</t>
  </si>
  <si>
    <t>Pemasangan Kolom (Post), Switchyard 150 kV</t>
  </si>
  <si>
    <t>a.</t>
  </si>
  <si>
    <t>Pemasangan Kolom (Post), tinggi 13 m + 5 m</t>
  </si>
  <si>
    <t>Tinngi 9 m' (tanpa sambung)</t>
  </si>
  <si>
    <t>Pengadaan Steel Structure Post, tinggi 13,0 + 5 m</t>
  </si>
  <si>
    <t>Penyambung</t>
  </si>
  <si>
    <t>Pemasangan Steel Structure Post, tinggi 13,0 + 5m</t>
  </si>
  <si>
    <t>Tinngi 9,0 m'</t>
  </si>
  <si>
    <t>h/o</t>
  </si>
  <si>
    <t>Tengah, Tinngi 4,0 m'</t>
  </si>
  <si>
    <t>Tinggi 13 m'</t>
  </si>
  <si>
    <t>Helper</t>
  </si>
  <si>
    <t>Pucuk, 5,0 m'</t>
  </si>
  <si>
    <t>Tukang Panjat</t>
  </si>
  <si>
    <t>Tinggi 13 m'+5m'</t>
  </si>
  <si>
    <t>Sewa Crane 30 ton (incl. Opr + BBM)</t>
  </si>
  <si>
    <t>Peralatan bantu</t>
  </si>
  <si>
    <t>b.</t>
  </si>
  <si>
    <t>Pemasangan Kolom (Post), tinggi 13 m</t>
  </si>
  <si>
    <t>Pengadaan Steel Structure Post, tinggi 13,0 m</t>
  </si>
  <si>
    <t>Pemasangan Steel Structure Post, tinggi 13,0 m</t>
  </si>
  <si>
    <t>c.</t>
  </si>
  <si>
    <t>Pemasangan Kolom (Post), tinggi 9 m</t>
  </si>
  <si>
    <t>Pengadaan Steel Structure Kolom (Post), tinggi 9,0 m</t>
  </si>
  <si>
    <t>Pemasangan Steel Structure Kolom (Post), tinggi 9,0 m</t>
  </si>
  <si>
    <t>Tinggi 9,0 + 5,0</t>
  </si>
  <si>
    <t>e.</t>
  </si>
  <si>
    <t>Pemasangan Kolom (Post), tinggi 17 m</t>
  </si>
  <si>
    <t>Pengadaan Steel Structure Post, tinggi 17,0 m'</t>
  </si>
  <si>
    <t>Tinngi 13,0 m'</t>
  </si>
  <si>
    <t>Pemasangan Steel Structure Post, tinggi 17,0 + 5m</t>
  </si>
  <si>
    <t>Tinngi 17,0 m'</t>
  </si>
  <si>
    <t>f.</t>
  </si>
  <si>
    <t>Pemasangan Kolom (Post), tinggi 17 m + 5 m</t>
  </si>
  <si>
    <t>Pengadaan Steel Structure Post, tinggi 17,0 + 5 m</t>
  </si>
  <si>
    <t>Pemasangan Steel Structure Post, tinggi 17,0 m</t>
  </si>
  <si>
    <t>Tinggi 17,0 + 5,0</t>
  </si>
  <si>
    <t>Pemasangan Beam, Switchyard 150 kV</t>
  </si>
  <si>
    <t>Pemasangan Beam Flay Bus, panjang 14 m'</t>
  </si>
  <si>
    <t>Pengadaan Steel Structure Beam Flay Bus, pjg 14 m'</t>
  </si>
  <si>
    <t>Pemasangan Steel Structure Beam Flay Bus, pjg 14 m'</t>
  </si>
  <si>
    <t>Pemasangan Beam Flay Bus, panjang 12 m'</t>
  </si>
  <si>
    <t>Pengadaan Steel Structure Beam Flay Bus, pjg 12 m'</t>
  </si>
  <si>
    <t>Pemasangan Steel Structure Beam Flay Bus, pjg 12 m'</t>
  </si>
  <si>
    <t>Pemasangan Beam Busbar, panjang 14 m'</t>
  </si>
  <si>
    <t>Pengadaan Steel Structure Beam Busbar, pjg 14 m'</t>
  </si>
  <si>
    <t xml:space="preserve">Pemasangan Steel Structure Beam Busbar, panjang 14 m' </t>
  </si>
  <si>
    <t>d.</t>
  </si>
  <si>
    <t>Pemasangan Beam Busbar, panjang 12 m'</t>
  </si>
  <si>
    <t>Pengadaan Steel Structure Beam Busbar, pjg 12 m'</t>
  </si>
  <si>
    <t>Pemasangan Steel Structure Beam Busbar, pjg 12 m'</t>
  </si>
  <si>
    <t>Ceilling Gypsum board 1200 x 2400 x 9 mm</t>
  </si>
  <si>
    <t>Acian</t>
  </si>
  <si>
    <t>Dewatering</t>
  </si>
  <si>
    <t xml:space="preserve"> - L.50.50.5 </t>
  </si>
  <si>
    <t>Profil</t>
  </si>
  <si>
    <t>L.40.40.4</t>
  </si>
  <si>
    <t>L.40.40.5</t>
  </si>
  <si>
    <t>L.45.45.4</t>
  </si>
  <si>
    <t>L.45.45.5</t>
  </si>
  <si>
    <t>L.50.50.5</t>
  </si>
  <si>
    <t>L.50.50.6</t>
  </si>
  <si>
    <t>L.50.50.4</t>
  </si>
  <si>
    <t>Kg/m</t>
  </si>
  <si>
    <t xml:space="preserve"> - PVC pipe 1 in</t>
  </si>
  <si>
    <t xml:space="preserve"> - Reinforced Concrete Grade 225 Fe 100 for trench</t>
  </si>
  <si>
    <t xml:space="preserve"> - Reinforced Concrete Grade 225 Fe 100 for cover</t>
  </si>
  <si>
    <t xml:space="preserve"> - Reinforced Concrete Grade 225, Fe 100 for trench</t>
  </si>
  <si>
    <t xml:space="preserve"> - Reinforced Concrete Grade 225, Fe 100 for cover</t>
  </si>
  <si>
    <t>Steel folding door 0.8 mm</t>
  </si>
  <si>
    <t>http://www.hargamaterialbangunan.com/2016/10/harga-rolling-door-folding-gate.html</t>
  </si>
  <si>
    <t>Jet washer setara toto</t>
  </si>
  <si>
    <t>Jurnal Jakarta 2017 Hal 303</t>
  </si>
  <si>
    <t>Ceramic bowl urinal complete (Toto U370)</t>
  </si>
  <si>
    <t>Jurnal Jakarta 2017 Hal 300</t>
  </si>
  <si>
    <t>Pipa GIP Medium dia 2" L=6m</t>
  </si>
  <si>
    <t>Sambungan-Sambungan Pipa GIP Medium 2"</t>
  </si>
  <si>
    <t xml:space="preserve">   -GIP Medium Pipe dia 2"</t>
  </si>
  <si>
    <t xml:space="preserve">   - Accessories GIP medium Pipe dia 2 "</t>
  </si>
  <si>
    <t>Pompa Submersible Cap. 150 ltr/menit 3 kW</t>
  </si>
  <si>
    <t xml:space="preserve">  - Submersible water pump 150 ltr/minutes </t>
  </si>
  <si>
    <t xml:space="preserve">  - Pipa PVC 3"</t>
  </si>
  <si>
    <t xml:space="preserve">  - Accessories water pump</t>
  </si>
  <si>
    <t xml:space="preserve">Deepwell including submersible water pump 150 lt/m capacity and accessories </t>
  </si>
  <si>
    <t xml:space="preserve">Orang </t>
  </si>
  <si>
    <t>Target (hari)</t>
  </si>
  <si>
    <t>Non glazed ceramic floor tiles 400 x 400 mm setara milan</t>
  </si>
  <si>
    <t>Jurnal Jakarta 2017 Hal 265</t>
  </si>
  <si>
    <t xml:space="preserve">Vynyl Lantai + installation setara Kayu Jati KW 1 </t>
  </si>
  <si>
    <t>http://www.hargamaterialbangunan.com/2016/10/harga-lantai-kayu-vinyl.html</t>
  </si>
  <si>
    <t>Glazed ceramic wall tiles 200 x 250 mm setara roman class C</t>
  </si>
  <si>
    <t xml:space="preserve">   - Ceramic tile 200 x 250 mm</t>
  </si>
  <si>
    <t>Wash Basin Stainless Steel Setara Blanco</t>
  </si>
  <si>
    <t>http://www.hargamaterialbangunan.com/2016/10/harga-wastafel.html</t>
  </si>
  <si>
    <t>Talang Jurai Zincalum</t>
  </si>
  <si>
    <t>http://agentasocimanggis.blogspot.co.id/2016/01/talang-jurai-zincalume-murah-depok.html</t>
  </si>
  <si>
    <t>http://pt-bekah-beton.blogspot.co.id/p/blog-page.html</t>
  </si>
  <si>
    <t>Driven Pile with reinforced concrete 40x40 cm</t>
  </si>
  <si>
    <t>Stringing Equipment</t>
  </si>
  <si>
    <t>Sagging Equipment</t>
  </si>
  <si>
    <t>Communication Equipment</t>
  </si>
  <si>
    <t xml:space="preserve"> -Equipment</t>
  </si>
  <si>
    <t xml:space="preserve"> -Material:</t>
  </si>
  <si>
    <t>Site Office and Site Storage</t>
  </si>
  <si>
    <t>Site clearing &amp; Grubbing</t>
  </si>
  <si>
    <t>Soil Stripping with Heavy Equipment (t : 20 cm)</t>
  </si>
  <si>
    <t>Fence security of project 2 m height (wooden)</t>
  </si>
  <si>
    <t>General Excavation of Soil (h=1 meter)</t>
  </si>
  <si>
    <t>General Excavation of Soil (h=2 meter)</t>
  </si>
  <si>
    <t>General Excavation of Soil (h=3 meter)</t>
  </si>
  <si>
    <t>General Excavation of Soil (h=4 meter) with heavy equipment</t>
  </si>
  <si>
    <t>Excavation of Soil (h=3 meter) semi mekanis</t>
  </si>
  <si>
    <t>Excavation of Rock (h=1 meter)</t>
  </si>
  <si>
    <t>Excavation of Soft Rock (h=1 meter)</t>
  </si>
  <si>
    <t>Excavation of Mud/day</t>
  </si>
  <si>
    <t>Excavation with Heavy Equipment</t>
  </si>
  <si>
    <t>Soil Disposal with Dump Truck</t>
  </si>
  <si>
    <t>Import Filling (with sand)</t>
  </si>
  <si>
    <t>Soil Disposal (dist. 30 meter)</t>
  </si>
  <si>
    <t>Import Filling (with Humous Soil)</t>
  </si>
  <si>
    <t>Import Filling with compacted soil (out side project area)</t>
  </si>
  <si>
    <t>Compacted Sand layer</t>
  </si>
  <si>
    <t>Gravelling</t>
  </si>
  <si>
    <t>Tanah dihampar, diratakan dan dirapihkan</t>
  </si>
  <si>
    <t>10 Kg</t>
  </si>
  <si>
    <t>Half Brick 1 pc : 4 ps</t>
  </si>
  <si>
    <t>Half Brick 1 pc : 2 ps</t>
  </si>
  <si>
    <t>one Brick (1 pc : 4 ps) uk.5x11x22 cm</t>
  </si>
  <si>
    <t>Pas. Roster 1 pc : 3 ps</t>
  </si>
  <si>
    <t>Plaster cement 1 pc : 4 ps thickness 15 mm</t>
  </si>
  <si>
    <t>Plaster cement 1 pc : 2 ps thickness 15 mm</t>
  </si>
  <si>
    <t>Brafend 1 pc : 4 ps</t>
  </si>
  <si>
    <t>Brafend 1 pc : 5 ps</t>
  </si>
  <si>
    <t>Concrete f'c = 7.4 MPa (K-100) (lean concrete), slump (3-6) cm</t>
  </si>
  <si>
    <t>Concrete f'c = 7.4 MPa (K-100), slump (12±2)</t>
  </si>
  <si>
    <t>Concrete f'c = 14,5 MPa (K 175), slump (12±2)</t>
  </si>
  <si>
    <t>Concrete f'c = 19,3 MPa (K 225), slump (12±2)</t>
  </si>
  <si>
    <t>Concrete f'c = 21,7 MPa (K 250), slump (12±2)</t>
  </si>
  <si>
    <t>Stone Masonry 1 PC : 2 Sand (Mortar tipe M)</t>
  </si>
  <si>
    <t>Stone Masonry 1 PC : 3 Sand (Mortar Tipe S)</t>
  </si>
  <si>
    <t>Stone Masonry 1 PC : 4 Sand</t>
  </si>
  <si>
    <t>Stone Masonry 1 PC : 5 Sand</t>
  </si>
  <si>
    <t>Formwork for Supporting (Beam meranti 5/7 height 4 m)</t>
  </si>
  <si>
    <t>Formwork Multiplex 12/18mm</t>
  </si>
  <si>
    <t>Formwork Foundation with multiplex</t>
  </si>
  <si>
    <t>Formwork Foundation with wooden plank</t>
  </si>
  <si>
    <t>Formwork For Beam (SNI 7394-2008-23)</t>
  </si>
  <si>
    <t>Formwork For Column (SNI 7394-2008-22)</t>
  </si>
  <si>
    <t>Formwork For Slab (SNI 7394-2008-24)</t>
  </si>
  <si>
    <t>Formwork For Stair (SNI 7394-2008-26)</t>
  </si>
  <si>
    <t>Steel work : (U24 or BJTP 24) SNI 7394-2008-17 (100 kg)</t>
  </si>
  <si>
    <t>Steel Structure</t>
  </si>
  <si>
    <t>IWF trusses complete with connection and steel painting</t>
  </si>
  <si>
    <t>Wiremesh / Sheet</t>
  </si>
  <si>
    <t>Pilling (Driven Pile 30 x 30 cm)</t>
  </si>
  <si>
    <t>Pilling (Driven Pile 40 x 40 cm)</t>
  </si>
  <si>
    <t>Bored Pile (dia 40 cm) Tower</t>
  </si>
  <si>
    <t>Bored Pile (dia 40 cm) Control Building</t>
  </si>
  <si>
    <t>Pilling (Driven Pile 20 x 20 cm)</t>
  </si>
  <si>
    <t>Pilling (Sheet Pile Corrugated Precast) 40 x 15</t>
  </si>
  <si>
    <t>Wooden Driven Pile</t>
  </si>
  <si>
    <t>Steel Structure Transportation (+ 54 km)</t>
  </si>
  <si>
    <t>Installment Anchor Steel Bolt</t>
  </si>
  <si>
    <t>Installment Profil IWF or Canal</t>
  </si>
  <si>
    <t>Demolishing Formwork for foundation</t>
  </si>
  <si>
    <t>Demolishing Stone Masonry with Jack Hammer</t>
  </si>
  <si>
    <t>Demolishing Brick Wall manual</t>
  </si>
  <si>
    <t>Demolishing Red Brick with Jack Hammer</t>
  </si>
  <si>
    <t>Demolishing Reinforced Concrete Manual</t>
  </si>
  <si>
    <t>Demolishing Concrete with Jack Hammer</t>
  </si>
  <si>
    <t>Demolishing Concrete with heavy equip</t>
  </si>
  <si>
    <t>Demolished Concrete Disposal (Outside Project Area)</t>
  </si>
  <si>
    <t>Steel Structure Dismantling</t>
  </si>
  <si>
    <t>Demolishing conductor</t>
  </si>
  <si>
    <t>Demolishing isolator &amp; accesories</t>
  </si>
  <si>
    <t>Dismlanting Fence/gate</t>
  </si>
  <si>
    <t>Rewinding existing cable</t>
  </si>
  <si>
    <t>Demolished pipe and disposal (Outside Project Area)</t>
  </si>
  <si>
    <t>Dismlanting Sliding Door (4000x5000)mm</t>
  </si>
  <si>
    <t>Demolishing Roofing klip lock HI-TEN (atap aluminium)</t>
  </si>
  <si>
    <t>Demolishing Nok Standard HI-TEN</t>
  </si>
  <si>
    <t>Demolishing Roofing (asbes)</t>
  </si>
  <si>
    <t>Demolishing  Plesteran Dinding</t>
  </si>
  <si>
    <t>Demolishing  Plafond (jika bongkaran dipakai)</t>
  </si>
  <si>
    <t>Demolishing  Plafond (jika bongkaran tidak dipakai)</t>
  </si>
  <si>
    <t>Demolishing Lighting road (including pole and cable)</t>
  </si>
  <si>
    <t>Demolishing CCTV</t>
  </si>
  <si>
    <t>Relocated pre cast concrete/sheet pile (inside project area)</t>
  </si>
  <si>
    <t>Demolishing and rewinding existing cable</t>
  </si>
  <si>
    <t>Ceilling Frame (Hollow steel 40 x 40 x 2 mm, modul 60x120 cm)</t>
  </si>
  <si>
    <t>List plafon gypsum profil</t>
  </si>
  <si>
    <t>Non glazed ceramic floor tiles 400 x 400 mm</t>
  </si>
  <si>
    <t xml:space="preserve">Granite plint tile 100 x 300 mm  </t>
  </si>
  <si>
    <t xml:space="preserve">Glazed plint tiles 100 x 400 mm  </t>
  </si>
  <si>
    <t>Ceramic floor tiles 600 x 600 mm</t>
  </si>
  <si>
    <t>Ceramic floor tiles 200 x 200 mm</t>
  </si>
  <si>
    <t>Glazed Ceramic wall tiles 200 x 250 mm</t>
  </si>
  <si>
    <t xml:space="preserve">Granite plint tile 100 x 600 mm  </t>
  </si>
  <si>
    <t>Roofing klip lock HI-TEN (atap aluminium)</t>
  </si>
  <si>
    <t>Roofing Onduline Classic</t>
  </si>
  <si>
    <t>Nok Standard HI-TEN</t>
  </si>
  <si>
    <t>Nok Onduline Classic</t>
  </si>
  <si>
    <t>Steel painting (4 layers manually)</t>
  </si>
  <si>
    <t>Wall painting (Emulsi) 1 x plamur, 3 x paint</t>
  </si>
  <si>
    <t>Wall painting (weathershield) 1 x plamur, 3 x paint</t>
  </si>
  <si>
    <t>Landscape Work</t>
  </si>
  <si>
    <t>Floorhardener</t>
  </si>
  <si>
    <t>Mild steel Framework for roofing</t>
  </si>
  <si>
    <t>Tanam Rumput Gajah</t>
  </si>
  <si>
    <t>Alumunium framework + aqustic for plafond</t>
  </si>
  <si>
    <t>INKINDO 2017</t>
  </si>
  <si>
    <t xml:space="preserve">   Material :</t>
  </si>
  <si>
    <t>Excavation Soil</t>
  </si>
  <si>
    <t>Angkur Bolt 24 mm</t>
  </si>
  <si>
    <t>Pemasangan  Mercury Vapour Flouresent Light 1 x 250 W + Tiang 9 m</t>
  </si>
  <si>
    <t>Pemasangan Mercury Vapour Flouresent Light 1 x 250 W</t>
  </si>
  <si>
    <t>Saklar tunggal</t>
  </si>
  <si>
    <t>Jurnal Kalimantan Tengah 2017 hal 587</t>
  </si>
  <si>
    <t>Jurnal Kalimantan Tengah 2017 hal 593</t>
  </si>
  <si>
    <t>Jurnal Kalimantan Tengah 2017 hal 588</t>
  </si>
  <si>
    <t>Jurnal Kalimantan Barat 2017 hal 578</t>
  </si>
  <si>
    <t>Jurnal Kalimantan Barat 2016 hal 756</t>
  </si>
  <si>
    <t>Concrete f'c = 26.4 MPa (K 300), slump (12±2)</t>
  </si>
  <si>
    <t>Concrete f'c = 31,2 MPa (K 350), slump (12±2)</t>
  </si>
  <si>
    <t>Concrete f'c = 45 MPa (K 500), slump (12±2)</t>
  </si>
  <si>
    <t>Ijuk</t>
  </si>
  <si>
    <t>Cut and Fill include compaction</t>
  </si>
  <si>
    <t>Fence BRC height 1,20 m lenght 2,40 m dia 7 mm</t>
  </si>
  <si>
    <t>http://www.hargamaterialbangunan.com/2016/08/harga-pagar-tiang-brc.html#</t>
  </si>
  <si>
    <t>Tiang Pagar BRC height 1,2 m</t>
  </si>
  <si>
    <t>5 kg = 45 meter</t>
  </si>
  <si>
    <t xml:space="preserve">Sumber </t>
  </si>
  <si>
    <t>http://pagarbrc-mjs.com/harga/pagarbrc</t>
  </si>
  <si>
    <t>BRC Swing tunggal Uk. 100x120</t>
  </si>
  <si>
    <t>Bataco 1 pc : 3 ps</t>
  </si>
  <si>
    <t xml:space="preserve">Bataco </t>
  </si>
  <si>
    <t xml:space="preserve">   - Bataco</t>
  </si>
  <si>
    <t>Bataco 1 pc : 2 ps</t>
  </si>
  <si>
    <t xml:space="preserve">Pompa air cap 670 liter/menit </t>
  </si>
  <si>
    <t>http://www.hargatipemesin.com/2016/11/harga-mesin-pompa-air-honda-tenaga.html</t>
  </si>
  <si>
    <t>Buis Beton dia 80 cm/m</t>
  </si>
  <si>
    <t>Jurnal Kalimantan Tengah 2017 Hal 587</t>
  </si>
  <si>
    <t xml:space="preserve">Ceramic plint tile 100 x 600 mm  </t>
  </si>
  <si>
    <t>Kawat Anyam Harmonika dia lubang 27 mm x 27 mm</t>
  </si>
  <si>
    <t>http://portalbangunan.com/harga-kawat-harmonika-terbaru/</t>
  </si>
  <si>
    <t>Rangka Plafond besi Hollow Galvanis</t>
  </si>
  <si>
    <t>https://www.verticaldesign.id/harga-pasang-plafon-gypsum-partisi</t>
  </si>
  <si>
    <t>Plafon Luar Lambersiring + installation</t>
  </si>
  <si>
    <t>http://www.lantaikayu.biz/plafon/harga-plafon-kayu-tahun-2016-dan-biaya-pasang-indonesia.html</t>
  </si>
  <si>
    <t>Flintkote waterproffing for dak</t>
  </si>
  <si>
    <t>https://www.tokopedia.com/apalumauguaada/flintkote-3-solusi-anti-bocor-pada-beton-kayu-logam</t>
  </si>
  <si>
    <t>Flintkote for waterproffing concrete roofing</t>
  </si>
  <si>
    <t xml:space="preserve">   - Flintkote</t>
  </si>
  <si>
    <t>Kusen Kayu setara kayu Samarinda uk. 6/12</t>
  </si>
  <si>
    <t>http://portalbangunan.com/harga-kusen-dan-pintu-kayu-terbaru/</t>
  </si>
  <si>
    <t>Kaca Bening</t>
  </si>
  <si>
    <t>http://www.lensarumah.com/harga-kaca/</t>
  </si>
  <si>
    <t>Closet Jongkok setara INA</t>
  </si>
  <si>
    <t>Kran Cuci Piring</t>
  </si>
  <si>
    <t>http://www.lazada.co.id/beli-keran-cuci-piring-bar</t>
  </si>
  <si>
    <t>Pembuatan Sumur Bor dia pipa 4 inch</t>
  </si>
  <si>
    <t>http://harga.web.id/berapa-biaya-membuat-sumur-bor-sumur-air.info</t>
  </si>
  <si>
    <t>http://www.pasar-harga.com/2015/03/harga-alat-pemadam-kebakaran-api-besar.html</t>
  </si>
  <si>
    <t>APAR media isi Gas liquid Foam Cap 12 kg</t>
  </si>
  <si>
    <t>Ceramic wall tiles 200 x 200 mm</t>
  </si>
  <si>
    <t>Ceramic wall tiles 100 x 200 mm</t>
  </si>
  <si>
    <t xml:space="preserve">   - Ceramic tile 100 x 200 mm</t>
  </si>
  <si>
    <t>Ceramic floor tiles 300 x 300 mm</t>
  </si>
  <si>
    <t xml:space="preserve">   - Ceramic tile 300 x 300 mm</t>
  </si>
  <si>
    <t>Ceramic uk.30 cm x 30 cm</t>
  </si>
  <si>
    <t xml:space="preserve">Cat Kayu (2 lapis) </t>
  </si>
  <si>
    <t xml:space="preserve">   - Cat kayu Glotex</t>
  </si>
  <si>
    <t xml:space="preserve">   - Amplas</t>
  </si>
  <si>
    <t xml:space="preserve">   - Cat Dasar</t>
  </si>
  <si>
    <t xml:space="preserve">   - Plamur Kayu</t>
  </si>
  <si>
    <t>lmb</t>
  </si>
  <si>
    <t>Plamur of wood</t>
  </si>
  <si>
    <t>Amplas</t>
  </si>
  <si>
    <t xml:space="preserve">  - Concrete K-175 </t>
  </si>
  <si>
    <t>P</t>
  </si>
  <si>
    <t xml:space="preserve">  - Excavation 3 m </t>
  </si>
  <si>
    <t xml:space="preserve">  - Besi U24 (150 kg/m3)</t>
  </si>
  <si>
    <t>Bak penampungan air dari beton bertulang Cap 12 m3</t>
  </si>
  <si>
    <t>Jurnal Kalimantan Tengah 2017 Hal 586</t>
  </si>
  <si>
    <t>Bak Cuci Piring Stainless Steel 2 Pool</t>
  </si>
  <si>
    <t>Kran ledeng standar</t>
  </si>
  <si>
    <t>Jurnal Kalimantan Tengah 2017 Hal 585</t>
  </si>
  <si>
    <t>AC 3/4 PK setara Panasonic</t>
  </si>
  <si>
    <t>http://www.hargaac.co.id/harga-ac-panasonic/cs-pn7skj/</t>
  </si>
  <si>
    <t>AC split 1 PK setara Panasonic</t>
  </si>
  <si>
    <t>AC split 2PK setara Panasonic</t>
  </si>
  <si>
    <t>Jurnal Kalimantan Tengah 2017 hal 589</t>
  </si>
  <si>
    <t>Saklar Multi 4 Qty 1</t>
  </si>
  <si>
    <t>Saklar Multi 3 Qty 1 setara Brocco</t>
  </si>
  <si>
    <t>https://jayamapan.com/clipsal/</t>
  </si>
  <si>
    <t>http://pusatantipetir.com/harga-ground-rod-copper-rod-58-inch/</t>
  </si>
  <si>
    <t>Ground Rod 5/8 inch L 4 m</t>
  </si>
  <si>
    <t>Penangkal petir radius 125 setara Thomas</t>
  </si>
  <si>
    <t>Cable Grounding (BC) 50 mm</t>
  </si>
  <si>
    <t xml:space="preserve">Fitting lampu </t>
  </si>
  <si>
    <t>Jurnal Jakarta 2017 Hal314</t>
  </si>
  <si>
    <t>Lampu LED setara Philips 10 watt</t>
  </si>
  <si>
    <t>Jurnala Kalimantan Tengah 2017 Hal 585</t>
  </si>
  <si>
    <t>HARGA SATUAN</t>
  </si>
  <si>
    <t>Plain Reinforced of Steel U 24 - BJTP 24</t>
  </si>
  <si>
    <t>Galvanis of Steel angle HTS</t>
  </si>
  <si>
    <t>Galvanis of Steel Plate</t>
  </si>
  <si>
    <t>Drafter</t>
  </si>
  <si>
    <t>Molen of Machine</t>
  </si>
  <si>
    <t>Drilling of Machine</t>
  </si>
  <si>
    <t>Drilling Pile of Machine</t>
  </si>
  <si>
    <t>Pile equipment + Hammer 2 ton</t>
  </si>
  <si>
    <t>Link pile equipment</t>
  </si>
  <si>
    <t>Tripod height 5 m</t>
  </si>
  <si>
    <t>Mobilisasion of Drilling or Driven Machine</t>
  </si>
  <si>
    <t xml:space="preserve">Stamper </t>
  </si>
  <si>
    <t>Saw Machine</t>
  </si>
  <si>
    <t>BREAKDOWN PRICE ANALYSIS FOR CIVIL WORKS</t>
  </si>
  <si>
    <t xml:space="preserve">TOTAL  PRICE </t>
  </si>
  <si>
    <t>(1)</t>
  </si>
  <si>
    <t>(2)</t>
  </si>
  <si>
    <t>(3)</t>
  </si>
  <si>
    <t>(4)</t>
  </si>
  <si>
    <t>(5) = (3) x (4)</t>
  </si>
  <si>
    <t>an</t>
  </si>
  <si>
    <t xml:space="preserve"> 1 m2 plank name of project :</t>
  </si>
  <si>
    <t>Playwood 18 mm</t>
  </si>
  <si>
    <t>Kayu meranti</t>
  </si>
  <si>
    <t>Colour wood paint</t>
  </si>
  <si>
    <t>Paku 5 cm and 7 cm</t>
  </si>
  <si>
    <t>Upah</t>
  </si>
  <si>
    <t>orang-hari</t>
  </si>
  <si>
    <t>Paint Worker</t>
  </si>
  <si>
    <t xml:space="preserve">Worker Chief </t>
  </si>
  <si>
    <t xml:space="preserve"> 1 m' Bouwplank :</t>
  </si>
  <si>
    <t>Papan meranti 3/20</t>
  </si>
  <si>
    <r>
      <t>m</t>
    </r>
    <r>
      <rPr>
        <vertAlign val="superscript"/>
        <sz val="11"/>
        <rFont val="Calibri"/>
        <family val="2"/>
      </rPr>
      <t>3</t>
    </r>
  </si>
  <si>
    <t>Kayu meranti 5/7</t>
  </si>
  <si>
    <t>Paku 2”-3”</t>
  </si>
  <si>
    <t>1 Ls Foundation Setting stub tower  :</t>
  </si>
  <si>
    <t>1 m3 Excavation of Soil :</t>
  </si>
  <si>
    <t>1 m2 Site Clearing :</t>
  </si>
  <si>
    <t>5a</t>
  </si>
  <si>
    <t>1 KMR Bus Clearing :</t>
  </si>
  <si>
    <t>1 m3 Excavation of Rock :</t>
  </si>
  <si>
    <t>1 m3 Excavation of Mud/clay :</t>
  </si>
  <si>
    <t>1 m3 BackFilling :</t>
  </si>
  <si>
    <t>1 m3 Compacted Sand Layer :</t>
  </si>
  <si>
    <t xml:space="preserve"> 1 m3 Lean concrete K100 (f'c = 7.4 Mpa)</t>
  </si>
  <si>
    <t>Water</t>
  </si>
  <si>
    <t>1 m3 Concrete K 100 (fc' 7.4 MPa) :</t>
  </si>
  <si>
    <t>0,621</t>
  </si>
  <si>
    <t>0,74</t>
  </si>
  <si>
    <t>0,250</t>
  </si>
  <si>
    <t>0,189</t>
  </si>
  <si>
    <t>0,019</t>
  </si>
  <si>
    <t>0,132</t>
  </si>
  <si>
    <t>1 m3 Concrete K 125 (fc' 9.8 MPa) :</t>
  </si>
  <si>
    <t>Worker Chief</t>
  </si>
  <si>
    <t>1 m3 Concrete K 150 (fc' 12.2 MPa) :</t>
  </si>
  <si>
    <t>1 m3 Concrete K 175 (fc' 14.5 MPa) :</t>
  </si>
  <si>
    <t>1 m3 Concrete K 200 (fc' 16.9 MPa) :</t>
  </si>
  <si>
    <t>1 m3 Concrete K 225 (fc' 19.3 MPa) :</t>
  </si>
  <si>
    <t>1 m3 Concrete K 250 (fc' 21.7 MPa) :</t>
  </si>
  <si>
    <t>1 m3 Concrete K 275 (fc' 24.0 MPa) :</t>
  </si>
  <si>
    <t>Portland Cemen ( PC )</t>
  </si>
  <si>
    <t>Molen Machine</t>
  </si>
  <si>
    <t>1 m3 Concrete K 300 (fc' 26.4 MPa) :</t>
  </si>
  <si>
    <t>1 m3 Concrete K 325 (fc' 28.8 MPa) :</t>
  </si>
  <si>
    <t>1 m3 Concrete K 350 (fc' 31.2 MPa) :</t>
  </si>
  <si>
    <t>1 m3 Concrete K500 (fc' 45 Mpa) :</t>
  </si>
  <si>
    <t>23a</t>
  </si>
  <si>
    <t>1 m3 Stone Masonry 1 PC : 3 Sand :</t>
  </si>
  <si>
    <t>1 m3 Gabion :</t>
  </si>
  <si>
    <t>Galvanis of Wire  dia  3 mm</t>
  </si>
  <si>
    <t>0,696</t>
  </si>
  <si>
    <t>1 m² Plaster 1 PC : 4 Sand, thicknes 15 mm</t>
  </si>
  <si>
    <t>0,024</t>
  </si>
  <si>
    <t>0,150</t>
  </si>
  <si>
    <t>0,300</t>
  </si>
  <si>
    <t>0,015</t>
  </si>
  <si>
    <t>1 m² Brafend 1 PC : 5 Sand, thicknes 15 mm</t>
  </si>
  <si>
    <t>0,026</t>
  </si>
  <si>
    <t>0,075</t>
  </si>
  <si>
    <t>0,008</t>
  </si>
  <si>
    <t>100 Kg Steel Work U 24 - BJTP 24</t>
  </si>
  <si>
    <t>Concrete of Wire</t>
  </si>
  <si>
    <t>1,5</t>
  </si>
  <si>
    <t>0,700</t>
  </si>
  <si>
    <t>0,070</t>
  </si>
  <si>
    <t>100 Kg Steel Work U 32 - BJTD 40</t>
  </si>
  <si>
    <t>Screew Reinfoced of Steel U 39 - BJTD 39</t>
  </si>
  <si>
    <t>1,00 Ton Steel of Structures for Tower &amp; Gantry</t>
  </si>
  <si>
    <t>buah</t>
  </si>
  <si>
    <t>Tidak ada di PMPU</t>
  </si>
  <si>
    <t>Supevision</t>
  </si>
  <si>
    <t>1 m2 Formwork Foundation:</t>
  </si>
  <si>
    <t>3/20 cm Wooden plank class II</t>
  </si>
  <si>
    <t>Wooden 5/7 cm</t>
  </si>
  <si>
    <t>Oil formwork</t>
  </si>
  <si>
    <t xml:space="preserve"> 1 m2 Demolishing Formwork for foundation</t>
  </si>
  <si>
    <t>1 m Point Driven Pile of Dolken</t>
  </si>
  <si>
    <t>Dolken dia 10 cm, Lenght 4 m'</t>
  </si>
  <si>
    <t>batang</t>
  </si>
  <si>
    <t>Rent Of Equipment</t>
  </si>
  <si>
    <t>1 m' Bored Pile Concrete</t>
  </si>
  <si>
    <t>Bored pile dia 40 cm</t>
  </si>
  <si>
    <t>Concrete K 225</t>
  </si>
  <si>
    <t>Screew Reinfoced of Steel U 39 - BJTD 40</t>
  </si>
  <si>
    <t>Fuel</t>
  </si>
  <si>
    <t>Mobilization</t>
  </si>
  <si>
    <t xml:space="preserve"> 1 m' Pilling (Concrete Pile 30 x 30 cm)</t>
  </si>
  <si>
    <t>Concrete pile 30x30 cm</t>
  </si>
  <si>
    <t>1 kg =2000</t>
  </si>
  <si>
    <t>buah / hari</t>
  </si>
  <si>
    <t>38A</t>
  </si>
  <si>
    <t>1.0 Ton Transportation of Material Tower (0 - 20 km)</t>
  </si>
  <si>
    <t>unit - hari</t>
  </si>
  <si>
    <t>38B</t>
  </si>
  <si>
    <t>1.0 Ton Transportation of Material Tower (20 - 40 km)</t>
  </si>
  <si>
    <t>38C</t>
  </si>
  <si>
    <t>1.0 Ton Transportation of Material Tower (40 - 60 km)</t>
  </si>
  <si>
    <t>38D</t>
  </si>
  <si>
    <t>1.0 Ton Transportation of Material Tower (60 - 80 km)</t>
  </si>
  <si>
    <t>38E</t>
  </si>
  <si>
    <t>1.0 Ton Transportation of Material Tower (80 - 100 km)</t>
  </si>
  <si>
    <t>1 Unit Transportation Stringing of Equipment</t>
  </si>
  <si>
    <t>4.00</t>
  </si>
  <si>
    <t>1 KMS Stringing of conductor</t>
  </si>
  <si>
    <t xml:space="preserve">- </t>
  </si>
  <si>
    <t>1 KM Konduktor</t>
  </si>
  <si>
    <t>Installed of Tension Insulator set &amp; Hardware</t>
  </si>
  <si>
    <t>( incl. Clamp &amp; Armour rod )</t>
  </si>
  <si>
    <t xml:space="preserve">Installed of Suspension  Insulator set &amp; Hardware </t>
  </si>
  <si>
    <t xml:space="preserve">Installed of Earthwire Suspension set </t>
  </si>
  <si>
    <t xml:space="preserve">Installed of Earthwire Tension set </t>
  </si>
  <si>
    <t>Installed of Jumper Support Insulator set</t>
  </si>
  <si>
    <t>Rent  of  Equipment</t>
  </si>
  <si>
    <t xml:space="preserve"> 1 m3 Demolishing Concrete</t>
  </si>
  <si>
    <t>Pekerja L.01 13,334</t>
  </si>
  <si>
    <t>Mandor L.04 0,666</t>
  </si>
  <si>
    <t xml:space="preserve"> 1 m2 steger bamboo</t>
  </si>
  <si>
    <t xml:space="preserve"> 10 cm Welding with electric</t>
  </si>
  <si>
    <t>1 bh patok</t>
  </si>
  <si>
    <t>1 bh danger plate / number plate</t>
  </si>
  <si>
    <t>As built drawing and shop drawing</t>
  </si>
  <si>
    <t>HVS paper or kalkir (A1)</t>
  </si>
  <si>
    <t>Rapido ink</t>
  </si>
  <si>
    <t>Rapido pen</t>
  </si>
  <si>
    <t>Design of calculation and drawing</t>
  </si>
  <si>
    <t>1 set Counterpoise 30 m long GSW and 0.45 m depth, including galvanized steel angle 1 m</t>
  </si>
  <si>
    <t>1 set Counterpoise 30 m long GSW and 1 m depth, including galvanized steel angle 1 m</t>
  </si>
  <si>
    <t>1 set Counterpoise 30 m long GSW and 0.45 m depth, including galvanized steel angle 2 m</t>
  </si>
  <si>
    <t>BRC height 1.90 m</t>
  </si>
  <si>
    <t>Steel pipe dia  3 inc and clamp</t>
  </si>
  <si>
    <r>
      <t>Foundation 0.3 x 0.3 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 xml:space="preserve"> reinforced concrete K 175;</t>
    </r>
  </si>
  <si>
    <r>
      <t xml:space="preserve">   Fe : 100 kg/m</t>
    </r>
    <r>
      <rPr>
        <vertAlign val="superscript"/>
        <sz val="10"/>
        <rFont val="Times New Roman"/>
        <family val="1"/>
      </rPr>
      <t>3</t>
    </r>
  </si>
  <si>
    <t>Sloof 20/30 reinforced concrete K 175;</t>
  </si>
  <si>
    <t>PEMBANGUNAN SUTT 150 kV KASONGAN - KUALA KURUN SECTION 1 (T.01 - T.150)</t>
  </si>
  <si>
    <t>Jurnal Kalimantan Tengah 2017 hal 590</t>
  </si>
  <si>
    <t>Oil Machine (Hydroulis)</t>
  </si>
  <si>
    <t>http://surveysoil.blogspot.co.id/2016/02/menerima-jasa-survey-uji-sondir-dan.html</t>
  </si>
  <si>
    <t>Orang</t>
  </si>
  <si>
    <t>Har</t>
  </si>
  <si>
    <t>Klotok</t>
  </si>
  <si>
    <t>Unit-day</t>
  </si>
  <si>
    <t>Kapasitas</t>
  </si>
  <si>
    <t>per rit/hari</t>
  </si>
  <si>
    <t>Sewa Klotok (Perahu bermotor)</t>
  </si>
  <si>
    <t>1 ton</t>
  </si>
  <si>
    <t>1 Kg</t>
  </si>
  <si>
    <t>Langsir Material Medan Datar</t>
  </si>
  <si>
    <t>Langsir Material Medan Datar + Klotok</t>
  </si>
  <si>
    <t xml:space="preserve">Langsir Material Medan Bukit / Rawa </t>
  </si>
  <si>
    <t>Langsir Material Medan Bukit / Rawa + Klotok</t>
  </si>
  <si>
    <t>Sortir Material of Tower</t>
  </si>
  <si>
    <t>Steel of Structures for Tower and Gantry</t>
  </si>
  <si>
    <t>Dismantling Materials and Accessories Tower</t>
  </si>
  <si>
    <t>Transportation of Material Tower</t>
  </si>
  <si>
    <t>Transportation Stringing of Equipment</t>
  </si>
  <si>
    <t>Handling of Material Foundation</t>
  </si>
  <si>
    <t>1 Unit</t>
  </si>
  <si>
    <t>Titik</t>
  </si>
  <si>
    <t>Road (New)</t>
  </si>
  <si>
    <t>Penetration thickness 5 cm</t>
  </si>
  <si>
    <t>Wearing surface  Hotmix 5 cm</t>
  </si>
  <si>
    <t>Asphalt hot mix with thickness 5 cm (include tack coat)</t>
  </si>
  <si>
    <t>Prepare compacted subgrade thickness 20 cm</t>
  </si>
  <si>
    <t xml:space="preserve"> Base structure with thickness 15 cm</t>
  </si>
  <si>
    <t>Macadam surface course thickness 20 cm</t>
  </si>
  <si>
    <t>Kerbs (10x20x60 cm)</t>
  </si>
  <si>
    <t>Kerbs (25x30x50 cm)</t>
  </si>
  <si>
    <t>Cable Trench Type 1 (1000x1000)</t>
  </si>
  <si>
    <t>Cable Tray Type 1</t>
  </si>
  <si>
    <t>Cable Trench Type 2 (800x800)</t>
  </si>
  <si>
    <t>Cable Trench  (600x600x1200)</t>
  </si>
  <si>
    <t>Cable Trench  (400x400x1200)</t>
  </si>
  <si>
    <t>Cable Tray Type 2</t>
  </si>
  <si>
    <t>Cable Trench Type 3 (500x500) without tray</t>
  </si>
  <si>
    <t>Cable Trench Type 4 (500x350) without tray</t>
  </si>
  <si>
    <t>Cable Trench Crossing Road Type 1 (1000x1000)</t>
  </si>
  <si>
    <t>Cable Trench Crossing Road Type 2 (800x800)</t>
  </si>
  <si>
    <t>Cable Trench Type I (20 kV Room)</t>
  </si>
  <si>
    <t xml:space="preserve">Cable Trench Type II  </t>
  </si>
  <si>
    <t xml:space="preserve">Cable Trench Type III  </t>
  </si>
  <si>
    <t xml:space="preserve">Cable Trench Type IV  </t>
  </si>
  <si>
    <t xml:space="preserve">Cable Trench Type V  </t>
  </si>
  <si>
    <t>Cable Trench Type I  (800 x 800) 150 kV Room</t>
  </si>
  <si>
    <t>Cable Trench Type II  (500 x 500) 150 kV Room</t>
  </si>
  <si>
    <t>Open Drainage (stone masonry) 40/70 cm</t>
  </si>
  <si>
    <t>Open Drainage (brick) 30/40 cm</t>
  </si>
  <si>
    <t>Sub Soil Drainage</t>
  </si>
  <si>
    <t>Control Box (Brick 60x60x65 cm)</t>
  </si>
  <si>
    <t>Pemasangan Geotekstil atau Plastik</t>
  </si>
  <si>
    <t>Instalasi Antipetir 20 kV Room</t>
  </si>
  <si>
    <t>Instalasi Anti Petir,  150 kV Room</t>
  </si>
  <si>
    <t>PVC 3" work for roof (include installation)</t>
  </si>
  <si>
    <t>Bath basin (fiber) installment</t>
  </si>
  <si>
    <t>Instalasi Listrik</t>
  </si>
  <si>
    <t>Pondasi Tiang Besi 2 meter</t>
  </si>
  <si>
    <t>Pemasangan  Mercury Vapour Flouresent Light 1 x 80 W + Tiang 2 m</t>
  </si>
  <si>
    <t>Pemasangan  Mercury Vapour Flouresent Light 1 x 150 W for Access Road</t>
  </si>
  <si>
    <t>Pondasi Tiang Besi 9 meter</t>
  </si>
  <si>
    <t>Jam</t>
  </si>
  <si>
    <t>Erection Gabion (Tipe B kawat uk. L=3m, B=1m, T=1m)</t>
  </si>
  <si>
    <t>Fence BRC height 1.50 m</t>
  </si>
  <si>
    <t>Fence BRC height 1.90 m</t>
  </si>
  <si>
    <t>Fence Galvanized Wire Mesh height 2.00 m</t>
  </si>
  <si>
    <t>Fence from Concrete height 2.00 m</t>
  </si>
  <si>
    <t>Fence from Brick Wall height 2.40 m (lower) and barbed wire 0,60 m (upper)</t>
  </si>
  <si>
    <t>Profil complete with connection and steel painting</t>
  </si>
  <si>
    <t>Wind Bracing and Tie Rod with connection and steel painting</t>
  </si>
  <si>
    <t>Water Supply PVC Pipe (include installation)</t>
  </si>
  <si>
    <t>Water Supply PVC Pipe 1/2" (include installation)</t>
  </si>
  <si>
    <t>Water Supply PVC Pipe 1" (include installation)</t>
  </si>
  <si>
    <t>Water Supply PVC Pipe 2" (include installation)</t>
  </si>
  <si>
    <t>Water Supply PVC Pipe 3" (include installation)</t>
  </si>
  <si>
    <t>Water Supply PVC Pipe 4" (include installation)</t>
  </si>
  <si>
    <t>Water Supply Pipe Medium Pipe 2" (include installation)</t>
  </si>
  <si>
    <t>Sewa Buldozer (100 - 150 HP)</t>
  </si>
  <si>
    <t>Transportation of Material Tower (0 - 20 km)</t>
  </si>
  <si>
    <t>Transportation of Material Tower (20 - 40 km)</t>
  </si>
  <si>
    <t>Transportation of Material Tower (40 - 60 km)</t>
  </si>
  <si>
    <t>Transportation of Material Tower (60 - 80 km)</t>
  </si>
  <si>
    <t>Transportation of Material Tower (80 - 100 km)</t>
  </si>
  <si>
    <t>Langsir Material Medan Bukit / Rawa (0 - 500 meter)</t>
  </si>
  <si>
    <t>Langsir Material Medan Bukit / Rawa (500 - 1000 meter)</t>
  </si>
  <si>
    <t>Langsir Material Medan Bukit / Rawa (1000 - 1500 meter)</t>
  </si>
  <si>
    <t>Langsir Material Medan Bukit / Rawa + Klotok (0 - 500 meter)</t>
  </si>
  <si>
    <t>Langsir Material Medan Bukit / Rawa + Klotok (500 - 1000 meter)</t>
  </si>
  <si>
    <t>Langsir Material Medan Bukit / Rawa + Klotok (1000 - 1500 meter)</t>
  </si>
  <si>
    <t>Langsir Material Medan Datar (0 - 500 meter)</t>
  </si>
  <si>
    <t>Langsir Material Medan Datar (500 - 1000 meter)</t>
  </si>
  <si>
    <t>Langsir Material Medan Datar (1000 - 1500 meter)</t>
  </si>
  <si>
    <t>Langsir Material Medan Datar + Klotok (0 - 500 meter)</t>
  </si>
  <si>
    <t>Langsir Material Medan Datar + Klotok (500 - 1000 meter)</t>
  </si>
  <si>
    <t>Langsir Material Medan Datar + Klotok (1000 - 1500 meter)</t>
  </si>
  <si>
    <t>Earthing angle, including galvanized steel angle 1,5 m</t>
  </si>
  <si>
    <t>Danger plate/Number Plate</t>
  </si>
  <si>
    <t>Installation PVC pipe type AW dia 4"</t>
  </si>
  <si>
    <t>Installation PVC pipe type AW dia 2"</t>
  </si>
  <si>
    <t xml:space="preserve">   -Foreman</t>
  </si>
  <si>
    <t>Kunci Tanam pintu</t>
  </si>
  <si>
    <t>Brick Layer Worker</t>
  </si>
  <si>
    <t>http://marine-rope.weebly.com/product.html</t>
  </si>
  <si>
    <t>Rope fiber</t>
  </si>
  <si>
    <t>Steel work : (U39 or BJTD 39) SNI 7394-2008-17 (100 kg)</t>
  </si>
  <si>
    <t>Setting Stub</t>
  </si>
  <si>
    <t>Welding with electric</t>
  </si>
  <si>
    <t>Haspel</t>
  </si>
  <si>
    <t>Rewinding Konduktor Hawk</t>
  </si>
  <si>
    <t>Patok beton uk. 10 cm x 10 cm</t>
  </si>
  <si>
    <t>Demolishing Concrete</t>
  </si>
  <si>
    <t>Pemasangan LA 150 kV dan Steel Structure</t>
  </si>
  <si>
    <t>Pemasangan CVT 150 kV dan Steel Structure</t>
  </si>
  <si>
    <t>Pemasangan CT 150 kV dan Steel Structure</t>
  </si>
  <si>
    <t>Pemasangan CB 150 kV dan Steel Structure</t>
  </si>
  <si>
    <t>Pemasangan DS+E 150 kV dan Steel Structure</t>
  </si>
  <si>
    <t>Pemasangan DS 150 kV dan Steel Structure</t>
  </si>
  <si>
    <t xml:space="preserve">1 KMR Sagging of Stringing </t>
  </si>
  <si>
    <t>PERMEN PUPR 2016 HAL 575</t>
  </si>
  <si>
    <t>PERMEN PUPR 2016 HAL 581</t>
  </si>
  <si>
    <t xml:space="preserve">  -  Foreman</t>
  </si>
  <si>
    <t>Soil Stripping manual heigth 1 m</t>
  </si>
  <si>
    <t>PermenPUPR 2016 Hal 184</t>
  </si>
  <si>
    <t>Stone Masonry 1 PC : 6 Sand</t>
  </si>
  <si>
    <t>SNI 2836-2008 HAL 4</t>
  </si>
  <si>
    <t>SNI 2835 2008</t>
  </si>
  <si>
    <t>Soil Compaction</t>
  </si>
  <si>
    <t>PU 2012 Hal 91</t>
  </si>
  <si>
    <t>Trasram tebal 1,5 cm dengan mortar PC-PP</t>
  </si>
  <si>
    <t>PU 2012 Hal 106</t>
  </si>
  <si>
    <t>An</t>
  </si>
  <si>
    <t>Tambakan Perbahruan di GI Puruk Cahu</t>
  </si>
  <si>
    <t>Erection Tower for 150 kV</t>
  </si>
  <si>
    <t xml:space="preserve">   - Winch Machine dan Gin Pole</t>
  </si>
  <si>
    <t>Winch Machine Cap 3-5 ton</t>
  </si>
  <si>
    <t>URAIAN PEKERJAAN</t>
  </si>
  <si>
    <t>VOLUME</t>
  </si>
  <si>
    <t>Pekerjaan Pondasi</t>
  </si>
  <si>
    <t>Anti climbing device</t>
  </si>
  <si>
    <t>Danger plate</t>
  </si>
  <si>
    <t>Bh</t>
  </si>
  <si>
    <t>Transport Material Pondasi ke Lokasi Tower</t>
  </si>
  <si>
    <t>Pekerjaan Lain-lain</t>
  </si>
  <si>
    <t>SATUAN</t>
  </si>
  <si>
    <t>JUMLAH</t>
  </si>
  <si>
    <t>tower</t>
  </si>
  <si>
    <t xml:space="preserve">   - Ijuk </t>
  </si>
  <si>
    <t>Pipa Resapan PVC 2" Untuk Dinding Penahan Tanah</t>
  </si>
  <si>
    <t>- Mobilisasi Alat Bored Pile</t>
  </si>
  <si>
    <t>- Cutting Kepala Bored Pile</t>
  </si>
  <si>
    <t xml:space="preserve">   -  Hammer</t>
  </si>
  <si>
    <t xml:space="preserve">   -  Steel Saw</t>
  </si>
  <si>
    <t xml:space="preserve">   -  Concrete K-225</t>
  </si>
  <si>
    <t xml:space="preserve">   -  Langsir material Bored Pile</t>
  </si>
  <si>
    <t>Pcs</t>
  </si>
  <si>
    <t>Keliling tower</t>
  </si>
  <si>
    <t xml:space="preserve">Jumlah Dolken per meter </t>
  </si>
  <si>
    <t>cm</t>
  </si>
  <si>
    <t>Dolken dia. 8-10 cm, length 4 m.</t>
  </si>
  <si>
    <t>Stick</t>
  </si>
  <si>
    <t>Turap Kayu Dolken</t>
  </si>
  <si>
    <t>Jurnal Sumatera Utara 2017 hal 72</t>
  </si>
  <si>
    <t>Red brick (Kelas I)</t>
  </si>
  <si>
    <t>Jurnal Sumatera Barat 2017 hal 96</t>
  </si>
  <si>
    <t>Jurnal Sumatera Selatan 2017 hal 163</t>
  </si>
  <si>
    <t>Split 5/10</t>
  </si>
  <si>
    <t>Jurnal Sumatera Utara 2017 hal 73</t>
  </si>
  <si>
    <t>Dyna Bolt M 10</t>
  </si>
  <si>
    <t>Jurnal Sumatera Selatan 2017 hal 159</t>
  </si>
  <si>
    <t>Wiremesh M5 (2,1m x 5,4 m)</t>
  </si>
  <si>
    <t>Jurnal Sumatera Selatan 2017 hal 164</t>
  </si>
  <si>
    <t>Wiremesh M6 (2,1m x 54 m)</t>
  </si>
  <si>
    <t>Jurnal Sumatera Selatan 2017 hal 162</t>
  </si>
  <si>
    <t>Bambu dia 6-8 cm, length 6m</t>
  </si>
  <si>
    <t>Jurnal Sumatera Selatan 2017 hal 156</t>
  </si>
  <si>
    <t>Paint of wall Weathershield setara Dulux</t>
  </si>
  <si>
    <t>Jurnal Sumatera Utara 2017 hal 78</t>
  </si>
  <si>
    <t>Jurnal Lampung 2017 hal 215</t>
  </si>
  <si>
    <t>Baut Anti-thieft</t>
  </si>
  <si>
    <t>Alibaba.com</t>
  </si>
  <si>
    <t>Jurnal Jakarta 2017 hal 323</t>
  </si>
  <si>
    <t>Operator Mesin Stringing</t>
  </si>
  <si>
    <t>Operator Alat Berat</t>
  </si>
  <si>
    <t>Jurnal Sumatera Barat 2017 hal 95</t>
  </si>
  <si>
    <t>Jurnal Sumatera Utara 2017 hal 79</t>
  </si>
  <si>
    <t>Jurnal Jawa Barat 2017 (Bekasi) hal 348</t>
  </si>
  <si>
    <t>Cord / Ekstensi Kabel</t>
  </si>
  <si>
    <t>Megger</t>
  </si>
  <si>
    <t>Earth Tester</t>
  </si>
  <si>
    <t>Insulation Test Equipment</t>
  </si>
  <si>
    <t>Supporting of Earthing Device</t>
  </si>
  <si>
    <t>Water Pump</t>
  </si>
  <si>
    <t>Drilling Machine</t>
  </si>
  <si>
    <t>SumBagUt</t>
  </si>
  <si>
    <t>PVC Pipe dia 1/2 " L = 6 m</t>
  </si>
  <si>
    <t>PVC Pipe dia 1 " L = 6 m</t>
  </si>
  <si>
    <t>PVC Pipe dia 2 " L = 6 m</t>
  </si>
  <si>
    <t>PVC Pipe dia 3 " L = 6 m</t>
  </si>
  <si>
    <t>PVC Pipe dia 4 " L = 6 m</t>
  </si>
  <si>
    <t>PVC Pipe dia 6 " L = 6 m</t>
  </si>
  <si>
    <t>BOQ</t>
  </si>
  <si>
    <t>No.</t>
  </si>
  <si>
    <t>URAIAN</t>
  </si>
  <si>
    <t>EXCLUDE PPN 10%</t>
  </si>
  <si>
    <t>INCLUDE PPN 10%</t>
  </si>
  <si>
    <t>TRANSPORTASI</t>
  </si>
  <si>
    <t>ASURANSI</t>
  </si>
  <si>
    <t>HARGA PENAWARAN</t>
  </si>
  <si>
    <t>(Rp)</t>
  </si>
  <si>
    <t>6 = 1.1 x 5</t>
  </si>
  <si>
    <t>7 = 3% x 5</t>
  </si>
  <si>
    <t>8 = 0.25% x 5</t>
  </si>
  <si>
    <t>9 = 10% x 5</t>
  </si>
  <si>
    <t>10 = 6 + 7 + 8 + 9</t>
  </si>
  <si>
    <t>PENGADAAN MATERIAL</t>
  </si>
  <si>
    <t>KONDUKTOR &amp; KAWAT TANAH :</t>
  </si>
  <si>
    <t>ACSR 240/40  mm²</t>
  </si>
  <si>
    <t>GSW 55 mm²</t>
  </si>
  <si>
    <t>OPGW 60 mm² (24 Core)</t>
  </si>
  <si>
    <t xml:space="preserve">SUB TOTAL 1 </t>
  </si>
  <si>
    <t xml:space="preserve">FITTING &amp; ACCESSORIES KONDUKTOR PHASA DAN KAWAT TANAH </t>
  </si>
  <si>
    <t>Suspension set untuk GSW 55 mm², lengkap dengan armour rods</t>
  </si>
  <si>
    <t>b</t>
  </si>
  <si>
    <t>Suspension set untuk OPGW 60 mm², lengkap dengan armour rods</t>
  </si>
  <si>
    <t>c</t>
  </si>
  <si>
    <t>Tension set for GSW 55 mm²</t>
  </si>
  <si>
    <t>d</t>
  </si>
  <si>
    <t>Tension set for OPGW 60 mm²</t>
  </si>
  <si>
    <t>e</t>
  </si>
  <si>
    <t>Stockbridge type Vibration Damper untuk ACSR 240/40 mm²</t>
  </si>
  <si>
    <t>f</t>
  </si>
  <si>
    <t>Stockbridge type Vibration Damper untuk GSW 55 mm²</t>
  </si>
  <si>
    <t>g</t>
  </si>
  <si>
    <t>Stockbridge type Vibration Damper untuk OPGW 60 mm²</t>
  </si>
  <si>
    <t>h</t>
  </si>
  <si>
    <t>Compression midspan joint untuk ACSR 240/40 mm²</t>
  </si>
  <si>
    <t>i</t>
  </si>
  <si>
    <t>Compression midspan joint untuk GSW 55 mm²</t>
  </si>
  <si>
    <t>j</t>
  </si>
  <si>
    <t>Junction Box untuk OPGW 60 mm², lengkap dengan mounting clamp</t>
  </si>
  <si>
    <t>k</t>
  </si>
  <si>
    <t>Repair sleeve untuk ACSR 240 mm²</t>
  </si>
  <si>
    <t>l</t>
  </si>
  <si>
    <t>Line conductor spacer (jumper) 200 mm untuk ACSR 240 mm²</t>
  </si>
  <si>
    <t>Line conductor spacer (span) 400 mm untuk ACSR 240/40 mm²</t>
  </si>
  <si>
    <t>SUB TOTAL 2</t>
  </si>
  <si>
    <t>HARDWARE AND FITTING</t>
  </si>
  <si>
    <t>6 Fasa</t>
  </si>
  <si>
    <t>Single suspension set lengkap clamp, arching Horn, armour rods, untuk 2 x ACSR 240/40 mm²</t>
  </si>
  <si>
    <t xml:space="preserve">Double suspension set lengkap clamp, arching horn, armour rods, untuk 2 x ACSR 240/40 mm² </t>
  </si>
  <si>
    <t xml:space="preserve">Single tension set lengkap clamp, arching horn, untuk 2 x ACSR 240/40 mm² </t>
  </si>
  <si>
    <t xml:space="preserve">Double tension set lengkap clamp, arching  horn, untuk 2 x ACSR 240/40 mm² </t>
  </si>
  <si>
    <t xml:space="preserve">Single tension inverted set lengkap clamp, arching  horn, untuk 2 x ACSR 240/40 mm² </t>
  </si>
  <si>
    <t xml:space="preserve">Jumper insulator set lengkap clamp, untuk 2 x ACSR 240/40 mm² </t>
  </si>
  <si>
    <t>SUB TOTAL 3</t>
  </si>
  <si>
    <t>DISK INSULATOR</t>
  </si>
  <si>
    <t>Insulator (Porcelain, glass, polimer composit) type fog 120 kN</t>
  </si>
  <si>
    <t>Insulator (Porcelain, glass, polimer composit ) type normal 120 kN</t>
  </si>
  <si>
    <t>SUB TOTAL 4</t>
  </si>
  <si>
    <t xml:space="preserve">JUMLAH I ( 1 + 2 + 3 + 4 ) </t>
  </si>
  <si>
    <t>DAFTAR KUANTITAS DAN HARGA PONDASI TOWER T/L 150 kV</t>
  </si>
  <si>
    <t>DAFTAR KUANTITAS DAN HARGA PEKERJAAN PERSIAPAN</t>
  </si>
  <si>
    <t>HARGA</t>
  </si>
  <si>
    <t>( Rp.)</t>
  </si>
  <si>
    <t>Mobilisasi dan Demobilisasi Peralatan</t>
  </si>
  <si>
    <r>
      <t>Biaya Excavator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</si>
  <si>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r>
      <t>Dump Truck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</si>
  <si>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t>Re-Check Survey</t>
  </si>
  <si>
    <t>km'</t>
  </si>
  <si>
    <r>
      <t>Galian Pondasi AA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</si>
  <si>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r>
      <t>Galian Pondasi BB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</si>
  <si>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t>Rechek Soil Investigasi di titik awal</t>
  </si>
  <si>
    <r>
      <t>Galian Pondasi CC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</si>
  <si>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r>
      <t>Galian Pondasi DD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</si>
  <si>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t>Tambahan Titik Sondir pada titik berikutnya</t>
  </si>
  <si>
    <r>
      <t>Galian Pondasi DRD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</si>
  <si>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r>
      <t>Galian Bor Pile AA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</si>
  <si>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t>Pembuatan Jalan Kerja</t>
  </si>
  <si>
    <r>
      <t>Galian Bor Pile BB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</si>
  <si>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r>
      <t>Galian Bor Pile CC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</si>
  <si>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t>Pembersihan Lokasi</t>
  </si>
  <si>
    <r>
      <t>Galian Bor Pile DD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</si>
  <si>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r>
      <t>Galian Bor Pile DRD (m</t>
    </r>
    <r>
      <rPr>
        <sz val="10"/>
        <rFont val="Calibri"/>
        <family val="2"/>
      </rPr>
      <t>³</t>
    </r>
    <r>
      <rPr>
        <sz val="12"/>
        <rFont val="Arial Narrow"/>
        <family val="2"/>
      </rPr>
      <t>)</t>
    </r>
  </si>
  <si>
    <t>Pengukuran dan Bouwplank</t>
  </si>
  <si>
    <t>DAFTAR KUANTITAS DAN HARGA PEKERJAAN PONDASI TOWER</t>
  </si>
  <si>
    <t>Type Tower : AA</t>
  </si>
  <si>
    <t>Type Tower : Bb</t>
  </si>
  <si>
    <t>Type Tower : Cc</t>
  </si>
  <si>
    <t>Type Tower : Dd /DDR</t>
  </si>
  <si>
    <t>PONDASI:  Class 1 - Concrete Pad and Chimney</t>
  </si>
  <si>
    <t>Pekerjaan Tanah</t>
  </si>
  <si>
    <t>Galian tanah</t>
  </si>
  <si>
    <r>
      <t>m</t>
    </r>
    <r>
      <rPr>
        <sz val="10"/>
        <rFont val="Calibri"/>
        <family val="2"/>
      </rPr>
      <t>³</t>
    </r>
  </si>
  <si>
    <t>Urugan kembali</t>
  </si>
  <si>
    <t>Pekerjaan Beton</t>
  </si>
  <si>
    <t>BJ</t>
  </si>
  <si>
    <t>Urugan pasir, t = 10 cm</t>
  </si>
  <si>
    <t>Beton 1 : 3 : 5, leveling ( t = 5 cm )</t>
  </si>
  <si>
    <t>Beton K 225, pondasi tower</t>
  </si>
  <si>
    <t>Besi beton</t>
  </si>
  <si>
    <t>Cetakan</t>
  </si>
  <si>
    <r>
      <t>m</t>
    </r>
    <r>
      <rPr>
        <sz val="10"/>
        <rFont val="Calibri"/>
        <family val="2"/>
      </rPr>
      <t>²</t>
    </r>
  </si>
  <si>
    <t>Pre-cast block ukuran 20 x 20 x 10 (cm)</t>
  </si>
  <si>
    <t>Pembuatan dan Pemasangan Patok Beton Batas Tanah</t>
  </si>
  <si>
    <r>
      <t>Tes Kubus Beton (15x15x15) cm</t>
    </r>
    <r>
      <rPr>
        <sz val="10"/>
        <rFont val="Calibri"/>
        <family val="2"/>
      </rPr>
      <t>³</t>
    </r>
  </si>
  <si>
    <t>Tes Kubus Beton (15x15x15) cm³</t>
  </si>
  <si>
    <t>Penyetelan stub (besi kaki) tower</t>
  </si>
  <si>
    <t>Pemasangan grounding dan perlengkapannya</t>
  </si>
  <si>
    <t>Pengujian grounding dan perlengkapannya</t>
  </si>
  <si>
    <t>TOTAL PONDASI CLASS 1</t>
  </si>
  <si>
    <t>Type Tower : Dd/DDR</t>
  </si>
  <si>
    <t>PONDASI: Class 2 - Concrete Pad and Chimney</t>
  </si>
  <si>
    <t>TOTAL PONDASI CLASS 2</t>
  </si>
  <si>
    <t>PONDASI:  Class 2W - Concrete Pad and Chimney</t>
  </si>
  <si>
    <t>TOTAL PONDASI CLASS 2W</t>
  </si>
  <si>
    <t>PONDASI:  Class 3 - Concrete Pad and Chimney</t>
  </si>
  <si>
    <t>TOTAL PONDASI CLASS 3</t>
  </si>
  <si>
    <t>PONDASI:  Class 3W - Concrete Pad and Chimney</t>
  </si>
  <si>
    <t>TOTAL PONDASI CLASS 3W</t>
  </si>
  <si>
    <t>PONDASI:  Class 6 - Concrete Pile 6 m 6 pile</t>
  </si>
  <si>
    <t>PONDASI:  Class 6 - Concrete Pile 6 m 6 Pile</t>
  </si>
  <si>
    <t>Pengeboran</t>
  </si>
  <si>
    <t>Beton K 225 (Pad &amp; Chimney)</t>
  </si>
  <si>
    <t>Beton K 175 (bore pile)</t>
  </si>
  <si>
    <t xml:space="preserve">f </t>
  </si>
  <si>
    <t>Pengadaan &amp; Penyetelan stub (besi kaki) tower</t>
  </si>
  <si>
    <t xml:space="preserve">TOTAL PONDASI CLASS 6 (6 m, 6 PILE) </t>
  </si>
  <si>
    <t>TOTAL PONDASI CLASS 6 (6 m, 6 PILE)</t>
  </si>
  <si>
    <t>PONDASI:  Class 6 - Concrete Pile 7 m 6 pile</t>
  </si>
  <si>
    <t>PONDASI:  Class 6 - Concrete Pile 7 m 6 Pile</t>
  </si>
  <si>
    <t>TOTAL PONDASI CLASS 6 (7 m, 6 PILE)</t>
  </si>
  <si>
    <t>PONDASI:  Class 6 - Concrete Pile 8 m 6 pile</t>
  </si>
  <si>
    <t>PONDASI:  Class 6 - Concrete Pile 8 m 6 Pile</t>
  </si>
  <si>
    <t>TOTAL PONDASI CLASS 6 (8 m, 6 PILE)</t>
  </si>
  <si>
    <t>PONDASI:  Class 6 - Concrete Pile 9 m 6 pile</t>
  </si>
  <si>
    <t>PONDASI:  Class 6 - Concrete Pile 9 m 6 Pile</t>
  </si>
  <si>
    <t>TOTAL PONDASI CLASS 6 (9 m, 6 PILE)</t>
  </si>
  <si>
    <t>PONDASI:  Class 6 - Concrete Pile 10 m 6 pile</t>
  </si>
  <si>
    <t>PONDASI:  Class 6 - Concrete Pile 10 m 6 Pile</t>
  </si>
  <si>
    <t>TOTAL PONDASI CLASS 6 (10 m, 6 PILE)</t>
  </si>
  <si>
    <t>PONDASI:  Class 6 - Concrete Pile 11 m 6 pile</t>
  </si>
  <si>
    <t>PONDASI:  Class 6 - Concrete Pile 11 m 6 Pile</t>
  </si>
  <si>
    <t>TOTAL PONDASI CLASS 6 (11 m, 6 PILE)</t>
  </si>
  <si>
    <t>PONDASI:  Class 6 - Concrete Pile 12 m 6 pile</t>
  </si>
  <si>
    <t>PONDASI:  Class 6 - Concrete Pile 12 m 6 Pile</t>
  </si>
  <si>
    <t>TOTAL PONDASI CLASS 6 (12 m, 6 PILE)</t>
  </si>
  <si>
    <t>PONDASI:  Class 6 - Concrete Pile 13 m 6 pile</t>
  </si>
  <si>
    <t>PONDASI:  Class 6 - Concrete Pile 13 m 6 Pile</t>
  </si>
  <si>
    <t>TOTAL PONDASI CLASS 6 (13 m, 6 PILE)</t>
  </si>
  <si>
    <t>PONDASI:  Class 6 - Concrete Pile 14 m 6 pile</t>
  </si>
  <si>
    <t>PONDASI:  Class 6 - Concrete Pile 14 m 6 Pile</t>
  </si>
  <si>
    <t>TOTAL PONDASI CLASS 6 (14 m, 6 PILE)</t>
  </si>
  <si>
    <t>PONDASI:  Class 6 - Concrete Pile 15 m 6 pile</t>
  </si>
  <si>
    <t>PONDASI:  Class 6 - Concrete Pile 15 m 6 Pile</t>
  </si>
  <si>
    <t>TOTAL PONDASI CLASS 6 (15 m, 6 PILE)</t>
  </si>
  <si>
    <t>PONDASI:  Class 6 - Concrete Pile 16 m 6 pile</t>
  </si>
  <si>
    <t>PONDASI:  Class 6 - Concrete Pile 16 m 6 Pile</t>
  </si>
  <si>
    <t>TOTAL PONDASI CLASS 6 (16 m, 6 PILE)</t>
  </si>
  <si>
    <t>PONDASI:  Class 6 - Concrete Pile 17 m 6 pile</t>
  </si>
  <si>
    <t>PONDASI:  Class 6 - Concrete Pile 17 m 6 Pile</t>
  </si>
  <si>
    <t>TOTAL PONDASI CLASS 6 (17 m, 6 PILE)</t>
  </si>
  <si>
    <t>PONDASI:  Class 6 - Concrete Pile 18 m 6 pile</t>
  </si>
  <si>
    <t>PONDASI:  Class 6 - Concrete Pile 18 m 6 Pile</t>
  </si>
  <si>
    <t>TOTAL PONDASI CLASS 6 (18 m, 6 PILE)</t>
  </si>
  <si>
    <t>PONDASI:  Class 6 - Concrete Pile 19 m 6 pile</t>
  </si>
  <si>
    <t>PONDASI:  Class 6 - Concrete Pile 19 m 6 Pile</t>
  </si>
  <si>
    <t>TOTAL PONDASI CLASS 6 (19 m, 6 PILE)</t>
  </si>
  <si>
    <t>PONDASI:  Class 6 - Concrete Pile 20 m 6 pile</t>
  </si>
  <si>
    <t>PONDASI:  Class 6 - Concrete Pile 20 m 6 Pile</t>
  </si>
  <si>
    <t>TOTAL PONDASI CLASS 6 (20 m, 6 PILE)</t>
  </si>
  <si>
    <t>Pekerjaan Pondasi (6 Pile)</t>
  </si>
  <si>
    <t>Pondasi Tower Transmisi 150 KV - Type AA</t>
  </si>
  <si>
    <t>1.1</t>
  </si>
  <si>
    <t>Type AA + 0   -  Kelas 6 (Concrete Pile) 6 m 6 Pile</t>
  </si>
  <si>
    <t xml:space="preserve">tower </t>
  </si>
  <si>
    <t>1.2</t>
  </si>
  <si>
    <t>Type AA + 0   -  Kelas 6 (Concrete Pile) 7 m 6 Pile</t>
  </si>
  <si>
    <t>1.3</t>
  </si>
  <si>
    <t>Type AA + 0   -  Kelas 6 (Concrete Pile) 8 m 6 Pile</t>
  </si>
  <si>
    <t>1.4</t>
  </si>
  <si>
    <t>Type AA + 0   -  Kelas 6 (Concrete Pile) 9 m 6 Pile</t>
  </si>
  <si>
    <t>1.5</t>
  </si>
  <si>
    <t>Type AA + 0   -  Kelas 6 (Concrete Pile) 10 m 6 Pile</t>
  </si>
  <si>
    <t>1.6</t>
  </si>
  <si>
    <t>Type AA + 0   -  Kelas 6 (Concrete Pile) 11 m 6 Pile</t>
  </si>
  <si>
    <t>1.7</t>
  </si>
  <si>
    <t>Type AA + 0   -  Kelas 6 (Concrete Pile) 12 m 6 Pile</t>
  </si>
  <si>
    <t>1.8</t>
  </si>
  <si>
    <t>Type AA + 0   -  Kelas 6 (Concrete Pile) 13 m 6 Pile</t>
  </si>
  <si>
    <t>1.9</t>
  </si>
  <si>
    <t>Type AA + 0   -  Kelas 6 (Concrete Pile) 14 m 6 Pile</t>
  </si>
  <si>
    <t>1.10</t>
  </si>
  <si>
    <t>Type AA + 0   -  Kelas 6 (Concrete Pile) 15 m 6 Pile</t>
  </si>
  <si>
    <t>1.11</t>
  </si>
  <si>
    <t>Type AA + 0   -  Kelas 6 (Concrete Pile) 16 m 6 Pile</t>
  </si>
  <si>
    <t>1.12</t>
  </si>
  <si>
    <t>Type AA + 0   -  Kelas 6 (Concrete Pile) 17 m 6 Pile</t>
  </si>
  <si>
    <t>1.13</t>
  </si>
  <si>
    <t>Type AA + 0   -  Kelas 6 (Concrete Pile) 18 m 6 Pile</t>
  </si>
  <si>
    <t>1.14</t>
  </si>
  <si>
    <t>Type AA + 0   -  Kelas 6 (Concrete Pile) 19 m 6 Pile</t>
  </si>
  <si>
    <t>1.15</t>
  </si>
  <si>
    <t>Type AA + 0   -  Kelas 6 (Concrete Pile) 20 m 6 Pile</t>
  </si>
  <si>
    <t>1.16</t>
  </si>
  <si>
    <t>Type AA + 3   -  Kelas 6 (Concrete Pile) 6 m 6 Pile</t>
  </si>
  <si>
    <t>1.17</t>
  </si>
  <si>
    <t>Type AA + 3   -  Kelas 6 (Concrete Pile) 7 m 6 Pile</t>
  </si>
  <si>
    <t>1.18</t>
  </si>
  <si>
    <t>Type AA + 3   -  Kelas 6 (Concrete Pile) 8 m 6 Pile</t>
  </si>
  <si>
    <t>1.19</t>
  </si>
  <si>
    <t>Type AA + 3   -  Kelas 6 (Concrete Pile) 9 m 6 Pile</t>
  </si>
  <si>
    <t>1.20</t>
  </si>
  <si>
    <t>Type AA + 3   -  Kelas 6 (Concrete Pile) 10 m 6 Pile</t>
  </si>
  <si>
    <t>1.21</t>
  </si>
  <si>
    <t>Type AA + 3   -  Kelas 6 (Concrete Pile) 11 m 6 Pile</t>
  </si>
  <si>
    <t>1.22</t>
  </si>
  <si>
    <t>Type AA + 3   -  Kelas 6 (Concrete Pile) 12 m 6 Pile</t>
  </si>
  <si>
    <t>1.23</t>
  </si>
  <si>
    <t>Type AA + 3   -  Kelas 6 (Concrete Pile) 13 m 6 Pile</t>
  </si>
  <si>
    <t>1.24</t>
  </si>
  <si>
    <t>Type AA + 3   -  Kelas 6 (Concrete Pile) 14 m 6 Pile</t>
  </si>
  <si>
    <t>1.25</t>
  </si>
  <si>
    <t>Type AA + 3   -  Kelas 6 (Concrete Pile) 15 m 6 Pile</t>
  </si>
  <si>
    <t>1.26</t>
  </si>
  <si>
    <t>Type AA + 3   -  Kelas 6 (Concrete Pile) 16 m 6 Pile</t>
  </si>
  <si>
    <t>1.27</t>
  </si>
  <si>
    <t>Type AA + 3   -  Kelas 6 (Concrete Pile) 17 m 6 Pile</t>
  </si>
  <si>
    <t>1.28</t>
  </si>
  <si>
    <t>Type AA + 3   -  Kelas 6 (Concrete Pile) 18 m 6 Pile</t>
  </si>
  <si>
    <t>1.29</t>
  </si>
  <si>
    <t>Type AA + 3   -  Kelas 6 (Concrete Pile) 19 m 6 Pile</t>
  </si>
  <si>
    <t>1.30</t>
  </si>
  <si>
    <t>Type AA + 3   -  Kelas 6 (Concrete Pile) 20 m 6 Pile</t>
  </si>
  <si>
    <t>1.31</t>
  </si>
  <si>
    <t>Type AA + 6   -  Kelas 6 (Concrete Pile) 6 m 6 Pile</t>
  </si>
  <si>
    <t>1.32</t>
  </si>
  <si>
    <t>Type AA + 6   -  Kelas 6 (Concrete Pile) 7 m 6 Pile</t>
  </si>
  <si>
    <t>1.33</t>
  </si>
  <si>
    <t>Type AA + 6   -  Kelas 6 (Concrete Pile) 8 m 6 Pile</t>
  </si>
  <si>
    <t>1.34</t>
  </si>
  <si>
    <t>Type AA + 6   -  Kelas 6 (Concrete Pile) 9 m 6 Pile</t>
  </si>
  <si>
    <t>1.35</t>
  </si>
  <si>
    <t>Type AA + 6   -  Kelas 6 (Concrete Pile) 10 m 6 Pile</t>
  </si>
  <si>
    <t>1.36</t>
  </si>
  <si>
    <t>Type AA + 6   -  Kelas 6 (Concrete Pile) 11 m 6 Pile</t>
  </si>
  <si>
    <t>1.37</t>
  </si>
  <si>
    <t>Type AA + 6   -  Kelas 6 (Concrete Pile) 12 m 6 Pile</t>
  </si>
  <si>
    <t>1.38</t>
  </si>
  <si>
    <t>Type AA + 6   -  Kelas 6 (Concrete Pile) 13 m 6 Pile</t>
  </si>
  <si>
    <t>1.39</t>
  </si>
  <si>
    <t>Type AA + 6   -  Kelas 6 (Concrete Pile) 14 m 6 Pile</t>
  </si>
  <si>
    <t>1.40</t>
  </si>
  <si>
    <t>Type AA + 6   -  Kelas 6 (Concrete Pile) 15 m 6 Pile</t>
  </si>
  <si>
    <t>1.41</t>
  </si>
  <si>
    <t>Type AA + 6   -  Kelas 6 (Concrete Pile) 16 m 6 Pile</t>
  </si>
  <si>
    <t>1.42</t>
  </si>
  <si>
    <t>Type AA + 6   -  Kelas 6 (Concrete Pile) 17 m 6 Pile</t>
  </si>
  <si>
    <t>1.43</t>
  </si>
  <si>
    <t>Type AA + 6   -  Kelas 6 (Concrete Pile) 18 m 6 Pile</t>
  </si>
  <si>
    <t>1.44</t>
  </si>
  <si>
    <t>Type AA + 6   -  Kelas 6 (Concrete Pile) 19 m 6 Pile</t>
  </si>
  <si>
    <t>1.45</t>
  </si>
  <si>
    <t>Type AA + 6   -  Kelas 6 (Concrete Pile) 20 m 6 Pile</t>
  </si>
  <si>
    <t>1.46</t>
  </si>
  <si>
    <t>Type AA + 9   -  Kelas 6 (Concrete Pile) 6 m 6 Pile</t>
  </si>
  <si>
    <t>1.47</t>
  </si>
  <si>
    <t>Type AA + 9   -  Kelas 6 (Concrete Pile) 7 m 6 Pile</t>
  </si>
  <si>
    <t>1.48</t>
  </si>
  <si>
    <t>Type AA + 9   -  Kelas 6 (Concrete Pile) 8 m 6 Pile</t>
  </si>
  <si>
    <t>1.49</t>
  </si>
  <si>
    <t>Type AA + 9   -  Kelas 6 (Concrete Pile) 9 m 6 Pile</t>
  </si>
  <si>
    <t>1.50</t>
  </si>
  <si>
    <t>Type AA + 9   -  Kelas 6 (Concrete Pile) 10 m 6 Pile</t>
  </si>
  <si>
    <t>1.51</t>
  </si>
  <si>
    <t>Type AA + 9   -  Kelas 6 (Concrete Pile) 11 m 6 Pile</t>
  </si>
  <si>
    <t>1.52</t>
  </si>
  <si>
    <t>Type AA + 9   -  Kelas 6 (Concrete Pile) 12 m 6 Pile</t>
  </si>
  <si>
    <t>1.53</t>
  </si>
  <si>
    <t>Type AA + 9   -  Kelas 6 (Concrete Pile) 13 m 6 Pile</t>
  </si>
  <si>
    <t>1.54</t>
  </si>
  <si>
    <t>Type AA + 9   -  Kelas 6 (Concrete Pile) 14 m 6 Pile</t>
  </si>
  <si>
    <t>1.55</t>
  </si>
  <si>
    <t>Type AA + 9   -  Kelas 6 (Concrete Pile) 15 m 6 Pile</t>
  </si>
  <si>
    <t>1.56</t>
  </si>
  <si>
    <t>Type AA + 9   -  Kelas 6 (Concrete Pile) 16 m 6 Pile</t>
  </si>
  <si>
    <t>1.57</t>
  </si>
  <si>
    <t>Type AA + 9   -  Kelas 6 (Concrete Pile) 17 m 6 Pile</t>
  </si>
  <si>
    <t>1.58</t>
  </si>
  <si>
    <t>Type AA + 9   -  Kelas 6 (Concrete Pile) 18 m 6 Pile</t>
  </si>
  <si>
    <t>1.59</t>
  </si>
  <si>
    <t>Type AA + 9   -  Kelas 6 (Concrete Pile) 19 m 6 Pile</t>
  </si>
  <si>
    <t>1.60</t>
  </si>
  <si>
    <t>Type AA + 9   -  Kelas 6 (Concrete Pile) 20 m 6 Pile</t>
  </si>
  <si>
    <t>1.61</t>
  </si>
  <si>
    <t>Type AA + 12   -  Kelas 6 (Concrete Pile) 6 m 6 Pile</t>
  </si>
  <si>
    <t>1.62</t>
  </si>
  <si>
    <t>Type AA + 12   -  Kelas 6 (Concrete Pile) 7 m 6 Pile</t>
  </si>
  <si>
    <t>1.63</t>
  </si>
  <si>
    <t>Type AA + 12   -  Kelas 6 (Concrete Pile) 8 m 6 Pile</t>
  </si>
  <si>
    <t>1.64</t>
  </si>
  <si>
    <t>Type AA + 12   -  Kelas 6 (Concrete Pile) 9 m 6 Pile</t>
  </si>
  <si>
    <t>1.65</t>
  </si>
  <si>
    <t>Type AA + 12   -  Kelas 6 (Concrete Pile) 10 m 6 Pile</t>
  </si>
  <si>
    <t>1.66</t>
  </si>
  <si>
    <t>Type AA + 12   -  Kelas 6 (Concrete Pile) 11 m 6 Pile</t>
  </si>
  <si>
    <t>1.67</t>
  </si>
  <si>
    <t>Type AA + 12   -  Kelas 6 (Concrete Pile) 12 m 6 Pile</t>
  </si>
  <si>
    <t>1.68</t>
  </si>
  <si>
    <t>Type AA + 12   -  Kelas 6 (Concrete Pile) 13 m 6 Pile</t>
  </si>
  <si>
    <t>1.69</t>
  </si>
  <si>
    <t>Type AA + 12   -  Kelas 6 (Concrete Pile) 14 m 6 Pile</t>
  </si>
  <si>
    <t>1.70</t>
  </si>
  <si>
    <t>Type AA + 12   -  Kelas 6 (Concrete Pile) 15 m 6 Pile</t>
  </si>
  <si>
    <t>1.71</t>
  </si>
  <si>
    <t>Type AA + 12   -  Kelas 6 (Concrete Pile) 16 m 6 Pile</t>
  </si>
  <si>
    <t>1.72</t>
  </si>
  <si>
    <t>Type AA + 12   -  Kelas 6 (Concrete Pile) 17 m 6 Pile</t>
  </si>
  <si>
    <t>1.73</t>
  </si>
  <si>
    <t>Type AA + 12   -  Kelas 6 (Concrete Pile) 18 m 6 Pile</t>
  </si>
  <si>
    <t>1.74</t>
  </si>
  <si>
    <t>Type AA + 12   -  Kelas 6 (Concrete Pile) 19 m 6 Pile</t>
  </si>
  <si>
    <t>1.75</t>
  </si>
  <si>
    <t>Type AA + 12   -  Kelas 6 (Concrete Pile) 20 m 6 Pile</t>
  </si>
  <si>
    <t>1.76</t>
  </si>
  <si>
    <t>Type AA + 15   -  Kelas 6 (Concrete Pile) 6 m 6 Pile</t>
  </si>
  <si>
    <t>Jumlah Tower</t>
  </si>
  <si>
    <t>1.77</t>
  </si>
  <si>
    <t>Type AA + 15   -  Kelas 6 (Concrete Pile) 7 m 6 Pile</t>
  </si>
  <si>
    <t>1.78</t>
  </si>
  <si>
    <t>Type AA + 15   -  Kelas 6 (Concrete Pile) 8 m 6 Pile</t>
  </si>
  <si>
    <t>1.79</t>
  </si>
  <si>
    <t>Type AA + 15   -  Kelas 6 (Concrete Pile) 9 m 6 Pile</t>
  </si>
  <si>
    <t>1.80</t>
  </si>
  <si>
    <t>Type AA + 15   -  Kelas 6 (Concrete Pile) 10 m 6 Pile</t>
  </si>
  <si>
    <t>1.81</t>
  </si>
  <si>
    <t>Type AA + 15   -  Kelas 6 (Concrete Pile) 11 m 6 Pile</t>
  </si>
  <si>
    <t>1.82</t>
  </si>
  <si>
    <t>Type AA + 15   -  Kelas 6 (Concrete Pile) 12 m 6 Pile</t>
  </si>
  <si>
    <t>1.83</t>
  </si>
  <si>
    <t>Type AA + 15   -  Kelas 6 (Concrete Pile) 13 m 6 Pile</t>
  </si>
  <si>
    <t>1.84</t>
  </si>
  <si>
    <t>Type AA + 15   -  Kelas 6 (Concrete Pile) 14 m 6 Pile</t>
  </si>
  <si>
    <t>1.85</t>
  </si>
  <si>
    <t>Type AA + 15   -  Kelas 6 (Concrete Pile) 15 m 6 Pile</t>
  </si>
  <si>
    <t>1.86</t>
  </si>
  <si>
    <t>Type AA + 15   -  Kelas 6 (Concrete Pile) 16 m 6 Pile</t>
  </si>
  <si>
    <t>1.87</t>
  </si>
  <si>
    <t>Type AA + 15   -  Kelas 6 (Concrete Pile) 17 m 6 Pile</t>
  </si>
  <si>
    <t>1.88</t>
  </si>
  <si>
    <t>Type AA + 15   -  Kelas 6 (Concrete Pile) 18 m 6 Pile</t>
  </si>
  <si>
    <t>1.89</t>
  </si>
  <si>
    <t>Type AA + 15   -  Kelas 6 (Concrete Pile) 19 m 6 Pile</t>
  </si>
  <si>
    <t>1.90</t>
  </si>
  <si>
    <t>Type AA + 15   -  Kelas 6 (Concrete Pile) 20 m 6 Pile</t>
  </si>
  <si>
    <t>Pondasi Tower Transmisi 150 KV - Type BB</t>
  </si>
  <si>
    <t>2.1</t>
  </si>
  <si>
    <t>Type BB + 0   -  Kelas 6 (Concrete Pile) 6 m 6 Pile</t>
  </si>
  <si>
    <t>2.2</t>
  </si>
  <si>
    <t>Type BB + 0   -  Kelas 6 (Concrete Pile) 7 m 6 Pile</t>
  </si>
  <si>
    <t>2.3</t>
  </si>
  <si>
    <t>Type BB + 0   -  Kelas 6 (Concrete Pile) 8 m 6 Pile</t>
  </si>
  <si>
    <t>2.4</t>
  </si>
  <si>
    <t>Type BB + 0   -  Kelas 6 (Concrete Pile) 9 m 6 Pile</t>
  </si>
  <si>
    <t>2.5</t>
  </si>
  <si>
    <t>Type BB + 0   -  Kelas 6 (Concrete Pile) 10 m 6 Pile</t>
  </si>
  <si>
    <t>2.6</t>
  </si>
  <si>
    <t>Type BB + 0   -  Kelas 6 (Concrete Pile) 11 m 6 Pile</t>
  </si>
  <si>
    <t>2.7</t>
  </si>
  <si>
    <t>Type BB + 0   -  Kelas 6 (Concrete Pile) 12 m 6 Pile</t>
  </si>
  <si>
    <t>2.8</t>
  </si>
  <si>
    <t>Type BB + 0   -  Kelas 6 (Concrete Pile) 13 m 6 Pile</t>
  </si>
  <si>
    <t>2.9</t>
  </si>
  <si>
    <t>Type BB + 0   -  Kelas 6 (Concrete Pile) 14 m 6 Pile</t>
  </si>
  <si>
    <t>2.10</t>
  </si>
  <si>
    <t>Type BB + 0   -  Kelas 6 (Concrete Pile) 15 m 6 Pile</t>
  </si>
  <si>
    <t>2.11</t>
  </si>
  <si>
    <t>Type BB + 0   -  Kelas 6 (Concrete Pile) 16 m 6 Pile</t>
  </si>
  <si>
    <t>2.12</t>
  </si>
  <si>
    <t>Type BB + 0   -  Kelas 6 (Concrete Pile) 17 m 6 Pile</t>
  </si>
  <si>
    <t>2.13</t>
  </si>
  <si>
    <t>Type BB + 0   -  Kelas 6 (Concrete Pile) 18 m 6 Pile</t>
  </si>
  <si>
    <t>2.14</t>
  </si>
  <si>
    <t>Type BB + 0   -  Kelas 6 (Concrete Pile) 19 m 6 Pile</t>
  </si>
  <si>
    <t>2.15</t>
  </si>
  <si>
    <t>Type BB + 0   -  Kelas 6 (Concrete Pile) 20 m 6 Pile</t>
  </si>
  <si>
    <t>2.16</t>
  </si>
  <si>
    <t>Type BB + 3   -  Kelas 6 (Concrete Pile) 6 m 6 Pile</t>
  </si>
  <si>
    <t>2.17</t>
  </si>
  <si>
    <t>Type BB + 3   -  Kelas 6 (Concrete Pile) 7 m 6 Pile</t>
  </si>
  <si>
    <t>2.18</t>
  </si>
  <si>
    <t>Type BB + 3   -  Kelas 6 (Concrete Pile) 8 m 6 Pile</t>
  </si>
  <si>
    <t>2.19</t>
  </si>
  <si>
    <t>Type BB + 3   -  Kelas 6 (Concrete Pile) 9 m 6 Pile</t>
  </si>
  <si>
    <t>2.20</t>
  </si>
  <si>
    <t>Type BB + 3   -  Kelas 6 (Concrete Pile) 10 m 6 Pile</t>
  </si>
  <si>
    <t>2.21</t>
  </si>
  <si>
    <t>Type BB + 3   -  Kelas 6 (Concrete Pile) 11 m 6 Pile</t>
  </si>
  <si>
    <t>2.22</t>
  </si>
  <si>
    <t>Type BB + 3   -  Kelas 6 (Concrete Pile) 12 m 6 Pile</t>
  </si>
  <si>
    <t>2.23</t>
  </si>
  <si>
    <t>Type BB + 3   -  Kelas 6 (Concrete Pile) 13 m 6 Pile</t>
  </si>
  <si>
    <t>2.24</t>
  </si>
  <si>
    <t>Type BB + 3   -  Kelas 6 (Concrete Pile) 14 m 6 Pile</t>
  </si>
  <si>
    <t>2.25</t>
  </si>
  <si>
    <t>Type BB + 3   -  Kelas 6 (Concrete Pile) 15 m 6 Pile</t>
  </si>
  <si>
    <t>2.26</t>
  </si>
  <si>
    <t>Type BB + 3   -  Kelas 6 (Concrete Pile) 16 m 6 Pile</t>
  </si>
  <si>
    <t>2.27</t>
  </si>
  <si>
    <t>Type BB + 3   -  Kelas 6 (Concrete Pile) 17 m 6 Pile</t>
  </si>
  <si>
    <t>2.28</t>
  </si>
  <si>
    <t>Type BB + 3   -  Kelas 6 (Concrete Pile) 18 m 6 Pile</t>
  </si>
  <si>
    <t>2.29</t>
  </si>
  <si>
    <t>Type BB + 3   -  Kelas 6 (Concrete Pile) 19 m 6 Pile</t>
  </si>
  <si>
    <t>2.30</t>
  </si>
  <si>
    <t>Type BB + 3   -  Kelas 6 (Concrete Pile) 20 m 6 Pile</t>
  </si>
  <si>
    <t>2.31</t>
  </si>
  <si>
    <t>Type BB + 6   -  Kelas 6 (Concrete Pile) 6 m 6 Pile</t>
  </si>
  <si>
    <t>2.32</t>
  </si>
  <si>
    <t>Type BB + 6   -  Kelas 6 (Concrete Pile) 7 m 6 Pile</t>
  </si>
  <si>
    <t>2.33</t>
  </si>
  <si>
    <t>Type BB + 6   -  Kelas 6 (Concrete Pile) 8 m 6 Pile</t>
  </si>
  <si>
    <t>2.34</t>
  </si>
  <si>
    <t>Type BB + 6   -  Kelas 6 (Concrete Pile) 9 m 6 Pile</t>
  </si>
  <si>
    <t>2.35</t>
  </si>
  <si>
    <t>Type BB + 6   -  Kelas 6 (Concrete Pile) 10 m 6 Pile</t>
  </si>
  <si>
    <t>2.36</t>
  </si>
  <si>
    <t>Type BB + 6   -  Kelas 6 (Concrete Pile) 11 m 6 Pile</t>
  </si>
  <si>
    <t>2.37</t>
  </si>
  <si>
    <t>Type BB + 6   -  Kelas 6 (Concrete Pile) 12 m 6 Pile</t>
  </si>
  <si>
    <t>2.38</t>
  </si>
  <si>
    <t>Type BB + 6   -  Kelas 6 (Concrete Pile) 13 m 6 Pile</t>
  </si>
  <si>
    <t>2.39</t>
  </si>
  <si>
    <t>Type BB + 6   -  Kelas 6 (Concrete Pile) 14 m 6 Pile</t>
  </si>
  <si>
    <t>2.40</t>
  </si>
  <si>
    <t>Type BB + 6   -  Kelas 6 (Concrete Pile) 15 m 6 Pile</t>
  </si>
  <si>
    <t>2.41</t>
  </si>
  <si>
    <t>Type BB + 6   -  Kelas 6 (Concrete Pile) 16 m 6 Pile</t>
  </si>
  <si>
    <t>2.42</t>
  </si>
  <si>
    <t>Type BB + 6   -  Kelas 6 (Concrete Pile) 17 m 6 Pile</t>
  </si>
  <si>
    <t>2.43</t>
  </si>
  <si>
    <t>Type BB + 6   -  Kelas 6 (Concrete Pile) 18 m 6 Pile</t>
  </si>
  <si>
    <t>2.44</t>
  </si>
  <si>
    <t>Type BB + 6   -  Kelas 6 (Concrete Pile) 19 m 6 Pile</t>
  </si>
  <si>
    <t>2.45</t>
  </si>
  <si>
    <t>Type BB + 6   -  Kelas 6 (Concrete Pile) 20 m 6 Pile</t>
  </si>
  <si>
    <t>2.46</t>
  </si>
  <si>
    <t>Type BB + 9   -  Kelas 6 (Concrete Pile) 6 m 6 Pile</t>
  </si>
  <si>
    <t>2.47</t>
  </si>
  <si>
    <t>Type BB + 9   -  Kelas 6 (Concrete Pile) 7 m 6 Pile</t>
  </si>
  <si>
    <t>2.48</t>
  </si>
  <si>
    <t>Type BB + 9   -  Kelas 6 (Concrete Pile) 8 m 6 Pile</t>
  </si>
  <si>
    <t>2.49</t>
  </si>
  <si>
    <t>Type BB + 9   -  Kelas 6 (Concrete Pile) 9 m 6 Pile</t>
  </si>
  <si>
    <t>2.50</t>
  </si>
  <si>
    <t>Type BB + 9   -  Kelas 6 (Concrete Pile) 10 m 6 Pile</t>
  </si>
  <si>
    <t>2.51</t>
  </si>
  <si>
    <t>Type BB + 9   -  Kelas 6 (Concrete Pile) 11 m 6 Pile</t>
  </si>
  <si>
    <t>2.52</t>
  </si>
  <si>
    <t>Type BB + 9   -  Kelas 6 (Concrete Pile) 12 m 6 Pile</t>
  </si>
  <si>
    <t>2.53</t>
  </si>
  <si>
    <t>Type BB + 9   -  Kelas 6 (Concrete Pile) 13 m 6 Pile</t>
  </si>
  <si>
    <t>2.54</t>
  </si>
  <si>
    <t>Type BB + 9   -  Kelas 6 (Concrete Pile) 14 m 6 Pile</t>
  </si>
  <si>
    <t>2.55</t>
  </si>
  <si>
    <t>Type BB + 9   -  Kelas 6 (Concrete Pile) 15 m 6 Pile</t>
  </si>
  <si>
    <t>2.56</t>
  </si>
  <si>
    <t>Type BB + 9   -  Kelas 6 (Concrete Pile) 16 m 6 Pile</t>
  </si>
  <si>
    <t>2.57</t>
  </si>
  <si>
    <t>Type BB + 9   -  Kelas 6 (Concrete Pile) 17 m 6 Pile</t>
  </si>
  <si>
    <t>2.58</t>
  </si>
  <si>
    <t>Type BB + 9   -  Kelas 6 (Concrete Pile) 18 m 6 Pile</t>
  </si>
  <si>
    <t>2.59</t>
  </si>
  <si>
    <t>Type BB + 9   -  Kelas 6 (Concrete Pile) 19 m 6 Pile</t>
  </si>
  <si>
    <t>2.60</t>
  </si>
  <si>
    <t>Type BB + 9   -  Kelas 6 (Concrete Pile) 20 m 6 Pile</t>
  </si>
  <si>
    <t>2.61</t>
  </si>
  <si>
    <t>Type BB + 12   -  Kelas 6 (Concrete Pile) 6 m 6 Pile</t>
  </si>
  <si>
    <t>2.62</t>
  </si>
  <si>
    <t>Type BB + 12   -  Kelas 6 (Concrete Pile) 7 m 6 Pile</t>
  </si>
  <si>
    <t>2.63</t>
  </si>
  <si>
    <t>Type BB + 12   -  Kelas 6 (Concrete Pile) 8 m 6 Pile</t>
  </si>
  <si>
    <t>2.64</t>
  </si>
  <si>
    <t>Type BB + 12   -  Kelas 6 (Concrete Pile) 9 m 6 Pile</t>
  </si>
  <si>
    <t>2.65</t>
  </si>
  <si>
    <t>Type BB + 12   -  Kelas 6 (Concrete Pile) 10 m 6 Pile</t>
  </si>
  <si>
    <t>2.66</t>
  </si>
  <si>
    <t>Type BB + 12   -  Kelas 6 (Concrete Pile) 11 m 6 Pile</t>
  </si>
  <si>
    <t>2.67</t>
  </si>
  <si>
    <t>Type BB + 12   -  Kelas 6 (Concrete Pile) 12 m 6 Pile</t>
  </si>
  <si>
    <t>2.68</t>
  </si>
  <si>
    <t>Type BB + 12   -  Kelas 6 (Concrete Pile) 13 m 6 Pile</t>
  </si>
  <si>
    <t>2.69</t>
  </si>
  <si>
    <t>Type BB + 12   -  Kelas 6 (Concrete Pile) 14 m 6 Pile</t>
  </si>
  <si>
    <t>2.70</t>
  </si>
  <si>
    <t>Type BB + 12   -  Kelas 6 (Concrete Pile) 15 m 6 Pile</t>
  </si>
  <si>
    <t>2.71</t>
  </si>
  <si>
    <t>Type BB + 12   -  Kelas 6 (Concrete Pile) 16 m 6 Pile</t>
  </si>
  <si>
    <t>2.72</t>
  </si>
  <si>
    <t>Type BB + 12   -  Kelas 6 (Concrete Pile) 17 m 6 Pile</t>
  </si>
  <si>
    <t>2.73</t>
  </si>
  <si>
    <t>Type BB + 12   -  Kelas 6 (Concrete Pile) 18 m 6 Pile</t>
  </si>
  <si>
    <t>2.74</t>
  </si>
  <si>
    <t>Type BB + 12   -  Kelas 6 (Concrete Pile) 19 m 6 Pile</t>
  </si>
  <si>
    <t>2.75</t>
  </si>
  <si>
    <t>Type BB + 12   -  Kelas 6 (Concrete Pile) 20 m 6 Pile</t>
  </si>
  <si>
    <t>2.76</t>
  </si>
  <si>
    <t>Type BB + 15   -  Kelas 6 (Concrete Pile) 6 m 6 Pile</t>
  </si>
  <si>
    <t>2.77</t>
  </si>
  <si>
    <t>Type BB + 15   -  Kelas 6 (Concrete Pile) 7 m 6 Pile</t>
  </si>
  <si>
    <t>2.78</t>
  </si>
  <si>
    <t>Type BB + 15   -  Kelas 6 (Concrete Pile) 8 m 6 Pile</t>
  </si>
  <si>
    <t>2.79</t>
  </si>
  <si>
    <t>Type BB + 15   -  Kelas 6 (Concrete Pile) 9 m 6 Pile</t>
  </si>
  <si>
    <t>2.80</t>
  </si>
  <si>
    <t>Type BB + 15   -  Kelas 6 (Concrete Pile) 10 m 6 Pile</t>
  </si>
  <si>
    <t>2.81</t>
  </si>
  <si>
    <t>Type BB + 15   -  Kelas 6 (Concrete Pile) 11 m 6 Pile</t>
  </si>
  <si>
    <t>2.82</t>
  </si>
  <si>
    <t>Type BB + 15   -  Kelas 6 (Concrete Pile) 12 m 6 Pile</t>
  </si>
  <si>
    <t>2.83</t>
  </si>
  <si>
    <t>Type BB + 15   -  Kelas 6 (Concrete Pile) 13 m 6 Pile</t>
  </si>
  <si>
    <t>2.84</t>
  </si>
  <si>
    <t>Type BB + 15   -  Kelas 6 (Concrete Pile) 14 m 6 Pile</t>
  </si>
  <si>
    <t>2.85</t>
  </si>
  <si>
    <t>Type BB + 15   -  Kelas 6 (Concrete Pile) 15 m 6 Pile</t>
  </si>
  <si>
    <t>2.86</t>
  </si>
  <si>
    <t>Type BB + 15   -  Kelas 6 (Concrete Pile) 16 m 6 Pile</t>
  </si>
  <si>
    <t>2.87</t>
  </si>
  <si>
    <t>Type BB + 15   -  Kelas 6 (Concrete Pile) 17 m 6 Pile</t>
  </si>
  <si>
    <t>2.88</t>
  </si>
  <si>
    <t>Type BB + 15   -  Kelas 6 (Concrete Pile) 18 m 6 Pile</t>
  </si>
  <si>
    <t>2.89</t>
  </si>
  <si>
    <t>Type BB + 15   -  Kelas 6 (Concrete Pile) 19 m 6 Pile</t>
  </si>
  <si>
    <t>2.90</t>
  </si>
  <si>
    <t>Type BB + 15   -  Kelas 6 (Concrete Pile) 20 m 6 Pile</t>
  </si>
  <si>
    <t>Pondasi Tower Transmisi 150 KV - Type CC</t>
  </si>
  <si>
    <t>3.1</t>
  </si>
  <si>
    <t>Type CC + 0   -  Kelas 6 (Concrete Pile) 6 m 6 Pile</t>
  </si>
  <si>
    <t>3.2</t>
  </si>
  <si>
    <t>Type CC + 0   -  Kelas 6 (Concrete Pile) 7 m 6 Pile</t>
  </si>
  <si>
    <t>3.3</t>
  </si>
  <si>
    <t>Type CC + 0   -  Kelas 6 (Concrete Pile) 8 m 6 Pile</t>
  </si>
  <si>
    <t>3.4</t>
  </si>
  <si>
    <t>Type CC + 0   -  Kelas 6 (Concrete Pile) 9 m 6 Pile</t>
  </si>
  <si>
    <t>3.5</t>
  </si>
  <si>
    <t>Type CC + 0   -  Kelas 6 (Concrete Pile) 10 m 6 Pile</t>
  </si>
  <si>
    <t>3.6</t>
  </si>
  <si>
    <t>Type CC + 0   -  Kelas 6 (Concrete Pile) 11 m 6 Pile</t>
  </si>
  <si>
    <t>3.7</t>
  </si>
  <si>
    <t>Type CC + 0   -  Kelas 6 (Concrete Pile) 12 m 6 Pile</t>
  </si>
  <si>
    <t>3.8</t>
  </si>
  <si>
    <t>Type CC + 0   -  Kelas 6 (Concrete Pile) 13 m 6 Pile</t>
  </si>
  <si>
    <t>3.9</t>
  </si>
  <si>
    <t>Type CC + 0   -  Kelas 6 (Concrete Pile) 14 m 6 Pile</t>
  </si>
  <si>
    <t>3.10</t>
  </si>
  <si>
    <t>Type CC + 0   -  Kelas 6 (Concrete Pile) 15 m 6 Pile</t>
  </si>
  <si>
    <t>3.11</t>
  </si>
  <si>
    <t>Type CC + 0   -  Kelas 6 (Concrete Pile) 16 m 6 Pile</t>
  </si>
  <si>
    <t>3.12</t>
  </si>
  <si>
    <t>Type CC + 0   -  Kelas 6 (Concrete Pile) 17 m 6 Pile</t>
  </si>
  <si>
    <t>3.13</t>
  </si>
  <si>
    <t>Type CC + 0   -  Kelas 6 (Concrete Pile) 18 m 6 Pile</t>
  </si>
  <si>
    <t>3.14</t>
  </si>
  <si>
    <t>Type CC + 0   -  Kelas 6 (Concrete Pile) 19 m 6 Pile</t>
  </si>
  <si>
    <t>3.15</t>
  </si>
  <si>
    <t>Type CC + 0   -  Kelas 6 (Concrete Pile) 20 m 6 Pile</t>
  </si>
  <si>
    <t>3.16</t>
  </si>
  <si>
    <t>Type CC + 3   -  Kelas 6 (Concrete Pile) 6 m 6 Pile</t>
  </si>
  <si>
    <t>3.17</t>
  </si>
  <si>
    <t>Type CC + 3   -  Kelas 6 (Concrete Pile) 7 m 6 Pile</t>
  </si>
  <si>
    <t>3.18</t>
  </si>
  <si>
    <t>Type CC + 3   -  Kelas 6 (Concrete Pile) 8 m 6 Pile</t>
  </si>
  <si>
    <t>3.19</t>
  </si>
  <si>
    <t>Type CC + 3   -  Kelas 6 (Concrete Pile) 9 m 6 Pile</t>
  </si>
  <si>
    <t>3.20</t>
  </si>
  <si>
    <t>Type CC + 3   -  Kelas 6 (Concrete Pile) 10 m 6 Pile</t>
  </si>
  <si>
    <t>3.21</t>
  </si>
  <si>
    <t>Type CC + 3   -  Kelas 6 (Concrete Pile) 11 m 6 Pile</t>
  </si>
  <si>
    <t>3.22</t>
  </si>
  <si>
    <t>Type CC + 3   -  Kelas 6 (Concrete Pile) 12 m 6 Pile</t>
  </si>
  <si>
    <t>3.23</t>
  </si>
  <si>
    <t>Type CC + 3   -  Kelas 6 (Concrete Pile) 13 m 6 Pile</t>
  </si>
  <si>
    <t>3.24</t>
  </si>
  <si>
    <t>Type CC + 3   -  Kelas 6 (Concrete Pile) 14 m 6 Pile</t>
  </si>
  <si>
    <t>3.25</t>
  </si>
  <si>
    <t>Type CC + 3   -  Kelas 6 (Concrete Pile) 15 m 6 Pile</t>
  </si>
  <si>
    <t>3.26</t>
  </si>
  <si>
    <t>Type CC + 3   -  Kelas 6 (Concrete Pile) 16 m 6 Pile</t>
  </si>
  <si>
    <t>3.27</t>
  </si>
  <si>
    <t>Type CC + 3   -  Kelas 6 (Concrete Pile) 17 m 6 Pile</t>
  </si>
  <si>
    <t>3.28</t>
  </si>
  <si>
    <t>Type CC + 3   -  Kelas 6 (Concrete Pile) 18 m 6 Pile</t>
  </si>
  <si>
    <t>3.29</t>
  </si>
  <si>
    <t>Type CC + 3   -  Kelas 6 (Concrete Pile) 19 m 6 Pile</t>
  </si>
  <si>
    <t>3.30</t>
  </si>
  <si>
    <t>Type CC + 3   -  Kelas 6 (Concrete Pile) 20 m 6 Pile</t>
  </si>
  <si>
    <t>3.31</t>
  </si>
  <si>
    <t>Type CC + 6   -  Kelas 6 (Concrete Pile) 6 m 6 Pile</t>
  </si>
  <si>
    <t>3.32</t>
  </si>
  <si>
    <t>Type CC + 6   -  Kelas 6 (Concrete Pile) 7 m 6 Pile</t>
  </si>
  <si>
    <t>3.33</t>
  </si>
  <si>
    <t>Type CC + 6   -  Kelas 6 (Concrete Pile) 8 m 6 Pile</t>
  </si>
  <si>
    <t>3.34</t>
  </si>
  <si>
    <t>Type CC + 6   -  Kelas 6 (Concrete Pile) 9 m 6 Pile</t>
  </si>
  <si>
    <t>3.35</t>
  </si>
  <si>
    <t>Type CC + 6   -  Kelas 6 (Concrete Pile) 10 m 6 Pile</t>
  </si>
  <si>
    <t>3.36</t>
  </si>
  <si>
    <t>Type CC + 6   -  Kelas 6 (Concrete Pile) 11 m 6 Pile</t>
  </si>
  <si>
    <t>3.37</t>
  </si>
  <si>
    <t>Type CC + 6   -  Kelas 6 (Concrete Pile) 12 m 6 Pile</t>
  </si>
  <si>
    <t>3.38</t>
  </si>
  <si>
    <t>Type CC + 6   -  Kelas 6 (Concrete Pile) 13 m 6 Pile</t>
  </si>
  <si>
    <t>3.39</t>
  </si>
  <si>
    <t>Type CC + 6   -  Kelas 6 (Concrete Pile) 14 m 6 Pile</t>
  </si>
  <si>
    <t>3.40</t>
  </si>
  <si>
    <t>Type CC + 6   -  Kelas 6 (Concrete Pile) 15 m 6 Pile</t>
  </si>
  <si>
    <t>3.41</t>
  </si>
  <si>
    <t>Type CC + 6   -  Kelas 6 (Concrete Pile) 16 m 6 Pile</t>
  </si>
  <si>
    <t>3.42</t>
  </si>
  <si>
    <t>Type CC + 6   -  Kelas 6 (Concrete Pile) 17 m 6 Pile</t>
  </si>
  <si>
    <t>3.43</t>
  </si>
  <si>
    <t>Type CC + 6   -  Kelas 6 (Concrete Pile) 18 m 6 Pile</t>
  </si>
  <si>
    <t>3.44</t>
  </si>
  <si>
    <t>Type CC + 6   -  Kelas 6 (Concrete Pile) 19 m 6 Pile</t>
  </si>
  <si>
    <t>3.45</t>
  </si>
  <si>
    <t>Type CC + 6   -  Kelas 6 (Concrete Pile) 20 m 6 Pile</t>
  </si>
  <si>
    <t>3.46</t>
  </si>
  <si>
    <t>Type CC + 9   -  Kelas 6 (Concrete Pile) 6 m 6 Pile</t>
  </si>
  <si>
    <t>3.47</t>
  </si>
  <si>
    <t>Type CC + 9   -  Kelas 6 (Concrete Pile) 7 m 6 Pile</t>
  </si>
  <si>
    <t>3.48</t>
  </si>
  <si>
    <t>Type CC + 9   -  Kelas 6 (Concrete Pile) 8 m 6 Pile</t>
  </si>
  <si>
    <t>3.49</t>
  </si>
  <si>
    <t>Type CC + 9   -  Kelas 6 (Concrete Pile) 9 m 6 Pile</t>
  </si>
  <si>
    <t>3.50</t>
  </si>
  <si>
    <t>Type CC + 9   -  Kelas 6 (Concrete Pile) 10 m 6 Pile</t>
  </si>
  <si>
    <t>3.51</t>
  </si>
  <si>
    <t>Type CC + 9   -  Kelas 6 (Concrete Pile) 11 m 6 Pile</t>
  </si>
  <si>
    <t>3.52</t>
  </si>
  <si>
    <t>Type CC + 9   -  Kelas 6 (Concrete Pile) 12 m 6 Pile</t>
  </si>
  <si>
    <t>3.53</t>
  </si>
  <si>
    <t>Type CC + 9   -  Kelas 6 (Concrete Pile) 13 m 6 Pile</t>
  </si>
  <si>
    <t>3.54</t>
  </si>
  <si>
    <t>Type CC + 9   -  Kelas 6 (Concrete Pile) 14 m 6 Pile</t>
  </si>
  <si>
    <t>3.55</t>
  </si>
  <si>
    <t>Type CC + 9   -  Kelas 6 (Concrete Pile) 15 m 6 Pile</t>
  </si>
  <si>
    <t>3.56</t>
  </si>
  <si>
    <t>Type CC + 9   -  Kelas 6 (Concrete Pile) 16 m 6 Pile</t>
  </si>
  <si>
    <t>3.57</t>
  </si>
  <si>
    <t>Type CC + 9   -  Kelas 6 (Concrete Pile) 17 m 6 Pile</t>
  </si>
  <si>
    <t>3.58</t>
  </si>
  <si>
    <t>Type CC + 9   -  Kelas 6 (Concrete Pile) 18 m 6 Pile</t>
  </si>
  <si>
    <t>3.59</t>
  </si>
  <si>
    <t>Type CC + 9   -  Kelas 6 (Concrete Pile) 19 m 6 Pile</t>
  </si>
  <si>
    <t>3.60</t>
  </si>
  <si>
    <t>Type CC + 9   -  Kelas 6 (Concrete Pile) 20 m 6 Pile</t>
  </si>
  <si>
    <t>3.61</t>
  </si>
  <si>
    <t>Type CC + 12   -  Kelas 6 (Concrete Pile) 6 m 6 Pile</t>
  </si>
  <si>
    <t>3.62</t>
  </si>
  <si>
    <t>Type CC + 12   -  Kelas 6 (Concrete Pile) 7 m 6 Pile</t>
  </si>
  <si>
    <t>3.63</t>
  </si>
  <si>
    <t>Type CC + 12   -  Kelas 6 (Concrete Pile) 8 m 6 Pile</t>
  </si>
  <si>
    <t>3.64</t>
  </si>
  <si>
    <t>Type CC + 12   -  Kelas 6 (Concrete Pile) 9 m 6 Pile</t>
  </si>
  <si>
    <t>3.65</t>
  </si>
  <si>
    <t>Type CC + 12   -  Kelas 6 (Concrete Pile) 10 m 6 Pile</t>
  </si>
  <si>
    <t>3.66</t>
  </si>
  <si>
    <t>Type CC + 12   -  Kelas 6 (Concrete Pile) 11 m 6 Pile</t>
  </si>
  <si>
    <t>3.67</t>
  </si>
  <si>
    <t>Type CC + 12   -  Kelas 6 (Concrete Pile) 12 m 6 Pile</t>
  </si>
  <si>
    <t>3.68</t>
  </si>
  <si>
    <t>Type CC + 12   -  Kelas 6 (Concrete Pile) 13 m 6 Pile</t>
  </si>
  <si>
    <t>3.69</t>
  </si>
  <si>
    <t>Type CC + 12   -  Kelas 6 (Concrete Pile) 14 m 6 Pile</t>
  </si>
  <si>
    <t>3.70</t>
  </si>
  <si>
    <t>Type CC + 12   -  Kelas 6 (Concrete Pile) 15 m 6 Pile</t>
  </si>
  <si>
    <t>3.71</t>
  </si>
  <si>
    <t>Type CC + 12   -  Kelas 6 (Concrete Pile) 16 m 6 Pile</t>
  </si>
  <si>
    <t>3.72</t>
  </si>
  <si>
    <t>Type CC + 12   -  Kelas 6 (Concrete Pile) 17 m 6 Pile</t>
  </si>
  <si>
    <t>3.73</t>
  </si>
  <si>
    <t>Type CC + 12   -  Kelas 6 (Concrete Pile) 18 m 6 Pile</t>
  </si>
  <si>
    <t>3.74</t>
  </si>
  <si>
    <t>Type CC + 12   -  Kelas 6 (Concrete Pile) 19 m 6 Pile</t>
  </si>
  <si>
    <t>3.75</t>
  </si>
  <si>
    <t>Type CC + 12   -  Kelas 6 (Concrete Pile) 20 m 6 Pile</t>
  </si>
  <si>
    <t>3.76</t>
  </si>
  <si>
    <t>Type CC + 15   -  Kelas 6 (Concrete Pile) 6 m 6 Pile</t>
  </si>
  <si>
    <t>3.77</t>
  </si>
  <si>
    <t>Type CC + 15   -  Kelas 6 (Concrete Pile) 7 m 6 Pile</t>
  </si>
  <si>
    <t>3.78</t>
  </si>
  <si>
    <t>Type CC + 15   -  Kelas 6 (Concrete Pile) 8 m 6 Pile</t>
  </si>
  <si>
    <t>3.79</t>
  </si>
  <si>
    <t>Type CC + 15   -  Kelas 6 (Concrete Pile) 9 m 6 Pile</t>
  </si>
  <si>
    <t>3.80</t>
  </si>
  <si>
    <t>Type CC + 15   -  Kelas 6 (Concrete Pile) 10 m 6 Pile</t>
  </si>
  <si>
    <t>3.81</t>
  </si>
  <si>
    <t>Type CC + 15   -  Kelas 6 (Concrete Pile) 11 m 6 Pile</t>
  </si>
  <si>
    <t>3.82</t>
  </si>
  <si>
    <t>Type CC + 15   -  Kelas 6 (Concrete Pile) 12 m 6 Pile</t>
  </si>
  <si>
    <t>3.83</t>
  </si>
  <si>
    <t>Type CC + 15   -  Kelas 6 (Concrete Pile) 13 m 6 Pile</t>
  </si>
  <si>
    <t>3.84</t>
  </si>
  <si>
    <t>Type CC + 15   -  Kelas 6 (Concrete Pile) 14 m 6 Pile</t>
  </si>
  <si>
    <t>3.85</t>
  </si>
  <si>
    <t>Type CC + 15   -  Kelas 6 (Concrete Pile) 15 m 6 Pile</t>
  </si>
  <si>
    <t>3.86</t>
  </si>
  <si>
    <t>Type CC + 15   -  Kelas 6 (Concrete Pile) 16 m 6 Pile</t>
  </si>
  <si>
    <t>3.87</t>
  </si>
  <si>
    <t>Type CC + 15   -  Kelas 6 (Concrete Pile) 17 m 6 Pile</t>
  </si>
  <si>
    <t>3.88</t>
  </si>
  <si>
    <t>Type CC + 15   -  Kelas 6 (Concrete Pile) 18 m 6 Pile</t>
  </si>
  <si>
    <t>3.89</t>
  </si>
  <si>
    <t>Type CC + 15   -  Kelas 6 (Concrete Pile) 19 m 6 Pile</t>
  </si>
  <si>
    <t>3.90</t>
  </si>
  <si>
    <t>Type CC + 15   -  Kelas 6 (Concrete Pile) 20 m 6 Pile</t>
  </si>
  <si>
    <t>Pondasi Tower Transmisi 150 KV - Type DD</t>
  </si>
  <si>
    <t>4.1</t>
  </si>
  <si>
    <t>Type DD + 0   -  Kelas 6 (Concrete Pile) 6 m 6 Pile</t>
  </si>
  <si>
    <t>4.2</t>
  </si>
  <si>
    <t>Type DD + 0   -  Kelas 6 (Concrete Pile) 7 m 6 Pile</t>
  </si>
  <si>
    <t>4.3</t>
  </si>
  <si>
    <t>Type DD + 0   -  Kelas 6 (Concrete Pile) 8 m 6 Pile</t>
  </si>
  <si>
    <t>4.4</t>
  </si>
  <si>
    <t>Type DD + 0   -  Kelas 6 (Concrete Pile) 9 m 6 Pile</t>
  </si>
  <si>
    <t>4.5</t>
  </si>
  <si>
    <t>Type DD + 0   -  Kelas 6 (Concrete Pile) 10 m 6 Pile</t>
  </si>
  <si>
    <t>4.6</t>
  </si>
  <si>
    <t>Type DD + 0   -  Kelas 6 (Concrete Pile) 11 m 6 Pile</t>
  </si>
  <si>
    <t>4.7</t>
  </si>
  <si>
    <t>Type DD + 0   -  Kelas 6 (Concrete Pile) 12 m 6 Pile</t>
  </si>
  <si>
    <t>4.8</t>
  </si>
  <si>
    <t>Type DD + 0   -  Kelas 6 (Concrete Pile) 13 m 6 Pile</t>
  </si>
  <si>
    <t>4.9</t>
  </si>
  <si>
    <t>Type DD + 0   -  Kelas 6 (Concrete Pile) 14 m 6 Pile</t>
  </si>
  <si>
    <t>4.10</t>
  </si>
  <si>
    <t>Type DD + 0   -  Kelas 6 (Concrete Pile) 15 m 6 Pile</t>
  </si>
  <si>
    <t>4.11</t>
  </si>
  <si>
    <t>Type DD + 0   -  Kelas 6 (Concrete Pile) 16 m 6 Pile</t>
  </si>
  <si>
    <t>4.12</t>
  </si>
  <si>
    <t>Type DD + 0   -  Kelas 6 (Concrete Pile) 17 m 6 Pile</t>
  </si>
  <si>
    <t>4.13</t>
  </si>
  <si>
    <t>Type DD + 0   -  Kelas 6 (Concrete Pile) 18 m 6 Pile</t>
  </si>
  <si>
    <t>4.14</t>
  </si>
  <si>
    <t>Type DD + 0   -  Kelas 6 (Concrete Pile) 19 m 6 Pile</t>
  </si>
  <si>
    <t>4.15</t>
  </si>
  <si>
    <t>Type DD + 0   -  Kelas 6 (Concrete Pile) 20 m 6 Pile</t>
  </si>
  <si>
    <t>4.16</t>
  </si>
  <si>
    <t>Type DD + 3   -  Kelas 6 (Concrete Pile) 6 m 6 Pile</t>
  </si>
  <si>
    <t>4.17</t>
  </si>
  <si>
    <t>Type DD + 3   -  Kelas 6 (Concrete Pile) 7 m 6 Pile</t>
  </si>
  <si>
    <t>4.18</t>
  </si>
  <si>
    <t>Type DD + 3   -  Kelas 6 (Concrete Pile) 8 m 6 Pile</t>
  </si>
  <si>
    <t>4.19</t>
  </si>
  <si>
    <t>Type DD + 3   -  Kelas 6 (Concrete Pile) 9 m 6 Pile</t>
  </si>
  <si>
    <t>4.20</t>
  </si>
  <si>
    <t>Type DD + 3   -  Kelas 6 (Concrete Pile) 10 m 6 Pile</t>
  </si>
  <si>
    <t>4.21</t>
  </si>
  <si>
    <t>Type DD + 3   -  Kelas 6 (Concrete Pile) 11 m 6 Pile</t>
  </si>
  <si>
    <t>4.22</t>
  </si>
  <si>
    <t>Type DD + 3   -  Kelas 6 (Concrete Pile) 12 m 6 Pile</t>
  </si>
  <si>
    <t>4.23</t>
  </si>
  <si>
    <t>Type DD + 3   -  Kelas 6 (Concrete Pile) 13 m 6 Pile</t>
  </si>
  <si>
    <t>4.24</t>
  </si>
  <si>
    <t>Type DD + 3   -  Kelas 6 (Concrete Pile) 14 m 6 Pile</t>
  </si>
  <si>
    <t>4.25</t>
  </si>
  <si>
    <t>Type DD + 3   -  Kelas 6 (Concrete Pile) 15 m 6 Pile</t>
  </si>
  <si>
    <t>4.26</t>
  </si>
  <si>
    <t>Type DD + 3   -  Kelas 6 (Concrete Pile) 16 m 6 Pile</t>
  </si>
  <si>
    <t>4.27</t>
  </si>
  <si>
    <t>Type DD + 3   -  Kelas 6 (Concrete Pile) 17 m 6 Pile</t>
  </si>
  <si>
    <t>4.28</t>
  </si>
  <si>
    <t>Type DD + 3   -  Kelas 6 (Concrete Pile) 18 m 6 Pile</t>
  </si>
  <si>
    <t>4.29</t>
  </si>
  <si>
    <t>Type DD + 3   -  Kelas 6 (Concrete Pile) 19 m 6 Pile</t>
  </si>
  <si>
    <t>4.30</t>
  </si>
  <si>
    <t>Type DD + 3   -  Kelas 6 (Concrete Pile) 20 m 6 Pile</t>
  </si>
  <si>
    <t>4.31</t>
  </si>
  <si>
    <t>Type DD + 6   -  Kelas 6 (Concrete Pile) 6 m 6 Pile</t>
  </si>
  <si>
    <t>4.32</t>
  </si>
  <si>
    <t>Type DD + 6   -  Kelas 6 (Concrete Pile) 7 m 6 Pile</t>
  </si>
  <si>
    <t>4.33</t>
  </si>
  <si>
    <t>Type DD + 6   -  Kelas 6 (Concrete Pile) 8 m 6 Pile</t>
  </si>
  <si>
    <t>4.34</t>
  </si>
  <si>
    <t>Type DD + 6   -  Kelas 6 (Concrete Pile) 9 m 6 Pile</t>
  </si>
  <si>
    <t>4.35</t>
  </si>
  <si>
    <t>Type DD + 6   -  Kelas 6 (Concrete Pile) 10 m 6 Pile</t>
  </si>
  <si>
    <t>4.36</t>
  </si>
  <si>
    <t>Type DD + 6   -  Kelas 6 (Concrete Pile) 11 m 6 Pile</t>
  </si>
  <si>
    <t>4.37</t>
  </si>
  <si>
    <t>Type DD + 6   -  Kelas 6 (Concrete Pile) 12 m 6 Pile</t>
  </si>
  <si>
    <t>4.38</t>
  </si>
  <si>
    <t>Type DD + 6   -  Kelas 6 (Concrete Pile) 13 m 6 Pile</t>
  </si>
  <si>
    <t>4.39</t>
  </si>
  <si>
    <t>Type DD + 6   -  Kelas 6 (Concrete Pile) 14 m 6 Pile</t>
  </si>
  <si>
    <t>4.40</t>
  </si>
  <si>
    <t>Type DD + 6   -  Kelas 6 (Concrete Pile) 15 m 6 Pile</t>
  </si>
  <si>
    <t>4.41</t>
  </si>
  <si>
    <t>Type DD + 6   -  Kelas 6 (Concrete Pile) 16 m 6 Pile</t>
  </si>
  <si>
    <t>4.42</t>
  </si>
  <si>
    <t>Type DD + 6   -  Kelas 6 (Concrete Pile) 17 m 6 Pile</t>
  </si>
  <si>
    <t>4.43</t>
  </si>
  <si>
    <t>Type DD + 6   -  Kelas 6 (Concrete Pile) 18 m 6 Pile</t>
  </si>
  <si>
    <t>4.44</t>
  </si>
  <si>
    <t>Type DD + 6   -  Kelas 6 (Concrete Pile) 19 m 6 Pile</t>
  </si>
  <si>
    <t>4.45</t>
  </si>
  <si>
    <t>Type DD + 6   -  Kelas 6 (Concrete Pile) 20 m 6 Pile</t>
  </si>
  <si>
    <t>4.46</t>
  </si>
  <si>
    <t>Type DD + 9   -  Kelas 6 (Concrete Pile) 6 m 6 Pile</t>
  </si>
  <si>
    <t>4.47</t>
  </si>
  <si>
    <t>Type DD + 9   -  Kelas 6 (Concrete Pile) 7 m 6 Pile</t>
  </si>
  <si>
    <t>4.48</t>
  </si>
  <si>
    <t>Type DD + 9   -  Kelas 6 (Concrete Pile) 8 m 6 Pile</t>
  </si>
  <si>
    <t>4.49</t>
  </si>
  <si>
    <t>Type DD + 9   -  Kelas 6 (Concrete Pile) 9 m 6 Pile</t>
  </si>
  <si>
    <t>4.50</t>
  </si>
  <si>
    <t>Type DD + 9   -  Kelas 6 (Concrete Pile) 10 m 6 Pile</t>
  </si>
  <si>
    <t>4.51</t>
  </si>
  <si>
    <t>Type DD + 9   -  Kelas 6 (Concrete Pile) 11 m 6 Pile</t>
  </si>
  <si>
    <t>4.52</t>
  </si>
  <si>
    <t>Type DD + 9   -  Kelas 6 (Concrete Pile) 12 m 6 Pile</t>
  </si>
  <si>
    <t>4.53</t>
  </si>
  <si>
    <t>Type DD + 9   -  Kelas 6 (Concrete Pile) 13 m 6 Pile</t>
  </si>
  <si>
    <t>4.54</t>
  </si>
  <si>
    <t>Type DD + 9   -  Kelas 6 (Concrete Pile) 14 m 6 Pile</t>
  </si>
  <si>
    <t>4.55</t>
  </si>
  <si>
    <t>Type DD + 9   -  Kelas 6 (Concrete Pile) 15 m 6 Pile</t>
  </si>
  <si>
    <t>4.56</t>
  </si>
  <si>
    <t>Type DD + 9   -  Kelas 6 (Concrete Pile) 16 m 6 Pile</t>
  </si>
  <si>
    <t>4.57</t>
  </si>
  <si>
    <t>Type DD + 9   -  Kelas 6 (Concrete Pile) 17 m 6 Pile</t>
  </si>
  <si>
    <t>4.58</t>
  </si>
  <si>
    <t>Type DD + 9   -  Kelas 6 (Concrete Pile) 18 m 6 Pile</t>
  </si>
  <si>
    <t>4.59</t>
  </si>
  <si>
    <t>Type DD + 9   -  Kelas 6 (Concrete Pile) 19 m 6 Pile</t>
  </si>
  <si>
    <t>4.60</t>
  </si>
  <si>
    <t>Type DD + 9   -  Kelas 6 (Concrete Pile) 20 m 6 Pile</t>
  </si>
  <si>
    <t>4.61</t>
  </si>
  <si>
    <t>Type DD + 12   -  Kelas 6 (Concrete Pile) 6 m 6 Pile</t>
  </si>
  <si>
    <t>4.62</t>
  </si>
  <si>
    <t>Type DD + 12   -  Kelas 6 (Concrete Pile) 7 m 6 Pile</t>
  </si>
  <si>
    <t>4.63</t>
  </si>
  <si>
    <t>Type DD + 12   -  Kelas 6 (Concrete Pile) 8 m 6 Pile</t>
  </si>
  <si>
    <t>4.64</t>
  </si>
  <si>
    <t>Type DD + 12   -  Kelas 6 (Concrete Pile) 9 m 6 Pile</t>
  </si>
  <si>
    <t>4.65</t>
  </si>
  <si>
    <t>Type DD + 12   -  Kelas 6 (Concrete Pile) 10 m 6 Pile</t>
  </si>
  <si>
    <t>4.66</t>
  </si>
  <si>
    <t>Type DD + 12   -  Kelas 6 (Concrete Pile) 11 m 6 Pile</t>
  </si>
  <si>
    <t>4.67</t>
  </si>
  <si>
    <t>Type DD + 12   -  Kelas 6 (Concrete Pile) 12 m 6 Pile</t>
  </si>
  <si>
    <t>4.68</t>
  </si>
  <si>
    <t>Type DD + 12   -  Kelas 6 (Concrete Pile) 13 m 6 Pile</t>
  </si>
  <si>
    <t>4.69</t>
  </si>
  <si>
    <t>Type DD + 12   -  Kelas 6 (Concrete Pile) 14 m 6 Pile</t>
  </si>
  <si>
    <t>4.70</t>
  </si>
  <si>
    <t>Type DD + 12   -  Kelas 6 (Concrete Pile) 15 m 6 Pile</t>
  </si>
  <si>
    <t>4.71</t>
  </si>
  <si>
    <t>Type DD + 12   -  Kelas 6 (Concrete Pile) 16 m 6 Pile</t>
  </si>
  <si>
    <t>4.72</t>
  </si>
  <si>
    <t>Type DD + 12   -  Kelas 6 (Concrete Pile) 17 m 6 Pile</t>
  </si>
  <si>
    <t>4.73</t>
  </si>
  <si>
    <t>Type DD + 12   -  Kelas 6 (Concrete Pile) 18 m 6 Pile</t>
  </si>
  <si>
    <t>4.74</t>
  </si>
  <si>
    <t>Type DD + 12   -  Kelas 6 (Concrete Pile) 19 m 6 Pile</t>
  </si>
  <si>
    <t>4.75</t>
  </si>
  <si>
    <t>Type DD + 12   -  Kelas 6 (Concrete Pile) 20 m 6 Pile</t>
  </si>
  <si>
    <t>4.76</t>
  </si>
  <si>
    <t>Type DD + 15   -  Kelas 6 (Concrete Pile) 6 m 6 Pile</t>
  </si>
  <si>
    <t>4.77</t>
  </si>
  <si>
    <t>Type DD + 15   -  Kelas 6 (Concrete Pile) 7 m 6 Pile</t>
  </si>
  <si>
    <t>4.78</t>
  </si>
  <si>
    <t>Type DD + 15   -  Kelas 6 (Concrete Pile) 8 m 6 Pile</t>
  </si>
  <si>
    <t>4.79</t>
  </si>
  <si>
    <t>Type DD + 15   -  Kelas 6 (Concrete Pile) 9 m 6 Pile</t>
  </si>
  <si>
    <t>4.80</t>
  </si>
  <si>
    <t>Type DD + 15   -  Kelas 6 (Concrete Pile) 10 m 6 Pile</t>
  </si>
  <si>
    <t>4.81</t>
  </si>
  <si>
    <t>Type DD + 15   -  Kelas 6 (Concrete Pile) 11 m 6 Pile</t>
  </si>
  <si>
    <t>4.82</t>
  </si>
  <si>
    <t>Type DD + 15   -  Kelas 6 (Concrete Pile) 12 m 6 Pile</t>
  </si>
  <si>
    <t>4.83</t>
  </si>
  <si>
    <t>Type DD + 15   -  Kelas 6 (Concrete Pile) 13 m 6 Pile</t>
  </si>
  <si>
    <t>4.84</t>
  </si>
  <si>
    <t>Type DD + 15   -  Kelas 6 (Concrete Pile) 14 m 6 Pile</t>
  </si>
  <si>
    <t>4.85</t>
  </si>
  <si>
    <t>Type DD + 15   -  Kelas 6 (Concrete Pile) 15 m 6 Pile</t>
  </si>
  <si>
    <t>4.86</t>
  </si>
  <si>
    <t>Type DD + 15   -  Kelas 6 (Concrete Pile) 16 m 6 Pile</t>
  </si>
  <si>
    <t>4.87</t>
  </si>
  <si>
    <t>Type DD + 15   -  Kelas 6 (Concrete Pile) 17 m 6 Pile</t>
  </si>
  <si>
    <t>4.88</t>
  </si>
  <si>
    <t>Type DD + 15   -  Kelas 6 (Concrete Pile) 18 m 6 Pile</t>
  </si>
  <si>
    <t>4.89</t>
  </si>
  <si>
    <t>Type DD + 15   -  Kelas 6 (Concrete Pile) 19 m 6 Pile</t>
  </si>
  <si>
    <t>4.90</t>
  </si>
  <si>
    <t>Type DD + 15   -  Kelas 6 (Concrete Pile) 20 m 6 Pile</t>
  </si>
  <si>
    <t>Pondasi Tower Transmisi 150 KV - Type DDR</t>
  </si>
  <si>
    <t>5.1</t>
  </si>
  <si>
    <t>Type DDR + 0   -  Kelas 6 (Concrete Pile) 6 m 6 Pile</t>
  </si>
  <si>
    <t>5.2</t>
  </si>
  <si>
    <t>Type DDR + 0   -  Kelas 6 (Concrete Pile) 7 m 6 Pile</t>
  </si>
  <si>
    <t>5.3</t>
  </si>
  <si>
    <t>Type DDR + 0   -  Kelas 6 (Concrete Pile) 8 m 6 Pile</t>
  </si>
  <si>
    <t>5.4</t>
  </si>
  <si>
    <t>Type DDR + 0   -  Kelas 6 (Concrete Pile) 9 m 6 Pile</t>
  </si>
  <si>
    <t>5.5</t>
  </si>
  <si>
    <t>Type DDR + 0   -  Kelas 6 (Concrete Pile) 10 m 6 Pile</t>
  </si>
  <si>
    <t>5.6</t>
  </si>
  <si>
    <t>Type DDR + 0   -  Kelas 6 (Concrete Pile) 11 m 6 Pile</t>
  </si>
  <si>
    <t>5.7</t>
  </si>
  <si>
    <t>Type DDR + 0   -  Kelas 6 (Concrete Pile) 12 m 6 Pile</t>
  </si>
  <si>
    <t>5.8</t>
  </si>
  <si>
    <t>Type DDR + 0   -  Kelas 6 (Concrete Pile) 13 m 6 Pile</t>
  </si>
  <si>
    <t>5.9</t>
  </si>
  <si>
    <t>Type DDR + 0   -  Kelas 6 (Concrete Pile) 14 m 6 Pile</t>
  </si>
  <si>
    <t>5.10</t>
  </si>
  <si>
    <t>Type DDR + 0   -  Kelas 6 (Concrete Pile) 15 m 6 Pile</t>
  </si>
  <si>
    <t>5.11</t>
  </si>
  <si>
    <t>Type DDR + 0   -  Kelas 6 (Concrete Pile) 16 m 6 Pile</t>
  </si>
  <si>
    <t>5.12</t>
  </si>
  <si>
    <t>Type DDR + 0   -  Kelas 6 (Concrete Pile) 17 m 6 Pile</t>
  </si>
  <si>
    <t>5.13</t>
  </si>
  <si>
    <t>Type DDR + 0   -  Kelas 6 (Concrete Pile) 18 m 6 Pile</t>
  </si>
  <si>
    <t>5.14</t>
  </si>
  <si>
    <t>Type DDR + 0   -  Kelas 6 (Concrete Pile) 19 m 6 Pile</t>
  </si>
  <si>
    <t>5.15</t>
  </si>
  <si>
    <t>Type DDR + 0   -  Kelas 6 (Concrete Pile) 20 m 6 Pile</t>
  </si>
  <si>
    <t>5.16</t>
  </si>
  <si>
    <t>Type DDR + 3   -  Kelas 6 (Concrete Pile) 6 m 6 Pile</t>
  </si>
  <si>
    <t>5.17</t>
  </si>
  <si>
    <t>Type DDR + 3   -  Kelas 6 (Concrete Pile) 7 m 6 Pile</t>
  </si>
  <si>
    <t>5.18</t>
  </si>
  <si>
    <t>Type DDR + 3   -  Kelas 6 (Concrete Pile) 8 m 6 Pile</t>
  </si>
  <si>
    <t>5.19</t>
  </si>
  <si>
    <t>Type DDR + 3   -  Kelas 6 (Concrete Pile) 9 m 6 Pile</t>
  </si>
  <si>
    <t>5.20</t>
  </si>
  <si>
    <t>Type DDR + 3   -  Kelas 6 (Concrete Pile) 10 m 6 Pile</t>
  </si>
  <si>
    <t>5.21</t>
  </si>
  <si>
    <t>Type DDR + 3   -  Kelas 6 (Concrete Pile) 11 m 6 Pile</t>
  </si>
  <si>
    <t>5.22</t>
  </si>
  <si>
    <t>Type DDR + 3   -  Kelas 6 (Concrete Pile) 12 m 6 Pile</t>
  </si>
  <si>
    <t>5.23</t>
  </si>
  <si>
    <t>Type DDR + 3   -  Kelas 6 (Concrete Pile) 13 m 6 Pile</t>
  </si>
  <si>
    <t>5.24</t>
  </si>
  <si>
    <t>Type DDR + 3   -  Kelas 6 (Concrete Pile) 14 m 6 Pile</t>
  </si>
  <si>
    <t>5.25</t>
  </si>
  <si>
    <t>Type DDR + 3   -  Kelas 6 (Concrete Pile) 15 m 6 Pile</t>
  </si>
  <si>
    <t>5.26</t>
  </si>
  <si>
    <t>Type DDR + 3   -  Kelas 6 (Concrete Pile) 16 m 6 Pile</t>
  </si>
  <si>
    <t>5.27</t>
  </si>
  <si>
    <t>Type DDR + 3   -  Kelas 6 (Concrete Pile) 17 m 6 Pile</t>
  </si>
  <si>
    <t>5.28</t>
  </si>
  <si>
    <t>Type DDR + 3   -  Kelas 6 (Concrete Pile) 18 m 6 Pile</t>
  </si>
  <si>
    <t>5.29</t>
  </si>
  <si>
    <t>Type DDR + 3   -  Kelas 6 (Concrete Pile) 19 m 6 Pile</t>
  </si>
  <si>
    <t>5.30</t>
  </si>
  <si>
    <t>Type DDR + 3   -  Kelas 6 (Concrete Pile) 20 m 6 Pile</t>
  </si>
  <si>
    <t>5.31</t>
  </si>
  <si>
    <t>Type DDR + 6   -  Kelas 6 (Concrete Pile) 6 m 6 Pile</t>
  </si>
  <si>
    <t>5.32</t>
  </si>
  <si>
    <t>Type DDR + 6   -  Kelas 6 (Concrete Pile) 7 m 6 Pile</t>
  </si>
  <si>
    <t>5.33</t>
  </si>
  <si>
    <t>Type DDR + 6   -  Kelas 6 (Concrete Pile) 8 m 6 Pile</t>
  </si>
  <si>
    <t>5.34</t>
  </si>
  <si>
    <t>Type DDR + 6   -  Kelas 6 (Concrete Pile) 9 m 6 Pile</t>
  </si>
  <si>
    <t>5.35</t>
  </si>
  <si>
    <t>Type DDR + 6   -  Kelas 6 (Concrete Pile) 10 m 6 Pile</t>
  </si>
  <si>
    <t>5.36</t>
  </si>
  <si>
    <t>Type DDR + 6   -  Kelas 6 (Concrete Pile) 11 m 6 Pile</t>
  </si>
  <si>
    <t>5.37</t>
  </si>
  <si>
    <t>Type DDR + 6   -  Kelas 6 (Concrete Pile) 12 m 6 Pile</t>
  </si>
  <si>
    <t>5.38</t>
  </si>
  <si>
    <t>Type DDR + 6   -  Kelas 6 (Concrete Pile) 13 m 6 Pile</t>
  </si>
  <si>
    <t>5.39</t>
  </si>
  <si>
    <t>Type DDR + 6   -  Kelas 6 (Concrete Pile) 14 m 6 Pile</t>
  </si>
  <si>
    <t>5.40</t>
  </si>
  <si>
    <t>Type DDR + 6   -  Kelas 6 (Concrete Pile) 15 m 6 Pile</t>
  </si>
  <si>
    <t>5.41</t>
  </si>
  <si>
    <t>Type DDR + 6   -  Kelas 6 (Concrete Pile) 16 m 6 Pile</t>
  </si>
  <si>
    <t>5.42</t>
  </si>
  <si>
    <t>Type DDR + 6   -  Kelas 6 (Concrete Pile) 17 m 6 Pile</t>
  </si>
  <si>
    <t>5.43</t>
  </si>
  <si>
    <t>Type DDR + 6   -  Kelas 6 (Concrete Pile) 18 m 6 Pile</t>
  </si>
  <si>
    <t>5.44</t>
  </si>
  <si>
    <t>Type DDR + 6   -  Kelas 6 (Concrete Pile) 19 m 6 Pile</t>
  </si>
  <si>
    <t>5.45</t>
  </si>
  <si>
    <t>Type DDR + 6   -  Kelas 6 (Concrete Pile) 20 m 6 Pile</t>
  </si>
  <si>
    <t>5.46</t>
  </si>
  <si>
    <t>Type DDR + 9   -  Kelas 6 (Concrete Pile) 6 m 6 Pile</t>
  </si>
  <si>
    <t>5.47</t>
  </si>
  <si>
    <t>Type DDR + 9   -  Kelas 6 (Concrete Pile) 7 m 6 Pile</t>
  </si>
  <si>
    <t>5.48</t>
  </si>
  <si>
    <t>Type DDR + 9   -  Kelas 6 (Concrete Pile) 8 m 6 Pile</t>
  </si>
  <si>
    <t>5.49</t>
  </si>
  <si>
    <t>Type DDR + 9   -  Kelas 6 (Concrete Pile) 9 m 6 Pile</t>
  </si>
  <si>
    <t>5.50</t>
  </si>
  <si>
    <t>Type DDR + 9   -  Kelas 6 (Concrete Pile) 10 m 6 Pile</t>
  </si>
  <si>
    <t>5.51</t>
  </si>
  <si>
    <t>Type DDR + 9   -  Kelas 6 (Concrete Pile) 11 m 6 Pile</t>
  </si>
  <si>
    <t>5.52</t>
  </si>
  <si>
    <t>Type DDR + 9   -  Kelas 6 (Concrete Pile) 12 m 6 Pile</t>
  </si>
  <si>
    <t>5.53</t>
  </si>
  <si>
    <t>Type DDR + 9   -  Kelas 6 (Concrete Pile) 13 m 6 Pile</t>
  </si>
  <si>
    <t>5.54</t>
  </si>
  <si>
    <t>Type DDR + 9   -  Kelas 6 (Concrete Pile) 14 m 6 Pile</t>
  </si>
  <si>
    <t>5.55</t>
  </si>
  <si>
    <t>Type DDR + 9   -  Kelas 6 (Concrete Pile) 15 m 6 Pile</t>
  </si>
  <si>
    <t>5.56</t>
  </si>
  <si>
    <t>Type DDR + 9   -  Kelas 6 (Concrete Pile) 16 m 6 Pile</t>
  </si>
  <si>
    <t>5.57</t>
  </si>
  <si>
    <t>Type DDR + 9   -  Kelas 6 (Concrete Pile) 17 m 6 Pile</t>
  </si>
  <si>
    <t>5.58</t>
  </si>
  <si>
    <t>Type DDR + 9   -  Kelas 6 (Concrete Pile) 18 m 6 Pile</t>
  </si>
  <si>
    <t>5.59</t>
  </si>
  <si>
    <t>Type DDR + 9   -  Kelas 6 (Concrete Pile) 19 m 6 Pile</t>
  </si>
  <si>
    <t>5.60</t>
  </si>
  <si>
    <t>Type DDR + 9   -  Kelas 6 (Concrete Pile) 20 m 6 Pile</t>
  </si>
  <si>
    <t>5.61</t>
  </si>
  <si>
    <t>Type DDR + 12   -  Kelas 6 (Concrete Pile) 6 m 6 Pile</t>
  </si>
  <si>
    <t>5.62</t>
  </si>
  <si>
    <t>Type DDR + 12   -  Kelas 6 (Concrete Pile) 7 m 6 Pile</t>
  </si>
  <si>
    <t>5.63</t>
  </si>
  <si>
    <t>Type DDR + 12   -  Kelas 6 (Concrete Pile) 8 m 6 Pile</t>
  </si>
  <si>
    <t>5.64</t>
  </si>
  <si>
    <t>Type DDR + 12   -  Kelas 6 (Concrete Pile) 9 m 6 Pile</t>
  </si>
  <si>
    <t>5.65</t>
  </si>
  <si>
    <t>Type DDR + 12   -  Kelas 6 (Concrete Pile) 10 m 6 Pile</t>
  </si>
  <si>
    <t>5.66</t>
  </si>
  <si>
    <t>Type DDR + 12   -  Kelas 6 (Concrete Pile) 11 m 6 Pile</t>
  </si>
  <si>
    <t>5.67</t>
  </si>
  <si>
    <t>Type DDR + 12   -  Kelas 6 (Concrete Pile) 12 m 6 Pile</t>
  </si>
  <si>
    <t>5.68</t>
  </si>
  <si>
    <t>Type DDR + 12   -  Kelas 6 (Concrete Pile) 13 m 6 Pile</t>
  </si>
  <si>
    <t>5.69</t>
  </si>
  <si>
    <t>Type DDR + 12   -  Kelas 6 (Concrete Pile) 14 m 6 Pile</t>
  </si>
  <si>
    <t>5.70</t>
  </si>
  <si>
    <t>Type DDR + 12   -  Kelas 6 (Concrete Pile) 15 m 6 Pile</t>
  </si>
  <si>
    <t>5.71</t>
  </si>
  <si>
    <t>Type DDR + 12   -  Kelas 6 (Concrete Pile) 16 m 6 Pile</t>
  </si>
  <si>
    <t>5.72</t>
  </si>
  <si>
    <t>Type DDR + 12   -  Kelas 6 (Concrete Pile) 17 m 6 Pile</t>
  </si>
  <si>
    <t>5.73</t>
  </si>
  <si>
    <t>Type DDR + 12   -  Kelas 6 (Concrete Pile) 18 m 6 Pile</t>
  </si>
  <si>
    <t>5.74</t>
  </si>
  <si>
    <t>Type DDR + 12   -  Kelas 6 (Concrete Pile) 19 m 6 Pile</t>
  </si>
  <si>
    <t>5.75</t>
  </si>
  <si>
    <t>Type DDR + 12   -  Kelas 6 (Concrete Pile) 20 m 6 Pile</t>
  </si>
  <si>
    <t>5.76</t>
  </si>
  <si>
    <t>Type DDR + 15   -  Kelas 6 (Concrete Pile) 6 m 6 Pile</t>
  </si>
  <si>
    <t>5.77</t>
  </si>
  <si>
    <t>Type DDR + 15   -  Kelas 6 (Concrete Pile) 7 m 6 Pile</t>
  </si>
  <si>
    <t>5.78</t>
  </si>
  <si>
    <t>Type DDR + 15   -  Kelas 6 (Concrete Pile) 8 m 6 Pile</t>
  </si>
  <si>
    <t>5.79</t>
  </si>
  <si>
    <t>Type DDR + 15   -  Kelas 6 (Concrete Pile) 9 m 6 Pile</t>
  </si>
  <si>
    <t>5.80</t>
  </si>
  <si>
    <t>Type DDR + 15   -  Kelas 6 (Concrete Pile) 10 m 6 Pile</t>
  </si>
  <si>
    <t>5.81</t>
  </si>
  <si>
    <t>Type DDR + 15   -  Kelas 6 (Concrete Pile) 11 m 6 Pile</t>
  </si>
  <si>
    <t>5.82</t>
  </si>
  <si>
    <t>Type DDR + 15   -  Kelas 6 (Concrete Pile) 12 m 6 Pile</t>
  </si>
  <si>
    <t>5.83</t>
  </si>
  <si>
    <t>Type DDR + 15   -  Kelas 6 (Concrete Pile) 13 m 6 Pile</t>
  </si>
  <si>
    <t>5.84</t>
  </si>
  <si>
    <t>Type DDR + 15   -  Kelas 6 (Concrete Pile) 14 m 6 Pile</t>
  </si>
  <si>
    <t>5.85</t>
  </si>
  <si>
    <t>Type DDR + 15   -  Kelas 6 (Concrete Pile) 15 m 6 Pile</t>
  </si>
  <si>
    <t>5.86</t>
  </si>
  <si>
    <t>Type DDR + 15   -  Kelas 6 (Concrete Pile) 16 m 6 Pile</t>
  </si>
  <si>
    <t>5.87</t>
  </si>
  <si>
    <t>Type DDR + 15   -  Kelas 6 (Concrete Pile) 17 m 6 Pile</t>
  </si>
  <si>
    <t>5.88</t>
  </si>
  <si>
    <t>Type DDR + 15   -  Kelas 6 (Concrete Pile) 18 m 6 Pile</t>
  </si>
  <si>
    <t>5.89</t>
  </si>
  <si>
    <t>Type DDR + 15   -  Kelas 6 (Concrete Pile) 19 m 6 Pile</t>
  </si>
  <si>
    <t>5.90</t>
  </si>
  <si>
    <t>Type DDR + 15   -  Kelas 6 (Concrete Pile) 20 m 6 Pile</t>
  </si>
  <si>
    <t>SUB - TOTAL D. III PEKERJAAN PONDASI</t>
  </si>
  <si>
    <t>SUB - TOTAL D PEKERJAAN PONDASI TOWER</t>
  </si>
  <si>
    <t>PONDASI:  Class 6 - Concrete Pile 6 m 4 pile</t>
  </si>
  <si>
    <t>PONDASI:  Class 6 - Concrete Pile 6 m 4 Pile</t>
  </si>
  <si>
    <t xml:space="preserve">TOTAL PONDASI CLASS 6 (6 m, 4 PILE) </t>
  </si>
  <si>
    <t>TOTAL PONDASI CLASS 6 (6 m, 4 PILE)</t>
  </si>
  <si>
    <t>PONDASI:  Class 6 - Concrete Pile 7 m 4 pile</t>
  </si>
  <si>
    <t>PONDASI:  Class 6 - Concrete Pile 7 m 4 Pile</t>
  </si>
  <si>
    <t>TOTAL PONDASI CLASS 6 (7 m, 4 PILE)</t>
  </si>
  <si>
    <t>PONDASI:  Class 6 - Concrete Pile 8 m 4 pile</t>
  </si>
  <si>
    <t>PONDASI:  Class 6 - Concrete Pile 8 m 4 Pile</t>
  </si>
  <si>
    <t>TOTAL PONDASI CLASS 6 (8 m, 4 PILE)</t>
  </si>
  <si>
    <t>PONDASI:  Class 6 - Concrete Pile 9 m 4 pile</t>
  </si>
  <si>
    <t>PONDASI:  Class 6 - Concrete Pile 9 m 4 Pile</t>
  </si>
  <si>
    <t>TOTAL PONDASI CLASS 6 (9 m, 4 PILE)</t>
  </si>
  <si>
    <t>PONDASI:  Class 6 - Concrete Pile 10 m 4 pile</t>
  </si>
  <si>
    <t>PONDASI:  Class 6 - Concrete Pile 10 m 4 Pile</t>
  </si>
  <si>
    <t>TOTAL PONDASI CLASS 6 (10 m, 4 PILE)</t>
  </si>
  <si>
    <t>PONDASI:  Class 6 - Concrete Pile 11 m 4 pile</t>
  </si>
  <si>
    <t>PONDASI:  Class 6 - Concrete Pile 11 m 4 Pile</t>
  </si>
  <si>
    <t>TOTAL PONDASI CLASS 6 (11 m, 4 PILE)</t>
  </si>
  <si>
    <t>PONDASI:  Class 6 - Concrete Pile 12 m 4 pile</t>
  </si>
  <si>
    <t>PONDASI:  Class 6 - Concrete Pile 12 m 4 Pile</t>
  </si>
  <si>
    <t>TOTAL PONDASI CLASS 6 (12 m, 4 PILE)</t>
  </si>
  <si>
    <t>PONDASI:  Class 6 - Concrete Pile 13 m 4 pile</t>
  </si>
  <si>
    <t>PONDASI:  Class 6 - Concrete Pile 13 m 4 Pile</t>
  </si>
  <si>
    <t>TOTAL PONDASI CLASS 6 (13 m, 4 PILE)</t>
  </si>
  <si>
    <t>PONDASI:  Class 6 - Concrete Pile 14 m 4 pile</t>
  </si>
  <si>
    <t>PONDASI:  Class 6 - Concrete Pile 14 m 4 Pile</t>
  </si>
  <si>
    <t>TOTAL PONDASI CLASS 6 (14 m, 4 PILE)</t>
  </si>
  <si>
    <t>PONDASI:  Class 6 - Concrete Pile 15 m 4 pile</t>
  </si>
  <si>
    <t>PONDASI:  Class 6 - Concrete Pile 15 m 4 Pile</t>
  </si>
  <si>
    <t>TOTAL PONDASI CLASS 6 (15 m, 4 PILE)</t>
  </si>
  <si>
    <t>PONDASI:  Class 6 - Concrete Pile 16 m 4 pile</t>
  </si>
  <si>
    <t>PONDASI:  Class 6 - Concrete Pile 16 m 4 Pile</t>
  </si>
  <si>
    <t>TOTAL PONDASI CLASS 6 (16 m, 4 PILE)</t>
  </si>
  <si>
    <t>PONDASI:  Class 6 - Concrete Pile 17 m 4 pile</t>
  </si>
  <si>
    <t>PONDASI:  Class 6 - Concrete Pile 17 m 4 Pile</t>
  </si>
  <si>
    <t>TOTAL PONDASI CLASS 6 (17 m, 4 PILE)</t>
  </si>
  <si>
    <t>PONDASI:  Class 6 - Concrete Pile 18 m 4 pile</t>
  </si>
  <si>
    <t>PONDASI:  Class 6 - Concrete Pile 18 m 4 Pile</t>
  </si>
  <si>
    <t>TOTAL PONDASI CLASS 6 (18 m, 4 PILE)</t>
  </si>
  <si>
    <t>PONDASI:  Class 6 - Concrete Pile 19 m 4 pile</t>
  </si>
  <si>
    <t>PONDASI:  Class 6 - Concrete Pile 19 m 4 Pile</t>
  </si>
  <si>
    <t>TOTAL PONDASI CLASS 6 (19 m, 4 PILE)</t>
  </si>
  <si>
    <t>PONDASI:  Class 6 - Concrete Pile 20 m 4 pile</t>
  </si>
  <si>
    <t>PONDASI:  Class 6 - Concrete Pile 20 m 4 Pile</t>
  </si>
  <si>
    <t>TOTAL PONDASI CLASS 6 (20 m, 4 PILE)</t>
  </si>
  <si>
    <t>JUMLAH HARGA</t>
  </si>
  <si>
    <t>6 = 4 X 5</t>
  </si>
  <si>
    <t>PEKERJAAN PONDASI TOWER</t>
  </si>
  <si>
    <t>Pekerjaan Persiapan</t>
  </si>
  <si>
    <t>SUB - TOTAL D.I PEKERJAAN PERSIAPAN</t>
  </si>
  <si>
    <t>Pekerjaan Pondasi (4 Pile)</t>
  </si>
  <si>
    <t>Type AA + 0   -  Kelas 1 (Concrete Pad dan Chimney)</t>
  </si>
  <si>
    <t>Type AA + 0   -  Kelas 2 (Concrete Pad dan Chimney)</t>
  </si>
  <si>
    <t>Type AA + 0   -  Kelas 2W (Concrete Pad dan Chimney)</t>
  </si>
  <si>
    <t>Type AA + 0   -  Kelas 3 (Concrete Pad dan Chimney)</t>
  </si>
  <si>
    <t>Type AA + 0   -  Kelas 3W (Concrete Pad dan Chimney)</t>
  </si>
  <si>
    <t>Type AA + 0   -  Kelas 6 (Concrete Pile) 6 m 4 Pile</t>
  </si>
  <si>
    <t>Type AA + 0   -  Kelas 6 (Concrete Pile) 7 m 4 Pile</t>
  </si>
  <si>
    <t>Type AA + 0   -  Kelas 6 (Concrete Pile) 8 m 4 Pile</t>
  </si>
  <si>
    <t>Type AA + 0   -  Kelas 6 (Concrete Pile) 9 m 4 Pile</t>
  </si>
  <si>
    <t>Type AA + 0   -  Kelas 6 (Concrete Pile) 10 m 4 Pile</t>
  </si>
  <si>
    <t>Type AA + 0   -  Kelas 6 (Concrete Pile) 11 m 4 Pile</t>
  </si>
  <si>
    <t>Type AA + 0   -  Kelas 6 (Concrete Pile) 12 m 4 Pile</t>
  </si>
  <si>
    <t>Type AA + 0   -  Kelas 6 (Concrete Pile) 13 m 4 Pile</t>
  </si>
  <si>
    <t>Type AA + 0   -  Kelas 6 (Concrete Pile) 14 m 4 Pile</t>
  </si>
  <si>
    <t>Type AA + 0   -  Kelas 6 (Concrete Pile) 15 m 4 Pile</t>
  </si>
  <si>
    <t>Type AA + 0   -  Kelas 6 (Concrete Pile) 16 m 4 Pile</t>
  </si>
  <si>
    <t>Type AA + 0   -  Kelas 6 (Concrete Pile) 17 m 4 Pile</t>
  </si>
  <si>
    <t>Type AA + 0   -  Kelas 6 (Concrete Pile) 18 m 4 Pile</t>
  </si>
  <si>
    <t>Type AA + 0   -  Kelas 6 (Concrete Pile) 19 m 4 Pile</t>
  </si>
  <si>
    <t>Type AA + 0   -  Kelas 6 (Concrete Pile) 20 m 4 Pile</t>
  </si>
  <si>
    <t>Type AA + 3   -  Kelas 1 (Concrete Pad dan Chimney)</t>
  </si>
  <si>
    <t>Type AA + 3   -  Kelas 2 (Concrete Pad dan Chimney)</t>
  </si>
  <si>
    <t>Type AA + 3   -  Kelas 2W (Concrete Pad dan Chimney)</t>
  </si>
  <si>
    <t>Type AA + 3   -  Kelas 3 (Concrete Pad dan Chimney)</t>
  </si>
  <si>
    <t>Type AA + 3   -  Kelas 3W (Concrete Pad dan Chimney)</t>
  </si>
  <si>
    <t>Type AA + 3   -  Kelas 6 (Concrete Pile) 6 m 4 Pile</t>
  </si>
  <si>
    <t>Type AA + 3   -  Kelas 6 (Concrete Pile) 7 m 4 Pile</t>
  </si>
  <si>
    <t>Type AA + 3   -  Kelas 6 (Concrete Pile) 8 m 4 Pile</t>
  </si>
  <si>
    <t>Type AA + 3   -  Kelas 6 (Concrete Pile) 9 m 4 Pile</t>
  </si>
  <si>
    <t>Type AA + 3   -  Kelas 6 (Concrete Pile) 10 m 4 Pile</t>
  </si>
  <si>
    <t>Type AA + 3   -  Kelas 6 (Concrete Pile) 11 m 4 Pile</t>
  </si>
  <si>
    <t>Type AA + 3   -  Kelas 6 (Concrete Pile) 12 m 4 Pile</t>
  </si>
  <si>
    <t>Type AA + 3   -  Kelas 6 (Concrete Pile) 13 m 4 Pile</t>
  </si>
  <si>
    <t>Type AA + 3   -  Kelas 6 (Concrete Pile) 14 m 4 Pile</t>
  </si>
  <si>
    <t>Type AA + 3   -  Kelas 6 (Concrete Pile) 15 m 4 Pile</t>
  </si>
  <si>
    <t>Type AA + 3   -  Kelas 6 (Concrete Pile) 16 m 4 Pile</t>
  </si>
  <si>
    <t>Type AA + 3   -  Kelas 6 (Concrete Pile) 17 m 4 Pile</t>
  </si>
  <si>
    <t>Type AA + 3   -  Kelas 6 (Concrete Pile) 18 m 4 Pile</t>
  </si>
  <si>
    <t>Type AA + 3   -  Kelas 6 (Concrete Pile) 19 m 4 Pile</t>
  </si>
  <si>
    <t>Type AA + 3   -  Kelas 6 (Concrete Pile) 20 m 4 Pile</t>
  </si>
  <si>
    <t>Type AA + 6   -  Kelas 1 (Concrete Pad dan Chimney)</t>
  </si>
  <si>
    <t>Type AA + 6   -  Kelas 2 (Concrete Pad dan Chimney)</t>
  </si>
  <si>
    <t>Type AA + 6   -  Kelas 2W (Concrete Pad dan Chimney)</t>
  </si>
  <si>
    <t>Type AA + 6   -  Kelas 3 (Concrete Pad dan Chimney)</t>
  </si>
  <si>
    <t>Type AA + 6   -  Kelas 3W (Concrete Pad dan Chimney)</t>
  </si>
  <si>
    <t>Type AA + 6   -  Kelas 6 (Concrete Pile) 6 m 4 Pile</t>
  </si>
  <si>
    <t>Type AA + 6   -  Kelas 6 (Concrete Pile) 7 m 4 Pile</t>
  </si>
  <si>
    <t>Type AA + 6   -  Kelas 6 (Concrete Pile) 8 m 4 Pile</t>
  </si>
  <si>
    <t>Type AA + 6   -  Kelas 6 (Concrete Pile) 9 m 4 Pile</t>
  </si>
  <si>
    <t>Type AA + 6   -  Kelas 6 (Concrete Pile) 10 m 4 Pile</t>
  </si>
  <si>
    <t>Type AA + 6   -  Kelas 6 (Concrete Pile) 11 m 4 Pile</t>
  </si>
  <si>
    <t>Type AA + 6   -  Kelas 6 (Concrete Pile) 12 m 4 Pile</t>
  </si>
  <si>
    <t>Type AA + 6   -  Kelas 6 (Concrete Pile) 13 m 4 Pile</t>
  </si>
  <si>
    <t>Type AA + 6   -  Kelas 6 (Concrete Pile) 14 m 4 Pile</t>
  </si>
  <si>
    <t>Type AA + 6   -  Kelas 6 (Concrete Pile) 15 m 4 Pile</t>
  </si>
  <si>
    <t>Type AA + 6   -  Kelas 6 (Concrete Pile) 16 m 4 Pile</t>
  </si>
  <si>
    <t>Type AA + 6   -  Kelas 6 (Concrete Pile) 17 m 4 Pile</t>
  </si>
  <si>
    <t>Type AA + 6   -  Kelas 6 (Concrete Pile) 18 m 4 Pile</t>
  </si>
  <si>
    <t>Type AA + 6   -  Kelas 6 (Concrete Pile) 19 m 4 Pile</t>
  </si>
  <si>
    <t>Type AA + 6   -  Kelas 6 (Concrete Pile) 20 m 4 Pile</t>
  </si>
  <si>
    <t>Type AA + 9   -  Kelas 1 (Concrete Pad dan Chimney)</t>
  </si>
  <si>
    <t>Type AA + 9   -  Kelas 2 (Concrete Pad dan Chimney)</t>
  </si>
  <si>
    <t>Type AA + 9   -  Kelas 2W (Concrete Pad dan Chimney)</t>
  </si>
  <si>
    <t>Type AA + 9   -  Kelas 3 (Concrete Pad dan Chimney)</t>
  </si>
  <si>
    <t>Type AA + 9   -  Kelas 3W (Concrete Pad dan Chimney)</t>
  </si>
  <si>
    <t>Type AA + 9   -  Kelas 6 (Concrete Pile) 6 m 4 Pile</t>
  </si>
  <si>
    <t>Type AA + 9   -  Kelas 6 (Concrete Pile) 7 m 4 Pile</t>
  </si>
  <si>
    <t>Type AA + 9   -  Kelas 6 (Concrete Pile) 8 m 4 Pile</t>
  </si>
  <si>
    <t>Type AA + 9   -  Kelas 6 (Concrete Pile) 9 m 4 Pile</t>
  </si>
  <si>
    <t>Type AA + 9   -  Kelas 6 (Concrete Pile) 10 m 4 Pile</t>
  </si>
  <si>
    <t>Type AA + 9   -  Kelas 6 (Concrete Pile) 11 m 4 Pile</t>
  </si>
  <si>
    <t>Type AA + 9   -  Kelas 6 (Concrete Pile) 12 m 4 Pile</t>
  </si>
  <si>
    <t>Type AA + 9   -  Kelas 6 (Concrete Pile) 13 m 4 Pile</t>
  </si>
  <si>
    <t>Type AA + 9   -  Kelas 6 (Concrete Pile) 14 m 4 Pile</t>
  </si>
  <si>
    <t>Type AA + 9   -  Kelas 6 (Concrete Pile) 15 m 4 Pile</t>
  </si>
  <si>
    <t>Type AA + 9   -  Kelas 6 (Concrete Pile) 16 m 4 Pile</t>
  </si>
  <si>
    <t>Type AA + 9   -  Kelas 6 (Concrete Pile) 17 m 4 Pile</t>
  </si>
  <si>
    <t>Type AA + 9   -  Kelas 6 (Concrete Pile) 18 m 4 Pile</t>
  </si>
  <si>
    <t>Type AA + 9   -  Kelas 6 (Concrete Pile) 19 m 4 Pile</t>
  </si>
  <si>
    <t>Type AA + 9   -  Kelas 6 (Concrete Pile) 20 m 4 Pile</t>
  </si>
  <si>
    <t>Type AA + 12   -  Kelas 1 (Concrete Pad dan Chimney)</t>
  </si>
  <si>
    <t>Type AA + 12   -  Kelas 2 (Concrete Pad dan Chimney)</t>
  </si>
  <si>
    <t>Type AA + 12   -  Kelas 2W (Concrete Pad dan Chimney)</t>
  </si>
  <si>
    <t>Type AA + 12  -  Kelas 3 (Concrete Pad dan Chimney)</t>
  </si>
  <si>
    <t>Type AA + 12 -  Kelas 3W (Concrete Pad dan Chimney)</t>
  </si>
  <si>
    <t>Type AA + 12   -  Kelas 6 (Concrete Pile) 6 m 4 Pile</t>
  </si>
  <si>
    <t>Type AA + 12   -  Kelas 6 (Concrete Pile) 7 m 4 Pile</t>
  </si>
  <si>
    <t>Type AA + 12   -  Kelas 6 (Concrete Pile) 8 m 4 Pile</t>
  </si>
  <si>
    <t>Type AA + 12   -  Kelas 6 (Concrete Pile) 9 m 4 Pile</t>
  </si>
  <si>
    <t>Type AA + 12   -  Kelas 6 (Concrete Pile) 10 m 4 Pile</t>
  </si>
  <si>
    <t>1.91</t>
  </si>
  <si>
    <t>Type AA + 12   -  Kelas 6 (Concrete Pile) 11 m 4 Pile</t>
  </si>
  <si>
    <t>1.92</t>
  </si>
  <si>
    <t>Type AA + 12   -  Kelas 6 (Concrete Pile) 12 m 4 Pile</t>
  </si>
  <si>
    <t>1.93</t>
  </si>
  <si>
    <t>Type AA + 12   -  Kelas 6 (Concrete Pile) 13 m 4 Pile</t>
  </si>
  <si>
    <t>1.94</t>
  </si>
  <si>
    <t>Type AA + 12   -  Kelas 6 (Concrete Pile) 14 m 4 Pile</t>
  </si>
  <si>
    <t>1.95</t>
  </si>
  <si>
    <t>Type AA + 12   -  Kelas 6 (Concrete Pile) 15 m 4 Pile</t>
  </si>
  <si>
    <t>1.96</t>
  </si>
  <si>
    <t>Type AA + 12   -  Kelas 6 (Concrete Pile) 16 m 4 Pile</t>
  </si>
  <si>
    <t>1.97</t>
  </si>
  <si>
    <t>Type AA + 12   -  Kelas 6 (Concrete Pile) 17 m 4 Pile</t>
  </si>
  <si>
    <t>1.98</t>
  </si>
  <si>
    <t>Type AA + 12   -  Kelas 6 (Concrete Pile) 18 m 4 Pile</t>
  </si>
  <si>
    <t>1.99</t>
  </si>
  <si>
    <t>Type AA + 12   -  Kelas 6 (Concrete Pile) 19 m 4 Pile</t>
  </si>
  <si>
    <t>1.100</t>
  </si>
  <si>
    <t>Type AA + 12   -  Kelas 6 (Concrete Pile) 20 m 4 Pile</t>
  </si>
  <si>
    <t>1.101</t>
  </si>
  <si>
    <t>Type AA + 15   -  Kelas 1 (Concrete Pad dan Chimney)</t>
  </si>
  <si>
    <t>1.102</t>
  </si>
  <si>
    <t>Type AA + 15   -  Kelas 2 (Concrete Pad dan Chimney)</t>
  </si>
  <si>
    <t>1.103</t>
  </si>
  <si>
    <t>Type AA + 15   -  Kelas 2W (Concrete Pad dan Chimney)</t>
  </si>
  <si>
    <t>1.104</t>
  </si>
  <si>
    <t>Type AA + 15  -  Kelas 3 (Concrete Pad dan Chimney)</t>
  </si>
  <si>
    <t>1.105</t>
  </si>
  <si>
    <t>Type AA + 15 -  Kelas 3W (Concrete Pad dan Chimney)</t>
  </si>
  <si>
    <t>1.106</t>
  </si>
  <si>
    <t>Type AA + 15   -  Kelas 6 (Concrete Pile) 6 m 4 Pile</t>
  </si>
  <si>
    <t>1.107</t>
  </si>
  <si>
    <t>Type AA + 15   -  Kelas 6 (Concrete Pile) 7 m 4 Pile</t>
  </si>
  <si>
    <t>1.108</t>
  </si>
  <si>
    <t>Type AA + 15   -  Kelas 6 (Concrete Pile) 8 m 4 Pile</t>
  </si>
  <si>
    <t>1.109</t>
  </si>
  <si>
    <t>Type AA + 15   -  Kelas 6 (Concrete Pile) 9 m 4 Pile</t>
  </si>
  <si>
    <t>1.110</t>
  </si>
  <si>
    <t>Type AA + 15   -  Kelas 6 (Concrete Pile) 10 m 4 Pile</t>
  </si>
  <si>
    <t>1.111</t>
  </si>
  <si>
    <t>Type AA + 15   -  Kelas 6 (Concrete Pile) 11 m 4 Pile</t>
  </si>
  <si>
    <t>1.112</t>
  </si>
  <si>
    <t>Type AA + 15   -  Kelas 6 (Concrete Pile) 12 m 4 Pile</t>
  </si>
  <si>
    <t>1.113</t>
  </si>
  <si>
    <t>Type AA + 15   -  Kelas 6 (Concrete Pile) 13 m 4 Pile</t>
  </si>
  <si>
    <t>1.114</t>
  </si>
  <si>
    <t>Type AA + 15   -  Kelas 6 (Concrete Pile) 14 m 4 Pile</t>
  </si>
  <si>
    <t>1.115</t>
  </si>
  <si>
    <t>Type AA + 15   -  Kelas 6 (Concrete Pile) 15 m 4 Pile</t>
  </si>
  <si>
    <t>1.116</t>
  </si>
  <si>
    <t>Type AA + 15   -  Kelas 6 (Concrete Pile) 16 m 4 Pile</t>
  </si>
  <si>
    <t>1.117</t>
  </si>
  <si>
    <t>Type AA + 15   -  Kelas 6 (Concrete Pile) 17 m 4 Pile</t>
  </si>
  <si>
    <t>1.118</t>
  </si>
  <si>
    <t>Type AA + 15   -  Kelas 6 (Concrete Pile) 18 m 4 Pile</t>
  </si>
  <si>
    <t>1.119</t>
  </si>
  <si>
    <t>Type AA + 15   -  Kelas 6 (Concrete Pile) 19 m 4 Pile</t>
  </si>
  <si>
    <t>1.120</t>
  </si>
  <si>
    <t>Type AA + 15   -  Kelas 6 (Concrete Pile) 20 m 4 Pile</t>
  </si>
  <si>
    <t>Type BB + 0   -  Kelas 1 (Concrete Pad dan Chimney)</t>
  </si>
  <si>
    <t>Type BB + 0   -  Kelas 2 (Concrete Pad dan Chimney)</t>
  </si>
  <si>
    <t>Type BB + 0   -  Kelas 2W (Concrete Pad dan Chimney)</t>
  </si>
  <si>
    <t>Type BB + 0   -  Kelas 3 (Concrete Pad dan Chimney)</t>
  </si>
  <si>
    <t>Type BB + 0   -  Kelas 3W (Concrete Pad dan Chimney)</t>
  </si>
  <si>
    <t>Type BB + 0   -  Kelas 6 (Concrete Pile) 6 m 4 Pile</t>
  </si>
  <si>
    <t>Type BB + 0   -  Kelas 6 (Concrete Pile) 7 m 4 Pile</t>
  </si>
  <si>
    <t>Type BB + 0   -  Kelas 6 (Concrete Pile) 8 m 4 Pile</t>
  </si>
  <si>
    <t>Type BB + 0   -  Kelas 6 (Concrete Pile) 9 m 4 Pile</t>
  </si>
  <si>
    <t>Type BB + 0   -  Kelas 6 (Concrete Pile) 10 m 4 Pile</t>
  </si>
  <si>
    <t>Type BB + 0   -  Kelas 6 (Concrete Pile) 11 m 4 Pile</t>
  </si>
  <si>
    <t>Type BB + 0   -  Kelas 6 (Concrete Pile) 12 m 4 Pile</t>
  </si>
  <si>
    <t>Type BB + 0   -  Kelas 6 (Concrete Pile) 13 m 4 Pile</t>
  </si>
  <si>
    <t>Type BB + 0   -  Kelas 6 (Concrete Pile) 14 m 4 Pile</t>
  </si>
  <si>
    <t>Type BB + 0   -  Kelas 6 (Concrete Pile) 15 m 4 Pile</t>
  </si>
  <si>
    <t>Type BB + 0   -  Kelas 6 (Concrete Pile) 16 m 4 Pile</t>
  </si>
  <si>
    <t>Type BB + 0   -  Kelas 6 (Concrete Pile) 17 m 4 Pile</t>
  </si>
  <si>
    <t>Type BB + 0   -  Kelas 6 (Concrete Pile) 18 m 4 Pile</t>
  </si>
  <si>
    <t>Type BB + 0   -  Kelas 6 (Concrete Pile) 19 m 4 Pile</t>
  </si>
  <si>
    <t>Type BB + 0   -  Kelas 6 (Concrete Pile) 20 m 4 Pile</t>
  </si>
  <si>
    <t>Type BB + 3   -  Kelas 1 (Concrete Pad dan Chimney)</t>
  </si>
  <si>
    <t>Type BB + 3   -  Kelas 2 (Concrete Pad dan Chimney)</t>
  </si>
  <si>
    <t>Type BB + 3   -  Kelas 2W (Concrete Pad dan Chimney)</t>
  </si>
  <si>
    <t>Type BB + 3   -  Kelas 3 (Concrete Pad dan Chimney)</t>
  </si>
  <si>
    <t>Type BB + 3   -  Kelas 3W (Concrete Pad dan Chimney)</t>
  </si>
  <si>
    <t>Type BB + 3   -  Kelas 6 (Concrete Pile) 6 m 4 Pile</t>
  </si>
  <si>
    <t>Type BB + 3   -  Kelas 6 (Concrete Pile) 7 m 4 Pile</t>
  </si>
  <si>
    <t>Type BB + 3   -  Kelas 6 (Concrete Pile) 8 m 4 Pile</t>
  </si>
  <si>
    <t>Type BB + 3   -  Kelas 6 (Concrete Pile) 9 m 4 Pile</t>
  </si>
  <si>
    <t>Type BB + 3   -  Kelas 6 (Concrete Pile) 10 m 4 Pile</t>
  </si>
  <si>
    <t>Type BB + 3   -  Kelas 6 (Concrete Pile) 11 m 4 Pile</t>
  </si>
  <si>
    <t>Type BB + 3   -  Kelas 6 (Concrete Pile) 12 m 4 Pile</t>
  </si>
  <si>
    <t>Type BB + 3   -  Kelas 6 (Concrete Pile) 13 m 4 Pile</t>
  </si>
  <si>
    <t>Type BB + 3   -  Kelas 6 (Concrete Pile) 14 m 4 Pile</t>
  </si>
  <si>
    <t>Type BB + 3   -  Kelas 6 (Concrete Pile) 15 m 4 Pile</t>
  </si>
  <si>
    <t>Type BB + 3   -  Kelas 6 (Concrete Pile) 16 m 4 Pile</t>
  </si>
  <si>
    <t>Type BB + 3   -  Kelas 6 (Concrete Pile) 17 m 4 Pile</t>
  </si>
  <si>
    <t>Type BB + 3   -  Kelas 6 (Concrete Pile) 18 m 4 Pile</t>
  </si>
  <si>
    <t>Type BB + 3   -  Kelas 6 (Concrete Pile) 19 m 4 Pile</t>
  </si>
  <si>
    <t>Type BB + 3   -  Kelas 6 (Concrete Pile) 20 m 4 Pile</t>
  </si>
  <si>
    <t>Type BB + 6   -  Kelas 1 (Concrete Pad dan Chimney)</t>
  </si>
  <si>
    <t>Type BB + 6   -  Kelas 2 (Concrete Pad dan Chimney)</t>
  </si>
  <si>
    <t>Type BB + 6   -  Kelas 2W (Concrete Pad dan Chimney)</t>
  </si>
  <si>
    <t>Type BB + 6   -  Kelas 3 (Concrete Pad dan Chimney)</t>
  </si>
  <si>
    <t>Type BB + 6   -  Kelas 3W (Concrete Pad dan Chimney)</t>
  </si>
  <si>
    <t>Type BB + 6   -  Kelas 6 (Concrete Pile) 6 m 4 Pile</t>
  </si>
  <si>
    <t>Type BB + 6   -  Kelas 6 (Concrete Pile) 7 m 4 Pile</t>
  </si>
  <si>
    <t>Type BB + 6   -  Kelas 6 (Concrete Pile) 8 m 4 Pile</t>
  </si>
  <si>
    <t>Type BB + 6   -  Kelas 6 (Concrete Pile) 9 m 4 Pile</t>
  </si>
  <si>
    <t>Type BB + 6   -  Kelas 6 (Concrete Pile) 10 m 4 Pile</t>
  </si>
  <si>
    <t>Type BB + 6   -  Kelas 6 (Concrete Pile) 11 m 4 Pile</t>
  </si>
  <si>
    <t>Type BB + 6   -  Kelas 6 (Concrete Pile) 12 m 4 Pile</t>
  </si>
  <si>
    <t>Type BB + 6   -  Kelas 6 (Concrete Pile) 13 m 4 Pile</t>
  </si>
  <si>
    <t>Type BB + 6   -  Kelas 6 (Concrete Pile) 14 m 4 Pile</t>
  </si>
  <si>
    <t>Type BB + 6   -  Kelas 6 (Concrete Pile) 15 m 4 Pile</t>
  </si>
  <si>
    <t>Type BB + 6   -  Kelas 6 (Concrete Pile) 16 m 4 Pile</t>
  </si>
  <si>
    <t>Type BB + 6   -  Kelas 6 (Concrete Pile) 17 m 4 Pile</t>
  </si>
  <si>
    <t>Type BB + 6   -  Kelas 6 (Concrete Pile) 18 m 4 Pile</t>
  </si>
  <si>
    <t>Type BB + 6   -  Kelas 6 (Concrete Pile) 19 m 4 Pile</t>
  </si>
  <si>
    <t>Type BB + 6   -  Kelas 6 (Concrete Pile) 20 m 4 Pile</t>
  </si>
  <si>
    <t>Type BB + 9   -  Kelas 1 (Concrete Pad dan Chimney)</t>
  </si>
  <si>
    <t>Type BB + 9   -  Kelas 2 (Concrete Pad dan Chimney)</t>
  </si>
  <si>
    <t>Type BB + 9   -  Kelas 2W (Concrete Pad dan Chimney)</t>
  </si>
  <si>
    <t>Type BB + 9   -  Kelas 3 (Concrete Pad dan Chimney)</t>
  </si>
  <si>
    <t>Type BB + 9   -  Kelas 3W (Concrete Pad dan Chimney)</t>
  </si>
  <si>
    <t>Type BB + 9   -  Kelas 6 (Concrete Pile) 6 m 4 Pile</t>
  </si>
  <si>
    <t>Type BB + 9   -  Kelas 6 (Concrete Pile) 7 m 4 Pile</t>
  </si>
  <si>
    <t>Type BB + 9   -  Kelas 6 (Concrete Pile) 8 m 4 Pile</t>
  </si>
  <si>
    <t>Type BB + 9   -  Kelas 6 (Concrete Pile) 9 m 4 Pile</t>
  </si>
  <si>
    <t>Type BB + 9   -  Kelas 6 (Concrete Pile) 10 m 4 Pile</t>
  </si>
  <si>
    <t>Type BB + 9   -  Kelas 6 (Concrete Pile) 11 m 4 Pile</t>
  </si>
  <si>
    <t>Type BB + 9   -  Kelas 6 (Concrete Pile) 12 m 4 Pile</t>
  </si>
  <si>
    <t>Type BB + 9   -  Kelas 6 (Concrete Pile) 13 m 4 Pile</t>
  </si>
  <si>
    <t>Type BB + 9   -  Kelas 6 (Concrete Pile) 14 m 4 Pile</t>
  </si>
  <si>
    <t>Type BB + 9   -  Kelas 6 (Concrete Pile) 15 m 4 Pile</t>
  </si>
  <si>
    <t>Type BB + 9   -  Kelas 6 (Concrete Pile) 16 m 4 Pile</t>
  </si>
  <si>
    <t>Type BB + 9   -  Kelas 6 (Concrete Pile) 17 m 4 Pile</t>
  </si>
  <si>
    <t>Type BB + 9   -  Kelas 6 (Concrete Pile) 18 m 4 Pile</t>
  </si>
  <si>
    <t>Type BB + 9   -  Kelas 6 (Concrete Pile) 19 m 4 Pile</t>
  </si>
  <si>
    <t>Type BB + 9   -  Kelas 6 (Concrete Pile) 20 m 4 Pile</t>
  </si>
  <si>
    <t>Type BB + 12   -  Kelas 1 (Concrete Pad dan Chimney)</t>
  </si>
  <si>
    <t>Type BB + 12   -  Kelas 2 (Concrete Pad dan Chimney)</t>
  </si>
  <si>
    <t>Type BB + 12   -  Kelas 2W (Concrete Pad dan Chimney)</t>
  </si>
  <si>
    <t>Type BB + 12  -  Kelas 3 (Concrete Pad dan Chimney)</t>
  </si>
  <si>
    <t>Type BB + 12 -  Kelas 3W (Concrete Pad dan Chimney)</t>
  </si>
  <si>
    <t>Type BB + 12   -  Kelas 6 (Concrete Pile) 6 m 4 Pile</t>
  </si>
  <si>
    <t>Type BB + 12   -  Kelas 6 (Concrete Pile) 7 m 4 Pile</t>
  </si>
  <si>
    <t>Type BB + 12   -  Kelas 6 (Concrete Pile) 8 m 4 Pile</t>
  </si>
  <si>
    <t>Type BB + 12   -  Kelas 6 (Concrete Pile) 9 m 4 Pile</t>
  </si>
  <si>
    <t>Type BB + 12   -  Kelas 6 (Concrete Pile) 10 m 4 Pile</t>
  </si>
  <si>
    <t>2.91</t>
  </si>
  <si>
    <t>Type BB + 12   -  Kelas 6 (Concrete Pile) 11 m 4 Pile</t>
  </si>
  <si>
    <t>2.92</t>
  </si>
  <si>
    <t>Type BB + 12   -  Kelas 6 (Concrete Pile) 12 m 4 Pile</t>
  </si>
  <si>
    <t>2.93</t>
  </si>
  <si>
    <t>Type BB + 12   -  Kelas 6 (Concrete Pile) 13 m 4 Pile</t>
  </si>
  <si>
    <t>2.94</t>
  </si>
  <si>
    <t>Type BB + 12   -  Kelas 6 (Concrete Pile) 14 m 4 Pile</t>
  </si>
  <si>
    <t>2.95</t>
  </si>
  <si>
    <t>Type BB + 12   -  Kelas 6 (Concrete Pile) 15 m 4 Pile</t>
  </si>
  <si>
    <t>2.96</t>
  </si>
  <si>
    <t>Type BB + 12   -  Kelas 6 (Concrete Pile) 16 m 4 Pile</t>
  </si>
  <si>
    <t>2.97</t>
  </si>
  <si>
    <t>Type BB + 12   -  Kelas 6 (Concrete Pile) 17 m 4 Pile</t>
  </si>
  <si>
    <t>2.98</t>
  </si>
  <si>
    <t>Type BB + 12   -  Kelas 6 (Concrete Pile) 18 m 4 Pile</t>
  </si>
  <si>
    <t>2.99</t>
  </si>
  <si>
    <t>Type BB + 12   -  Kelas 6 (Concrete Pile) 19 m 4 Pile</t>
  </si>
  <si>
    <t>2.100</t>
  </si>
  <si>
    <t>Type BB + 12   -  Kelas 6 (Concrete Pile) 20 m 4 Pile</t>
  </si>
  <si>
    <t>2.101</t>
  </si>
  <si>
    <t>Type BB + 15   -  Kelas 1 (Concrete Pad dan Chimney)</t>
  </si>
  <si>
    <t>2.102</t>
  </si>
  <si>
    <t>Type BB + 15   -  Kelas 2 (Concrete Pad dan Chimney)</t>
  </si>
  <si>
    <t>2.103</t>
  </si>
  <si>
    <t>Type BB + 15   -  Kelas 2W (Concrete Pad dan Chimney)</t>
  </si>
  <si>
    <t>2.104</t>
  </si>
  <si>
    <t>Type BB + 15  -  Kelas 3 (Concrete Pad dan Chimney)</t>
  </si>
  <si>
    <t>2.105</t>
  </si>
  <si>
    <t>Type BB + 15 -  Kelas 3W (Concrete Pad dan Chimney)</t>
  </si>
  <si>
    <t>2.106</t>
  </si>
  <si>
    <t>Type BB + 15   -  Kelas 6 (Concrete Pile) 6 m 4 Pile</t>
  </si>
  <si>
    <t>2.107</t>
  </si>
  <si>
    <t>Type BB + 15   -  Kelas 6 (Concrete Pile) 7 m 4 Pile</t>
  </si>
  <si>
    <t>2.108</t>
  </si>
  <si>
    <t>Type BB + 15   -  Kelas 6 (Concrete Pile) 8 m 4 Pile</t>
  </si>
  <si>
    <t>2.109</t>
  </si>
  <si>
    <t>Type BB + 15   -  Kelas 6 (Concrete Pile) 9 m 4 Pile</t>
  </si>
  <si>
    <t>2.110</t>
  </si>
  <si>
    <t>Type BB + 15   -  Kelas 6 (Concrete Pile) 10 m 4 Pile</t>
  </si>
  <si>
    <t>2.111</t>
  </si>
  <si>
    <t>Type BB + 15   -  Kelas 6 (Concrete Pile) 11 m 4 Pile</t>
  </si>
  <si>
    <t>2.112</t>
  </si>
  <si>
    <t>Type BB + 15   -  Kelas 6 (Concrete Pile) 12 m 4 Pile</t>
  </si>
  <si>
    <t>2.113</t>
  </si>
  <si>
    <t>Type BB + 15   -  Kelas 6 (Concrete Pile) 13 m 4 Pile</t>
  </si>
  <si>
    <t>2.114</t>
  </si>
  <si>
    <t>Type BB + 15   -  Kelas 6 (Concrete Pile) 14 m 4 Pile</t>
  </si>
  <si>
    <t>2.115</t>
  </si>
  <si>
    <t>Type BB + 15   -  Kelas 6 (Concrete Pile) 15 m 4 Pile</t>
  </si>
  <si>
    <t>2.116</t>
  </si>
  <si>
    <t>Type BB + 15   -  Kelas 6 (Concrete Pile) 16 m 4 Pile</t>
  </si>
  <si>
    <t>2.117</t>
  </si>
  <si>
    <t>Type BB + 15   -  Kelas 6 (Concrete Pile) 17 m 4 Pile</t>
  </si>
  <si>
    <t>2.118</t>
  </si>
  <si>
    <t>Type BB + 15   -  Kelas 6 (Concrete Pile) 18 m 4 Pile</t>
  </si>
  <si>
    <t>2.119</t>
  </si>
  <si>
    <t>Type BB + 15   -  Kelas 6 (Concrete Pile) 19 m 4 Pile</t>
  </si>
  <si>
    <t>2.120</t>
  </si>
  <si>
    <t>Type BB + 15   -  Kelas 6 (Concrete Pile) 20 m 4 Pile</t>
  </si>
  <si>
    <t>Type CC + 0   -  Kelas 1 (Concrete Pad dan Chimney)</t>
  </si>
  <si>
    <t>Type CC + 0   -  Kelas 2 (Concrete Pad dan Chimney)</t>
  </si>
  <si>
    <t>Type CC + 0   -  Kelas 2W (Concrete Pad dan Chimney)</t>
  </si>
  <si>
    <t>Type CC + 0   -  Kelas 3 (Concrete Pad dan Chimney)</t>
  </si>
  <si>
    <t>Type CC + 0   -  Kelas 3W (Concrete Pad dan Chimney)</t>
  </si>
  <si>
    <t>Type CC + 0   -  Kelas 6 (Concrete Pile) 6 m 4 Pile</t>
  </si>
  <si>
    <t>Type CC + 0   -  Kelas 6 (Concrete Pile) 7 m 4 Pile</t>
  </si>
  <si>
    <t>Type CC + 0   -  Kelas 6 (Concrete Pile) 8 m 4 Pile</t>
  </si>
  <si>
    <t>Type CC + 0   -  Kelas 6 (Concrete Pile) 9 m 4 Pile</t>
  </si>
  <si>
    <t>Type CC + 0   -  Kelas 6 (Concrete Pile) 10 m 4 Pile</t>
  </si>
  <si>
    <t>Type CC + 0   -  Kelas 6 (Concrete Pile) 11 m 4 Pile</t>
  </si>
  <si>
    <t>Type CC + 0   -  Kelas 6 (Concrete Pile) 12 m 4 Pile</t>
  </si>
  <si>
    <t>Type CC + 0   -  Kelas 6 (Concrete Pile) 13 m 4 Pile</t>
  </si>
  <si>
    <t>Type CC + 0   -  Kelas 6 (Concrete Pile) 14 m 4 Pile</t>
  </si>
  <si>
    <t>Type CC + 0   -  Kelas 6 (Concrete Pile) 15 m 4 Pile</t>
  </si>
  <si>
    <t>Type CC + 0   -  Kelas 6 (Concrete Pile) 16 m 4 Pile</t>
  </si>
  <si>
    <t>Type CC + 0   -  Kelas 6 (Concrete Pile) 17 m 4 Pile</t>
  </si>
  <si>
    <t>Type CC + 0   -  Kelas 6 (Concrete Pile) 18 m 4 Pile</t>
  </si>
  <si>
    <t>Type CC + 0   -  Kelas 6 (Concrete Pile) 19 m 4 Pile</t>
  </si>
  <si>
    <t>Type CC + 0   -  Kelas 6 (Concrete Pile) 20 m 4 Pile</t>
  </si>
  <si>
    <t>Type CC + 3   -  Kelas 1 (Concrete Pad dan Chimney)</t>
  </si>
  <si>
    <t>Type CC + 3   -  Kelas 2 (Concrete Pad dan Chimney)</t>
  </si>
  <si>
    <t>Type CC + 3   -  Kelas 2W (Concrete Pad dan Chimney)</t>
  </si>
  <si>
    <t>Type CC + 3   -  Kelas 3 (Concrete Pad dan Chimney)</t>
  </si>
  <si>
    <t>Type CC + 3   -  Kelas 3W (Concrete Pad dan Chimney)</t>
  </si>
  <si>
    <t>Type CC + 3   -  Kelas 6 (Concrete Pile) 6 m 4 Pile</t>
  </si>
  <si>
    <t>Type CC + 3   -  Kelas 6 (Concrete Pile) 7 m 4 Pile</t>
  </si>
  <si>
    <t>Type CC + 3   -  Kelas 6 (Concrete Pile) 8 m 4 Pile</t>
  </si>
  <si>
    <t>Type CC + 3   -  Kelas 6 (Concrete Pile) 9 m 4 Pile</t>
  </si>
  <si>
    <t>Type CC + 3   -  Kelas 6 (Concrete Pile) 10 m 4 Pile</t>
  </si>
  <si>
    <t>Type CC + 3   -  Kelas 6 (Concrete Pile) 11 m 4 Pile</t>
  </si>
  <si>
    <t>Type CC + 3   -  Kelas 6 (Concrete Pile) 12 m 4 Pile</t>
  </si>
  <si>
    <t>Type CC + 3   -  Kelas 6 (Concrete Pile) 13 m 4 Pile</t>
  </si>
  <si>
    <t>Type CC + 3   -  Kelas 6 (Concrete Pile) 14 m 4 Pile</t>
  </si>
  <si>
    <t>Type CC + 3   -  Kelas 6 (Concrete Pile) 15 m 4 Pile</t>
  </si>
  <si>
    <t>Type CC + 3   -  Kelas 6 (Concrete Pile) 16 m 4 Pile</t>
  </si>
  <si>
    <t>Type CC + 3   -  Kelas 6 (Concrete Pile) 17 m 4 Pile</t>
  </si>
  <si>
    <t>Type CC + 3   -  Kelas 6 (Concrete Pile) 18 m 4 Pile</t>
  </si>
  <si>
    <t>Type CC + 3   -  Kelas 6 (Concrete Pile) 19 m 4 Pile</t>
  </si>
  <si>
    <t>Type CC + 3   -  Kelas 6 (Concrete Pile) 20 m 4 Pile</t>
  </si>
  <si>
    <t>Type CC + 6   -  Kelas 1 (Concrete Pad dan Chimney)</t>
  </si>
  <si>
    <t>Type CC + 6   -  Kelas 2 (Concrete Pad dan Chimney)</t>
  </si>
  <si>
    <t>Type CC + 6   -  Kelas 2W (Concrete Pad dan Chimney)</t>
  </si>
  <si>
    <t>Type CC + 6   -  Kelas 3 (Concrete Pad dan Chimney)</t>
  </si>
  <si>
    <t>Type CC + 6   -  Kelas 3W (Concrete Pad dan Chimney)</t>
  </si>
  <si>
    <t>Type CC + 6   -  Kelas 6 (Concrete Pile) 6 m 4 Pile</t>
  </si>
  <si>
    <t>Type CC + 6   -  Kelas 6 (Concrete Pile) 7 m 4 Pile</t>
  </si>
  <si>
    <t>Type CC + 6   -  Kelas 6 (Concrete Pile) 8 m 4 Pile</t>
  </si>
  <si>
    <t>Type CC + 6   -  Kelas 6 (Concrete Pile) 9 m 4 Pile</t>
  </si>
  <si>
    <t>Type CC + 6   -  Kelas 6 (Concrete Pile) 10 m 4 Pile</t>
  </si>
  <si>
    <t>Type CC + 6   -  Kelas 6 (Concrete Pile) 11 m 4 Pile</t>
  </si>
  <si>
    <t>Type CC + 6   -  Kelas 6 (Concrete Pile) 12 m 4 Pile</t>
  </si>
  <si>
    <t>Type CC + 6   -  Kelas 6 (Concrete Pile) 13 m 4 Pile</t>
  </si>
  <si>
    <t>Type CC + 6   -  Kelas 6 (Concrete Pile) 14 m 4 Pile</t>
  </si>
  <si>
    <t>Type CC + 6   -  Kelas 6 (Concrete Pile) 15 m 4 Pile</t>
  </si>
  <si>
    <t>Type CC + 6   -  Kelas 6 (Concrete Pile) 16 m 4 Pile</t>
  </si>
  <si>
    <t>Type CC + 6   -  Kelas 6 (Concrete Pile) 17 m 4 Pile</t>
  </si>
  <si>
    <t>Type CC + 6   -  Kelas 6 (Concrete Pile) 18 m 4 Pile</t>
  </si>
  <si>
    <t>Type CC + 6   -  Kelas 6 (Concrete Pile) 19 m 4 Pile</t>
  </si>
  <si>
    <t>Type CC + 6   -  Kelas 6 (Concrete Pile) 20 m 4 Pile</t>
  </si>
  <si>
    <t>Type CC + 9   -  Kelas 1 (Concrete Pad dan Chimney)</t>
  </si>
  <si>
    <t>Type CC + 9   -  Kelas 2 (Concrete Pad dan Chimney)</t>
  </si>
  <si>
    <t>Type CC + 9   -  Kelas 2W (Concrete Pad dan Chimney)</t>
  </si>
  <si>
    <t>Type CC + 9   -  Kelas 3 (Concrete Pad dan Chimney)</t>
  </si>
  <si>
    <t>Type CC + 9   -  Kelas 3W (Concrete Pad dan Chimney)</t>
  </si>
  <si>
    <t>Type CC + 9   -  Kelas 6 (Concrete Pile) 6 m 4 Pile</t>
  </si>
  <si>
    <t>Type CC + 9   -  Kelas 6 (Concrete Pile) 7 m 4 Pile</t>
  </si>
  <si>
    <t>Type CC + 9   -  Kelas 6 (Concrete Pile) 8 m 4 Pile</t>
  </si>
  <si>
    <t>Type CC + 9   -  Kelas 6 (Concrete Pile) 9 m 4 Pile</t>
  </si>
  <si>
    <t>Type CC + 9   -  Kelas 6 (Concrete Pile) 10 m 4 Pile</t>
  </si>
  <si>
    <t>Type CC + 9   -  Kelas 6 (Concrete Pile) 11 m 4 Pile</t>
  </si>
  <si>
    <t>Type CC + 9   -  Kelas 6 (Concrete Pile) 12 m 4 Pile</t>
  </si>
  <si>
    <t>Type CC + 9   -  Kelas 6 (Concrete Pile) 13 m 4 Pile</t>
  </si>
  <si>
    <t>Type CC + 9   -  Kelas 6 (Concrete Pile) 14 m 4 Pile</t>
  </si>
  <si>
    <t>Type CC + 9   -  Kelas 6 (Concrete Pile) 15 m 4 Pile</t>
  </si>
  <si>
    <t>Type CC + 9   -  Kelas 6 (Concrete Pile) 16 m 4 Pile</t>
  </si>
  <si>
    <t>Type CC + 9   -  Kelas 6 (Concrete Pile) 17 m 4 Pile</t>
  </si>
  <si>
    <t>Type CC + 9   -  Kelas 6 (Concrete Pile) 18 m 4 Pile</t>
  </si>
  <si>
    <t>Type CC + 9   -  Kelas 6 (Concrete Pile) 19 m 4 Pile</t>
  </si>
  <si>
    <t>Type CC + 9   -  Kelas 6 (Concrete Pile) 20 m 4 Pile</t>
  </si>
  <si>
    <t>Type CC + 12   -  Kelas 1 (Concrete Pad dan Chimney)</t>
  </si>
  <si>
    <t>Type CC + 12   -  Kelas 2 (Concrete Pad dan Chimney)</t>
  </si>
  <si>
    <t>Type CC + 12   -  Kelas 2W (Concrete Pad dan Chimney)</t>
  </si>
  <si>
    <t>Type CC + 12  -  Kelas 3 (Concrete Pad dan Chimney)</t>
  </si>
  <si>
    <t>Type CC + 12  -  Kelas 3W (Concrete Pad dan Chimney)</t>
  </si>
  <si>
    <t>Type CC + 12   -  Kelas 6 (Concrete Pile) 6 m 4 Pile</t>
  </si>
  <si>
    <t>Type CC + 12   -  Kelas 6 (Concrete Pile) 7 m 4 Pile</t>
  </si>
  <si>
    <t>Type CC + 12   -  Kelas 6 (Concrete Pile) 8 m 4 Pile</t>
  </si>
  <si>
    <t>Type CC + 12   -  Kelas 6 (Concrete Pile) 9 m 4 Pile</t>
  </si>
  <si>
    <t>Type CC + 12   -  Kelas 6 (Concrete Pile) 10 m 4 Pile</t>
  </si>
  <si>
    <t>3.91</t>
  </si>
  <si>
    <t>Type CC + 12   -  Kelas 6 (Concrete Pile) 11 m 4 Pile</t>
  </si>
  <si>
    <t>3.92</t>
  </si>
  <si>
    <t>Type CC + 12   -  Kelas 6 (Concrete Pile) 12 m 4 Pile</t>
  </si>
  <si>
    <t>3.93</t>
  </si>
  <si>
    <t>Type CC + 12   -  Kelas 6 (Concrete Pile) 13 m 4 Pile</t>
  </si>
  <si>
    <t>3.94</t>
  </si>
  <si>
    <t>Type CC + 12   -  Kelas 6 (Concrete Pile) 14 m 4 Pile</t>
  </si>
  <si>
    <t>3.95</t>
  </si>
  <si>
    <t>Type CC + 12   -  Kelas 6 (Concrete Pile) 15 m 4 Pile</t>
  </si>
  <si>
    <t>3.96</t>
  </si>
  <si>
    <t>Type CC + 12   -  Kelas 6 (Concrete Pile) 16 m 4 Pile</t>
  </si>
  <si>
    <t>3.97</t>
  </si>
  <si>
    <t>Type CC + 12   -  Kelas 6 (Concrete Pile) 17 m 4 Pile</t>
  </si>
  <si>
    <t>3.98</t>
  </si>
  <si>
    <t>Type CC + 12   -  Kelas 6 (Concrete Pile) 18 m 4 Pile</t>
  </si>
  <si>
    <t>3.99</t>
  </si>
  <si>
    <t>Type CC + 12   -  Kelas 6 (Concrete Pile) 19 m 4 Pile</t>
  </si>
  <si>
    <t>3.100</t>
  </si>
  <si>
    <t>Type CC + 12   -  Kelas 6 (Concrete Pile) 20 m 4 Pile</t>
  </si>
  <si>
    <t>3.101</t>
  </si>
  <si>
    <t>Type CC + 15   -  Kelas 1 (Concrete Pad dan Chimney)</t>
  </si>
  <si>
    <t>3.102</t>
  </si>
  <si>
    <t>Type CC + 15   -  Kelas 2 (Concrete Pad dan Chimney)</t>
  </si>
  <si>
    <t>3.103</t>
  </si>
  <si>
    <t>Type CC + 15   -  Kelas 2W (Concrete Pad dan Chimney)</t>
  </si>
  <si>
    <t>3.104</t>
  </si>
  <si>
    <t>Type CC + 15  -  Kelas 3 (Concrete Pad dan Chimney)</t>
  </si>
  <si>
    <t>3.105</t>
  </si>
  <si>
    <t>Type CC + 15  -  Kelas 3W (Concrete Pad dan Chimney)</t>
  </si>
  <si>
    <t>3.106</t>
  </si>
  <si>
    <t>Type CC + 15   -  Kelas 6 (Concrete Pile) 6 m 4 Pile</t>
  </si>
  <si>
    <t>3.107</t>
  </si>
  <si>
    <t>Type CC + 15   -  Kelas 6 (Concrete Pile) 7 m 4 Pile</t>
  </si>
  <si>
    <t>3.108</t>
  </si>
  <si>
    <t>Type CC + 15   -  Kelas 6 (Concrete Pile) 8 m 4 Pile</t>
  </si>
  <si>
    <t>3.109</t>
  </si>
  <si>
    <t>Type CC + 15   -  Kelas 6 (Concrete Pile) 9 m 4 Pile</t>
  </si>
  <si>
    <t>3.110</t>
  </si>
  <si>
    <t>Type CC + 15   -  Kelas 6 (Concrete Pile) 10 m 4 Pile</t>
  </si>
  <si>
    <t>3.111</t>
  </si>
  <si>
    <t>Type CC + 15   -  Kelas 6 (Concrete Pile) 11 m 4 Pile</t>
  </si>
  <si>
    <t>3.112</t>
  </si>
  <si>
    <t>Type CC + 15   -  Kelas 6 (Concrete Pile) 12 m 4 Pile</t>
  </si>
  <si>
    <t>3.113</t>
  </si>
  <si>
    <t>Type CC + 15   -  Kelas 6 (Concrete Pile) 13 m 4 Pile</t>
  </si>
  <si>
    <t>3.114</t>
  </si>
  <si>
    <t>Type CC + 15   -  Kelas 6 (Concrete Pile) 14 m 4 Pile</t>
  </si>
  <si>
    <t>3.115</t>
  </si>
  <si>
    <t>Type CC + 15   -  Kelas 6 (Concrete Pile) 15 m 4 Pile</t>
  </si>
  <si>
    <t>3.116</t>
  </si>
  <si>
    <t>Type CC + 15   -  Kelas 6 (Concrete Pile) 16 m 4 Pile</t>
  </si>
  <si>
    <t>3.117</t>
  </si>
  <si>
    <t>Type CC + 15   -  Kelas 6 (Concrete Pile) 17 m 4 Pile</t>
  </si>
  <si>
    <t>3.118</t>
  </si>
  <si>
    <t>Type CC + 15   -  Kelas 6 (Concrete Pile) 18 m 4 Pile</t>
  </si>
  <si>
    <t>3.119</t>
  </si>
  <si>
    <t>Type CC + 15   -  Kelas 6 (Concrete Pile) 19 m 4 Pile</t>
  </si>
  <si>
    <t>3.120</t>
  </si>
  <si>
    <t>Type CC + 15   -  Kelas 6 (Concrete Pile) 20 m 4 Pile</t>
  </si>
  <si>
    <t>Type DD + 0   -  Kelas 1 (Concrete Pad dan Chimney)</t>
  </si>
  <si>
    <t>Type DD + 0   -  Kelas 2 (Concrete Pad dan Chimney)</t>
  </si>
  <si>
    <t>Type DD + 0   -  Kelas 2W (Concrete Pad dan Chimney)</t>
  </si>
  <si>
    <t>Type DD + 0   -  Kelas 3 (Concrete Pad dan Chimney)</t>
  </si>
  <si>
    <t>Type DD + 0   -  Kelas 3W (Concrete Pad dan Chimney)</t>
  </si>
  <si>
    <t>Type DD + 0   -  Kelas 6 (Concrete Pile) 6 m 4 Pile</t>
  </si>
  <si>
    <t>Type DD + 0   -  Kelas 6 (Concrete Pile) 7 m 4 Pile</t>
  </si>
  <si>
    <t>Type DD + 0   -  Kelas 6 (Concrete Pile) 8 m 4 Pile</t>
  </si>
  <si>
    <t>Type DD + 0   -  Kelas 6 (Concrete Pile) 9 m 4 Pile</t>
  </si>
  <si>
    <t>Type DD + 0   -  Kelas 6 (Concrete Pile) 10 m 4 Pile</t>
  </si>
  <si>
    <t>Type DD + 0   -  Kelas 6 (Concrete Pile) 11 m 4 Pile</t>
  </si>
  <si>
    <t>Type DD + 0   -  Kelas 6 (Concrete Pile) 12 m 4 Pile</t>
  </si>
  <si>
    <t>Type DD + 0   -  Kelas 6 (Concrete Pile) 13 m 4 Pile</t>
  </si>
  <si>
    <t>Type DD + 0   -  Kelas 6 (Concrete Pile) 14 m 4 Pile</t>
  </si>
  <si>
    <t>Type DD + 0   -  Kelas 6 (Concrete Pile) 15 m 4 Pile</t>
  </si>
  <si>
    <t>Type DD + 0   -  Kelas 6 (Concrete Pile) 16 m 4 Pile</t>
  </si>
  <si>
    <t>Type DD + 0   -  Kelas 6 (Concrete Pile) 17 m 4 Pile</t>
  </si>
  <si>
    <t>Type DD + 0   -  Kelas 6 (Concrete Pile) 18 m 4 Pile</t>
  </si>
  <si>
    <t>Type DD + 0   -  Kelas 6 (Concrete Pile) 19 m 4 Pile</t>
  </si>
  <si>
    <t>Type DD + 0   -  Kelas 6 (Concrete Pile) 20 m 4 Pile</t>
  </si>
  <si>
    <t>Type DD + 3   -  Kelas 1 (Concrete Pad dan Chimney)</t>
  </si>
  <si>
    <t>Type DD + 3   -  Kelas 2 (Concrete Pad dan Chimney)</t>
  </si>
  <si>
    <t>Type DD + 3   -  Kelas 2W (Concrete Pad dan Chimney)</t>
  </si>
  <si>
    <t>Type DD + 3   -  Kelas 3 (Concrete Pad dan Chimney)</t>
  </si>
  <si>
    <t>Type DD + 3   -  Kelas 3W (Concrete Pad dan Chimney)</t>
  </si>
  <si>
    <t>Type DD + 3   -  Kelas 6 (Concrete Pile) 6 m 4 Pile</t>
  </si>
  <si>
    <t>Type DD + 3   -  Kelas 6 (Concrete Pile) 7 m 4 Pile</t>
  </si>
  <si>
    <t>Type DD + 3   -  Kelas 6 (Concrete Pile) 8 m 4 Pile</t>
  </si>
  <si>
    <t>Type DD + 3   -  Kelas 6 (Concrete Pile) 9 m 4 Pile</t>
  </si>
  <si>
    <t>Type DD + 3   -  Kelas 6 (Concrete Pile) 10 m 4 Pile</t>
  </si>
  <si>
    <t>Type DD + 3   -  Kelas 6 (Concrete Pile) 11 m 4 Pile</t>
  </si>
  <si>
    <t>Type DD + 3   -  Kelas 6 (Concrete Pile) 12 m 4 Pile</t>
  </si>
  <si>
    <t>Type DD + 3   -  Kelas 6 (Concrete Pile) 13 m 4 Pile</t>
  </si>
  <si>
    <t>Type DD + 3   -  Kelas 6 (Concrete Pile) 14 m 4 Pile</t>
  </si>
  <si>
    <t>Type DD + 3   -  Kelas 6 (Concrete Pile) 15 m 4 Pile</t>
  </si>
  <si>
    <t>Type DD + 3   -  Kelas 6 (Concrete Pile) 16 m 4 Pile</t>
  </si>
  <si>
    <t>Type DD + 3   -  Kelas 6 (Concrete Pile) 17 m 4 Pile</t>
  </si>
  <si>
    <t>Type DD + 3   -  Kelas 6 (Concrete Pile) 18 m 4 Pile</t>
  </si>
  <si>
    <t>Type DD + 3   -  Kelas 6 (Concrete Pile) 19 m 4 Pile</t>
  </si>
  <si>
    <t>Type DD + 3   -  Kelas 6 (Concrete Pile) 20 m 4 Pile</t>
  </si>
  <si>
    <t>Type DD + 6   -  Kelas 1 (Concrete Pad dan Chimney)</t>
  </si>
  <si>
    <t>Type DD + 6   -  Kelas 2 (Concrete Pad dan Chimney)</t>
  </si>
  <si>
    <t>Type DD + 6   -  Kelas 2W (Concrete Pad dan Chimney)</t>
  </si>
  <si>
    <t>Type DD + 6   -  Kelas 3 (Concrete Pad dan Chimney)</t>
  </si>
  <si>
    <t>Type DD + 6   -  Kelas 3W (Concrete Pad dan Chimney)</t>
  </si>
  <si>
    <t>Type DD + 6   -  Kelas 6 (Concrete Pile) 6 m 4 Pile</t>
  </si>
  <si>
    <t>Type DD + 6   -  Kelas 6 (Concrete Pile) 7 m 4 Pile</t>
  </si>
  <si>
    <t>Type DD + 6   -  Kelas 6 (Concrete Pile) 8 m 4 Pile</t>
  </si>
  <si>
    <t>Type DD + 6   -  Kelas 6 (Concrete Pile) 9 m 4 Pile</t>
  </si>
  <si>
    <t>Type DD + 6   -  Kelas 6 (Concrete Pile) 10 m 4 Pile</t>
  </si>
  <si>
    <t>Type DD + 6   -  Kelas 6 (Concrete Pile) 11 m 4 Pile</t>
  </si>
  <si>
    <t>Type DD + 6   -  Kelas 6 (Concrete Pile) 12 m 4 Pile</t>
  </si>
  <si>
    <t>Type DD + 6   -  Kelas 6 (Concrete Pile) 13 m 4 Pile</t>
  </si>
  <si>
    <t>Type DD + 6   -  Kelas 6 (Concrete Pile) 14 m 4 Pile</t>
  </si>
  <si>
    <t>Type DD + 6   -  Kelas 6 (Concrete Pile) 15 m 4 Pile</t>
  </si>
  <si>
    <t>Type DD + 6   -  Kelas 6 (Concrete Pile) 16 m 4 Pile</t>
  </si>
  <si>
    <t>Type DD + 6   -  Kelas 6 (Concrete Pile) 17 m 4 Pile</t>
  </si>
  <si>
    <t>Type DD + 6   -  Kelas 6 (Concrete Pile) 18 m 4 Pile</t>
  </si>
  <si>
    <t>Type DD + 6   -  Kelas 6 (Concrete Pile) 19 m 4 Pile</t>
  </si>
  <si>
    <t>Type DD + 6   -  Kelas 6 (Concrete Pile) 20 m 4 Pile</t>
  </si>
  <si>
    <t>Type DD + 9   -  Kelas 1 (Concrete Pad dan Chimney)</t>
  </si>
  <si>
    <t>Type DD + 9   -  Kelas 2 (Concrete Pad dan Chimney)</t>
  </si>
  <si>
    <t>Type DD + 9   -  Kelas 2W (Concrete Pad dan Chimney)</t>
  </si>
  <si>
    <t>Type DD + 9   -  Kelas 3 (Concrete Pad dan Chimney)</t>
  </si>
  <si>
    <t>Type DD + 9   -  Kelas 3W (Concrete Pad dan Chimney)</t>
  </si>
  <si>
    <t>Type DD + 9   -  Kelas 6 (Concrete Pile) 6 m 4 Pile</t>
  </si>
  <si>
    <t>Type DD + 9   -  Kelas 6 (Concrete Pile) 7 m 4 Pile</t>
  </si>
  <si>
    <t>Type DD + 9   -  Kelas 6 (Concrete Pile) 8 m 4 Pile</t>
  </si>
  <si>
    <t>Type DD + 9   -  Kelas 6 (Concrete Pile) 9 m 4 Pile</t>
  </si>
  <si>
    <t>Type DD + 9   -  Kelas 6 (Concrete Pile) 10 m 4 Pile</t>
  </si>
  <si>
    <t>Type DD + 9   -  Kelas 6 (Concrete Pile) 11 m 4 Pile</t>
  </si>
  <si>
    <t>Type DD + 9   -  Kelas 6 (Concrete Pile) 12 m 4 Pile</t>
  </si>
  <si>
    <t>Type DD + 9   -  Kelas 6 (Concrete Pile) 13 m 4 Pile</t>
  </si>
  <si>
    <t>Type DD + 9   -  Kelas 6 (Concrete Pile) 14 m 4 Pile</t>
  </si>
  <si>
    <t>Type DD + 9   -  Kelas 6 (Concrete Pile) 15 m 4 Pile</t>
  </si>
  <si>
    <t>Type DD + 9   -  Kelas 6 (Concrete Pile) 16 m 4 Pile</t>
  </si>
  <si>
    <t>Type DD + 9   -  Kelas 6 (Concrete Pile) 17 m 4 Pile</t>
  </si>
  <si>
    <t>Type DD + 9   -  Kelas 6 (Concrete Pile) 18 m 4 Pile</t>
  </si>
  <si>
    <t>Type DD + 9   -  Kelas 6 (Concrete Pile) 19 m 4 Pile</t>
  </si>
  <si>
    <t>Type DD + 9   -  Kelas 6 (Concrete Pile) 20 m 4 Pile</t>
  </si>
  <si>
    <t>Type DD + 12   -  Kelas 1 (Concrete Pad dan Chimney)</t>
  </si>
  <si>
    <t>Type DD + 12   -  Kelas 2 (Concrete Pad dan Chimney)</t>
  </si>
  <si>
    <t>Type DD + 12   -  Kelas 2W (Concrete Pad dan Chimney)</t>
  </si>
  <si>
    <t>Type DD + 12  -  Kelas 3 (Concrete Pad dan Chimney)</t>
  </si>
  <si>
    <t>Type DD + 12 -  Kelas 3W (Concrete Pad dan Chimney)</t>
  </si>
  <si>
    <t>Type DD + 12   -  Kelas 6 (Concrete Pile) 6 m 4 Pile</t>
  </si>
  <si>
    <t>Type DD + 12   -  Kelas 6 (Concrete Pile) 7 m 4 Pile</t>
  </si>
  <si>
    <t>Type DD + 12   -  Kelas 6 (Concrete Pile) 8 m 4 Pile</t>
  </si>
  <si>
    <t>Type DD + 12   -  Kelas 6 (Concrete Pile) 9 m 4 Pile</t>
  </si>
  <si>
    <t>Type DD + 12   -  Kelas 6 (Concrete Pile) 10 m 4 Pile</t>
  </si>
  <si>
    <t>4.91</t>
  </si>
  <si>
    <t>Type DD + 12   -  Kelas 6 (Concrete Pile) 11 m 4 Pile</t>
  </si>
  <si>
    <t>4.92</t>
  </si>
  <si>
    <t>Type DD + 12   -  Kelas 6 (Concrete Pile) 12 m 4 Pile</t>
  </si>
  <si>
    <t>4.93</t>
  </si>
  <si>
    <t>Type DD + 12   -  Kelas 6 (Concrete Pile) 13 m 4 Pile</t>
  </si>
  <si>
    <t>4.94</t>
  </si>
  <si>
    <t>Type DD + 12   -  Kelas 6 (Concrete Pile) 14 m 4 Pile</t>
  </si>
  <si>
    <t>4.95</t>
  </si>
  <si>
    <t>Type DD + 12   -  Kelas 6 (Concrete Pile) 15 m 4 Pile</t>
  </si>
  <si>
    <t>4.96</t>
  </si>
  <si>
    <t>Type DD + 12   -  Kelas 6 (Concrete Pile) 16 m 4 Pile</t>
  </si>
  <si>
    <t>4.97</t>
  </si>
  <si>
    <t>Type DD + 12   -  Kelas 6 (Concrete Pile) 17 m 4 Pile</t>
  </si>
  <si>
    <t>4.98</t>
  </si>
  <si>
    <t>Type DD + 12   -  Kelas 6 (Concrete Pile) 18 m 4 Pile</t>
  </si>
  <si>
    <t>4.99</t>
  </si>
  <si>
    <t>Type DD + 12   -  Kelas 6 (Concrete Pile) 19 m 4 Pile</t>
  </si>
  <si>
    <t>4.100</t>
  </si>
  <si>
    <t>Type DD + 12   -  Kelas 6 (Concrete Pile) 20 m 4 Pile</t>
  </si>
  <si>
    <t>4.101</t>
  </si>
  <si>
    <t>Type DD + 15   -  Kelas 1 (Concrete Pad dan Chimney)</t>
  </si>
  <si>
    <t>4.102</t>
  </si>
  <si>
    <t>Type DD + 15   -  Kelas 2 (Concrete Pad dan Chimney)</t>
  </si>
  <si>
    <t>4.103</t>
  </si>
  <si>
    <t>Type DD + 15   -  Kelas 2W (Concrete Pad dan Chimney)</t>
  </si>
  <si>
    <t>4.104</t>
  </si>
  <si>
    <t>Type DD + 15  -  Kelas 3 (Concrete Pad dan Chimney)</t>
  </si>
  <si>
    <t>4.105</t>
  </si>
  <si>
    <t>Type DD + 15 -  Kelas 3W (Concrete Pad dan Chimney)</t>
  </si>
  <si>
    <t>4.106</t>
  </si>
  <si>
    <t>Type DD + 15   -  Kelas 6 (Concrete Pile) 6 m 4 Pile</t>
  </si>
  <si>
    <t>4.107</t>
  </si>
  <si>
    <t>Type DD + 15   -  Kelas 6 (Concrete Pile) 7 m 4 Pile</t>
  </si>
  <si>
    <t>4.108</t>
  </si>
  <si>
    <t>Type DD + 15   -  Kelas 6 (Concrete Pile) 8 m 4 Pile</t>
  </si>
  <si>
    <t>4.109</t>
  </si>
  <si>
    <t>Type DD + 15   -  Kelas 6 (Concrete Pile) 9 m 4 Pile</t>
  </si>
  <si>
    <t>4.110</t>
  </si>
  <si>
    <t>Type DD + 15   -  Kelas 6 (Concrete Pile) 10 m 4 Pile</t>
  </si>
  <si>
    <t>4.111</t>
  </si>
  <si>
    <t>Type DD + 15   -  Kelas 6 (Concrete Pile) 11 m 4 Pile</t>
  </si>
  <si>
    <t>4.112</t>
  </si>
  <si>
    <t>Type DD + 15   -  Kelas 6 (Concrete Pile) 12 m 4 Pile</t>
  </si>
  <si>
    <t>4.113</t>
  </si>
  <si>
    <t>Type DD + 15   -  Kelas 6 (Concrete Pile) 13 m 4 Pile</t>
  </si>
  <si>
    <t>4.114</t>
  </si>
  <si>
    <t>Type DD + 15   -  Kelas 6 (Concrete Pile) 14 m 4 Pile</t>
  </si>
  <si>
    <t>4.115</t>
  </si>
  <si>
    <t>Type DD + 15   -  Kelas 6 (Concrete Pile) 15 m 4 Pile</t>
  </si>
  <si>
    <t>4.116</t>
  </si>
  <si>
    <t>Type DD + 15   -  Kelas 6 (Concrete Pile) 16 m 4 Pile</t>
  </si>
  <si>
    <t>4.117</t>
  </si>
  <si>
    <t>Type DD + 15   -  Kelas 6 (Concrete Pile) 17 m 4 Pile</t>
  </si>
  <si>
    <t>4.118</t>
  </si>
  <si>
    <t>Type DD + 15   -  Kelas 6 (Concrete Pile) 18 m 4 Pile</t>
  </si>
  <si>
    <t>4.119</t>
  </si>
  <si>
    <t>Type DD + 15   -  Kelas 6 (Concrete Pile) 19 m 4 Pile</t>
  </si>
  <si>
    <t>4.120</t>
  </si>
  <si>
    <t>Type DD + 15   -  Kelas 6 (Concrete Pile) 20 m 4 Pile</t>
  </si>
  <si>
    <t>Type DDR + 0   -  Kelas 1 (Concrete Pad dan Chimney)</t>
  </si>
  <si>
    <t>Type DDR + 0   -  Kelas 2 (Concrete Pad dan Chimney)</t>
  </si>
  <si>
    <t>Type DDR + 0   -  Kelas 2W (Concrete Pad dan Chimney)</t>
  </si>
  <si>
    <t>Type DDR + 0   -  Kelas 3 (Concrete Pad dan Chimney)</t>
  </si>
  <si>
    <t>Type DDR + 0   -  Kelas 3W (Concrete Pad dan Chimney)</t>
  </si>
  <si>
    <t>Type DDR + 0   -  Kelas 6 (Concrete Pile) 6 m 4 Pile</t>
  </si>
  <si>
    <t>Type DDR + 0   -  Kelas 6 (Concrete Pile) 7 m 4 Pile</t>
  </si>
  <si>
    <t>Type DDR + 0   -  Kelas 6 (Concrete Pile) 8 m 4 Pile</t>
  </si>
  <si>
    <t>Type DDR + 0   -  Kelas 6 (Concrete Pile) 9 m 4 Pile</t>
  </si>
  <si>
    <t>Type DDR + 0   -  Kelas 6 (Concrete Pile) 10 m 4 Pile</t>
  </si>
  <si>
    <t>Type DDR + 0   -  Kelas 6 (Concrete Pile) 11 m 4 Pile</t>
  </si>
  <si>
    <t>Type DDR + 0   -  Kelas 6 (Concrete Pile) 12 m 4 Pile</t>
  </si>
  <si>
    <t>Type DDR + 0   -  Kelas 6 (Concrete Pile) 13 m 4 Pile</t>
  </si>
  <si>
    <t>Type DDR + 0   -  Kelas 6 (Concrete Pile) 14 m 4 Pile</t>
  </si>
  <si>
    <t>Type DDR + 0   -  Kelas 6 (Concrete Pile) 15 m 4 Pile</t>
  </si>
  <si>
    <t>Type DDR + 0   -  Kelas 6 (Concrete Pile) 16 m 4 Pile</t>
  </si>
  <si>
    <t>Type DDR + 0   -  Kelas 6 (Concrete Pile) 17 m 4 Pile</t>
  </si>
  <si>
    <t>Type DDR + 0   -  Kelas 6 (Concrete Pile) 18 m 4 Pile</t>
  </si>
  <si>
    <t>Type DDR + 0   -  Kelas 6 (Concrete Pile) 19 m 4 Pile</t>
  </si>
  <si>
    <t>Type DDR + 0   -  Kelas 6 (Concrete Pile) 20 m 4 Pile</t>
  </si>
  <si>
    <t>Type DDR + 3   -  Kelas 1 (Concrete Pad dan Chimney)</t>
  </si>
  <si>
    <t>Type DDR + 3   -  Kelas 2 (Concrete Pad dan Chimney)</t>
  </si>
  <si>
    <t>Type DDR + 3   -  Kelas 2W (Concrete Pad dan Chimney)</t>
  </si>
  <si>
    <t>Type DDR + 3   -  Kelas 3 (Concrete Pad dan Chimney)</t>
  </si>
  <si>
    <t>Type DDR + 3   -  Kelas 3W (Concrete Pad dan Chimney)</t>
  </si>
  <si>
    <t>Type DDR + 3   -  Kelas 6 (Concrete Pile) 6 m 4 Pile</t>
  </si>
  <si>
    <t>Type DDR + 3   -  Kelas 6 (Concrete Pile) 7 m 4 Pile</t>
  </si>
  <si>
    <t>Type DDR + 3   -  Kelas 6 (Concrete Pile) 8 m 4 Pile</t>
  </si>
  <si>
    <t>Type DDR + 3   -  Kelas 6 (Concrete Pile) 9 m 4 Pile</t>
  </si>
  <si>
    <t>Type DDR + 3   -  Kelas 6 (Concrete Pile) 10 m 4 Pile</t>
  </si>
  <si>
    <t>Type DDR + 3   -  Kelas 6 (Concrete Pile) 11 m 4 Pile</t>
  </si>
  <si>
    <t>Type DDR + 3   -  Kelas 6 (Concrete Pile) 12 m 4 Pile</t>
  </si>
  <si>
    <t>Type DDR + 3   -  Kelas 6 (Concrete Pile) 13 m 4 Pile</t>
  </si>
  <si>
    <t>Type DDR + 3   -  Kelas 6 (Concrete Pile) 14 m 4 Pile</t>
  </si>
  <si>
    <t>Type DDR + 3   -  Kelas 6 (Concrete Pile) 15 m 4 Pile</t>
  </si>
  <si>
    <t>Type DDR + 3   -  Kelas 6 (Concrete Pile) 16 m 4 Pile</t>
  </si>
  <si>
    <t>Type DDR + 3   -  Kelas 6 (Concrete Pile) 17 m 4 Pile</t>
  </si>
  <si>
    <t>Type DDR + 3   -  Kelas 6 (Concrete Pile) 18 m 4 Pile</t>
  </si>
  <si>
    <t>Type DDR + 3   -  Kelas 6 (Concrete Pile) 19 m 4 Pile</t>
  </si>
  <si>
    <t>Type DDR + 3   -  Kelas 6 (Concrete Pile) 20 m 4 Pile</t>
  </si>
  <si>
    <t>Type DDR + 6   -  Kelas 1 (Concrete Pad dan Chimney)</t>
  </si>
  <si>
    <t>Type DDR + 6   -  Kelas 2 (Concrete Pad dan Chimney)</t>
  </si>
  <si>
    <t>Type DDR + 6   -  Kelas 2W (Concrete Pad dan Chimney)</t>
  </si>
  <si>
    <t>Type DDR + 6   -  Kelas 3 (Concrete Pad dan Chimney)</t>
  </si>
  <si>
    <t>Type DDR + 6   -  Kelas 3W (Concrete Pad dan Chimney)</t>
  </si>
  <si>
    <t>Type DDR + 6   -  Kelas 6 (Concrete Pile) 6 m 4 Pile</t>
  </si>
  <si>
    <t>Type DDR + 6   -  Kelas 6 (Concrete Pile) 7 m 4 Pile</t>
  </si>
  <si>
    <t>Type DDR + 6   -  Kelas 6 (Concrete Pile) 8 m 4 Pile</t>
  </si>
  <si>
    <t>Type DDR + 6   -  Kelas 6 (Concrete Pile) 9 m 4 Pile</t>
  </si>
  <si>
    <t>Type DDR + 6   -  Kelas 6 (Concrete Pile) 10 m 4 Pile</t>
  </si>
  <si>
    <t>Type DDR + 6   -  Kelas 6 (Concrete Pile) 11 m 4 Pile</t>
  </si>
  <si>
    <t>Type DDR + 6   -  Kelas 6 (Concrete Pile) 12 m 4 Pile</t>
  </si>
  <si>
    <t>Type DDR + 6   -  Kelas 6 (Concrete Pile) 13 m 4 Pile</t>
  </si>
  <si>
    <t>Type DDR + 6   -  Kelas 6 (Concrete Pile) 14 m 4 Pile</t>
  </si>
  <si>
    <t>Type DDR + 6   -  Kelas 6 (Concrete Pile) 15 m 4 Pile</t>
  </si>
  <si>
    <t>Type DDR + 6   -  Kelas 6 (Concrete Pile) 16 m 4 Pile</t>
  </si>
  <si>
    <t>Type DDR + 6   -  Kelas 6 (Concrete Pile) 17 m 4 Pile</t>
  </si>
  <si>
    <t>Type DDR + 6   -  Kelas 6 (Concrete Pile) 18 m 4 Pile</t>
  </si>
  <si>
    <t>Type DDR + 6   -  Kelas 6 (Concrete Pile) 19 m 4 Pile</t>
  </si>
  <si>
    <t>Type DDR + 6   -  Kelas 6 (Concrete Pile) 20 m 4 Pile</t>
  </si>
  <si>
    <t>Type DDR + 9   -  Kelas 1 (Concrete Pad dan Chimney)</t>
  </si>
  <si>
    <t>Type DDR + 9   -  Kelas 2 (Concrete Pad dan Chimney)</t>
  </si>
  <si>
    <t>Type DDR + 9   -  Kelas 2W (Concrete Pad dan Chimney)</t>
  </si>
  <si>
    <t>Type DDR + 9   -  Kelas 3 (Concrete Pad dan Chimney)</t>
  </si>
  <si>
    <t>Type DDR + 9   -  Kelas 3W (Concrete Pad dan Chimney)</t>
  </si>
  <si>
    <t>Type DDR + 9   -  Kelas 6 (Concrete Pile) 6 m 4 Pile</t>
  </si>
  <si>
    <t>Type DDR + 9   -  Kelas 6 (Concrete Pile) 7 m 4 Pile</t>
  </si>
  <si>
    <t>Type DDR + 9   -  Kelas 6 (Concrete Pile) 8 m 4 Pile</t>
  </si>
  <si>
    <t>Type DDR + 9   -  Kelas 6 (Concrete Pile) 9 m 4 Pile</t>
  </si>
  <si>
    <t>Type DDR + 9   -  Kelas 6 (Concrete Pile) 10 m 4 Pile</t>
  </si>
  <si>
    <t>Type DDR + 9   -  Kelas 6 (Concrete Pile) 11 m 4 Pile</t>
  </si>
  <si>
    <t>Type DDR + 9   -  Kelas 6 (Concrete Pile) 12 m 4 Pile</t>
  </si>
  <si>
    <t>Type DDR + 9   -  Kelas 6 (Concrete Pile) 13 m 4 Pile</t>
  </si>
  <si>
    <t>Type DDR + 9   -  Kelas 6 (Concrete Pile) 14 m 4 Pile</t>
  </si>
  <si>
    <t>Type DDR + 9   -  Kelas 6 (Concrete Pile) 15 m 4 Pile</t>
  </si>
  <si>
    <t>Type DDR + 9   -  Kelas 6 (Concrete Pile) 16 m 4 Pile</t>
  </si>
  <si>
    <t>Type DDR + 9   -  Kelas 6 (Concrete Pile) 17 m 4 Pile</t>
  </si>
  <si>
    <t>Type DDR + 9   -  Kelas 6 (Concrete Pile) 18 m 4 Pile</t>
  </si>
  <si>
    <t>Type DDR + 9   -  Kelas 6 (Concrete Pile) 19 m 4 Pile</t>
  </si>
  <si>
    <t>Type DDR + 9   -  Kelas 6 (Concrete Pile) 20 m 4 Pile</t>
  </si>
  <si>
    <t>Type DDR + 12   -  Kelas 1 (Concrete Pad dan Chimney)</t>
  </si>
  <si>
    <t>Type DDR + 12   -  Kelas 2 (Concrete Pad dan Chimney)</t>
  </si>
  <si>
    <t>Type DDR + 12   -  Kelas 2W (Concrete Pad dan Chimney)</t>
  </si>
  <si>
    <t>Type DDR + 12  -  Kelas 3 (Concrete Pad dan Chimney)</t>
  </si>
  <si>
    <t>Type DDR + 12 -  Kelas 3W (Concrete Pad dan Chimney)</t>
  </si>
  <si>
    <t>Type DDR + 12   -  Kelas 6 (Concrete Pile) 6 m 4 Pile</t>
  </si>
  <si>
    <t>Type DDR + 12   -  Kelas 6 (Concrete Pile) 7 m 4 Pile</t>
  </si>
  <si>
    <t>Type DDR + 12   -  Kelas 6 (Concrete Pile) 8 m 4 Pile</t>
  </si>
  <si>
    <t>Type DDR + 12   -  Kelas 6 (Concrete Pile) 9 m 4 Pile</t>
  </si>
  <si>
    <t>Type DDR + 12   -  Kelas 6 (Concrete Pile) 10 m 4 Pile</t>
  </si>
  <si>
    <t>5.91</t>
  </si>
  <si>
    <t>Type DDR + 12   -  Kelas 6 (Concrete Pile) 11 m 4 Pile</t>
  </si>
  <si>
    <t>5.92</t>
  </si>
  <si>
    <t>Type DDR + 12   -  Kelas 6 (Concrete Pile) 12 m 4 Pile</t>
  </si>
  <si>
    <t>5.93</t>
  </si>
  <si>
    <t>Type DDR + 12   -  Kelas 6 (Concrete Pile) 13 m 4 Pile</t>
  </si>
  <si>
    <t>5.94</t>
  </si>
  <si>
    <t>Type DDR + 12   -  Kelas 6 (Concrete Pile) 14 m 4 Pile</t>
  </si>
  <si>
    <t>5.95</t>
  </si>
  <si>
    <t>Type DDR + 12   -  Kelas 6 (Concrete Pile) 15 m 4 Pile</t>
  </si>
  <si>
    <t>5.96</t>
  </si>
  <si>
    <t>Type DDR + 12   -  Kelas 6 (Concrete Pile) 16 m 4 Pile</t>
  </si>
  <si>
    <t>5.97</t>
  </si>
  <si>
    <t>Type DDR + 12   -  Kelas 6 (Concrete Pile) 17 m 4 Pile</t>
  </si>
  <si>
    <t>5.98</t>
  </si>
  <si>
    <t>Type DDR + 12   -  Kelas 6 (Concrete Pile) 18 m 4 Pile</t>
  </si>
  <si>
    <t>5.99</t>
  </si>
  <si>
    <t>Type DDR + 12   -  Kelas 6 (Concrete Pile) 19 m 4 Pile</t>
  </si>
  <si>
    <t>5.100</t>
  </si>
  <si>
    <t>Type DDR + 12   -  Kelas 6 (Concrete Pile) 20 m 4 Pile</t>
  </si>
  <si>
    <t>5.101</t>
  </si>
  <si>
    <t>Type DDR + 15   -  Kelas 1 (Concrete Pad dan Chimney)</t>
  </si>
  <si>
    <t>5.102</t>
  </si>
  <si>
    <t>Type DDR + 15   -  Kelas 2 (Concrete Pad dan Chimney)</t>
  </si>
  <si>
    <t>5.103</t>
  </si>
  <si>
    <t>Type DDR + 15   -  Kelas 2W (Concrete Pad dan Chimney)</t>
  </si>
  <si>
    <t>5.104</t>
  </si>
  <si>
    <t>Type DDR + 15  -  Kelas 3 (Concrete Pad dan Chimney)</t>
  </si>
  <si>
    <t>5.105</t>
  </si>
  <si>
    <t>Type DDR + 15 -  Kelas 3W (Concrete Pad dan Chimney)</t>
  </si>
  <si>
    <t>5.106</t>
  </si>
  <si>
    <t>Type DDR + 15   -  Kelas 6 (Concrete Pile) 6 m 4 Pile</t>
  </si>
  <si>
    <t>5.107</t>
  </si>
  <si>
    <t>Type DDR + 15   -  Kelas 6 (Concrete Pile) 7 m 4 Pile</t>
  </si>
  <si>
    <t>5.108</t>
  </si>
  <si>
    <t>Type DDR + 15   -  Kelas 6 (Concrete Pile) 8 m 4 Pile</t>
  </si>
  <si>
    <t>5.109</t>
  </si>
  <si>
    <t>Type DDR + 15   -  Kelas 6 (Concrete Pile) 9 m 4 Pile</t>
  </si>
  <si>
    <t>5.110</t>
  </si>
  <si>
    <t>Type DDR + 15   -  Kelas 6 (Concrete Pile) 10 m 4 Pile</t>
  </si>
  <si>
    <t>5.111</t>
  </si>
  <si>
    <t>Type DDR + 15   -  Kelas 6 (Concrete Pile) 11 m 4 Pile</t>
  </si>
  <si>
    <t>5.112</t>
  </si>
  <si>
    <t>Type DDR + 15   -  Kelas 6 (Concrete Pile) 12 m 4 Pile</t>
  </si>
  <si>
    <t>5.113</t>
  </si>
  <si>
    <t>Type DDR + 15   -  Kelas 6 (Concrete Pile) 13 m 4 Pile</t>
  </si>
  <si>
    <t>5.114</t>
  </si>
  <si>
    <t>Type DDR + 15   -  Kelas 6 (Concrete Pile) 14 m 4 Pile</t>
  </si>
  <si>
    <t>5.115</t>
  </si>
  <si>
    <t>Type DDR + 15   -  Kelas 6 (Concrete Pile) 15 m 4 Pile</t>
  </si>
  <si>
    <t>5.116</t>
  </si>
  <si>
    <t>Type DDR + 15   -  Kelas 6 (Concrete Pile) 16 m 4 Pile</t>
  </si>
  <si>
    <t>5.117</t>
  </si>
  <si>
    <t>Type DDR + 15   -  Kelas 6 (Concrete Pile) 17 m 4 Pile</t>
  </si>
  <si>
    <t>5.118</t>
  </si>
  <si>
    <t>Type DDR + 15   -  Kelas 6 (Concrete Pile) 18 m 4 Pile</t>
  </si>
  <si>
    <t>5.119</t>
  </si>
  <si>
    <t>Type DDR + 15   -  Kelas 6 (Concrete Pile) 19 m 4 Pile</t>
  </si>
  <si>
    <t>5.120</t>
  </si>
  <si>
    <t>Type DDR + 15   -  Kelas 6 (Concrete Pile) 20 m 4 Pile</t>
  </si>
  <si>
    <t>SUB - TOTAL D. II PEKERJAAN PONDASI</t>
  </si>
  <si>
    <t>ANALISA HARGA SATUAN LANGSIR TOWER</t>
  </si>
  <si>
    <t xml:space="preserve">JENIS TOWER </t>
  </si>
  <si>
    <t>PENGADAAN TOWER</t>
  </si>
  <si>
    <t xml:space="preserve">SATUAN </t>
  </si>
  <si>
    <t>LANGSIR MATERIAL TOWER</t>
  </si>
  <si>
    <t>1. Tower Type AA2</t>
  </si>
  <si>
    <t xml:space="preserve">     a. Tower Type AA2 + 0</t>
  </si>
  <si>
    <t xml:space="preserve">     b. Tower Type AA2 + 3</t>
  </si>
  <si>
    <t xml:space="preserve">     c. Tower Type AA2 + 6</t>
  </si>
  <si>
    <t xml:space="preserve">     d. Tower Type AA2 + 9</t>
  </si>
  <si>
    <t xml:space="preserve">     e. Tower Type AA2 + 12</t>
  </si>
  <si>
    <t xml:space="preserve">     f. Tower Type AA2 + 15</t>
  </si>
  <si>
    <t>2. Tower Type BB2</t>
  </si>
  <si>
    <t xml:space="preserve">     a. Tower Type BB2 + 0</t>
  </si>
  <si>
    <t xml:space="preserve">     b. Tower Type BB2 + 3</t>
  </si>
  <si>
    <t xml:space="preserve">     c. Tower Type BB2 + 6</t>
  </si>
  <si>
    <t xml:space="preserve">     d. Tower Type BB2 + 9</t>
  </si>
  <si>
    <t xml:space="preserve">     e. Tower Type BB2 + 12</t>
  </si>
  <si>
    <t xml:space="preserve">     f. Tower Type BB2 + 15</t>
  </si>
  <si>
    <t>3. Tower Type CC2</t>
  </si>
  <si>
    <t xml:space="preserve">     a. Tower Type CC2 + 0</t>
  </si>
  <si>
    <t xml:space="preserve">     b. Tower Type CC2 + 3</t>
  </si>
  <si>
    <t xml:space="preserve">     c. Tower Type CC2 + 6</t>
  </si>
  <si>
    <t xml:space="preserve">     d. Tower Type CC2 + 9</t>
  </si>
  <si>
    <t xml:space="preserve">     e. Tower Type CC2 + 12</t>
  </si>
  <si>
    <t xml:space="preserve">     f. Tower Type CC2 + 15</t>
  </si>
  <si>
    <t>4. Tower Type DD2</t>
  </si>
  <si>
    <t xml:space="preserve">     a. Tower Type DD2 + 0</t>
  </si>
  <si>
    <t xml:space="preserve">     b. Tower Type DD2 + 3</t>
  </si>
  <si>
    <t xml:space="preserve">     c. Tower Type DD2 + 6</t>
  </si>
  <si>
    <t xml:space="preserve">     d. Tower Type DD2 + 9</t>
  </si>
  <si>
    <t xml:space="preserve">     e. Tower Type DD2 + 12</t>
  </si>
  <si>
    <t xml:space="preserve">     f. Tower Type DD2 + 15</t>
  </si>
  <si>
    <t>5. Tower Type DDR2</t>
  </si>
  <si>
    <t xml:space="preserve">     a. Tower Type DDR2 + 0</t>
  </si>
  <si>
    <t xml:space="preserve">     b. Tower Type DDR2 + 3</t>
  </si>
  <si>
    <t xml:space="preserve">     c. Tower Type DDR2 + 6</t>
  </si>
  <si>
    <t xml:space="preserve">     d. Tower Type DDR2 + 9</t>
  </si>
  <si>
    <t xml:space="preserve">     e. Tower Type DDR2 + 12</t>
  </si>
  <si>
    <t xml:space="preserve">     f. Tower Type DDR2 + 15</t>
  </si>
  <si>
    <t>6 Tower Type 70 SCSP-1</t>
  </si>
  <si>
    <t xml:space="preserve">     a. Tower 70SCSP-1 + 3</t>
  </si>
  <si>
    <t xml:space="preserve">     b. Tower 70SCSP-1 + 4</t>
  </si>
  <si>
    <t xml:space="preserve">     c. Tower 70SCSP-1 + 5</t>
  </si>
  <si>
    <t xml:space="preserve">     d. Tower 70SCSP-1 + 6</t>
  </si>
  <si>
    <t xml:space="preserve">     e. Tower 70SCSP-1 + 7</t>
  </si>
  <si>
    <t xml:space="preserve">     f.  Tower 70SCSP-1 + 8</t>
  </si>
  <si>
    <t xml:space="preserve">     g. Tower 70SCSP-1 + 9</t>
  </si>
  <si>
    <t>7. Tower Type 70 TCSP-15</t>
  </si>
  <si>
    <t xml:space="preserve">     a. Tower 70TCSP-15 + 1</t>
  </si>
  <si>
    <t xml:space="preserve">     b. Tower 70TCSP-15 + 2</t>
  </si>
  <si>
    <t xml:space="preserve">     c. Tower 70TCSP-15 + 4</t>
  </si>
  <si>
    <t xml:space="preserve">     d. Tower 70TCSP-15 + 5</t>
  </si>
  <si>
    <t xml:space="preserve">     e. Tower 70TCSP-15 + 7</t>
  </si>
  <si>
    <t xml:space="preserve">     f.  Tower 70TCSP-15 + 8</t>
  </si>
  <si>
    <t>8. Tower Type 70 TCSP-30</t>
  </si>
  <si>
    <t xml:space="preserve">     a. Tower 70TCSP-30 + 1</t>
  </si>
  <si>
    <t xml:space="preserve">     b. Tower 70TCSP-30 + 2</t>
  </si>
  <si>
    <t xml:space="preserve">     c. Tower 70TCSP-30 + 4</t>
  </si>
  <si>
    <t xml:space="preserve">     d. Tower 70TCSP-30 + 5</t>
  </si>
  <si>
    <t xml:space="preserve">     e. Tower 70TCSP-30 + 7</t>
  </si>
  <si>
    <t xml:space="preserve">     f.  Tower 70TCSP-30 + 8</t>
  </si>
  <si>
    <t>9. Tower Type 70 TCSP-60</t>
  </si>
  <si>
    <t xml:space="preserve">     a. Tower 70TCSP-60 + 1</t>
  </si>
  <si>
    <t xml:space="preserve">     b. Tower 70TCSP-60 + 2</t>
  </si>
  <si>
    <t xml:space="preserve">     c. Tower 70TCSP-60 + 4</t>
  </si>
  <si>
    <t xml:space="preserve">     d. Tower 70TCSP-60 + 5</t>
  </si>
  <si>
    <t xml:space="preserve">     e. Tower 70TCSP-60 + 7</t>
  </si>
  <si>
    <t xml:space="preserve">     f.  Tower 70TCSP-60 + 8</t>
  </si>
  <si>
    <t>LANGSIR STUB TOWER</t>
  </si>
  <si>
    <t>-Type AA</t>
  </si>
  <si>
    <t xml:space="preserve">       Stub angle SF</t>
  </si>
  <si>
    <t xml:space="preserve">                    KELAS 1</t>
  </si>
  <si>
    <t xml:space="preserve">                    KELAS 2</t>
  </si>
  <si>
    <t xml:space="preserve">                    KELAS 2W</t>
  </si>
  <si>
    <t xml:space="preserve">                    KELAS 3</t>
  </si>
  <si>
    <t xml:space="preserve">                    KELAS 3W</t>
  </si>
  <si>
    <t xml:space="preserve">       Stub angle borepile</t>
  </si>
  <si>
    <t>-Type BB</t>
  </si>
  <si>
    <t>-Type CC</t>
  </si>
  <si>
    <t>-Type DD</t>
  </si>
  <si>
    <t>-Type DDR</t>
  </si>
  <si>
    <t>LANGSIR MATERIAL PELENGKAP TOWER</t>
  </si>
  <si>
    <t>Number and phase plate</t>
  </si>
  <si>
    <t>ANALISA HARGA SATUAN PEMASANGAN TOWER</t>
  </si>
  <si>
    <t>Pemasangan Tower</t>
  </si>
  <si>
    <t>Pemasangan Tower 70 kV Steelpole</t>
  </si>
  <si>
    <t>1. Tower Type 70 SCSP-1</t>
  </si>
  <si>
    <t>2. Tower Type 70 TCSP-15</t>
  </si>
  <si>
    <t>3. Tower Type 70 TCSP-30</t>
  </si>
  <si>
    <t>4. Tower Type 70 TCSP-60</t>
  </si>
  <si>
    <t>Pemasangan Stub Tower</t>
  </si>
  <si>
    <t>Pemasangan Material Pelengkap Tower</t>
  </si>
  <si>
    <t xml:space="preserve">Pengelasan bolt &amp; nut pada basic tower </t>
  </si>
  <si>
    <t>PEMASANGAN TOWER</t>
  </si>
  <si>
    <t>Pekerjaan persiapan</t>
  </si>
  <si>
    <t>Mobilisasi dan Demobilisasi (termasuk sewa lahan &amp; gudang)</t>
  </si>
  <si>
    <t>Pekerjaan Pengelasan Basic Tower</t>
  </si>
  <si>
    <t>SUB - TOTAL C PEKERJAAN PEMASANGAN TOWER</t>
  </si>
  <si>
    <t>Catatan : Pekerjaan Pemasangan di atas adalah Pekerjaan Pemasangan Material Tower + Langsir Material.</t>
  </si>
  <si>
    <t>ITEM NO</t>
  </si>
  <si>
    <t>ALOKASI BIAYA</t>
  </si>
  <si>
    <t>PEKERJAAN INVESTIGASI TANAH</t>
  </si>
  <si>
    <t xml:space="preserve">Mobilisasi dan Demobilisasi Peralatan ke/dari lokasi pekerjaan </t>
  </si>
  <si>
    <t>Pekerjaan Investigasi Tanah</t>
  </si>
  <si>
    <t xml:space="preserve">Pengujian menggunakan Dutch Cone Static Penetrometer test hingga kedalaman 20 m termasuk biaya mobilisasi dan demobilisasi serta pengangkutannya untuk alat DCSP dan peralatan lainnya diantara tapak tower, penyiapan laporan dan rekomendasi untuk desain pondasi </t>
  </si>
  <si>
    <t>SUB-TOTAL III.A - PEKERJAAN INVESTIGASI TANAH</t>
  </si>
  <si>
    <t>Pemasangan casing pada pekerjaan bore pile untuk tanah yang berpotensi mengalami keruntuhan diawal pengeboran hingga kedalaman maksimum - 4.00 meter untuk setiap titik pengeboran</t>
  </si>
  <si>
    <t>Pekerjaan Slope Proteksi</t>
  </si>
  <si>
    <t>Pasangan batu kali 1 : 4</t>
  </si>
  <si>
    <t>Plesteran 1: 2 (untuk trap proteksi)</t>
  </si>
  <si>
    <t>m²</t>
  </si>
  <si>
    <t xml:space="preserve">Siar Rata 1: 2 </t>
  </si>
  <si>
    <t>Beton K 175, concrete frame</t>
  </si>
  <si>
    <t>Besi Beton</t>
  </si>
  <si>
    <t>1. Sloof</t>
  </si>
  <si>
    <t>2. Balok</t>
  </si>
  <si>
    <t>3. Kolom</t>
  </si>
  <si>
    <t>Galian Tanah Pondasi</t>
  </si>
  <si>
    <t>m³</t>
  </si>
  <si>
    <t>Urugan Pasir</t>
  </si>
  <si>
    <t xml:space="preserve">Timbunan Tanah </t>
  </si>
  <si>
    <t xml:space="preserve">Cerocok Kayu </t>
  </si>
  <si>
    <t>Langsir Material</t>
  </si>
  <si>
    <t>Pekerjaan Drainase Slope Proteksi</t>
  </si>
  <si>
    <t>Galian Tanah</t>
  </si>
  <si>
    <t>Buis beton 1/2 lingkaran (Ø20 cm)</t>
  </si>
  <si>
    <t>Mortar beton</t>
  </si>
  <si>
    <t>Pekerjaan Grounding</t>
  </si>
  <si>
    <t>Counterpoise cable 4 x 15m panjang, galian sedalam 450 mm termasuk compression joints</t>
  </si>
  <si>
    <t>Tambahan sambungan diagonal tersambung ke counterpoise cable, galian sedalam 450 mm termasuk compression joints</t>
  </si>
  <si>
    <t>Tambahan untuk item 3.a dan 3.b untuk galian batu sedalam 450 mm</t>
  </si>
  <si>
    <t>Tambahan untuk item 3.a dan 3.b untuk pemasangan pada kedalaman 750 mm</t>
  </si>
  <si>
    <t>Pengadaan Long Stub</t>
  </si>
  <si>
    <t>Penggunaan long stub pada areal tapak tower yang memiliki/ rawan terhadap muka air tanah yang tinggi (rawa dan persawahan)</t>
  </si>
  <si>
    <t>SUB-TOTAL III.D - PEKERJAAN PONDASI TOWER</t>
  </si>
  <si>
    <t>TOTAL III - ALOKASI BIAYA</t>
  </si>
  <si>
    <t>6=4x5</t>
  </si>
  <si>
    <r>
      <t>Line conductor spacer (jumper) 200 mm untuk ACSR 240 mm</t>
    </r>
    <r>
      <rPr>
        <sz val="11"/>
        <rFont val="Calibri"/>
        <family val="2"/>
      </rPr>
      <t>²</t>
    </r>
  </si>
  <si>
    <r>
      <t>Line conductor spacer (span) 400 mm untuk ACSR 240/40 mm</t>
    </r>
    <r>
      <rPr>
        <sz val="11"/>
        <rFont val="Calibri"/>
        <family val="2"/>
      </rPr>
      <t>²</t>
    </r>
  </si>
  <si>
    <t xml:space="preserve"> SS * 12</t>
  </si>
  <si>
    <t>DS * 24</t>
  </si>
  <si>
    <t>ST * 12</t>
  </si>
  <si>
    <t>DT * 24</t>
  </si>
  <si>
    <t>JI * 12</t>
  </si>
  <si>
    <t>TRANSPORTASI MATERIAL</t>
  </si>
  <si>
    <t>ACSR 435/55  mm²</t>
  </si>
  <si>
    <t>OPGW 60 mm²</t>
  </si>
  <si>
    <t>Stockbridge type Vibration Damper untuk ACSR 435/55 mm²</t>
  </si>
  <si>
    <t>Compression midspan joint untuk ACSR 435/55 mm²</t>
  </si>
  <si>
    <t>Repair sleeve untuk ACSR 435/55 mm²</t>
  </si>
  <si>
    <t>Line conductor spacer (span) 400 mm untuk ACSR 435/55 mm²</t>
  </si>
  <si>
    <t>Line conductor spacer (jumper) 200 mm untuk ACSR 435/55 mm²</t>
  </si>
  <si>
    <t>Single suspension set lengkap clamp, arching Horn, armour rods, untuk 2 x ACSR 435/55 mm²</t>
  </si>
  <si>
    <t xml:space="preserve">Double suspension set lengkap clamp, arching horn, armour rods, untuk 2 x ACSR 435/55 mm² </t>
  </si>
  <si>
    <t xml:space="preserve">Single tension set lengkap clamp, arching horn, armour rods, untuk 2 x ACSR 435/55 mm² </t>
  </si>
  <si>
    <t xml:space="preserve">Double tension set lengkap clamp, arching  horn, armour rods, untuk 2 x ACSR 435/55 mm² </t>
  </si>
  <si>
    <t xml:space="preserve">Single tension inverted set lengkap clamp, arching  horn, untuk 2 x ACSR 435/55 mm² </t>
  </si>
  <si>
    <t xml:space="preserve">Jumper insulator set lengkap clamp, untuk 2 x ACSR 435/55 mm² </t>
  </si>
  <si>
    <t>Disk Insulator fog 160 kN</t>
  </si>
  <si>
    <t>Disk Insulator normal 160 kN</t>
  </si>
  <si>
    <t xml:space="preserve">JUMLAH II ( 1 + 2 + 3 + 4 ) </t>
  </si>
  <si>
    <t>PEKERJAAN PEMASANGAN,PENARIKAN &amp; KOMISIONING :</t>
  </si>
  <si>
    <t>PEKERJAAN PERSIAPAN</t>
  </si>
  <si>
    <t>Mobilisasi &amp; demobilisasi Peralatan Pemasangan Material</t>
  </si>
  <si>
    <r>
      <t>m</t>
    </r>
    <r>
      <rPr>
        <b/>
        <sz val="11"/>
        <rFont val="Calibri"/>
        <family val="2"/>
      </rPr>
      <t>²</t>
    </r>
  </si>
  <si>
    <t>Clearing</t>
  </si>
  <si>
    <t>Pembersihan jalur</t>
  </si>
  <si>
    <t>Twin Zebra</t>
  </si>
  <si>
    <t>Pembuatan stegger</t>
  </si>
  <si>
    <t>Twin Hawk</t>
  </si>
  <si>
    <t>Pembuatan back stay</t>
  </si>
  <si>
    <r>
      <t>1 m</t>
    </r>
    <r>
      <rPr>
        <b/>
        <sz val="11"/>
        <rFont val="Calibri"/>
        <family val="2"/>
      </rPr>
      <t>²</t>
    </r>
    <r>
      <rPr>
        <b/>
        <sz val="11"/>
        <rFont val="Arial Narrow"/>
        <family val="2"/>
      </rPr>
      <t xml:space="preserve"> Clearing</t>
    </r>
  </si>
  <si>
    <t>Pembuatan sagging schedule</t>
  </si>
  <si>
    <t>Quadraple Zebra</t>
  </si>
  <si>
    <t>SUB TOTAL 1</t>
  </si>
  <si>
    <t xml:space="preserve">Single suspension set lengkap clamp, arching Horn, armour rods dan disks insulator (12 disk), untuk 2 x ACSR 240/40 mm² </t>
  </si>
  <si>
    <t>Double suspension set lengkap clamp, arching horn, armour rods dan disks insulator (24 disk), untuk 2 x ACSR 240/40 mm²</t>
  </si>
  <si>
    <t>Single tension set lengkap clamp, arching horn dan disks insulator (12 disk), untuk 2 x ACSR 240/40 mm²</t>
  </si>
  <si>
    <t xml:space="preserve">Double tension set lengkap clamp, arching  horn dan disks insulator (24 disk), untuk 2 x ACSR 240/40 mm² </t>
  </si>
  <si>
    <t>Single tension inverted set lengkap clamp, arching  horn dan disks insulator (12 disk), untuk 2 x ACSR 240/40 mm²</t>
  </si>
  <si>
    <t>Jumper insulator set lengkap clamp dan disks insulator (12 disk), untuk 2 x ACSR 240/40 mm²</t>
  </si>
  <si>
    <t xml:space="preserve">PENARIKAN KAWAT </t>
  </si>
  <si>
    <t>ACSR 240/40 mm²</t>
  </si>
  <si>
    <t>Pekerjaan sagging konduktor</t>
  </si>
  <si>
    <t>Pembuatan As Build Drawing</t>
  </si>
  <si>
    <t>3 Orang</t>
  </si>
  <si>
    <t>PEMASANGAN FITTING &amp; ASSESORIES UNTUK KONDUKTOR PHASA DAN  KAWAT TANAH</t>
  </si>
  <si>
    <t>Stockbridge type Vibration Damper for ACSR 240/40 mm²</t>
  </si>
  <si>
    <t>Repair sleeve untuk ACSR 240/40 mm²</t>
  </si>
  <si>
    <t>Line conductor spacer (jumper) 200 mm untuk ACSR 240/40 mm²</t>
  </si>
  <si>
    <t>PERALATAN K - 3</t>
  </si>
  <si>
    <t>SUB TOTAL (4 + 5)</t>
  </si>
  <si>
    <t>KOMISIONING</t>
  </si>
  <si>
    <t>Total EM</t>
  </si>
  <si>
    <t>SUB TOTAL 6</t>
  </si>
  <si>
    <t>Untuk Pekerjaan Komisioning Diambil 1% dari Total Biaya EM</t>
  </si>
  <si>
    <t xml:space="preserve">JUMLAH II ( 1 + 2 + 3 + 4 + 5 + 6 ) </t>
  </si>
  <si>
    <t>JUMLAH I + II</t>
  </si>
  <si>
    <t>PENGADAAN MATERIAL TOWER DAN MATERIAL PELENGKAP LAINNYA</t>
  </si>
  <si>
    <t>Pengadaan Tower</t>
  </si>
  <si>
    <t>Berat Tower</t>
  </si>
  <si>
    <t>Berat x Volume</t>
  </si>
  <si>
    <t>Berat Stub Tower</t>
  </si>
  <si>
    <t>Jumlah Type AA2</t>
  </si>
  <si>
    <t>Jumlah Type BB2</t>
  </si>
  <si>
    <t>Jumlah Type CC2</t>
  </si>
  <si>
    <t>Jumlah Type DD2</t>
  </si>
  <si>
    <t>Jumlah Type DDR2</t>
  </si>
  <si>
    <t>Pengadaan Stub Tower</t>
  </si>
  <si>
    <t>Total Berat</t>
  </si>
  <si>
    <t>Ton</t>
  </si>
  <si>
    <t>Daya Angkut Truk</t>
  </si>
  <si>
    <t>Kebutuhan Truk</t>
  </si>
  <si>
    <t>Truk</t>
  </si>
  <si>
    <t>Harga Sewa Truk (a)</t>
  </si>
  <si>
    <t>Rupiah</t>
  </si>
  <si>
    <t>Input Manual (Jakarta - Medan)</t>
  </si>
  <si>
    <t>Total Harga Sewa</t>
  </si>
  <si>
    <t>Asuransi</t>
  </si>
  <si>
    <t>Harga Sewa Truk (b)</t>
  </si>
  <si>
    <t>(a) + (b)</t>
  </si>
  <si>
    <t>Pengadaan Material Pelengkap Tower</t>
  </si>
  <si>
    <t>Pengangkutan Material ke Site</t>
  </si>
  <si>
    <t>SUB - TOTAL B PEKERJAAN PENGADAAN TOWER</t>
  </si>
  <si>
    <t>REKAPITULASI BILL OF QUANTITY</t>
  </si>
  <si>
    <t>PEMBANGUNAN T/L 150 kV SIBUHUAN - GUNUNG TUA (SECTION 1)</t>
  </si>
  <si>
    <r>
      <t>2 CCT, ACSR 2 X 240/40 mm</t>
    </r>
    <r>
      <rPr>
        <sz val="12"/>
        <rFont val="Calibri"/>
        <family val="2"/>
      </rPr>
      <t>²</t>
    </r>
  </si>
  <si>
    <t xml:space="preserve">JENIS PEKERJAAN </t>
  </si>
  <si>
    <t>PEKERJAAN SIPIL PEMBANGUNAN T/L 150 kV SIBUHUAN - GUNUNG TUA (SECTION 1)</t>
  </si>
  <si>
    <t>PENGADAAN TOWER DAN MATERIAL PELENGKAP LAINNYA</t>
  </si>
  <si>
    <t>Transportasi Material Tower, Stub Tower &amp; Material Pelengkap Tower</t>
  </si>
  <si>
    <t>Sub-Total A</t>
  </si>
  <si>
    <t>PEMASANGAN TOWER DAN MATERIAL PELENGKAP LAINNYA</t>
  </si>
  <si>
    <t>Pekerjaan Pemasangan Tower</t>
  </si>
  <si>
    <t>Pekerjaan Pemasangan Material Pelengkap Tower</t>
  </si>
  <si>
    <t>Sub-Total B</t>
  </si>
  <si>
    <t>Alokasi Biaya</t>
  </si>
  <si>
    <t>Sub-Total C</t>
  </si>
  <si>
    <t>JUMLAH ( A + B + C )</t>
  </si>
  <si>
    <t>PEKERJAAN ELEKTROMEKANIK PEMBANGUNAN T/L 150 kV SIBUHUAN - GUNUNG TUA (SECTION 1)</t>
  </si>
  <si>
    <t>PENGADAAN &amp; PEMASANGAN KONDUKTOR ACSR 2 x 240/40 mm², GSW 55 mm², OPGW 60 mm² &amp; ACC, INSULATOR &amp; ACC DAN KOMISIONING TEST</t>
  </si>
  <si>
    <t>Pengadaan Material</t>
  </si>
  <si>
    <t>Transportasi Material Konduktor, Insulator &amp; Fittings</t>
  </si>
  <si>
    <t>Pekerjaan Pemasangan, Penarikan &amp; Komisioning</t>
  </si>
  <si>
    <t>Sub-Total D</t>
  </si>
  <si>
    <t>JUMLAH ( A + B + C + D )</t>
  </si>
  <si>
    <t>Harga Rata-rata/km</t>
  </si>
  <si>
    <t>GI Sibuhuan New</t>
  </si>
  <si>
    <t>Total Anggaran</t>
  </si>
  <si>
    <t>Anggaran Investasi SKI</t>
  </si>
  <si>
    <t>Pile Driver Hammer cap. 2,5 ton</t>
  </si>
  <si>
    <t>Jurnal Sumatera Barat 2017 hal 112</t>
  </si>
  <si>
    <t>Pekerjaan Bored Pile dia 40 cm (Breakdown)</t>
  </si>
  <si>
    <t>- Pekerjaan Pengeboran Bored Pile (dia 40 cm)</t>
  </si>
  <si>
    <t>- Bored pile dia 40 cm (include beton K-225, Penulangan BJTP 24 dan BJTD 32, dan langsir material bored pile)</t>
  </si>
  <si>
    <t>1 KMR Stringing of conductor</t>
  </si>
  <si>
    <t>grup</t>
  </si>
  <si>
    <t>Installed of  Earthing of Tower</t>
  </si>
  <si>
    <t>Test Engineer (Electrical Technician)</t>
  </si>
  <si>
    <t>Erection Tower for 500 kV</t>
  </si>
  <si>
    <r>
      <t>m</t>
    </r>
    <r>
      <rPr>
        <vertAlign val="superscript"/>
        <sz val="10"/>
        <rFont val="Arial"/>
        <family val="2"/>
      </rPr>
      <t>3</t>
    </r>
  </si>
  <si>
    <r>
      <t xml:space="preserve">   -  </t>
    </r>
    <r>
      <rPr>
        <i/>
        <sz val="10"/>
        <rFont val="Arial"/>
        <family val="2"/>
      </rPr>
      <t>teakwood</t>
    </r>
    <r>
      <rPr>
        <sz val="10"/>
        <rFont val="Arial"/>
        <family val="2"/>
      </rPr>
      <t xml:space="preserve"> double door</t>
    </r>
  </si>
  <si>
    <r>
      <t>m</t>
    </r>
    <r>
      <rPr>
        <vertAlign val="superscript"/>
        <sz val="10"/>
        <rFont val="Arial"/>
        <family val="2"/>
      </rPr>
      <t>2</t>
    </r>
  </si>
  <si>
    <r>
      <t>Plank name of project (0.8 x 1.2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</si>
  <si>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 xml:space="preserve"> 1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Compacted Sand layer (tebal 10 Cm)</t>
    </r>
  </si>
  <si>
    <r>
      <t xml:space="preserve"> 1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Compacted Sand layer (tebal 5 Cm)</t>
    </r>
  </si>
  <si>
    <r>
      <t xml:space="preserve"> 1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Compacted gravel  (tebal 20 Cm)</t>
    </r>
  </si>
  <si>
    <r>
      <t xml:space="preserve">Dismantling </t>
    </r>
    <r>
      <rPr>
        <vertAlign val="superscript"/>
        <sz val="10"/>
        <rFont val="Arial"/>
        <family val="2"/>
      </rPr>
      <t xml:space="preserve"> </t>
    </r>
    <r>
      <rPr>
        <sz val="10"/>
        <rFont val="Arial"/>
        <family val="2"/>
      </rPr>
      <t>Thermal Insulation</t>
    </r>
    <r>
      <rPr>
        <vertAlign val="superscript"/>
        <sz val="10"/>
        <rFont val="Arial"/>
        <family val="2"/>
      </rPr>
      <t xml:space="preserve"> </t>
    </r>
    <r>
      <rPr>
        <sz val="10"/>
        <rFont val="Arial"/>
        <family val="2"/>
      </rPr>
      <t>Glasswool t=10 cm</t>
    </r>
  </si>
  <si>
    <r>
      <t>Thermal Insulation</t>
    </r>
    <r>
      <rPr>
        <vertAlign val="superscript"/>
        <sz val="10"/>
        <rFont val="Arial"/>
        <family val="2"/>
      </rPr>
      <t xml:space="preserve"> </t>
    </r>
    <r>
      <rPr>
        <sz val="10"/>
        <rFont val="Arial"/>
        <family val="2"/>
      </rPr>
      <t>Glasswool t=10 cm</t>
    </r>
  </si>
  <si>
    <r>
      <t xml:space="preserve"> 1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Base Structure</t>
    </r>
  </si>
  <si>
    <r>
      <t>- Foundation 0.3 x 0.3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reinforced concrete K 175;</t>
    </r>
  </si>
  <si>
    <r>
      <t xml:space="preserve">   Fe : 100 kg/m</t>
    </r>
    <r>
      <rPr>
        <vertAlign val="superscript"/>
        <sz val="10"/>
        <rFont val="Arial"/>
        <family val="2"/>
      </rPr>
      <t>3</t>
    </r>
  </si>
  <si>
    <r>
      <t>- Foundation 0.30 x 0.30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reinforced concrete K 175;</t>
    </r>
  </si>
  <si>
    <r>
      <t>- Foundation 0,80x0,80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reinforced concrete K 175;</t>
    </r>
  </si>
  <si>
    <r>
      <t xml:space="preserve">   (K 175; Fe : 100 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</t>
    </r>
  </si>
  <si>
    <r>
      <t>- Foundation 1,50x1,50 m</t>
    </r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>reinforced concrete K 175;</t>
    </r>
  </si>
  <si>
    <r>
      <t xml:space="preserve">   Fe : 120 kg/m</t>
    </r>
    <r>
      <rPr>
        <vertAlign val="superscript"/>
        <sz val="10"/>
        <rFont val="Arial"/>
        <family val="2"/>
      </rPr>
      <t>3</t>
    </r>
  </si>
  <si>
    <r>
      <t>- Foundation 1,00x1,00 m</t>
    </r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>reinforced concrete K 175;</t>
    </r>
  </si>
  <si>
    <r>
      <t xml:space="preserve">Installation Stainlesss Steel Pipe </t>
    </r>
    <r>
      <rPr>
        <sz val="10"/>
        <color indexed="8"/>
        <rFont val="Arial"/>
        <family val="2"/>
      </rPr>
      <t>ᴓ 100mm</t>
    </r>
  </si>
  <si>
    <r>
      <t xml:space="preserve">Demolishing Stainlesss Steel Pipe </t>
    </r>
    <r>
      <rPr>
        <sz val="10"/>
        <color indexed="8"/>
        <rFont val="Arial"/>
        <family val="2"/>
      </rPr>
      <t>ᴓ 100mm</t>
    </r>
  </si>
  <si>
    <r>
      <t xml:space="preserve">Installation Steel Pipe </t>
    </r>
    <r>
      <rPr>
        <sz val="10"/>
        <color indexed="8"/>
        <rFont val="Arial"/>
        <family val="2"/>
      </rPr>
      <t>ᴓ 125mm</t>
    </r>
  </si>
  <si>
    <r>
      <t xml:space="preserve">Demolishing Steel Pipe  </t>
    </r>
    <r>
      <rPr>
        <sz val="10"/>
        <color indexed="8"/>
        <rFont val="Arial"/>
        <family val="2"/>
      </rPr>
      <t>ᴓ 125mm</t>
    </r>
  </si>
  <si>
    <r>
      <t xml:space="preserve">Installation Steel Pipe  </t>
    </r>
    <r>
      <rPr>
        <sz val="10"/>
        <color indexed="8"/>
        <rFont val="Arial"/>
        <family val="2"/>
      </rPr>
      <t>ᴓ 250mm</t>
    </r>
  </si>
  <si>
    <r>
      <t xml:space="preserve">Demolishing Steel Pipe  </t>
    </r>
    <r>
      <rPr>
        <sz val="10"/>
        <color indexed="8"/>
        <rFont val="Arial"/>
        <family val="2"/>
      </rPr>
      <t>ᴓ 250mm</t>
    </r>
  </si>
  <si>
    <r>
      <t xml:space="preserve">Installation Valve </t>
    </r>
    <r>
      <rPr>
        <sz val="10"/>
        <color indexed="8"/>
        <rFont val="Arial"/>
        <family val="2"/>
      </rPr>
      <t>ᴓ 25mm</t>
    </r>
  </si>
  <si>
    <r>
      <t xml:space="preserve">Installation Elbow/Tee </t>
    </r>
    <r>
      <rPr>
        <sz val="10"/>
        <color indexed="8"/>
        <rFont val="Arial"/>
        <family val="2"/>
      </rPr>
      <t>ᴓ 100mm</t>
    </r>
  </si>
  <si>
    <r>
      <t xml:space="preserve">Installation Elbow/Tee </t>
    </r>
    <r>
      <rPr>
        <sz val="10"/>
        <color indexed="8"/>
        <rFont val="Arial"/>
        <family val="2"/>
      </rPr>
      <t>ᴓ 250mm</t>
    </r>
  </si>
  <si>
    <t>Komisioning (sistem Pentanahan)</t>
  </si>
  <si>
    <t>Tower</t>
  </si>
  <si>
    <t>Koef</t>
  </si>
  <si>
    <t>Transportasi</t>
  </si>
  <si>
    <t>1 tarikan (section) steger bamboo</t>
  </si>
  <si>
    <t>10 kg</t>
  </si>
  <si>
    <t>Formwork For Sloof (SNI 7394-2008-23)</t>
  </si>
  <si>
    <t>Pipa Drainase dia 2 "</t>
  </si>
  <si>
    <t>Buis Beton dia 20 cm/m</t>
  </si>
  <si>
    <t>Jurnal Sumatera Barat 2017 Hal 97</t>
  </si>
  <si>
    <t>- Pemasangan Cassing Bored Pile</t>
  </si>
  <si>
    <t>Alat Bantu</t>
  </si>
  <si>
    <t>\</t>
  </si>
  <si>
    <t>Counterpoise 30 m long GSW and 0.45 m depth, including galvanized steel angle 1 m</t>
  </si>
  <si>
    <t>2 CCT, ACSR 2 X 240/40 mm²</t>
  </si>
  <si>
    <t>PEMBANGUNAN T/L 150 kV PASAMAN - SIMPANG EMPAT (SECTION 2)</t>
  </si>
  <si>
    <t>Jornal</t>
  </si>
  <si>
    <t>`18</t>
  </si>
  <si>
    <t>Jurnal Sumatera Barat 2017 hal 99</t>
  </si>
  <si>
    <t>Jurnal Sumatera Barat 2017 hal 100</t>
  </si>
  <si>
    <t>Jurnal Sumatera Barat 2017 hal 98</t>
  </si>
  <si>
    <t>Jurnal Sumatera Barat 2017 hal 102</t>
  </si>
  <si>
    <t>Jurnal Sumatera Barat 2017 hal 101</t>
  </si>
  <si>
    <t>VOLUME BOQ</t>
  </si>
  <si>
    <t>VOLUME HPS</t>
  </si>
  <si>
    <t>HARGA SATUAN PENAWARAN</t>
  </si>
  <si>
    <t>JUMLAH HARGA PENAWARAN</t>
  </si>
  <si>
    <t>8 = 4 X 7</t>
  </si>
  <si>
    <t>8 = 4x7</t>
  </si>
  <si>
    <t>PENAWARAN</t>
  </si>
  <si>
    <t>NEGOSIASI</t>
  </si>
  <si>
    <t>10 = 4 X 9</t>
  </si>
  <si>
    <t>HARGA SATUAN NEGOSIASI</t>
  </si>
  <si>
    <t>JUMLAH HARGA NEGOSIASI</t>
  </si>
  <si>
    <t>HARGA NEGOSIASI</t>
  </si>
  <si>
    <t>Installed of Single Tension Insulator set &amp; Hardware ( incl. Clamp &amp; Armour rod )</t>
  </si>
  <si>
    <t>Installed of Double Tension Insulator set &amp; Hardware ( incl. Clamp &amp; Armour rod )</t>
  </si>
  <si>
    <t>Installed of Single Suspension  Insulator set &amp; Hardware  ( incl. Clamp &amp; Armour rod )</t>
  </si>
  <si>
    <t>Installed of Double Suspension  Insulator set &amp; Hardware  ( incl. Clamp &amp; Armour rod )</t>
  </si>
  <si>
    <t xml:space="preserve">Installed Armour Rod of Earthwire </t>
  </si>
  <si>
    <t xml:space="preserve">Installed of Spacer for Jumper ACSR/AS or TACSR </t>
  </si>
  <si>
    <t>Installed of  Junction Box &amp; Gantry Box</t>
  </si>
  <si>
    <t>6 = 4x5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</si>
</sst>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4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Rp&quot;* #,##0_-;\-&quot;Rp&quot;* #,##0_-;_-&quot;Rp&quot;* &quot;-&quot;_-;_-@_-"/>
    <numFmt numFmtId="165" formatCode="_-* #,##0_-;\-* #,##0_-;_-* &quot;-&quot;_-;_-@_-"/>
    <numFmt numFmtId="166" formatCode="_-* #,##0.00_-;\-* #,##0.00_-;_-* &quot;-&quot;??_-;_-@_-"/>
    <numFmt numFmtId="167" formatCode="0.000"/>
    <numFmt numFmtId="168" formatCode="0.0000"/>
    <numFmt numFmtId="169" formatCode="_(* #,##0.000_);_(* \(#,##0.000\);_(* &quot;-&quot;??_);_(@_)"/>
    <numFmt numFmtId="170" formatCode="_(* #,##0_);_(* \(#,##0\);_(* &quot;-&quot;??_);_(@_)"/>
    <numFmt numFmtId="171" formatCode="_(* #,##0.00_);_(* \(#,##0.00\);_(* &quot;-&quot;_);_(@_)"/>
    <numFmt numFmtId="172" formatCode="_(* #,##0.000_);_(* \(#,##0.000\);_(* &quot;-&quot;_);_(@_)"/>
    <numFmt numFmtId="173" formatCode="_(* #,##0.0000_);_(* \(#,##0.0000\);_(* &quot;-&quot;??_);_(@_)"/>
    <numFmt numFmtId="174" formatCode=";;;"/>
    <numFmt numFmtId="175" formatCode="0.0"/>
    <numFmt numFmtId="176" formatCode="_(* #,##0.0_);_(* \(#,##0.0\);_(* &quot;-&quot;??_);_(@_)"/>
    <numFmt numFmtId="177" formatCode="_(* #,##0.00_);_(* \(#,##0.00\);_(* \-??_);_(@_)"/>
    <numFmt numFmtId="178" formatCode="_-* #,##0.00\ &quot;DM&quot;_-;\-* #,##0.00\ &quot;DM&quot;_-;_-* &quot;-&quot;??\ &quot;DM&quot;_-;_-@_-"/>
    <numFmt numFmtId="179" formatCode="_ * #,##0_ ;_ * \-#,##0_ ;_ * &quot;-&quot;_ ;_ @_ "/>
    <numFmt numFmtId="180" formatCode="_ * #,##0.00_ ;_ * \-#,##0.00_ ;_ * &quot;-&quot;??_ ;_ @_ "/>
    <numFmt numFmtId="181" formatCode="_(&quot;Rp&quot;* #,##0_);_(&quot;Rp&quot;* \(#,##0\);_(&quot;Rp&quot;* &quot;-&quot;_);_(@_)"/>
    <numFmt numFmtId="182" formatCode="_(&quot;Rp&quot;* #,##0.00_);_(&quot;Rp&quot;* \(#,##0.00\);_(&quot;Rp&quot;* &quot;-&quot;??_);_(@_)"/>
    <numFmt numFmtId="183" formatCode="m\o\n\th\ d\,\ yyyy"/>
    <numFmt numFmtId="184" formatCode="&quot;$&quot;#,##0\ ;\(&quot;$&quot;#,##0\)"/>
    <numFmt numFmtId="185" formatCode="_-* #,##0.00\ &quot;€&quot;_-;\-* #,##0.00\ &quot;€&quot;_-;_-* &quot;-&quot;??\ &quot;€&quot;_-;_-@_-"/>
    <numFmt numFmtId="186" formatCode="#."/>
    <numFmt numFmtId="187" formatCode="0.000000000"/>
    <numFmt numFmtId="188" formatCode="0.0000000000"/>
    <numFmt numFmtId="189" formatCode="0.00_)"/>
    <numFmt numFmtId="190" formatCode="_ &quot;kr&quot;\ * #,##0_ ;_ &quot;kr&quot;\ * \-#,##0_ ;_ &quot;kr&quot;\ * &quot;-&quot;_ ;_ @_ "/>
    <numFmt numFmtId="191" formatCode="_ &quot;kr&quot;\ * #,##0.00_ ;_ &quot;kr&quot;\ * \-#,##0.00_ ;_ &quot;kr&quot;\ * &quot;-&quot;??_ ;_ @_ "/>
    <numFmt numFmtId="192" formatCode="#,##0\ &quot;DM&quot;;\-#,##0\ &quot;DM&quot;"/>
    <numFmt numFmtId="193" formatCode="0.000%"/>
    <numFmt numFmtId="194" formatCode="_-&quot;$&quot;* #,##0_-;\-&quot;$&quot;* #,##0_-;_-&quot;$&quot;* &quot;-&quot;_-;_-@_-"/>
    <numFmt numFmtId="195" formatCode="_-&quot;$&quot;* #,##0.00_-;\-&quot;$&quot;* #,##0.00_-;_-&quot;$&quot;* &quot;-&quot;??_-;_-@_-"/>
    <numFmt numFmtId="196" formatCode="[$-F800]dddd\,\ mmmm\ dd\,\ yyyy"/>
    <numFmt numFmtId="197" formatCode="#,##0.0000"/>
    <numFmt numFmtId="198" formatCode="#,##0_);[Red]\(#,##0\);;@"/>
    <numFmt numFmtId="199" formatCode="&quot;Rp&quot;#,##0_);\(&quot;Rp&quot;#,##0\)"/>
    <numFmt numFmtId="200" formatCode="[$-421]dd\ mmmm\ yyyy;@"/>
    <numFmt numFmtId="201" formatCode="&quot;P&quot;#,##0.00_);[Red]\(&quot;P&quot;#,##0.00\)"/>
    <numFmt numFmtId="202" formatCode="\\#,##0.00;[Red]&quot;\\\\\\-&quot;#,##0.00"/>
    <numFmt numFmtId="203" formatCode="\\#,##0;[Red]&quot;\\-&quot;#,##0"/>
    <numFmt numFmtId="204" formatCode="&quot;\&quot;#,##0;[Red]&quot;\&quot;&quot;\&quot;\-#,##0"/>
    <numFmt numFmtId="205" formatCode="&quot;\&quot;#,##0.00;[Red]&quot;\&quot;&quot;\&quot;&quot;\&quot;&quot;\&quot;&quot;\&quot;&quot;\&quot;\-#,##0.00"/>
    <numFmt numFmtId="206" formatCode="_([$Rp-421]* #,##0.00_);_([$Rp-421]* \(#,##0.00\);_([$Rp-421]* &quot;-&quot;_);_(@_)"/>
    <numFmt numFmtId="207" formatCode="_-* #,##0_-;\-* #,##0_-;_-* \-_-;_-@_-"/>
    <numFmt numFmtId="208" formatCode="&quot;\&quot;#,##0.00;[Red]&quot;\&quot;\-#,##0.00"/>
    <numFmt numFmtId="209" formatCode="_-* #,##0.00\ _F_B_-;\-* #,##0.00\ _F_B_-;_-* &quot;-&quot;??\ _F_B_-;_-@_-"/>
    <numFmt numFmtId="210" formatCode="&quot;\&quot;\ #,##0;&quot;\&quot;\ \-#,##0"/>
    <numFmt numFmtId="211" formatCode="&quot;\&quot;#,##0;[Red]&quot;\&quot;\-#,##0"/>
    <numFmt numFmtId="212" formatCode="#,##0_ ;[Red]\-#,##0\ "/>
    <numFmt numFmtId="213" formatCode="#,##0.0_);\(#,##0.00\)"/>
    <numFmt numFmtId="214" formatCode="_-* #,##0.00_-;\-* #,##0.00_-;_-* \-??_-;_-@_-"/>
    <numFmt numFmtId="215" formatCode="&quot;£&quot;#,##0;\-&quot;£&quot;#,##0"/>
    <numFmt numFmtId="216" formatCode="General_)"/>
    <numFmt numFmtId="217" formatCode="[$-409]d\-mmm\-yy;@"/>
    <numFmt numFmtId="218" formatCode="_-&quot;Rp.&quot;* #,##0_-;\-&quot;Rp.&quot;* #,##0_-;_-&quot;Rp.&quot;* &quot;-&quot;_-;_-@_-"/>
    <numFmt numFmtId="219" formatCode="#,##0.00\ _$;\-#,##0.00\ _$"/>
    <numFmt numFmtId="220" formatCode="_([$Rp-421]* #,##0.00_);_([$Rp-421]* \(#,##0.00\);_([$Rp-421]* \-??_);_(@_)"/>
    <numFmt numFmtId="221" formatCode="_ &quot;\&quot;* #,##0_ ;_ &quot;\&quot;* \-#,##0_ ;_ &quot;\&quot;* &quot;-&quot;_ ;_ @_ "/>
    <numFmt numFmtId="222" formatCode="_ &quot;\&quot;* #,##0.00_ ;_ &quot;\&quot;* \-#,##0.00_ ;_ &quot;\&quot;* &quot;-&quot;??_ ;_ @_ "/>
    <numFmt numFmtId="223" formatCode="#,##0;[Red]&quot;-&quot;#,##0"/>
    <numFmt numFmtId="224" formatCode="#,##0.00;[Red]&quot;-&quot;#,##0.00"/>
    <numFmt numFmtId="225" formatCode="#,##0.0"/>
    <numFmt numFmtId="226" formatCode="&quot;Rp.&quot;\ #,##0_);[Red]\(&quot;Rp.&quot;\ #,##0\)"/>
    <numFmt numFmtId="227" formatCode="mmmm/dd/yyyy\ h:mm"/>
    <numFmt numFmtId="228" formatCode="&quot;\&quot;&quot;\&quot;&quot;\&quot;\$#,##0_);[Red]&quot;\&quot;&quot;\&quot;&quot;\&quot;\(&quot;\&quot;&quot;\&quot;&quot;\&quot;\$#,##0&quot;\&quot;&quot;\&quot;&quot;\&quot;\)"/>
    <numFmt numFmtId="229" formatCode="mm/dd/yy\ h:mm"/>
    <numFmt numFmtId="230" formatCode="_ * #,##0.00_ ;_ * &quot;\&quot;\-#,##0.00_ ;_ * &quot;-&quot;??_ ;_ @_ "/>
    <numFmt numFmtId="231" formatCode="_(* #,##0.00000_);_(* \(#,##0.00000\);_(* &quot;-&quot;_);_(@_)"/>
    <numFmt numFmtId="232" formatCode="_ * #,##0.00_ ;_ * \-#,##0.00_ ;_ * \-??_ ;_ @_ "/>
    <numFmt numFmtId="233" formatCode="_([$Rp-421]* #,##0_);_([$Rp-421]* \(#,##0\);_([$Rp-421]* &quot;-&quot;_);_(@_)"/>
    <numFmt numFmtId="234" formatCode="_(* #,##0.0000_);_(* \(#,##0.0000\);_(* &quot;-&quot;_);_(@_)"/>
    <numFmt numFmtId="235" formatCode="\$#,##0\ ;\(\$#,##0\)"/>
    <numFmt numFmtId="236" formatCode="&quot;\&quot;#,##0;[Red]&quot;\&quot;&quot;\&quot;&quot;\&quot;\-#,##0"/>
    <numFmt numFmtId="237" formatCode="&quot;SFr.&quot;&quot;\&quot;&quot;\&quot;&quot;\&quot;&quot;\&quot;&quot;\&quot;&quot;\&quot;&quot;\&quot;&quot;\&quot;&quot;\&quot;&quot;\&quot;&quot;\&quot;&quot;\&quot;\ #,##0.00;&quot;SFr.&quot;&quot;\&quot;&quot;\&quot;&quot;\&quot;&quot;\&quot;&quot;\&quot;&quot;\&quot;&quot;\&quot;&quot;\&quot;&quot;\&quot;&quot;\&quot;&quot;\&quot;&quot;\&quot;\ &quot;\&quot;&quot;\&quot;&quot;\&quot;&quot;\&quot;&quot;\&quot;&quot;\&quot;&quot;\&quot;&quot;\&quot;&quot;\&quot;&quot;\&quot;&quot;\&quot;&quot;\&quot;\-#,##0.00"/>
    <numFmt numFmtId="238" formatCode="0.0%;\(0.0%\)"/>
    <numFmt numFmtId="239" formatCode="0###0"/>
    <numFmt numFmtId="240" formatCode="_(&quot;$&quot;* #,##0.000_);_(&quot;$&quot;* \(#,##0.000\);_(&quot;$&quot;* &quot;-&quot;??_);_(@_)"/>
    <numFmt numFmtId="241" formatCode="_(&quot;Rp&quot;\.* #,##0.000_);_(&quot;Rp&quot;* \(#,##0.000\);_(&quot;Rp&quot;* &quot;-&quot;_);_(@_)"/>
    <numFmt numFmtId="242" formatCode="&quot;$&quot;#,##0.00;[Red]\-&quot;$&quot;#,##0.00"/>
    <numFmt numFmtId="243" formatCode="#,##0.0_ ;\-#,##0.0\ "/>
    <numFmt numFmtId="244" formatCode="_ &quot;\&quot;* #,##0.00_ ;_ &quot;\&quot;* &quot;\&quot;&quot;\&quot;&quot;\&quot;&quot;\&quot;\-#,##0.00_ ;_ &quot;\&quot;* &quot;-&quot;??_ ;_ @_ "/>
    <numFmt numFmtId="245" formatCode="_-* #,##0\ _$_-;\-* #,##0\ _$_-;_-* &quot;-&quot;\ _$_-;_-@_-"/>
    <numFmt numFmtId="246" formatCode="_-* #,##0.00\ _$_-;\-* #,##0.00\ _$_-;_-* &quot;-&quot;&quot;?&quot;&quot;?&quot;\ _$_-;_-@_-"/>
    <numFmt numFmtId="247" formatCode="&quot;\&quot;#,##0;&quot;\&quot;&quot;\&quot;&quot;\&quot;&quot;\&quot;&quot;\&quot;&quot;\&quot;\-#,##0"/>
    <numFmt numFmtId="248" formatCode="_([$€-2]* #,##0.00_);_([$€-2]* \(#,##0.00\);_([$€-2]* &quot;-&quot;??_)"/>
    <numFmt numFmtId="249" formatCode="_([$€]* #,##0.00_);_([$€]* \(#,##0.00\);_([$€]* &quot;-&quot;??_);_(@_)"/>
    <numFmt numFmtId="250" formatCode="_(* #,##0_);_(* \(#,##0\);_(* \-_);_(@_)"/>
    <numFmt numFmtId="251" formatCode="&quot;$&quot;_##,##0_);[Red]\(&quot;$&quot;_#\,##0\)"/>
    <numFmt numFmtId="252" formatCode="#.00"/>
    <numFmt numFmtId="253" formatCode="General\ ;[Red]\(General\)"/>
    <numFmt numFmtId="254" formatCode="&quot;¥&quot;#,##0.00_);\(&quot;¥&quot;#,##0.00\)"/>
    <numFmt numFmtId="255" formatCode="&quot;\&quot;#,##0.00_);\(&quot;\&quot;#,##0.00\)"/>
    <numFmt numFmtId="256" formatCode="#,##0.000"/>
    <numFmt numFmtId="257" formatCode="_-* #,##0\ _F_-;\-* #,##0\ _F_-;_-* &quot;-&quot;\ _F_-;_-@_-"/>
    <numFmt numFmtId="258" formatCode="_-* #,##0\ &quot;F&quot;_-;\-* #,##0\ &quot;F&quot;_-;_-* &quot;-&quot;\ &quot;F&quot;_-;_-@_-"/>
    <numFmt numFmtId="259" formatCode="#,##0.00\ &quot;F&quot;;[Red]\-#,##0.00\ &quot;F&quot;"/>
    <numFmt numFmtId="260" formatCode="&quot;$&quot;#,##0_);&quot;$&quot;\ \ \ \ \ \ \ \ \ \(#,##0\)"/>
    <numFmt numFmtId="261" formatCode="&quot;US$&quot;\ #,##0_);[Red]\(&quot;US$&quot;\ #,##0\)"/>
    <numFmt numFmtId="262" formatCode="#,##0\ &quot;Bulan&quot;"/>
    <numFmt numFmtId="263" formatCode="_(* #,##0_);_(* &quot;\&quot;&quot;\&quot;&quot;\&quot;\(#,##0&quot;\&quot;&quot;\&quot;&quot;\&quot;\);_(* &quot;-&quot;_);_(@_)"/>
    <numFmt numFmtId="264" formatCode="m/d"/>
    <numFmt numFmtId="265" formatCode="_(* #,##0.00000000000000_);_(* \(#,##0.00000000000000\);_(* &quot;-&quot;??_);_(@_)"/>
    <numFmt numFmtId="266" formatCode="_-* #,##0_-;\-* #,##0_-;_-* &quot;-&quot;??_-;_-@_-"/>
    <numFmt numFmtId="267" formatCode="#,##0;\-#,##0;&quot;-&quot;"/>
    <numFmt numFmtId="268" formatCode="0.0%"/>
    <numFmt numFmtId="269" formatCode="_(* #,##0.000_);_(* \(#,##0.000\);_(* &quot;-&quot;???_);_(@_)"/>
    <numFmt numFmtId="270" formatCode="&quot;Rp&quot;#,##0.00;[Red]&quot;Rp&quot;#,##0.00"/>
    <numFmt numFmtId="271" formatCode="#,##0.00\ &quot;Pts&quot;;[Red]\-#,##0.00\ &quot;Pts&quot;"/>
    <numFmt numFmtId="272" formatCode="&quot;Rp.&quot;#,##0.00_);\(&quot;Rp.&quot;#,##0.00\)"/>
    <numFmt numFmtId="273" formatCode="_(#,##0.0_);\(#,##0.0\);_(&quot;-&quot;_)"/>
    <numFmt numFmtId="274" formatCode="_(&quot;¥&quot;* #,##0_);_(&quot;¥&quot;* \(#,##0\);_(&quot;¥&quot;* &quot;-&quot;_);_(@_)"/>
    <numFmt numFmtId="275" formatCode="#,##0.000;[Red]#,##0.000"/>
    <numFmt numFmtId="276" formatCode="&quot;$&quot;##,##0_);[Red]\(&quot;$&quot;#,##0\)"/>
    <numFmt numFmtId="277" formatCode="_-* #,##0.0_-;\-* #,##0.0_-;_-* &quot;-&quot;??_-;_-@_-"/>
    <numFmt numFmtId="278" formatCode="###0.00"/>
    <numFmt numFmtId="279" formatCode="&quot;Rp. &quot;#,##0_);[Red]\(&quot;Rp. &quot;#,##0\)"/>
    <numFmt numFmtId="280" formatCode="_(* #,##0.00000_);_(* \(#,##0.00000\);_(* &quot;-&quot;??_);_(@_)"/>
    <numFmt numFmtId="281" formatCode="#,##0.00&quot;  &quot;"/>
    <numFmt numFmtId="282" formatCode="#,##0.00\ \ "/>
    <numFmt numFmtId="283" formatCode="_ * #,##0_ ;_ * \-#,##0_ ;_ * \-??_ ;_ @_ "/>
    <numFmt numFmtId="284" formatCode="_ * #,##0_ ;_ * \-#,##0_ ;_ * &quot;-&quot;??_ ;_ @_ "/>
    <numFmt numFmtId="285" formatCode="#,##0.00\ "/>
    <numFmt numFmtId="286" formatCode="0##0"/>
    <numFmt numFmtId="287" formatCode="_ &quot;\&quot;* #,##0_ ;_ &quot;\&quot;* &quot;\&quot;&quot;\&quot;&quot;\&quot;\-#,##0_ ;_ &quot;\&quot;* &quot;-&quot;_ ;_ @_ "/>
    <numFmt numFmtId="288" formatCode="0&quot;    &quot;"/>
    <numFmt numFmtId="289" formatCode="0\ \ \ \ "/>
    <numFmt numFmtId="290" formatCode="#,##0.00&quot;   &quot;"/>
    <numFmt numFmtId="291" formatCode="#,##0.00\ \ \ "/>
    <numFmt numFmtId="292" formatCode="_-* #,##0\ &quot;$&quot;_-;\-* #,##0\ &quot;$&quot;_-;_-* &quot;-&quot;\ &quot;$&quot;_-;_-@_-"/>
    <numFmt numFmtId="293" formatCode="&quot;P&quot;#,##0.00_);\(&quot;P&quot;#,##0.00\)"/>
    <numFmt numFmtId="294" formatCode="&quot;S&quot;\ #,##0;\-&quot;S&quot;\ #,##0"/>
    <numFmt numFmtId="295" formatCode="_-* #,##0.00_-;\!\-* #,##0.00_-;_-* &quot;-&quot;??_-;_-@_-"/>
    <numFmt numFmtId="296" formatCode="&quot;S&quot;\ #,##0;[Red]\-&quot;S&quot;\ #,##0"/>
    <numFmt numFmtId="297" formatCode="0_ "/>
    <numFmt numFmtId="298" formatCode="_ * #,##0.00_ ;_ * &quot;\&quot;\!\-#,##0.00_ ;_ * &quot;-&quot;??_ ;_ @_ "/>
    <numFmt numFmtId="299" formatCode="&quot;?#,##0.00;[Red]\-&quot;&quot;?&quot;#,##0.00"/>
    <numFmt numFmtId="300" formatCode="&quot;?#,##0.00;\-&quot;&quot;?&quot;#,##0.00"/>
    <numFmt numFmtId="301" formatCode="&quot;S&quot;\ #,##0.00;\-&quot;S&quot;\ #,##0.00"/>
    <numFmt numFmtId="302" formatCode="_ &quot;￥&quot;* #,##0_ ;_ &quot;￥&quot;* \-#,##0_ ;_ &quot;￥&quot;* &quot;-&quot;_ ;_ @_ "/>
    <numFmt numFmtId="303" formatCode="_ &quot;￥&quot;* #,##0.00_ ;_ &quot;￥&quot;* \-#,##0.00_ ;_ &quot;￥&quot;* &quot;-&quot;??_ ;_ @_ "/>
    <numFmt numFmtId="304" formatCode="#,##0.00_ ;\-#,##0.00\ "/>
    <numFmt numFmtId="305" formatCode="#,##0_ ;\-#,##0\ "/>
    <numFmt numFmtId="306" formatCode="_-* #,##0.00_-;\-* #,##0.00_-;_-* &quot;-&quot;_-;_-@_-"/>
    <numFmt numFmtId="307" formatCode="#,##0.00000_);\(#,##0.00000\)"/>
    <numFmt numFmtId="308" formatCode="#,##0\ _$;\-#,##0\ _$"/>
    <numFmt numFmtId="309" formatCode="mm/dd/yy"/>
    <numFmt numFmtId="310" formatCode="0.000000"/>
  </numFmts>
  <fonts count="33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0"/>
      <name val="Tahoma"/>
      <family val="2"/>
    </font>
    <font>
      <u/>
      <sz val="10"/>
      <color indexed="12"/>
      <name val="Arial"/>
      <family val="2"/>
    </font>
    <font>
      <sz val="10"/>
      <name val="Times New Roman"/>
      <family val="1"/>
    </font>
    <font>
      <b/>
      <sz val="12"/>
      <name val="Times New Roman"/>
      <family val="1"/>
    </font>
    <font>
      <sz val="12"/>
      <name val="Arial"/>
      <family val="2"/>
    </font>
    <font>
      <b/>
      <sz val="11"/>
      <color theme="1"/>
      <name val="Calibri"/>
      <family val="2"/>
      <scheme val="minor"/>
    </font>
    <font>
      <sz val="12"/>
      <name val="Arial Narrow"/>
      <family val="2"/>
    </font>
    <font>
      <sz val="11"/>
      <name val="Arial Narrow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i/>
      <sz val="24"/>
      <color indexed="49"/>
      <name val="Arial Narrow"/>
      <family val="2"/>
    </font>
    <font>
      <sz val="12"/>
      <name val="¹UAAA¼"/>
      <family val="3"/>
      <charset val="255"/>
    </font>
    <font>
      <sz val="8"/>
      <name val="Times New Roman"/>
      <family val="1"/>
    </font>
    <font>
      <sz val="11"/>
      <color indexed="20"/>
      <name val="Calibri"/>
      <family val="2"/>
    </font>
    <font>
      <sz val="12"/>
      <name val="Tms Rmn"/>
      <family val="1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1"/>
      <name val="Arial"/>
      <family val="2"/>
    </font>
    <font>
      <sz val="12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9"/>
      <name val="Helv"/>
    </font>
    <font>
      <sz val="10"/>
      <name val="MS Sans Serif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b/>
      <sz val="14"/>
      <name val="SWISS"/>
    </font>
    <font>
      <sz val="11"/>
      <color indexed="17"/>
      <name val="Calibri"/>
      <family val="2"/>
    </font>
    <font>
      <sz val="8"/>
      <name val="Arial"/>
      <family val="2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11"/>
      <color indexed="62"/>
      <name val="Calibri"/>
      <family val="2"/>
    </font>
    <font>
      <b/>
      <sz val="14"/>
      <name val="Helv"/>
    </font>
    <font>
      <sz val="11"/>
      <color indexed="52"/>
      <name val="Calibri"/>
      <family val="2"/>
    </font>
    <font>
      <sz val="12"/>
      <color indexed="9"/>
      <name val="Helv"/>
    </font>
    <font>
      <sz val="9"/>
      <name val="Arial"/>
      <family val="2"/>
    </font>
    <font>
      <sz val="10"/>
      <name val="Geneva"/>
    </font>
    <font>
      <sz val="7"/>
      <name val="Arial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2"/>
      <name val="SWISS"/>
    </font>
    <font>
      <sz val="8"/>
      <name val="Swis721 LtCn BT"/>
      <family val="2"/>
    </font>
    <font>
      <b/>
      <sz val="11"/>
      <color indexed="63"/>
      <name val="Calibri"/>
      <family val="2"/>
    </font>
    <font>
      <sz val="12"/>
      <name val="CG Times (WN)"/>
      <family val="1"/>
    </font>
    <font>
      <sz val="8"/>
      <name val="Wingdings"/>
      <charset val="2"/>
    </font>
    <font>
      <b/>
      <i/>
      <sz val="18"/>
      <color indexed="28"/>
      <name val="AngsanaUPC"/>
      <family val="1"/>
    </font>
    <font>
      <sz val="8"/>
      <name val="Helv"/>
    </font>
    <font>
      <sz val="8"/>
      <name val="MS Sans Serif"/>
      <family val="2"/>
    </font>
    <font>
      <sz val="24"/>
      <color indexed="13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4"/>
      <name val="Cordia New"/>
      <family val="2"/>
    </font>
    <font>
      <sz val="12"/>
      <name val="바탕체"/>
      <family val="3"/>
    </font>
    <font>
      <sz val="10"/>
      <name val="굴림체"/>
      <family val="3"/>
    </font>
    <font>
      <b/>
      <sz val="12"/>
      <name val="Arial Narrow"/>
      <family val="2"/>
    </font>
    <font>
      <b/>
      <sz val="11"/>
      <name val="Arial Narrow"/>
      <family val="2"/>
    </font>
    <font>
      <sz val="10"/>
      <color theme="1"/>
      <name val="Arial"/>
      <family val="2"/>
    </font>
    <font>
      <b/>
      <sz val="10"/>
      <name val="Times New Roman"/>
      <family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name val="Calibri"/>
      <family val="2"/>
    </font>
    <font>
      <u/>
      <sz val="11"/>
      <name val="Calibri"/>
      <family val="2"/>
      <scheme val="minor"/>
    </font>
    <font>
      <vertAlign val="superscript"/>
      <sz val="10"/>
      <name val="Times New Roman"/>
      <family val="1"/>
    </font>
    <font>
      <b/>
      <u/>
      <sz val="18"/>
      <color indexed="9"/>
      <name val="Tahoma"/>
      <family val="2"/>
    </font>
    <font>
      <sz val="10"/>
      <name val="Book Antiqua"/>
      <family val="1"/>
    </font>
    <font>
      <sz val="10"/>
      <name val="Helv"/>
    </font>
    <font>
      <sz val="10"/>
      <name val="Century Gothic"/>
      <family val="2"/>
    </font>
    <font>
      <b/>
      <sz val="10"/>
      <name val="Courier New"/>
      <family val="3"/>
    </font>
    <font>
      <sz val="10"/>
      <color indexed="13"/>
      <name val="Helv"/>
    </font>
    <font>
      <b/>
      <sz val="12"/>
      <name val="Helv"/>
    </font>
    <font>
      <sz val="11"/>
      <color indexed="8"/>
      <name val="Calibri"/>
      <family val="2"/>
      <charset val="1"/>
    </font>
    <font>
      <sz val="12"/>
      <name val=".VnTime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2"/>
      <name val="돋움체"/>
      <family val="3"/>
      <charset val="129"/>
    </font>
    <font>
      <sz val="9"/>
      <name val="ÀÞ¯Á"/>
      <family val="3"/>
      <charset val="128"/>
    </font>
    <font>
      <sz val="11"/>
      <name val="ＭＳ Ｐゴシック"/>
      <charset val="128"/>
    </font>
    <font>
      <sz val="11"/>
      <name val="Times New Roman"/>
      <family val="1"/>
    </font>
    <font>
      <sz val="12"/>
      <name val="A"/>
      <family val="1"/>
    </font>
    <font>
      <sz val="14"/>
      <name val="?? ??"/>
      <family val="1"/>
      <charset val="128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l?r ?o?S?V?b?N"/>
      <family val="1"/>
    </font>
    <font>
      <sz val="1"/>
      <color indexed="8"/>
      <name val="Courier"/>
      <family val="3"/>
    </font>
    <font>
      <sz val="14"/>
      <name val="‚l‚r –¾’©"/>
      <family val="1"/>
      <charset val="128"/>
    </font>
    <font>
      <sz val="10"/>
      <name val="굴림체"/>
      <family val="3"/>
      <charset val="129"/>
    </font>
    <font>
      <sz val="10"/>
      <name val="Helv"/>
      <family val="2"/>
    </font>
    <font>
      <sz val="10"/>
      <name val="Helv"/>
      <charset val="204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</font>
    <font>
      <sz val="10"/>
      <name val="Arial"/>
      <family val="1"/>
    </font>
    <font>
      <sz val="1"/>
      <color indexed="16"/>
      <name val="Courier"/>
      <family val="3"/>
    </font>
    <font>
      <u/>
      <sz val="9"/>
      <color indexed="36"/>
      <name val="‚l‚r ƒSƒVƒbƒN"/>
      <family val="3"/>
      <charset val="128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0"/>
      <name val="lr ¾©"/>
      <family val="3"/>
      <charset val="128"/>
    </font>
    <font>
      <sz val="12"/>
      <color indexed="10"/>
      <name val=".VnArial Narrow"/>
      <family val="2"/>
    </font>
    <font>
      <sz val="12"/>
      <name val="¹ÙÅÁÃ¼"/>
    </font>
    <font>
      <sz val="11"/>
      <color indexed="8"/>
      <name val="맑은 고딕"/>
      <family val="3"/>
      <charset val="129"/>
    </font>
    <font>
      <sz val="11"/>
      <color indexed="8"/>
      <name val="宋体"/>
      <charset val="134"/>
    </font>
    <font>
      <b/>
      <sz val="10"/>
      <color indexed="53"/>
      <name val="Arial"/>
      <family val="2"/>
    </font>
    <font>
      <sz val="11"/>
      <color indexed="9"/>
      <name val="Calibri"/>
      <family val="2"/>
      <charset val="1"/>
    </font>
    <font>
      <sz val="11"/>
      <color indexed="9"/>
      <name val="맑은 고딕"/>
      <family val="3"/>
      <charset val="129"/>
    </font>
    <font>
      <sz val="11"/>
      <color indexed="9"/>
      <name val="宋体"/>
      <charset val="134"/>
    </font>
    <font>
      <b/>
      <u/>
      <sz val="9.5"/>
      <name val="MS Sans Serif"/>
      <family val="2"/>
    </font>
    <font>
      <sz val="12"/>
      <name val="ⓒoUAAA¨u"/>
      <family val="1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b/>
      <sz val="10"/>
      <color indexed="10"/>
      <name val="SwitzerlandNarrow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9"/>
      <name val="‚l‚r ƒSƒVƒbƒN"/>
      <family val="3"/>
      <charset val="128"/>
    </font>
    <font>
      <sz val="9"/>
      <name val="¹ÙÅÁÃ¼"/>
      <family val="1"/>
      <charset val="129"/>
    </font>
    <font>
      <sz val="11"/>
      <name val="µ¸¿ò"/>
      <family val="3"/>
      <charset val="129"/>
    </font>
    <font>
      <sz val="11"/>
      <color indexed="20"/>
      <name val="Calibri"/>
      <family val="2"/>
      <charset val="1"/>
    </font>
    <font>
      <sz val="11"/>
      <name val="돋움"/>
      <family val="3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0"/>
      <name val="MS Sans Serif"/>
      <family val="2"/>
    </font>
    <font>
      <sz val="12"/>
      <name val="굴림체"/>
      <family val="3"/>
      <charset val="129"/>
    </font>
    <font>
      <sz val="12"/>
      <name val="System"/>
      <family val="2"/>
      <charset val="129"/>
    </font>
    <font>
      <sz val="10"/>
      <name val="±¼¸²A¼"/>
      <family val="3"/>
      <charset val="129"/>
    </font>
    <font>
      <sz val="12"/>
      <name val="µ¸¿òÃ¼"/>
      <family val="3"/>
      <charset val="129"/>
    </font>
    <font>
      <sz val="12"/>
      <name val="μ¸¿oA¼"/>
      <family val="3"/>
      <charset val="129"/>
    </font>
    <font>
      <sz val="12"/>
      <name val="Helv"/>
      <family val="2"/>
    </font>
    <font>
      <sz val="10"/>
      <name val="±¼¸²Ã¼"/>
      <family val="3"/>
      <charset val="129"/>
    </font>
    <font>
      <sz val="9"/>
      <name val="Times New Roman"/>
      <family val="1"/>
    </font>
    <font>
      <b/>
      <sz val="11"/>
      <color indexed="52"/>
      <name val="Calibri"/>
      <family val="2"/>
      <charset val="1"/>
    </font>
    <font>
      <b/>
      <sz val="10"/>
      <name val="Helv"/>
      <family val="2"/>
    </font>
    <font>
      <b/>
      <sz val="11"/>
      <color indexed="9"/>
      <name val="Calibri"/>
      <family val="2"/>
      <charset val="1"/>
    </font>
    <font>
      <sz val="6"/>
      <name val="MS Serif"/>
      <family val="1"/>
    </font>
    <font>
      <sz val="10"/>
      <name val="Verdana"/>
      <family val="2"/>
    </font>
    <font>
      <sz val="10"/>
      <color rgb="FF000000"/>
      <name val="Times New Roman"/>
      <family val="1"/>
    </font>
    <font>
      <sz val="8"/>
      <color indexed="8"/>
      <name val="Arial"/>
      <family val="2"/>
    </font>
    <font>
      <sz val="8"/>
      <name val="AvantGarde Bk BT"/>
      <family val="2"/>
    </font>
    <font>
      <sz val="11"/>
      <color indexed="63"/>
      <name val="Calibri"/>
      <family val="2"/>
    </font>
    <font>
      <sz val="10"/>
      <color indexed="8"/>
      <name val="Times New Roman"/>
      <family val="1"/>
    </font>
    <font>
      <sz val="12"/>
      <name val="宋体"/>
      <charset val="134"/>
    </font>
    <font>
      <sz val="9"/>
      <name val="Arial Narrow"/>
      <family val="2"/>
    </font>
    <font>
      <sz val="12"/>
      <name val="Trebuchet MS"/>
      <family val="2"/>
    </font>
    <font>
      <sz val="10"/>
      <color indexed="24"/>
      <name val="Arial"/>
      <family val="2"/>
    </font>
    <font>
      <sz val="10"/>
      <color indexed="0"/>
      <name val="MS Sans Serif"/>
      <family val="2"/>
    </font>
    <font>
      <b/>
      <u/>
      <sz val="11"/>
      <name val="Times New Roman"/>
      <family val="1"/>
    </font>
    <font>
      <b/>
      <sz val="10"/>
      <name val="Tms Rmn"/>
      <family val="1"/>
    </font>
    <font>
      <sz val="11"/>
      <color theme="1"/>
      <name val="Calibri"/>
      <family val="2"/>
    </font>
    <font>
      <sz val="6"/>
      <name val="Arial"/>
      <family val="2"/>
    </font>
    <font>
      <sz val="6"/>
      <name val="Helv"/>
    </font>
    <font>
      <b/>
      <sz val="8"/>
      <name val="Arial"/>
      <family val="2"/>
    </font>
    <font>
      <sz val="12"/>
      <color indexed="24"/>
      <name val="Arial"/>
      <family val="2"/>
    </font>
    <font>
      <b/>
      <sz val="10"/>
      <color indexed="8"/>
      <name val="Arial"/>
      <family val="2"/>
    </font>
    <font>
      <b/>
      <sz val="11"/>
      <color indexed="56"/>
      <name val="Calibri"/>
      <family val="2"/>
    </font>
    <font>
      <i/>
      <sz val="11"/>
      <color indexed="23"/>
      <name val="Calibri"/>
      <family val="2"/>
      <charset val="1"/>
    </font>
    <font>
      <i/>
      <sz val="1"/>
      <color indexed="8"/>
      <name val="Courier"/>
      <family val="3"/>
    </font>
    <font>
      <u/>
      <sz val="9"/>
      <color indexed="12"/>
      <name val="‚l‚r ƒSƒVƒbƒN"/>
      <family val="3"/>
      <charset val="128"/>
    </font>
    <font>
      <sz val="11"/>
      <color indexed="17"/>
      <name val="Calibri"/>
      <family val="2"/>
      <charset val="1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8"/>
      <color indexed="24"/>
      <name val="Arial"/>
      <family val="2"/>
    </font>
    <font>
      <b/>
      <sz val="18"/>
      <name val="Arial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Calibri"/>
      <family val="2"/>
    </font>
    <font>
      <b/>
      <sz val="12"/>
      <color indexed="24"/>
      <name val="Arial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8"/>
      <name val="Tahoma"/>
      <family val="2"/>
    </font>
    <font>
      <sz val="8"/>
      <name val="Tahoma"/>
      <family val="2"/>
    </font>
    <font>
      <b/>
      <sz val="1"/>
      <color indexed="16"/>
      <name val="Courier New"/>
      <family val="3"/>
    </font>
    <font>
      <b/>
      <sz val="1"/>
      <color indexed="8"/>
      <name val="Courier New"/>
      <family val="3"/>
    </font>
    <font>
      <sz val="10"/>
      <name val="Univers (WN)"/>
      <family val="2"/>
    </font>
    <font>
      <u/>
      <sz val="10"/>
      <color indexed="12"/>
      <name val="Helv"/>
    </font>
    <font>
      <u/>
      <sz val="8.8000000000000007"/>
      <color theme="10"/>
      <name val="Calibri"/>
      <family val="2"/>
    </font>
    <font>
      <u/>
      <sz val="12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 Unicode MS"/>
      <family val="2"/>
    </font>
    <font>
      <sz val="11"/>
      <color indexed="62"/>
      <name val="Calibri"/>
      <family val="2"/>
      <charset val="1"/>
    </font>
    <font>
      <sz val="10"/>
      <name val="Arial"/>
      <family val="2"/>
      <charset val="204"/>
    </font>
    <font>
      <b/>
      <i/>
      <sz val="12"/>
      <color indexed="10"/>
      <name val="Courier New"/>
      <family val="3"/>
    </font>
    <font>
      <sz val="12"/>
      <name val="Book Antiqua"/>
      <family val="1"/>
    </font>
    <font>
      <b/>
      <sz val="8"/>
      <name val="Helv"/>
    </font>
    <font>
      <b/>
      <sz val="14"/>
      <name val="Helv"/>
      <family val="2"/>
    </font>
    <font>
      <u/>
      <sz val="10"/>
      <color indexed="36"/>
      <name val="Arial"/>
      <family val="2"/>
    </font>
    <font>
      <sz val="11"/>
      <color indexed="52"/>
      <name val="Calibri"/>
      <family val="2"/>
      <charset val="1"/>
    </font>
    <font>
      <sz val="11"/>
      <name val="Helv"/>
    </font>
    <font>
      <b/>
      <sz val="9"/>
      <name val="Arial"/>
      <family val="2"/>
    </font>
    <font>
      <b/>
      <sz val="11"/>
      <name val="Helv"/>
      <family val="2"/>
    </font>
    <font>
      <sz val="11"/>
      <color indexed="60"/>
      <name val="Calibri"/>
      <family val="2"/>
      <charset val="1"/>
    </font>
    <font>
      <sz val="10"/>
      <name val="Albany AMT"/>
      <family val="2"/>
    </font>
    <font>
      <sz val="12"/>
      <name val="宋体"/>
      <family val="3"/>
      <charset val="134"/>
    </font>
    <font>
      <sz val="12"/>
      <name val="CG Times"/>
      <family val="1"/>
    </font>
    <font>
      <b/>
      <sz val="14"/>
      <color indexed="8"/>
      <name val="Times New Roman"/>
      <family val="1"/>
    </font>
    <font>
      <b/>
      <sz val="14"/>
      <name val="Times New Roman"/>
      <family val="1"/>
    </font>
    <font>
      <sz val="13"/>
      <name val=".VnTime"/>
    </font>
    <font>
      <b/>
      <sz val="11"/>
      <color indexed="63"/>
      <name val="Calibri"/>
      <family val="2"/>
      <charset val="1"/>
    </font>
    <font>
      <sz val="12"/>
      <color theme="1"/>
      <name val="Calibri"/>
      <family val="2"/>
      <scheme val="minor"/>
    </font>
    <font>
      <b/>
      <sz val="10"/>
      <color indexed="8"/>
      <name val="Univers"/>
      <family val="2"/>
    </font>
    <font>
      <b/>
      <sz val="9"/>
      <name val="Tahoma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sz val="14"/>
      <name val="–¾’©"/>
      <charset val="128"/>
    </font>
    <font>
      <b/>
      <sz val="12"/>
      <color indexed="18"/>
      <name val="Times New Roman"/>
      <family val="1"/>
    </font>
    <font>
      <sz val="10"/>
      <name val="VNI-Times"/>
    </font>
    <font>
      <sz val="10"/>
      <name val="Arial Narrow"/>
      <family val="2"/>
    </font>
    <font>
      <b/>
      <sz val="10"/>
      <name val="Arial Narrow"/>
      <family val="2"/>
    </font>
    <font>
      <sz val="10"/>
      <name val="VNI-Univer"/>
    </font>
    <font>
      <sz val="24"/>
      <color indexed="13"/>
      <name val="Helv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2"/>
      <charset val="1"/>
    </font>
    <font>
      <b/>
      <i/>
      <sz val="12"/>
      <name val="Times New Roman"/>
      <family val="1"/>
    </font>
    <font>
      <b/>
      <sz val="11"/>
      <color indexed="8"/>
      <name val="Calibri"/>
      <family val="2"/>
      <charset val="1"/>
    </font>
    <font>
      <sz val="12"/>
      <color indexed="10"/>
      <name val="Arial Narrow"/>
      <family val="2"/>
    </font>
    <font>
      <u/>
      <sz val="10"/>
      <color indexed="14"/>
      <name val="COUR"/>
      <family val="3"/>
    </font>
    <font>
      <sz val="10"/>
      <name val="VNI-Helve-Condense"/>
    </font>
    <font>
      <sz val="11"/>
      <color indexed="10"/>
      <name val="Calibri"/>
      <family val="2"/>
      <charset val="1"/>
    </font>
    <font>
      <sz val="10"/>
      <name val="Geneva"/>
      <family val="2"/>
    </font>
    <font>
      <sz val="14"/>
      <name val=".VnArial"/>
      <family val="2"/>
    </font>
    <font>
      <u/>
      <sz val="9"/>
      <color indexed="12"/>
      <name val="ＭＳ ゴシック"/>
      <family val="3"/>
      <charset val="128"/>
    </font>
    <font>
      <sz val="14"/>
      <name val="Cordia New"/>
      <family val="2"/>
      <charset val="22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u/>
      <sz val="8.25"/>
      <color indexed="36"/>
      <name val="Arial"/>
      <family val="2"/>
    </font>
    <font>
      <b/>
      <sz val="11"/>
      <color indexed="8"/>
      <name val="맑은 고딕"/>
      <family val="3"/>
      <charset val="129"/>
    </font>
    <font>
      <vertAlign val="superscript"/>
      <sz val="8"/>
      <name val="바탕체"/>
      <family val="1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체"/>
      <family val="1"/>
      <charset val="129"/>
    </font>
    <font>
      <sz val="9"/>
      <color indexed="8"/>
      <name val="Arial"/>
      <family val="2"/>
    </font>
    <font>
      <u/>
      <sz val="8.25"/>
      <color indexed="12"/>
      <name val="Arial"/>
      <family val="2"/>
    </font>
    <font>
      <sz val="12"/>
      <color indexed="22"/>
      <name val="바탕체"/>
      <family val="1"/>
      <charset val="129"/>
    </font>
    <font>
      <sz val="12"/>
      <name val="宋体"/>
      <family val="3"/>
      <charset val="129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官帕眉"/>
      <family val="3"/>
      <charset val="129"/>
    </font>
    <font>
      <sz val="14"/>
      <name val="ＭＳ 明朝"/>
      <family val="1"/>
      <charset val="128"/>
    </font>
    <font>
      <b/>
      <sz val="18"/>
      <color indexed="62"/>
      <name val="宋体"/>
      <charset val="134"/>
    </font>
    <font>
      <b/>
      <sz val="15"/>
      <color indexed="62"/>
      <name val="宋体"/>
      <charset val="134"/>
    </font>
    <font>
      <b/>
      <sz val="13"/>
      <color indexed="62"/>
      <name val="宋体"/>
      <charset val="134"/>
    </font>
    <font>
      <b/>
      <sz val="11"/>
      <color indexed="62"/>
      <name val="宋体"/>
      <charset val="134"/>
    </font>
    <font>
      <b/>
      <sz val="18"/>
      <color indexed="56"/>
      <name val="宋体"/>
      <charset val="134"/>
    </font>
    <font>
      <sz val="11"/>
      <name val="明朝"/>
      <family val="1"/>
    </font>
    <font>
      <sz val="10"/>
      <name val="明朝"/>
      <family val="1"/>
      <charset val="128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u/>
      <sz val="9"/>
      <color indexed="36"/>
      <name val="ＭＳ ゴシック"/>
      <family val="3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10"/>
      <name val="宋体"/>
      <charset val="134"/>
    </font>
    <font>
      <sz val="12"/>
      <name val="Courier"/>
      <family val="3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19"/>
      <name val="宋体"/>
      <charset val="134"/>
    </font>
    <font>
      <sz val="10"/>
      <name val="ＭＳ 明朝"/>
      <family val="3"/>
      <charset val="129"/>
    </font>
    <font>
      <sz val="9"/>
      <name val="ＭＳ ゴシック"/>
      <family val="3"/>
      <charset val="255"/>
    </font>
    <font>
      <sz val="10"/>
      <name val="奔覆眉"/>
      <family val="3"/>
      <charset val="129"/>
    </font>
    <font>
      <sz val="10"/>
      <name val="・団"/>
      <family val="1"/>
      <charset val="128"/>
    </font>
    <font>
      <b/>
      <sz val="14"/>
      <name val="Arial Narrow"/>
      <family val="2"/>
    </font>
    <font>
      <sz val="10"/>
      <name val="Calibri"/>
      <family val="2"/>
    </font>
    <font>
      <b/>
      <i/>
      <sz val="10"/>
      <name val="Arial Narrow"/>
      <family val="2"/>
    </font>
    <font>
      <sz val="11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name val="Century Gothic"/>
      <family val="2"/>
    </font>
    <font>
      <sz val="10"/>
      <color theme="0"/>
      <name val="Century Gothic"/>
      <family val="2"/>
    </font>
    <font>
      <b/>
      <i/>
      <sz val="10"/>
      <name val="Century Gothic"/>
      <family val="2"/>
    </font>
    <font>
      <b/>
      <sz val="14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9"/>
      <color rgb="FF222222"/>
      <name val="Tahoma"/>
      <family val="2"/>
    </font>
    <font>
      <b/>
      <u/>
      <sz val="16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b/>
      <i/>
      <sz val="11"/>
      <name val="Calibri"/>
      <family val="2"/>
      <scheme val="minor"/>
    </font>
    <font>
      <i/>
      <sz val="10"/>
      <name val="Arial"/>
      <family val="2"/>
    </font>
    <font>
      <b/>
      <sz val="10"/>
      <color theme="1"/>
      <name val="Arial"/>
      <family val="2"/>
    </font>
    <font>
      <vertAlign val="superscript"/>
      <sz val="10"/>
      <name val="Arial"/>
      <family val="2"/>
    </font>
    <font>
      <sz val="12"/>
      <name val="Times"/>
      <family val="1"/>
    </font>
    <font>
      <sz val="11"/>
      <color indexed="8"/>
      <name val="Calibri"/>
      <family val="2"/>
      <charset val="134"/>
    </font>
    <font>
      <sz val="9"/>
      <name val="P-TIMES"/>
    </font>
    <font>
      <b/>
      <sz val="1"/>
      <color indexed="16"/>
      <name val="Courier"/>
      <family val="3"/>
    </font>
    <font>
      <u/>
      <sz val="10"/>
      <color indexed="12"/>
      <name val="Courier"/>
      <family val="3"/>
    </font>
    <font>
      <sz val="11"/>
      <name val="ＭＳ Ｐゴシック"/>
      <family val="3"/>
      <charset val="128"/>
    </font>
    <font>
      <b/>
      <sz val="8"/>
      <color indexed="8"/>
      <name val="Helv"/>
    </font>
    <font>
      <sz val="10"/>
      <color theme="1"/>
      <name val="Tahoma"/>
      <family val="2"/>
    </font>
    <font>
      <u/>
      <sz val="10"/>
      <color theme="1"/>
      <name val="Arial"/>
      <family val="2"/>
    </font>
    <font>
      <sz val="10"/>
      <color theme="1"/>
      <name val="Century Gothic"/>
      <family val="2"/>
    </font>
    <font>
      <sz val="11"/>
      <color theme="1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10"/>
      <color rgb="FFFF000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9"/>
      </patternFill>
    </fill>
    <fill>
      <patternFill patternType="solid">
        <fgColor indexed="43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solid">
        <fgColor indexed="22"/>
        <bgColor indexed="6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darkVertical"/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</patternFill>
    </fill>
    <fill>
      <patternFill patternType="solid">
        <fgColor indexed="46"/>
      </patternFill>
    </fill>
    <fill>
      <patternFill patternType="solid">
        <fgColor indexed="2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12"/>
        <bgColor indexed="3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lightGray">
        <fgColor indexed="13"/>
        <bgColor indexed="9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gray125">
        <fgColor indexed="8"/>
      </patternFill>
    </fill>
    <fill>
      <patternFill patternType="solid">
        <fgColor indexed="9"/>
        <bgColor indexed="64"/>
      </patternFill>
    </fill>
    <fill>
      <patternFill patternType="darkHorizontal">
        <fgColor indexed="22"/>
      </patternFill>
    </fill>
    <fill>
      <patternFill patternType="solid">
        <fgColor indexed="9"/>
        <bgColor indexed="9"/>
      </patternFill>
    </fill>
    <fill>
      <patternFill patternType="solid">
        <fgColor indexed="15"/>
        <bgColor indexed="64"/>
      </patternFill>
    </fill>
    <fill>
      <patternFill patternType="mediumGray">
        <fgColor indexed="22"/>
        <bgColor indexed="9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5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</fills>
  <borders count="2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8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/>
      <diagonal/>
    </border>
    <border>
      <left/>
      <right style="thin">
        <color indexed="8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auto="1"/>
      </top>
      <bottom style="double">
        <color indexed="64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double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double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double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ck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 style="double">
        <color indexed="64"/>
      </right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8"/>
      </right>
      <top style="thin">
        <color auto="1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</borders>
  <cellStyleXfs count="26366">
    <xf numFmtId="0" fontId="0" fillId="0" borderId="0"/>
    <xf numFmtId="0" fontId="2" fillId="0" borderId="0"/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20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0" fontId="294" fillId="0" borderId="117">
      <alignment horizontal="center"/>
    </xf>
    <xf numFmtId="200" fontId="294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174" fontId="280" fillId="0" borderId="117">
      <alignment horizontal="center"/>
    </xf>
    <xf numFmtId="40" fontId="272" fillId="0" borderId="0" applyFont="0" applyFill="0" applyBorder="0" applyAlignment="0" applyProtection="0"/>
    <xf numFmtId="38" fontId="272" fillId="0" borderId="0" applyFont="0" applyFill="0" applyBorder="0" applyAlignment="0" applyProtection="0"/>
    <xf numFmtId="0" fontId="285" fillId="0" borderId="65" applyNumberFormat="0" applyFill="0" applyAlignment="0" applyProtection="0">
      <alignment vertical="center"/>
    </xf>
    <xf numFmtId="0" fontId="293" fillId="0" borderId="0"/>
    <xf numFmtId="0" fontId="292" fillId="0" borderId="0"/>
    <xf numFmtId="0" fontId="291" fillId="0" borderId="0" applyFont="0" applyFill="0" applyBorder="0" applyAlignment="0" applyProtection="0"/>
    <xf numFmtId="0" fontId="291" fillId="0" borderId="0" applyFont="0" applyFill="0" applyBorder="0" applyAlignment="0" applyProtection="0"/>
    <xf numFmtId="0" fontId="290" fillId="9" borderId="0" applyNumberFormat="0" applyBorder="0" applyAlignment="0" applyProtection="0">
      <alignment vertical="center"/>
    </xf>
    <xf numFmtId="0" fontId="289" fillId="8" borderId="162" applyNumberFormat="0" applyAlignment="0" applyProtection="0">
      <alignment vertical="center"/>
    </xf>
    <xf numFmtId="0" fontId="288" fillId="9" borderId="158" applyNumberFormat="0" applyAlignment="0" applyProtection="0">
      <alignment vertical="center"/>
    </xf>
    <xf numFmtId="303" fontId="269" fillId="0" borderId="0" applyFont="0" applyFill="0" applyBorder="0" applyAlignment="0" applyProtection="0"/>
    <xf numFmtId="302" fontId="269" fillId="0" borderId="0" applyFont="0" applyFill="0" applyBorder="0" applyAlignment="0" applyProtection="0"/>
    <xf numFmtId="195" fontId="44" fillId="0" borderId="0" applyFont="0" applyFill="0" applyBorder="0" applyAlignment="0" applyProtection="0"/>
    <xf numFmtId="6" fontId="287" fillId="0" borderId="0" applyFont="0" applyFill="0" applyBorder="0" applyAlignment="0" applyProtection="0"/>
    <xf numFmtId="194" fontId="44" fillId="0" borderId="0" applyFont="0" applyFill="0" applyBorder="0" applyAlignment="0" applyProtection="0"/>
    <xf numFmtId="0" fontId="286" fillId="8" borderId="158" applyNumberFormat="0" applyAlignment="0" applyProtection="0">
      <alignment vertical="center"/>
    </xf>
    <xf numFmtId="0" fontId="285" fillId="0" borderId="0" applyNumberFormat="0" applyFill="0" applyBorder="0" applyAlignment="0" applyProtection="0">
      <alignment vertical="center"/>
    </xf>
    <xf numFmtId="0" fontId="284" fillId="0" borderId="0" applyNumberFormat="0" applyFill="0" applyBorder="0" applyAlignment="0" applyProtection="0">
      <alignment vertical="center"/>
    </xf>
    <xf numFmtId="0" fontId="283" fillId="0" borderId="0" applyNumberFormat="0" applyFill="0" applyBorder="0" applyAlignment="0" applyProtection="0">
      <alignment vertical="top"/>
      <protection locked="0"/>
    </xf>
    <xf numFmtId="200" fontId="283" fillId="0" borderId="0" applyNumberFormat="0" applyFill="0" applyBorder="0" applyAlignment="0" applyProtection="0">
      <alignment vertical="top"/>
      <protection locked="0"/>
    </xf>
    <xf numFmtId="200" fontId="12" fillId="0" borderId="0" applyNumberFormat="0" applyFill="0" applyBorder="0" applyAlignment="0" applyProtection="0"/>
    <xf numFmtId="211" fontId="86" fillId="0" borderId="0" applyFont="0" applyFill="0" applyBorder="0" applyAlignment="0" applyProtection="0"/>
    <xf numFmtId="208" fontId="86" fillId="0" borderId="0" applyFont="0" applyFill="0" applyBorder="0" applyAlignment="0" applyProtection="0"/>
    <xf numFmtId="0" fontId="132" fillId="0" borderId="0" applyFont="0" applyFill="0" applyBorder="0" applyAlignment="0" applyProtection="0"/>
    <xf numFmtId="0" fontId="132" fillId="0" borderId="0" applyFont="0" applyFill="0" applyBorder="0" applyAlignment="0" applyProtection="0"/>
    <xf numFmtId="0" fontId="2" fillId="6" borderId="161" applyNumberFormat="0" applyFont="0" applyAlignment="0" applyProtection="0">
      <alignment vertical="center"/>
    </xf>
    <xf numFmtId="0" fontId="282" fillId="0" borderId="169" applyNumberFormat="0" applyFill="0" applyAlignment="0" applyProtection="0">
      <alignment vertical="center"/>
    </xf>
    <xf numFmtId="0" fontId="27" fillId="0" borderId="0">
      <alignment vertical="center"/>
    </xf>
    <xf numFmtId="0" fontId="281" fillId="18" borderId="131" applyNumberFormat="0" applyAlignment="0" applyProtection="0">
      <alignment vertical="center"/>
    </xf>
    <xf numFmtId="38" fontId="86" fillId="0" borderId="0" applyFont="0" applyFill="0" applyBorder="0" applyAlignment="0" applyProtection="0"/>
    <xf numFmtId="40" fontId="86" fillId="0" borderId="0" applyFont="0" applyFill="0" applyBorder="0" applyAlignment="0" applyProtection="0"/>
    <xf numFmtId="38" fontId="280" fillId="0" borderId="0" applyFont="0" applyFill="0" applyBorder="0" applyAlignment="0" applyProtection="0"/>
    <xf numFmtId="40" fontId="279" fillId="0" borderId="0" applyFont="0" applyFill="0" applyBorder="0" applyAlignment="0" applyProtection="0"/>
    <xf numFmtId="0" fontId="2" fillId="0" borderId="0"/>
    <xf numFmtId="0" fontId="278" fillId="0" borderId="0" applyNumberFormat="0" applyFill="0" applyBorder="0" applyAlignment="0" applyProtection="0">
      <alignment vertical="center"/>
    </xf>
    <xf numFmtId="0" fontId="277" fillId="0" borderId="0" applyNumberFormat="0" applyFill="0" applyBorder="0" applyAlignment="0" applyProtection="0">
      <alignment vertical="center"/>
    </xf>
    <xf numFmtId="0" fontId="277" fillId="0" borderId="64" applyNumberFormat="0" applyFill="0" applyAlignment="0" applyProtection="0">
      <alignment vertical="center"/>
    </xf>
    <xf numFmtId="0" fontId="276" fillId="0" borderId="63" applyNumberFormat="0" applyFill="0" applyAlignment="0" applyProtection="0">
      <alignment vertical="center"/>
    </xf>
    <xf numFmtId="0" fontId="275" fillId="0" borderId="62" applyNumberFormat="0" applyFill="0" applyAlignment="0" applyProtection="0">
      <alignment vertical="center"/>
    </xf>
    <xf numFmtId="0" fontId="274" fillId="0" borderId="0" applyNumberFormat="0" applyFill="0" applyBorder="0" applyAlignment="0" applyProtection="0">
      <alignment vertical="center"/>
    </xf>
    <xf numFmtId="0" fontId="273" fillId="0" borderId="0"/>
    <xf numFmtId="200" fontId="273" fillId="0" borderId="0"/>
    <xf numFmtId="0" fontId="7" fillId="0" borderId="0"/>
    <xf numFmtId="0" fontId="142" fillId="0" borderId="0"/>
    <xf numFmtId="9" fontId="272" fillId="0" borderId="0" applyFont="0" applyFill="0" applyBorder="0" applyAlignment="0" applyProtection="0"/>
    <xf numFmtId="0" fontId="118" fillId="40" borderId="0" applyNumberFormat="0" applyBorder="0" applyAlignment="0" applyProtection="0">
      <alignment vertical="center"/>
    </xf>
    <xf numFmtId="0" fontId="118" fillId="13" borderId="0" applyNumberFormat="0" applyBorder="0" applyAlignment="0" applyProtection="0">
      <alignment vertical="center"/>
    </xf>
    <xf numFmtId="0" fontId="118" fillId="17" borderId="0" applyNumberFormat="0" applyBorder="0" applyAlignment="0" applyProtection="0">
      <alignment vertical="center"/>
    </xf>
    <xf numFmtId="0" fontId="118" fillId="16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118" fillId="53" borderId="0" applyNumberFormat="0" applyBorder="0" applyAlignment="0" applyProtection="0">
      <alignment vertical="center"/>
    </xf>
    <xf numFmtId="0" fontId="155" fillId="0" borderId="0"/>
    <xf numFmtId="0" fontId="114" fillId="0" borderId="0">
      <alignment vertical="center"/>
    </xf>
    <xf numFmtId="0" fontId="114" fillId="0" borderId="0">
      <alignment vertical="center"/>
    </xf>
    <xf numFmtId="0" fontId="155" fillId="0" borderId="0"/>
    <xf numFmtId="0" fontId="271" fillId="5" borderId="0" applyNumberFormat="0" applyBorder="0" applyAlignment="0" applyProtection="0">
      <alignment vertical="center"/>
    </xf>
    <xf numFmtId="0" fontId="271" fillId="5" borderId="0" applyNumberFormat="0" applyBorder="0" applyAlignment="0" applyProtection="0">
      <alignment vertical="center"/>
    </xf>
    <xf numFmtId="0" fontId="271" fillId="5" borderId="0" applyNumberFormat="0" applyBorder="0" applyAlignment="0" applyProtection="0">
      <alignment vertical="center"/>
    </xf>
    <xf numFmtId="0" fontId="271" fillId="32" borderId="0" applyNumberFormat="0" applyBorder="0" applyAlignment="0" applyProtection="0">
      <alignment vertical="center"/>
    </xf>
    <xf numFmtId="0" fontId="270" fillId="4" borderId="0" applyNumberFormat="0" applyBorder="0" applyAlignment="0" applyProtection="0">
      <alignment vertical="center"/>
    </xf>
    <xf numFmtId="0" fontId="270" fillId="4" borderId="0" applyNumberFormat="0" applyBorder="0" applyAlignment="0" applyProtection="0">
      <alignment vertical="center"/>
    </xf>
    <xf numFmtId="0" fontId="270" fillId="4" borderId="0" applyNumberFormat="0" applyBorder="0" applyAlignment="0" applyProtection="0">
      <alignment vertical="center"/>
    </xf>
    <xf numFmtId="0" fontId="270" fillId="7" borderId="0" applyNumberFormat="0" applyBorder="0" applyAlignment="0" applyProtection="0">
      <alignment vertical="center"/>
    </xf>
    <xf numFmtId="166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80" fontId="269" fillId="0" borderId="0" applyFont="0" applyFill="0" applyBorder="0" applyAlignment="0" applyProtection="0"/>
    <xf numFmtId="179" fontId="269" fillId="0" borderId="0" applyFont="0" applyFill="0" applyBorder="0" applyAlignment="0" applyProtection="0"/>
    <xf numFmtId="0" fontId="7" fillId="0" borderId="0"/>
    <xf numFmtId="301" fontId="82" fillId="0" borderId="0">
      <protection locked="0"/>
    </xf>
    <xf numFmtId="300" fontId="82" fillId="0" borderId="0">
      <protection locked="0"/>
    </xf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0" fontId="268" fillId="0" borderId="61" applyNumberFormat="0" applyFont="0" applyFill="0" applyAlignment="0" applyProtection="0"/>
    <xf numFmtId="206" fontId="93" fillId="0" borderId="61">
      <protection locked="0"/>
    </xf>
    <xf numFmtId="0" fontId="267" fillId="0" borderId="0" applyNumberFormat="0" applyFill="0" applyBorder="0" applyAlignment="0" applyProtection="0">
      <alignment vertical="top"/>
      <protection locked="0"/>
    </xf>
    <xf numFmtId="0" fontId="63" fillId="0" borderId="0"/>
    <xf numFmtId="0" fontId="266" fillId="0" borderId="0"/>
    <xf numFmtId="0" fontId="2" fillId="0" borderId="0"/>
    <xf numFmtId="299" fontId="82" fillId="0" borderId="0">
      <protection locked="0"/>
    </xf>
    <xf numFmtId="222" fontId="82" fillId="0" borderId="0" applyFont="0" applyFill="0" applyBorder="0" applyAlignment="0" applyProtection="0"/>
    <xf numFmtId="221" fontId="82" fillId="0" borderId="0" applyFont="0" applyFill="0" applyBorder="0" applyAlignment="0" applyProtection="0"/>
    <xf numFmtId="298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9" fontId="265" fillId="0" borderId="0"/>
    <xf numFmtId="0" fontId="2" fillId="0" borderId="0" applyFont="0" applyFill="0" applyBorder="0" applyAlignment="0" applyProtection="0"/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264" fillId="12" borderId="162" applyNumberFormat="0" applyAlignment="0" applyProtection="0">
      <alignment vertical="center"/>
    </xf>
    <xf numFmtId="0" fontId="82" fillId="0" borderId="0"/>
    <xf numFmtId="297" fontId="132" fillId="0" borderId="0">
      <alignment vertical="center"/>
    </xf>
    <xf numFmtId="0" fontId="263" fillId="4" borderId="0" applyNumberFormat="0" applyBorder="0" applyAlignment="0" applyProtection="0">
      <alignment vertical="center"/>
    </xf>
    <xf numFmtId="0" fontId="262" fillId="0" borderId="0" applyNumberFormat="0" applyFill="0" applyBorder="0" applyAlignment="0" applyProtection="0">
      <alignment vertical="center"/>
    </xf>
    <xf numFmtId="0" fontId="262" fillId="0" borderId="54" applyNumberFormat="0" applyFill="0" applyAlignment="0" applyProtection="0">
      <alignment vertical="center"/>
    </xf>
    <xf numFmtId="0" fontId="262" fillId="0" borderId="54" applyNumberFormat="0" applyFill="0" applyAlignment="0" applyProtection="0">
      <alignment vertical="center"/>
    </xf>
    <xf numFmtId="0" fontId="262" fillId="0" borderId="54" applyNumberFormat="0" applyFill="0" applyAlignment="0" applyProtection="0">
      <alignment vertical="center"/>
    </xf>
    <xf numFmtId="0" fontId="262" fillId="0" borderId="54" applyNumberFormat="0" applyFill="0" applyAlignment="0" applyProtection="0">
      <alignment vertical="center"/>
    </xf>
    <xf numFmtId="0" fontId="262" fillId="0" borderId="54" applyNumberFormat="0" applyFill="0" applyAlignment="0" applyProtection="0">
      <alignment vertical="center"/>
    </xf>
    <xf numFmtId="0" fontId="262" fillId="0" borderId="54" applyNumberFormat="0" applyFill="0" applyAlignment="0" applyProtection="0">
      <alignment vertical="center"/>
    </xf>
    <xf numFmtId="0" fontId="261" fillId="0" borderId="53" applyNumberFormat="0" applyFill="0" applyAlignment="0" applyProtection="0">
      <alignment vertical="center"/>
    </xf>
    <xf numFmtId="0" fontId="260" fillId="0" borderId="52" applyNumberFormat="0" applyFill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296" fontId="82" fillId="0" borderId="0">
      <protection locked="0"/>
    </xf>
    <xf numFmtId="4" fontId="93" fillId="0" borderId="0">
      <protection locked="0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8" fillId="10" borderId="158" applyNumberFormat="0" applyAlignment="0" applyProtection="0">
      <alignment vertical="center"/>
    </xf>
    <xf numFmtId="0" fontId="257" fillId="0" borderId="0" applyNumberFormat="0" applyFill="0" applyBorder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6" fillId="0" borderId="167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top"/>
      <protection locked="0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4" fillId="0" borderId="20" applyNumberFormat="0" applyFill="0" applyAlignment="0" applyProtection="0">
      <alignment vertical="center"/>
    </xf>
    <xf numFmtId="0" fontId="253" fillId="0" borderId="5"/>
    <xf numFmtId="0" fontId="2" fillId="0" borderId="0"/>
    <xf numFmtId="166" fontId="26" fillId="0" borderId="0" applyFont="0" applyFill="0" applyBorder="0" applyAlignment="0" applyProtection="0"/>
    <xf numFmtId="43" fontId="252" fillId="0" borderId="0" applyFont="0" applyFill="0" applyBorder="0" applyAlignment="0" applyProtection="0">
      <alignment vertical="center"/>
    </xf>
    <xf numFmtId="165" fontId="132" fillId="0" borderId="0" applyFont="0" applyFill="0" applyBorder="0" applyAlignment="0" applyProtection="0"/>
    <xf numFmtId="41" fontId="25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295" fontId="82" fillId="0" borderId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1" fillId="18" borderId="131" applyNumberFormat="0" applyAlignment="0" applyProtection="0">
      <alignment vertical="center"/>
    </xf>
    <xf numFmtId="0" fontId="250" fillId="0" borderId="0" applyNumberFormat="0" applyFill="0" applyBorder="0" applyAlignment="0" applyProtection="0">
      <alignment vertical="center"/>
    </xf>
    <xf numFmtId="0" fontId="2" fillId="0" borderId="0" applyFont="0" applyFill="0" applyBorder="0" applyAlignment="0" applyProtection="0"/>
    <xf numFmtId="0" fontId="137" fillId="0" borderId="0" applyFont="0" applyFill="0" applyBorder="0" applyAlignment="0" applyProtection="0"/>
    <xf numFmtId="0" fontId="249" fillId="0" borderId="0"/>
    <xf numFmtId="0" fontId="137" fillId="0" borderId="0" applyFont="0" applyFill="0" applyBorder="0" applyAlignment="0" applyProtection="0"/>
    <xf numFmtId="0" fontId="248" fillId="9" borderId="0" applyNumberFormat="0" applyBorder="0" applyAlignment="0" applyProtection="0">
      <alignment vertical="center"/>
    </xf>
    <xf numFmtId="9" fontId="62" fillId="0" borderId="0" applyFont="0" applyFill="0" applyBorder="0" applyAlignment="0" applyProtection="0"/>
    <xf numFmtId="9" fontId="247" fillId="0" borderId="0" applyFont="0" applyFill="0" applyBorder="0" applyAlignment="0" applyProtection="0"/>
    <xf numFmtId="0" fontId="246" fillId="0" borderId="0" applyFont="0" applyFill="0" applyBorder="0" applyAlignment="0" applyProtection="0"/>
    <xf numFmtId="0" fontId="246" fillId="0" borderId="0" applyFont="0" applyFill="0" applyBorder="0" applyAlignment="0" applyProtection="0"/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132" fillId="6" borderId="161" applyNumberFormat="0" applyFont="0" applyAlignment="0" applyProtection="0">
      <alignment vertical="center"/>
    </xf>
    <xf numFmtId="0" fontId="132" fillId="6" borderId="161" applyNumberFormat="0" applyFont="0" applyAlignment="0" applyProtection="0">
      <alignment vertical="center"/>
    </xf>
    <xf numFmtId="0" fontId="132" fillId="6" borderId="161" applyNumberFormat="0" applyFont="0" applyAlignment="0" applyProtection="0">
      <alignment vertical="center"/>
    </xf>
    <xf numFmtId="0" fontId="132" fillId="6" borderId="161" applyNumberFormat="0" applyFont="0" applyAlignment="0" applyProtection="0">
      <alignment vertical="center"/>
    </xf>
    <xf numFmtId="0" fontId="132" fillId="6" borderId="161" applyNumberFormat="0" applyFont="0" applyAlignment="0" applyProtection="0">
      <alignment vertical="center"/>
    </xf>
    <xf numFmtId="0" fontId="13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2" fillId="6" borderId="161" applyNumberFormat="0" applyFont="0" applyAlignment="0" applyProtection="0">
      <alignment vertical="center"/>
    </xf>
    <xf numFmtId="0" fontId="132" fillId="6" borderId="161" applyNumberFormat="0" applyFont="0" applyAlignment="0" applyProtection="0">
      <alignment vertical="center"/>
    </xf>
    <xf numFmtId="0" fontId="245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244" fillId="0" borderId="0" applyNumberFormat="0" applyFill="0" applyBorder="0" applyAlignment="0" applyProtection="0">
      <alignment vertical="top"/>
      <protection locked="0"/>
    </xf>
    <xf numFmtId="0" fontId="2" fillId="0" borderId="0" applyFont="0" applyFill="0" applyBorder="0" applyAlignment="0" applyProtection="0"/>
    <xf numFmtId="0" fontId="82" fillId="0" borderId="0" applyFont="0" applyFill="0" applyBorder="0" applyAlignment="0" applyProtection="0"/>
    <xf numFmtId="206" fontId="93" fillId="0" borderId="0">
      <protection locked="0"/>
    </xf>
    <xf numFmtId="206" fontId="93" fillId="0" borderId="0">
      <protection locked="0"/>
    </xf>
    <xf numFmtId="0" fontId="243" fillId="5" borderId="0" applyNumberFormat="0" applyBorder="0" applyAlignment="0" applyProtection="0">
      <alignment vertical="center"/>
    </xf>
    <xf numFmtId="0" fontId="2" fillId="0" borderId="0"/>
    <xf numFmtId="206" fontId="38" fillId="0" borderId="0">
      <protection locked="0"/>
    </xf>
    <xf numFmtId="206" fontId="38" fillId="0" borderId="0">
      <protection locked="0"/>
    </xf>
    <xf numFmtId="294" fontId="82" fillId="0" borderId="0">
      <protection locked="0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2" fillId="12" borderId="158" applyNumberFormat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117" fillId="37" borderId="0" applyNumberFormat="0" applyBorder="0" applyAlignment="0" applyProtection="0">
      <alignment vertical="center"/>
    </xf>
    <xf numFmtId="0" fontId="117" fillId="13" borderId="0" applyNumberFormat="0" applyBorder="0" applyAlignment="0" applyProtection="0">
      <alignment vertical="center"/>
    </xf>
    <xf numFmtId="0" fontId="117" fillId="35" borderId="0" applyNumberFormat="0" applyBorder="0" applyAlignment="0" applyProtection="0">
      <alignment vertical="center"/>
    </xf>
    <xf numFmtId="0" fontId="117" fillId="41" borderId="0" applyNumberFormat="0" applyBorder="0" applyAlignment="0" applyProtection="0">
      <alignment vertical="center"/>
    </xf>
    <xf numFmtId="0" fontId="117" fillId="40" borderId="0" applyNumberFormat="0" applyBorder="0" applyAlignment="0" applyProtection="0">
      <alignment vertical="center"/>
    </xf>
    <xf numFmtId="0" fontId="117" fillId="39" borderId="0" applyNumberFormat="0" applyBorder="0" applyAlignment="0" applyProtection="0">
      <alignment vertical="center"/>
    </xf>
    <xf numFmtId="0" fontId="27" fillId="0" borderId="0">
      <alignment vertical="center"/>
    </xf>
    <xf numFmtId="0" fontId="240" fillId="0" borderId="0" applyFont="0" applyFill="0" applyBorder="0" applyAlignment="0" applyProtection="0"/>
    <xf numFmtId="0" fontId="240" fillId="0" borderId="0" applyFont="0" applyFill="0" applyBorder="0" applyAlignment="0" applyProtection="0"/>
    <xf numFmtId="0" fontId="137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137" fillId="0" borderId="0" applyFont="0" applyFill="0" applyBorder="0" applyAlignment="0" applyProtection="0"/>
    <xf numFmtId="0" fontId="137" fillId="0" borderId="0" applyFont="0" applyFill="0" applyBorder="0" applyAlignment="0" applyProtection="0"/>
    <xf numFmtId="0" fontId="137" fillId="0" borderId="0" applyFont="0" applyFill="0" applyBorder="0" applyAlignment="0" applyProtection="0"/>
    <xf numFmtId="0" fontId="61" fillId="0" borderId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39" fillId="0" borderId="0" applyFont="0" applyFill="0" applyBorder="0" applyAlignment="0" applyProtection="0"/>
    <xf numFmtId="165" fontId="239" fillId="0" borderId="0" applyFont="0" applyFill="0" applyBorder="0" applyAlignment="0" applyProtection="0"/>
    <xf numFmtId="0" fontId="137" fillId="0" borderId="0" applyFont="0" applyFill="0" applyBorder="0" applyAlignment="0" applyProtection="0"/>
    <xf numFmtId="0" fontId="238" fillId="0" borderId="0" applyNumberFormat="0" applyFill="0" applyBorder="0" applyAlignment="0" applyProtection="0">
      <alignment vertical="top"/>
      <protection locked="0"/>
    </xf>
    <xf numFmtId="200" fontId="238" fillId="0" borderId="0" applyNumberFormat="0" applyFill="0" applyBorder="0" applyAlignment="0" applyProtection="0">
      <alignment vertical="top"/>
      <protection locked="0"/>
    </xf>
    <xf numFmtId="293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0" fontId="19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82" fillId="0" borderId="0" applyFont="0" applyFill="0" applyBorder="0" applyAlignment="0" applyProtection="0"/>
    <xf numFmtId="0" fontId="237" fillId="0" borderId="0" applyNumberFormat="0" applyFill="0" applyBorder="0" applyAlignment="0" applyProtection="0"/>
    <xf numFmtId="0" fontId="236" fillId="0" borderId="0" applyNumberFormat="0" applyFont="0" applyFill="0" applyBorder="0" applyProtection="0">
      <alignment horizontal="center" vertical="center" wrapText="1"/>
    </xf>
    <xf numFmtId="256" fontId="2" fillId="0" borderId="0" applyNumberFormat="0" applyFill="0" applyBorder="0" applyAlignment="0" applyProtection="0"/>
    <xf numFmtId="0" fontId="25" fillId="0" borderId="50"/>
    <xf numFmtId="0" fontId="25" fillId="0" borderId="50"/>
    <xf numFmtId="0" fontId="25" fillId="0" borderId="50"/>
    <xf numFmtId="0" fontId="25" fillId="0" borderId="50"/>
    <xf numFmtId="0" fontId="25" fillId="0" borderId="50"/>
    <xf numFmtId="0" fontId="25" fillId="0" borderId="50"/>
    <xf numFmtId="0" fontId="23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217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217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217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217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217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217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192" fontId="2" fillId="0" borderId="0" applyFont="0" applyFill="0" applyBorder="0" applyAlignment="0" applyProtection="0"/>
    <xf numFmtId="292" fontId="2" fillId="0" borderId="0" applyFont="0" applyFill="0" applyBorder="0" applyAlignment="0" applyProtection="0"/>
    <xf numFmtId="41" fontId="132" fillId="0" borderId="0" applyFont="0" applyFill="0" applyBorder="0" applyAlignment="0" applyProtection="0"/>
    <xf numFmtId="8" fontId="132" fillId="0" borderId="0" applyFont="0" applyFill="0" applyBorder="0" applyAlignment="0" applyProtection="0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0" fontId="234" fillId="0" borderId="154"/>
    <xf numFmtId="290" fontId="234" fillId="0" borderId="154"/>
    <xf numFmtId="290" fontId="234" fillId="0" borderId="154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1" fontId="234" fillId="0" borderId="150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90" fontId="234" fillId="0" borderId="154"/>
    <xf numFmtId="289" fontId="234" fillId="0" borderId="0"/>
    <xf numFmtId="288" fontId="234" fillId="0" borderId="0"/>
    <xf numFmtId="4" fontId="2" fillId="0" borderId="0"/>
    <xf numFmtId="191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287" fontId="82" fillId="0" borderId="0" applyFont="0" applyFill="0" applyBorder="0" applyAlignment="0" applyProtection="0"/>
    <xf numFmtId="206" fontId="165" fillId="0" borderId="120"/>
    <xf numFmtId="206" fontId="165" fillId="0" borderId="120"/>
    <xf numFmtId="206" fontId="165" fillId="0" borderId="120"/>
    <xf numFmtId="206" fontId="165" fillId="0" borderId="120"/>
    <xf numFmtId="206" fontId="165" fillId="0" borderId="120"/>
    <xf numFmtId="0" fontId="233" fillId="0" borderId="0"/>
    <xf numFmtId="198" fontId="76" fillId="0" borderId="0" applyFont="0">
      <alignment horizontal="center"/>
      <protection locked="0"/>
    </xf>
    <xf numFmtId="198" fontId="76" fillId="0" borderId="0" applyFont="0">
      <alignment horizontal="center"/>
      <protection locked="0"/>
    </xf>
    <xf numFmtId="198" fontId="76" fillId="0" borderId="0" applyFont="0">
      <alignment horizontal="center"/>
      <protection locked="0"/>
    </xf>
    <xf numFmtId="286" fontId="76" fillId="0" borderId="0" applyFill="0">
      <alignment horizontal="center"/>
    </xf>
    <xf numFmtId="268" fontId="7" fillId="46" borderId="0"/>
    <xf numFmtId="9" fontId="232" fillId="52" borderId="0"/>
    <xf numFmtId="9" fontId="232" fillId="52" borderId="0"/>
    <xf numFmtId="9" fontId="232" fillId="8" borderId="0"/>
    <xf numFmtId="4" fontId="75" fillId="0" borderId="0" applyFont="0" applyFill="0" applyBorder="0" applyAlignment="0" applyProtection="0"/>
    <xf numFmtId="16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206" fontId="2" fillId="46" borderId="120" applyNumberFormat="0" applyBorder="0" applyAlignment="0">
      <alignment horizontal="center"/>
    </xf>
    <xf numFmtId="206" fontId="2" fillId="46" borderId="120" applyNumberFormat="0" applyBorder="0" applyAlignment="0">
      <alignment horizontal="center"/>
    </xf>
    <xf numFmtId="206" fontId="2" fillId="46" borderId="120" applyNumberFormat="0" applyBorder="0" applyAlignment="0">
      <alignment horizontal="center"/>
    </xf>
    <xf numFmtId="206" fontId="2" fillId="46" borderId="120" applyNumberFormat="0" applyBorder="0" applyAlignment="0">
      <alignment horizontal="center"/>
    </xf>
    <xf numFmtId="206" fontId="2" fillId="46" borderId="120" applyNumberFormat="0" applyBorder="0" applyAlignment="0">
      <alignment horizontal="center"/>
    </xf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200" fontId="165" fillId="0" borderId="150" applyNumberFormat="0" applyFill="0" applyAlignment="0" applyProtection="0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198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0" fontId="79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0" fontId="41" fillId="0" borderId="154"/>
    <xf numFmtId="0" fontId="41" fillId="0" borderId="154"/>
    <xf numFmtId="0" fontId="41" fillId="0" borderId="154"/>
    <xf numFmtId="0" fontId="41" fillId="0" borderId="154"/>
    <xf numFmtId="0" fontId="41" fillId="0" borderId="154"/>
    <xf numFmtId="0" fontId="41" fillId="0" borderId="154"/>
    <xf numFmtId="216" fontId="197" fillId="0" borderId="154"/>
    <xf numFmtId="216" fontId="197" fillId="0" borderId="154"/>
    <xf numFmtId="216" fontId="197" fillId="0" borderId="154"/>
    <xf numFmtId="216" fontId="197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200" fontId="198" fillId="0" borderId="154"/>
    <xf numFmtId="0" fontId="41" fillId="0" borderId="154"/>
    <xf numFmtId="200" fontId="165" fillId="0" borderId="150" applyNumberFormat="0" applyFill="0" applyAlignment="0" applyProtection="0"/>
    <xf numFmtId="0" fontId="165" fillId="0" borderId="36" applyNumberFormat="0" applyFill="0" applyAlignment="0" applyProtection="0"/>
    <xf numFmtId="0" fontId="165" fillId="0" borderId="36" applyNumberFormat="0" applyFill="0" applyAlignment="0" applyProtection="0"/>
    <xf numFmtId="0" fontId="165" fillId="0" borderId="36" applyNumberFormat="0" applyFill="0" applyAlignment="0" applyProtection="0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198" fillId="0" borderId="132"/>
    <xf numFmtId="0" fontId="79" fillId="0" borderId="132"/>
    <xf numFmtId="0" fontId="79" fillId="0" borderId="132"/>
    <xf numFmtId="0" fontId="79" fillId="0" borderId="132"/>
    <xf numFmtId="216" fontId="197" fillId="0" borderId="132"/>
    <xf numFmtId="200" fontId="198" fillId="0" borderId="132"/>
    <xf numFmtId="200" fontId="198" fillId="0" borderId="132"/>
    <xf numFmtId="200" fontId="198" fillId="0" borderId="132"/>
    <xf numFmtId="200" fontId="198" fillId="0" borderId="132"/>
    <xf numFmtId="200" fontId="198" fillId="0" borderId="132"/>
    <xf numFmtId="0" fontId="41" fillId="0" borderId="132"/>
    <xf numFmtId="200" fontId="198" fillId="0" borderId="132"/>
    <xf numFmtId="0" fontId="41" fillId="0" borderId="132"/>
    <xf numFmtId="200" fontId="165" fillId="0" borderId="168" applyNumberFormat="0" applyFill="0" applyAlignment="0" applyProtection="0"/>
    <xf numFmtId="198" fontId="215" fillId="0" borderId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217" fontId="2" fillId="0" borderId="61" applyNumberFormat="0" applyFill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2" fillId="0" borderId="166" applyNumberFormat="0" applyFont="0" applyBorder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217" fontId="2" fillId="0" borderId="166" applyNumberFormat="0" applyFont="0" applyBorder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2" fillId="0" borderId="166" applyNumberFormat="0" applyFont="0" applyBorder="0" applyAlignment="0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2" fillId="0" borderId="61" applyNumberFormat="0" applyFon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2" fillId="0" borderId="61" applyNumberFormat="0" applyFon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2" fillId="0" borderId="61" applyNumberFormat="0" applyFon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2" fillId="0" borderId="61" applyNumberFormat="0" applyFont="0" applyFill="0" applyAlignment="0" applyProtection="0"/>
    <xf numFmtId="0" fontId="166" fillId="0" borderId="39" applyProtection="0"/>
    <xf numFmtId="0" fontId="166" fillId="0" borderId="39" applyProtection="0"/>
    <xf numFmtId="217" fontId="2" fillId="0" borderId="166" applyNumberFormat="0" applyFont="0" applyBorder="0" applyAlignment="0" applyProtection="0"/>
    <xf numFmtId="0" fontId="166" fillId="0" borderId="39" applyProtection="0"/>
    <xf numFmtId="0" fontId="166" fillId="0" borderId="39" applyProtection="0"/>
    <xf numFmtId="0" fontId="2" fillId="0" borderId="133" applyNumberFormat="0" applyFon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59" fillId="0" borderId="167" applyNumberFormat="0" applyFill="0" applyAlignment="0" applyProtection="0"/>
    <xf numFmtId="0" fontId="2" fillId="0" borderId="133" applyNumberFormat="0" applyFont="0" applyFill="0" applyAlignment="0" applyProtection="0"/>
    <xf numFmtId="0" fontId="231" fillId="0" borderId="167" applyNumberFormat="0" applyFill="0" applyAlignment="0" applyProtection="0"/>
    <xf numFmtId="217" fontId="2" fillId="0" borderId="133" applyNumberFormat="0" applyFill="0" applyAlignment="0" applyProtection="0"/>
    <xf numFmtId="217" fontId="2" fillId="0" borderId="133" applyNumberFormat="0" applyFill="0" applyAlignment="0" applyProtection="0"/>
    <xf numFmtId="217" fontId="2" fillId="0" borderId="133" applyNumberFormat="0" applyFill="0" applyAlignment="0" applyProtection="0"/>
    <xf numFmtId="0" fontId="2" fillId="0" borderId="166" applyNumberFormat="0" applyFont="0" applyBorder="0" applyAlignment="0" applyProtection="0"/>
    <xf numFmtId="0" fontId="2" fillId="0" borderId="166" applyNumberFormat="0" applyFont="0" applyBorder="0" applyAlignment="0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6" fillId="0" borderId="39" applyProtection="0"/>
    <xf numFmtId="0" fontId="168" fillId="0" borderId="54" applyNumberFormat="0" applyFill="0" applyAlignment="0" applyProtection="0"/>
    <xf numFmtId="0" fontId="181" fillId="0" borderId="53" applyNumberFormat="0" applyFill="0" applyAlignment="0" applyProtection="0"/>
    <xf numFmtId="0" fontId="178" fillId="0" borderId="52" applyNumberFormat="0" applyFill="0" applyAlignment="0" applyProtection="0"/>
    <xf numFmtId="0" fontId="228" fillId="0" borderId="0" applyNumberFormat="0" applyFill="0" applyBorder="0" applyAlignment="0" applyProtection="0"/>
    <xf numFmtId="239" fontId="230" fillId="0" borderId="10" applyNumberFormat="0" applyFill="0" applyProtection="0">
      <alignment horizontal="center"/>
    </xf>
    <xf numFmtId="239" fontId="230" fillId="0" borderId="10" applyNumberFormat="0" applyFill="0" applyProtection="0">
      <alignment horizontal="center"/>
    </xf>
    <xf numFmtId="239" fontId="230" fillId="0" borderId="10" applyNumberFormat="0" applyFill="0" applyProtection="0">
      <alignment horizontal="center"/>
    </xf>
    <xf numFmtId="239" fontId="230" fillId="0" borderId="10" applyNumberFormat="0" applyFill="0" applyProtection="0">
      <alignment horizontal="center"/>
    </xf>
    <xf numFmtId="239" fontId="230" fillId="0" borderId="10" applyNumberFormat="0" applyFill="0" applyProtection="0">
      <alignment horizontal="center"/>
    </xf>
    <xf numFmtId="239" fontId="230" fillId="0" borderId="10" applyNumberFormat="0" applyFill="0" applyProtection="0">
      <alignment horizontal="center"/>
    </xf>
    <xf numFmtId="239" fontId="230" fillId="0" borderId="10" applyNumberFormat="0" applyFill="0" applyProtection="0">
      <alignment horizontal="center"/>
    </xf>
    <xf numFmtId="0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217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217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217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217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217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217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0" fontId="229" fillId="0" borderId="0" applyNumberFormat="0" applyFill="0" applyBorder="0" applyAlignment="0" applyProtection="0"/>
    <xf numFmtId="0" fontId="229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0" fontId="2" fillId="0" borderId="0" applyNumberFormat="0" applyBorder="0" applyAlignment="0" applyProtection="0"/>
    <xf numFmtId="0" fontId="227" fillId="26" borderId="0"/>
    <xf numFmtId="0" fontId="78" fillId="26" borderId="0"/>
    <xf numFmtId="216" fontId="78" fillId="26" borderId="0"/>
    <xf numFmtId="0" fontId="58" fillId="26" borderId="0"/>
    <xf numFmtId="200" fontId="2" fillId="0" borderId="0" applyNumberFormat="0" applyBorder="0" applyAlignment="0" applyProtection="0"/>
    <xf numFmtId="22" fontId="152" fillId="0" borderId="0" applyFont="0" applyFill="0" applyBorder="0" applyAlignment="0" applyProtection="0">
      <alignment vertical="center"/>
    </xf>
    <xf numFmtId="39" fontId="50" fillId="0" borderId="48"/>
    <xf numFmtId="39" fontId="50" fillId="0" borderId="48"/>
    <xf numFmtId="0" fontId="210" fillId="0" borderId="0" applyNumberFormat="0" applyFill="0" applyBorder="0" applyAlignment="0" applyProtection="0"/>
    <xf numFmtId="206" fontId="2" fillId="0" borderId="0"/>
    <xf numFmtId="0" fontId="2" fillId="0" borderId="0"/>
    <xf numFmtId="200" fontId="2" fillId="0" borderId="0"/>
    <xf numFmtId="200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5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285" fontId="226" fillId="0" borderId="164">
      <alignment horizontal="center"/>
    </xf>
    <xf numFmtId="178" fontId="2" fillId="0" borderId="0" applyFill="0" applyBorder="0" applyAlignment="0" applyProtection="0">
      <alignment horizontal="right"/>
    </xf>
    <xf numFmtId="0" fontId="34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2" fillId="0" borderId="0" applyFill="0" applyBorder="0" applyAlignment="0"/>
    <xf numFmtId="200" fontId="2" fillId="0" borderId="0" applyFill="0" applyBorder="0" applyAlignment="0"/>
    <xf numFmtId="0" fontId="2" fillId="0" borderId="0" applyFill="0" applyBorder="0" applyAlignment="0"/>
    <xf numFmtId="200" fontId="2" fillId="0" borderId="0" applyFill="0" applyBorder="0" applyAlignment="0"/>
    <xf numFmtId="49" fontId="22" fillId="0" borderId="0" applyFill="0" applyBorder="0" applyAlignment="0"/>
    <xf numFmtId="256" fontId="2" fillId="51" borderId="0" applyNumberFormat="0" applyFont="0" applyBorder="0" applyAlignment="0" applyProtection="0"/>
    <xf numFmtId="49" fontId="2" fillId="14" borderId="0" applyFont="0" applyBorder="0">
      <alignment horizontal="left"/>
    </xf>
    <xf numFmtId="199" fontId="2" fillId="0" borderId="0"/>
    <xf numFmtId="215" fontId="2" fillId="0" borderId="0"/>
    <xf numFmtId="199" fontId="2" fillId="0" borderId="0"/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3" fontId="2" fillId="0" borderId="150" applyNumberFormat="0" applyFont="0" applyFill="0" applyAlignment="0" applyProtection="0">
      <alignment vertical="center"/>
    </xf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0" fontId="30" fillId="0" borderId="154"/>
    <xf numFmtId="0" fontId="30" fillId="0" borderId="154"/>
    <xf numFmtId="0" fontId="30" fillId="0" borderId="154"/>
    <xf numFmtId="0" fontId="30" fillId="0" borderId="154"/>
    <xf numFmtId="0" fontId="30" fillId="0" borderId="154"/>
    <xf numFmtId="0" fontId="30" fillId="0" borderId="154"/>
    <xf numFmtId="216" fontId="164" fillId="0" borderId="154"/>
    <xf numFmtId="216" fontId="164" fillId="0" borderId="154"/>
    <xf numFmtId="216" fontId="164" fillId="0" borderId="154"/>
    <xf numFmtId="216" fontId="164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200" fontId="142" fillId="0" borderId="154"/>
    <xf numFmtId="0" fontId="30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0" fontId="75" fillId="0" borderId="154"/>
    <xf numFmtId="200" fontId="163" fillId="0" borderId="157" applyNumberFormat="0" applyFont="0" applyFill="0" applyAlignment="0" applyProtection="0"/>
    <xf numFmtId="3" fontId="2" fillId="0" borderId="157" applyNumberFormat="0" applyFont="0" applyFill="0" applyAlignment="0" applyProtection="0">
      <alignment vertical="center"/>
    </xf>
    <xf numFmtId="0" fontId="225" fillId="0" borderId="0">
      <alignment horizontal="center"/>
    </xf>
    <xf numFmtId="200" fontId="225" fillId="0" borderId="0">
      <alignment horizont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0" fontId="2" fillId="0" borderId="159">
      <alignment horizontal="left" vertical="center" indent="1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82" fontId="223" fillId="0" borderId="165">
      <alignment horizontal="right" vertical="center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113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0" fontId="224" fillId="0" borderId="113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51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0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4" fontId="2" fillId="0" borderId="165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0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4" fontId="2" fillId="0" borderId="117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3" fontId="2" fillId="0" borderId="164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6" fontId="2" fillId="46" borderId="60" applyNumberFormat="0" applyFont="0" applyBorder="0" applyAlignment="0">
      <alignment horizontal="right"/>
    </xf>
    <xf numFmtId="206" fontId="2" fillId="46" borderId="60" applyNumberFormat="0" applyFont="0" applyBorder="0" applyAlignment="0">
      <alignment horizontal="right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00" fontId="224" fillId="0" borderId="159">
      <alignment vertical="top" wrapText="1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06" fontId="2" fillId="0" borderId="159">
      <alignment horizontal="left" vertical="center" indent="1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2" fontId="223" fillId="0" borderId="117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81" fontId="223" fillId="0" borderId="164">
      <alignment horizontal="right" vertical="center"/>
    </xf>
    <xf numFmtId="239" fontId="44" fillId="50" borderId="0" applyNumberFormat="0" applyAlignment="0">
      <alignment horizontal="left" vertical="top"/>
    </xf>
    <xf numFmtId="198" fontId="76" fillId="0" borderId="0" applyFill="0" applyProtection="0">
      <protection locked="0"/>
    </xf>
    <xf numFmtId="198" fontId="76" fillId="0" borderId="0" applyFont="0">
      <protection locked="0"/>
    </xf>
    <xf numFmtId="198" fontId="76" fillId="0" borderId="0" applyFont="0">
      <protection locked="0"/>
    </xf>
    <xf numFmtId="198" fontId="76" fillId="0" borderId="0" applyFont="0">
      <protection locked="0"/>
    </xf>
    <xf numFmtId="0" fontId="5" fillId="0" borderId="0">
      <alignment horizontal="right"/>
    </xf>
    <xf numFmtId="40" fontId="326" fillId="0" borderId="0" applyBorder="0">
      <alignment horizontal="right"/>
    </xf>
    <xf numFmtId="206" fontId="222" fillId="0" borderId="0" applyNumberFormat="0" applyProtection="0">
      <alignment wrapText="1"/>
      <protection locked="0"/>
    </xf>
    <xf numFmtId="217" fontId="202" fillId="0" borderId="59"/>
    <xf numFmtId="217" fontId="202" fillId="0" borderId="59"/>
    <xf numFmtId="217" fontId="202" fillId="0" borderId="59"/>
    <xf numFmtId="0" fontId="203" fillId="0" borderId="0"/>
    <xf numFmtId="0" fontId="146" fillId="0" borderId="0"/>
    <xf numFmtId="206" fontId="7" fillId="8" borderId="0"/>
    <xf numFmtId="1" fontId="221" fillId="0" borderId="0"/>
    <xf numFmtId="206" fontId="93" fillId="0" borderId="0">
      <protection locked="0"/>
    </xf>
    <xf numFmtId="206" fontId="93" fillId="0" borderId="0">
      <protection locked="0"/>
    </xf>
    <xf numFmtId="206" fontId="2" fillId="0" borderId="0"/>
    <xf numFmtId="0" fontId="97" fillId="0" borderId="0"/>
    <xf numFmtId="0" fontId="22" fillId="0" borderId="0">
      <alignment vertical="top"/>
    </xf>
    <xf numFmtId="256" fontId="2" fillId="28" borderId="0" applyNumberFormat="0" applyFont="0" applyBorder="0" applyAlignment="0">
      <protection hidden="1"/>
    </xf>
    <xf numFmtId="0" fontId="144" fillId="0" borderId="159"/>
    <xf numFmtId="0" fontId="144" fillId="0" borderId="159"/>
    <xf numFmtId="0" fontId="144" fillId="0" borderId="159"/>
    <xf numFmtId="0" fontId="144" fillId="0" borderId="159"/>
    <xf numFmtId="0" fontId="144" fillId="0" borderId="159"/>
    <xf numFmtId="0" fontId="144" fillId="0" borderId="159"/>
    <xf numFmtId="0" fontId="144" fillId="0" borderId="159"/>
    <xf numFmtId="0" fontId="144" fillId="0" borderId="159"/>
    <xf numFmtId="0" fontId="37" fillId="0" borderId="159" applyAlignment="0"/>
    <xf numFmtId="0" fontId="37" fillId="0" borderId="159" applyAlignment="0"/>
    <xf numFmtId="0" fontId="37" fillId="0" borderId="159" applyAlignment="0"/>
    <xf numFmtId="0" fontId="37" fillId="0" borderId="159" applyAlignment="0"/>
    <xf numFmtId="0" fontId="37" fillId="0" borderId="159" applyAlignment="0"/>
    <xf numFmtId="0" fontId="37" fillId="0" borderId="159" applyAlignment="0"/>
    <xf numFmtId="0" fontId="37" fillId="0" borderId="159" applyAlignment="0"/>
    <xf numFmtId="0" fontId="37" fillId="0" borderId="159" applyAlignment="0"/>
    <xf numFmtId="0" fontId="2" fillId="0" borderId="0"/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0" applyNumberFormat="0" applyFill="0" applyBorder="0" applyAlignment="0">
      <alignment horizontal="center"/>
    </xf>
    <xf numFmtId="0" fontId="57" fillId="0" borderId="159">
      <alignment horizontal="left"/>
    </xf>
    <xf numFmtId="0" fontId="57" fillId="0" borderId="159">
      <alignment horizontal="left"/>
    </xf>
    <xf numFmtId="0" fontId="57" fillId="0" borderId="159">
      <alignment horizontal="left"/>
    </xf>
    <xf numFmtId="0" fontId="57" fillId="0" borderId="159">
      <alignment horizontal="left"/>
    </xf>
    <xf numFmtId="0" fontId="57" fillId="0" borderId="159">
      <alignment horizontal="left"/>
    </xf>
    <xf numFmtId="0" fontId="57" fillId="0" borderId="159">
      <alignment horizontal="left"/>
    </xf>
    <xf numFmtId="0" fontId="57" fillId="0" borderId="159">
      <alignment horizontal="left"/>
    </xf>
    <xf numFmtId="0" fontId="57" fillId="0" borderId="159">
      <alignment horizontal="left"/>
    </xf>
    <xf numFmtId="0" fontId="220" fillId="0" borderId="0" applyNumberFormat="0" applyFill="0" applyBorder="0" applyAlignment="0" applyProtection="0"/>
    <xf numFmtId="0" fontId="220" fillId="0" borderId="0" applyNumberFormat="0" applyFill="0" applyBorder="0" applyAlignment="0" applyProtection="0"/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0" fontId="54" fillId="1" borderId="155" applyNumberFormat="0" applyFont="0" applyAlignment="0">
      <alignment horizontal="center"/>
    </xf>
    <xf numFmtId="200" fontId="219" fillId="1" borderId="0" applyNumberFormat="0" applyBorder="0" applyAlignment="0"/>
    <xf numFmtId="198" fontId="218" fillId="0" borderId="0" applyFont="0">
      <alignment horizontal="left"/>
    </xf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217" fontId="217" fillId="0" borderId="163"/>
    <xf numFmtId="10" fontId="2" fillId="0" borderId="0">
      <alignment vertical="center" textRotation="90"/>
    </xf>
    <xf numFmtId="10" fontId="2" fillId="0" borderId="0">
      <alignment vertical="center" textRotation="90"/>
    </xf>
    <xf numFmtId="0" fontId="52" fillId="12" borderId="162" applyNumberFormat="0" applyAlignment="0" applyProtection="0"/>
    <xf numFmtId="0" fontId="81" fillId="0" borderId="0" applyNumberFormat="0" applyFill="0" applyBorder="0" applyAlignment="0" applyProtection="0"/>
    <xf numFmtId="49" fontId="7" fillId="0" borderId="0" applyBorder="0" applyAlignment="0"/>
    <xf numFmtId="0" fontId="2" fillId="0" borderId="0"/>
    <xf numFmtId="200" fontId="2" fillId="0" borderId="0"/>
    <xf numFmtId="3" fontId="77" fillId="0" borderId="0"/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280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280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176" fontId="2" fillId="0" borderId="0" applyNumberFormat="0" applyFill="0" applyBorder="0" applyAlignment="0" applyProtection="0">
      <alignment horizontal="left"/>
    </xf>
    <xf numFmtId="309" fontId="56" fillId="0" borderId="0" applyNumberFormat="0" applyFill="0" applyBorder="0" applyAlignment="0" applyProtection="0">
      <alignment horizontal="left"/>
    </xf>
    <xf numFmtId="206" fontId="322" fillId="0" borderId="0"/>
    <xf numFmtId="0" fontId="163" fillId="0" borderId="0" applyNumberFormat="0" applyFont="0" applyFill="0" applyBorder="0" applyAlignment="0" applyProtection="0"/>
    <xf numFmtId="0" fontId="142" fillId="0" borderId="0"/>
    <xf numFmtId="216" fontId="164" fillId="0" borderId="0"/>
    <xf numFmtId="0" fontId="30" fillId="0" borderId="0"/>
    <xf numFmtId="0" fontId="75" fillId="0" borderId="0"/>
    <xf numFmtId="200" fontId="163" fillId="0" borderId="0" applyNumberFormat="0" applyFont="0" applyFill="0" applyBorder="0" applyAlignment="0" applyProtection="0"/>
    <xf numFmtId="0" fontId="55" fillId="28" borderId="0"/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54" fillId="27" borderId="0" applyNumberFormat="0" applyFont="0" applyBorder="0" applyAlignment="0">
      <alignment horizontal="center"/>
    </xf>
    <xf numFmtId="0" fontId="216" fillId="0" borderId="0" applyProtection="0"/>
    <xf numFmtId="256" fontId="2" fillId="0" borderId="0" applyNumberFormat="0" applyFill="0" applyBorder="0" applyAlignment="0" applyProtection="0">
      <alignment horizontal="left"/>
    </xf>
    <xf numFmtId="0" fontId="53" fillId="0" borderId="0"/>
    <xf numFmtId="0" fontId="53" fillId="0" borderId="0" applyFont="0"/>
    <xf numFmtId="40" fontId="215" fillId="0" borderId="0" applyFont="0">
      <protection locked="0"/>
    </xf>
    <xf numFmtId="40" fontId="76" fillId="0" borderId="0" applyFont="0">
      <protection locked="0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279" fontId="2" fillId="49" borderId="157">
      <alignment horizontal="center" vertical="center" shrinkToFit="1"/>
    </xf>
    <xf numFmtId="0" fontId="2" fillId="0" borderId="0"/>
    <xf numFmtId="200" fontId="2" fillId="0" borderId="0"/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3" fontId="7" fillId="0" borderId="159">
      <alignment horizontal="right"/>
    </xf>
    <xf numFmtId="0" fontId="31" fillId="0" borderId="0" applyNumberFormat="0" applyFont="0" applyFill="0" applyBorder="0" applyAlignment="0" applyProtection="0">
      <alignment horizontal="left"/>
    </xf>
    <xf numFmtId="9" fontId="2" fillId="0" borderId="0" applyFont="0" applyFill="0" applyBorder="0" applyAlignment="0" applyProtection="0"/>
    <xf numFmtId="0" fontId="2" fillId="0" borderId="0"/>
    <xf numFmtId="273" fontId="184" fillId="0" borderId="0" applyFill="0" applyBorder="0">
      <alignment vertical="center"/>
    </xf>
    <xf numFmtId="0" fontId="184" fillId="0" borderId="0" applyFill="0" applyBorder="0">
      <alignment vertical="center"/>
    </xf>
    <xf numFmtId="0" fontId="184" fillId="0" borderId="0" applyFill="0" applyBorder="0">
      <alignment vertical="center"/>
    </xf>
    <xf numFmtId="0" fontId="183" fillId="0" borderId="0" applyFill="0" applyBorder="0">
      <alignment vertical="center"/>
    </xf>
    <xf numFmtId="0" fontId="214" fillId="0" borderId="0" applyFill="0" applyBorder="0">
      <alignment vertical="center"/>
    </xf>
    <xf numFmtId="227" fontId="86" fillId="0" borderId="0" applyFill="0" applyBorder="0" applyAlignment="0"/>
    <xf numFmtId="0" fontId="2" fillId="0" borderId="0" applyFill="0" applyBorder="0" applyAlignment="0"/>
    <xf numFmtId="200" fontId="2" fillId="0" borderId="0" applyFill="0" applyBorder="0" applyAlignment="0"/>
    <xf numFmtId="229" fontId="86" fillId="0" borderId="0" applyFill="0" applyBorder="0" applyAlignment="0"/>
    <xf numFmtId="227" fontId="86" fillId="0" borderId="0" applyFill="0" applyBorder="0" applyAlignment="0"/>
    <xf numFmtId="229" fontId="86" fillId="0" borderId="0" applyFill="0" applyBorder="0" applyAlignment="0"/>
    <xf numFmtId="9" fontId="2" fillId="0" borderId="0" applyFont="0" applyFill="0" applyBorder="0" applyAlignment="0" applyProtection="0"/>
    <xf numFmtId="39" fontId="213" fillId="48" borderId="154"/>
    <xf numFmtId="39" fontId="50" fillId="0" borderId="48"/>
    <xf numFmtId="0" fontId="21" fillId="0" borderId="0" applyNumberFormat="0" applyFill="0" applyBorder="0" applyAlignment="0"/>
    <xf numFmtId="175" fontId="77" fillId="0" borderId="0"/>
    <xf numFmtId="0" fontId="183" fillId="0" borderId="0" applyFill="0" applyBorder="0">
      <alignment vertical="center"/>
    </xf>
    <xf numFmtId="278" fontId="2" fillId="0" borderId="0" applyFont="0" applyFill="0" applyBorder="0" applyAlignment="0" applyProtection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31" fillId="0" borderId="10" applyNumberFormat="0" applyBorder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06" fillId="0" borderId="0" applyFont="0" applyFill="0" applyBorder="0" applyAlignment="0" applyProtection="0"/>
    <xf numFmtId="9" fontId="20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6" fillId="0" borderId="0" applyFont="0" applyFill="0" applyBorder="0" applyAlignment="0" applyProtection="0"/>
    <xf numFmtId="9" fontId="206" fillId="0" borderId="0" applyFont="0" applyFill="0" applyBorder="0" applyAlignment="0" applyProtection="0"/>
    <xf numFmtId="9" fontId="20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12" fillId="0" borderId="0" applyFont="0" applyFill="0" applyBorder="0" applyAlignment="0" applyProtection="0"/>
    <xf numFmtId="9" fontId="2" fillId="0" borderId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254" fontId="2" fillId="0" borderId="0" applyFont="0" applyFill="0" applyBorder="0" applyAlignment="0"/>
    <xf numFmtId="27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14" fontId="19" fillId="0" borderId="0">
      <alignment horizontal="center" wrapText="1"/>
      <protection locked="0"/>
    </xf>
    <xf numFmtId="39" fontId="50" fillId="0" borderId="48"/>
    <xf numFmtId="276" fontId="2" fillId="0" borderId="0"/>
    <xf numFmtId="0" fontId="5" fillId="0" borderId="0"/>
    <xf numFmtId="200" fontId="148" fillId="0" borderId="0" applyNumberFormat="0" applyBorder="0" applyAlignment="0"/>
    <xf numFmtId="0" fontId="211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217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2" fillId="12" borderId="162" applyNumberFormat="0" applyAlignment="0" applyProtection="0"/>
    <xf numFmtId="0" fontId="5" fillId="0" borderId="0"/>
    <xf numFmtId="0" fontId="2" fillId="0" borderId="0" applyFont="0" applyFill="0" applyBorder="0" applyAlignment="0" applyProtection="0"/>
    <xf numFmtId="275" fontId="2" fillId="0" borderId="0"/>
    <xf numFmtId="0" fontId="81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38" fontId="98" fillId="0" borderId="0" applyFont="0" applyFill="0" applyBorder="0" applyAlignment="0" applyProtection="0"/>
    <xf numFmtId="40" fontId="98" fillId="0" borderId="0" applyFont="0" applyFill="0" applyBorder="0" applyAlignment="0" applyProtection="0"/>
    <xf numFmtId="274" fontId="2" fillId="0" borderId="0" applyFont="0" applyFill="0" applyBorder="0" applyAlignment="0" applyProtection="0"/>
    <xf numFmtId="273" fontId="184" fillId="0" borderId="0" applyFill="0" applyBorder="0">
      <alignment vertical="center"/>
    </xf>
    <xf numFmtId="0" fontId="87" fillId="0" borderId="0">
      <alignment horizontal="left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3" fontId="12" fillId="0" borderId="58" applyFont="0" applyBorder="0" applyAlignment="0">
      <alignment horizontal="center"/>
    </xf>
    <xf numFmtId="253" fontId="37" fillId="0" borderId="0" applyFont="0">
      <protection locked="0"/>
    </xf>
    <xf numFmtId="272" fontId="2" fillId="0" borderId="0" applyFont="0" applyFill="0" applyBorder="0" applyAlignment="0" applyProtection="0"/>
    <xf numFmtId="0" fontId="15" fillId="6" borderId="161" applyNumberFormat="0" applyFont="0" applyAlignment="0" applyProtection="0"/>
    <xf numFmtId="0" fontId="15" fillId="6" borderId="161" applyNumberFormat="0" applyFont="0" applyAlignment="0" applyProtection="0"/>
    <xf numFmtId="0" fontId="15" fillId="6" borderId="161" applyNumberFormat="0" applyFont="0" applyAlignment="0" applyProtection="0"/>
    <xf numFmtId="0" fontId="15" fillId="6" borderId="161" applyNumberFormat="0" applyFont="0" applyAlignment="0" applyProtection="0"/>
    <xf numFmtId="0" fontId="15" fillId="6" borderId="161" applyNumberFormat="0" applyFont="0" applyAlignment="0" applyProtection="0"/>
    <xf numFmtId="0" fontId="15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15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15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15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15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15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15" fillId="6" borderId="161" applyNumberFormat="0" applyFont="0" applyAlignment="0" applyProtection="0"/>
    <xf numFmtId="0" fontId="15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217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0" fontId="2" fillId="6" borderId="161" applyNumberFormat="0" applyFont="0" applyAlignment="0" applyProtection="0"/>
    <xf numFmtId="216" fontId="29" fillId="0" borderId="0"/>
    <xf numFmtId="0" fontId="67" fillId="0" borderId="0" applyFill="0" applyAlignment="0" applyProtection="0"/>
    <xf numFmtId="200" fontId="67" fillId="0" borderId="0" applyFill="0" applyAlignment="0" applyProtection="0"/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200" fontId="5" fillId="0" borderId="159" applyAlignment="0" applyProtection="0">
      <alignment horizontal="center"/>
    </xf>
    <xf numFmtId="0" fontId="2" fillId="0" borderId="0" applyBorder="0"/>
    <xf numFmtId="0" fontId="209" fillId="0" borderId="0"/>
    <xf numFmtId="4" fontId="156" fillId="0" borderId="0"/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200" fontId="208" fillId="47" borderId="160" applyBorder="0">
      <alignment horizontal="center" vertical="justify"/>
    </xf>
    <xf numFmtId="37" fontId="56" fillId="0" borderId="0"/>
    <xf numFmtId="0" fontId="7" fillId="0" borderId="0"/>
    <xf numFmtId="0" fontId="7" fillId="0" borderId="0"/>
    <xf numFmtId="0" fontId="7" fillId="0" borderId="0" applyBorder="0"/>
    <xf numFmtId="37" fontId="56" fillId="0" borderId="0"/>
    <xf numFmtId="37" fontId="56" fillId="0" borderId="0"/>
    <xf numFmtId="4" fontId="9" fillId="0" borderId="159"/>
    <xf numFmtId="4" fontId="9" fillId="0" borderId="159"/>
    <xf numFmtId="4" fontId="9" fillId="0" borderId="159"/>
    <xf numFmtId="4" fontId="9" fillId="0" borderId="159"/>
    <xf numFmtId="258" fontId="2" fillId="0" borderId="0" applyFont="0" applyFill="0" applyBorder="0" applyAlignment="0" applyProtection="0"/>
    <xf numFmtId="256" fontId="2" fillId="0" borderId="0" applyNumberForma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5" fillId="0" borderId="0"/>
    <xf numFmtId="0" fontId="2" fillId="0" borderId="0"/>
    <xf numFmtId="0" fontId="11" fillId="0" borderId="0"/>
    <xf numFmtId="0" fontId="2" fillId="0" borderId="0"/>
    <xf numFmtId="172" fontId="7" fillId="0" borderId="0"/>
    <xf numFmtId="0" fontId="11" fillId="0" borderId="0"/>
    <xf numFmtId="217" fontId="11" fillId="0" borderId="0"/>
    <xf numFmtId="172" fontId="7" fillId="0" borderId="0"/>
    <xf numFmtId="0" fontId="15" fillId="0" borderId="0"/>
    <xf numFmtId="0" fontId="325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5" fillId="0" borderId="0"/>
    <xf numFmtId="0" fontId="2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0" fillId="0" borderId="0"/>
    <xf numFmtId="0" fontId="2" fillId="0" borderId="0"/>
    <xf numFmtId="0" fontId="2" fillId="0" borderId="0"/>
    <xf numFmtId="0" fontId="2" fillId="0" borderId="0"/>
    <xf numFmtId="5" fontId="29" fillId="0" borderId="0"/>
    <xf numFmtId="0" fontId="150" fillId="0" borderId="0"/>
    <xf numFmtId="0" fontId="15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63" fontId="11" fillId="0" borderId="0"/>
    <xf numFmtId="263" fontId="11" fillId="0" borderId="0"/>
    <xf numFmtId="263" fontId="1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263" fontId="11" fillId="0" borderId="0"/>
    <xf numFmtId="263" fontId="11" fillId="0" borderId="0"/>
    <xf numFmtId="263" fontId="11" fillId="0" borderId="0"/>
    <xf numFmtId="263" fontId="11" fillId="0" borderId="0"/>
    <xf numFmtId="263" fontId="11" fillId="0" borderId="0"/>
    <xf numFmtId="263" fontId="11" fillId="0" borderId="0"/>
    <xf numFmtId="263" fontId="11" fillId="0" borderId="0"/>
    <xf numFmtId="263" fontId="11" fillId="0" borderId="0"/>
    <xf numFmtId="263" fontId="11" fillId="0" borderId="0"/>
    <xf numFmtId="271" fontId="11" fillId="0" borderId="0"/>
    <xf numFmtId="206" fontId="11" fillId="0" borderId="0"/>
    <xf numFmtId="0" fontId="11" fillId="0" borderId="0"/>
    <xf numFmtId="0" fontId="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" fillId="0" borderId="0"/>
    <xf numFmtId="0" fontId="11" fillId="0" borderId="0"/>
    <xf numFmtId="0" fontId="11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2" fillId="0" borderId="0"/>
    <xf numFmtId="0" fontId="51" fillId="0" borderId="0"/>
    <xf numFmtId="0" fontId="25" fillId="0" borderId="0"/>
    <xf numFmtId="0" fontId="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11" fillId="0" borderId="0"/>
    <xf numFmtId="200" fontId="11" fillId="0" borderId="0"/>
    <xf numFmtId="0" fontId="11" fillId="0" borderId="0"/>
    <xf numFmtId="200" fontId="11" fillId="0" borderId="0"/>
    <xf numFmtId="167" fontId="2" fillId="0" borderId="0"/>
    <xf numFmtId="0" fontId="1" fillId="0" borderId="0"/>
    <xf numFmtId="0" fontId="1" fillId="0" borderId="0"/>
    <xf numFmtId="0" fontId="1" fillId="0" borderId="0"/>
    <xf numFmtId="39" fontId="201" fillId="0" borderId="0"/>
    <xf numFmtId="0" fontId="1" fillId="0" borderId="0"/>
    <xf numFmtId="200" fontId="11" fillId="0" borderId="0"/>
    <xf numFmtId="0" fontId="2" fillId="0" borderId="0"/>
    <xf numFmtId="0" fontId="2" fillId="0" borderId="0"/>
    <xf numFmtId="200" fontId="11" fillId="0" borderId="0"/>
    <xf numFmtId="200" fontId="11" fillId="0" borderId="0"/>
    <xf numFmtId="200" fontId="11" fillId="0" borderId="0"/>
    <xf numFmtId="0" fontId="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17" fontId="1" fillId="0" borderId="0"/>
    <xf numFmtId="0" fontId="51" fillId="0" borderId="0"/>
    <xf numFmtId="0" fontId="25" fillId="0" borderId="0"/>
    <xf numFmtId="0" fontId="11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37" fillId="0" borderId="0"/>
    <xf numFmtId="0" fontId="1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200" fontId="11" fillId="0" borderId="0"/>
    <xf numFmtId="200" fontId="11" fillId="0" borderId="0"/>
    <xf numFmtId="0" fontId="11" fillId="0" borderId="0"/>
    <xf numFmtId="200" fontId="11" fillId="0" borderId="0"/>
    <xf numFmtId="0" fontId="11" fillId="0" borderId="0"/>
    <xf numFmtId="200" fontId="11" fillId="0" borderId="0"/>
    <xf numFmtId="200" fontId="11" fillId="0" borderId="0"/>
    <xf numFmtId="0" fontId="11" fillId="0" borderId="0"/>
    <xf numFmtId="200" fontId="11" fillId="0" borderId="0"/>
    <xf numFmtId="200" fontId="11" fillId="0" borderId="0"/>
    <xf numFmtId="200" fontId="11" fillId="0" borderId="0"/>
    <xf numFmtId="200" fontId="11" fillId="0" borderId="0"/>
    <xf numFmtId="20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217" fontId="11" fillId="0" borderId="0"/>
    <xf numFmtId="217" fontId="11" fillId="0" borderId="0"/>
    <xf numFmtId="217" fontId="11" fillId="0" borderId="0"/>
    <xf numFmtId="0" fontId="11" fillId="0" borderId="0"/>
    <xf numFmtId="0" fontId="1" fillId="0" borderId="0"/>
    <xf numFmtId="0" fontId="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217" fontId="11" fillId="0" borderId="0"/>
    <xf numFmtId="0" fontId="74" fillId="0" borderId="0"/>
    <xf numFmtId="0" fontId="1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7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7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200" fontId="11" fillId="0" borderId="0"/>
    <xf numFmtId="200" fontId="11" fillId="0" borderId="0"/>
    <xf numFmtId="200" fontId="11" fillId="0" borderId="0"/>
    <xf numFmtId="0" fontId="11" fillId="0" borderId="0"/>
    <xf numFmtId="0" fontId="11" fillId="0" borderId="0"/>
    <xf numFmtId="200" fontId="11" fillId="0" borderId="0"/>
    <xf numFmtId="0" fontId="11" fillId="0" borderId="0"/>
    <xf numFmtId="200" fontId="11" fillId="0" borderId="0"/>
    <xf numFmtId="0" fontId="11" fillId="0" borderId="0"/>
    <xf numFmtId="200" fontId="11" fillId="0" borderId="0"/>
    <xf numFmtId="0" fontId="11" fillId="0" borderId="0"/>
    <xf numFmtId="200" fontId="11" fillId="0" borderId="0"/>
    <xf numFmtId="0" fontId="157" fillId="0" borderId="0"/>
    <xf numFmtId="0" fontId="26" fillId="0" borderId="0"/>
    <xf numFmtId="0" fontId="11" fillId="0" borderId="0"/>
    <xf numFmtId="0" fontId="26" fillId="0" borderId="0"/>
    <xf numFmtId="0" fontId="2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0" fontId="80" fillId="0" borderId="0"/>
    <xf numFmtId="0" fontId="1" fillId="0" borderId="0"/>
    <xf numFmtId="217" fontId="1" fillId="0" borderId="0"/>
    <xf numFmtId="217" fontId="1" fillId="0" borderId="0"/>
    <xf numFmtId="0" fontId="1" fillId="0" borderId="0"/>
    <xf numFmtId="0" fontId="11" fillId="0" borderId="0"/>
    <xf numFmtId="217" fontId="1" fillId="0" borderId="0"/>
    <xf numFmtId="0" fontId="2" fillId="0" borderId="0"/>
    <xf numFmtId="217" fontId="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217" fontId="2" fillId="0" borderId="0"/>
    <xf numFmtId="199" fontId="2" fillId="0" borderId="0"/>
    <xf numFmtId="0" fontId="2" fillId="0" borderId="0"/>
    <xf numFmtId="217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" fillId="0" borderId="0"/>
    <xf numFmtId="39" fontId="207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225" fontId="29" fillId="0" borderId="0"/>
    <xf numFmtId="0" fontId="11" fillId="0" borderId="0"/>
    <xf numFmtId="0" fontId="7" fillId="0" borderId="0" applyBorder="0"/>
    <xf numFmtId="0" fontId="2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217" fontId="1" fillId="0" borderId="0"/>
    <xf numFmtId="0" fontId="1" fillId="0" borderId="0"/>
    <xf numFmtId="0" fontId="2" fillId="0" borderId="0"/>
    <xf numFmtId="0" fontId="2" fillId="0" borderId="0"/>
    <xf numFmtId="233" fontId="155" fillId="0" borderId="0"/>
    <xf numFmtId="217" fontId="206" fillId="0" borderId="0"/>
    <xf numFmtId="0" fontId="11" fillId="0" borderId="0"/>
    <xf numFmtId="0" fontId="75" fillId="0" borderId="0"/>
    <xf numFmtId="0" fontId="2" fillId="0" borderId="0"/>
    <xf numFmtId="0" fontId="2" fillId="0" borderId="0"/>
    <xf numFmtId="233" fontId="155" fillId="0" borderId="0"/>
    <xf numFmtId="217" fontId="206" fillId="0" borderId="0"/>
    <xf numFmtId="0" fontId="50" fillId="0" borderId="0"/>
    <xf numFmtId="233" fontId="155" fillId="0" borderId="0"/>
    <xf numFmtId="217" fontId="206" fillId="0" borderId="0"/>
    <xf numFmtId="0" fontId="75" fillId="0" borderId="0"/>
    <xf numFmtId="233" fontId="11" fillId="0" borderId="0"/>
    <xf numFmtId="217" fontId="11" fillId="0" borderId="0"/>
    <xf numFmtId="0" fontId="50" fillId="0" borderId="0"/>
    <xf numFmtId="0" fontId="2" fillId="0" borderId="0"/>
    <xf numFmtId="0" fontId="50" fillId="0" borderId="0"/>
    <xf numFmtId="0" fontId="156" fillId="0" borderId="0"/>
    <xf numFmtId="0" fontId="50" fillId="0" borderId="0"/>
    <xf numFmtId="0" fontId="2" fillId="0" borderId="0"/>
    <xf numFmtId="0" fontId="2" fillId="0" borderId="0"/>
    <xf numFmtId="0" fontId="11" fillId="0" borderId="0"/>
    <xf numFmtId="0" fontId="50" fillId="0" borderId="0"/>
    <xf numFmtId="0" fontId="11" fillId="0" borderId="0"/>
    <xf numFmtId="0" fontId="11" fillId="0" borderId="0"/>
    <xf numFmtId="0" fontId="75" fillId="0" borderId="0"/>
    <xf numFmtId="0" fontId="15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" fillId="0" borderId="0"/>
    <xf numFmtId="0" fontId="2" fillId="0" borderId="0"/>
    <xf numFmtId="0" fontId="5" fillId="0" borderId="0"/>
    <xf numFmtId="0" fontId="5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11" fillId="0" borderId="0"/>
    <xf numFmtId="0" fontId="1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7" fillId="0" borderId="0" applyBorder="0"/>
    <xf numFmtId="0" fontId="7" fillId="0" borderId="0" applyBorder="0"/>
    <xf numFmtId="0" fontId="7" fillId="0" borderId="0" applyBorder="0"/>
    <xf numFmtId="0" fontId="7" fillId="0" borderId="0" applyBorder="0"/>
    <xf numFmtId="0" fontId="7" fillId="0" borderId="0" applyBorder="0"/>
    <xf numFmtId="0" fontId="74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70" fontId="2" fillId="0" borderId="0"/>
    <xf numFmtId="0" fontId="7" fillId="0" borderId="0" applyBorder="0"/>
    <xf numFmtId="0" fontId="7" fillId="0" borderId="0" applyBorder="0"/>
    <xf numFmtId="0" fontId="7" fillId="0" borderId="0" applyBorder="0"/>
    <xf numFmtId="0" fontId="7" fillId="0" borderId="0" applyBorder="0"/>
    <xf numFmtId="0" fontId="7" fillId="0" borderId="0" applyBorder="0"/>
    <xf numFmtId="0" fontId="7" fillId="0" borderId="0" applyBorder="0"/>
    <xf numFmtId="0" fontId="7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49" fillId="0" borderId="0"/>
    <xf numFmtId="0" fontId="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2" fontId="2" fillId="0" borderId="0"/>
    <xf numFmtId="0" fontId="1" fillId="0" borderId="0"/>
    <xf numFmtId="42" fontId="2" fillId="0" borderId="0"/>
    <xf numFmtId="0" fontId="25" fillId="0" borderId="0"/>
    <xf numFmtId="0" fontId="1" fillId="0" borderId="0"/>
    <xf numFmtId="0" fontId="1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" fillId="0" borderId="0"/>
    <xf numFmtId="198" fontId="29" fillId="0" borderId="0"/>
    <xf numFmtId="266" fontId="29" fillId="0" borderId="0"/>
    <xf numFmtId="266" fontId="29" fillId="0" borderId="0"/>
    <xf numFmtId="266" fontId="29" fillId="0" borderId="0"/>
    <xf numFmtId="266" fontId="29" fillId="0" borderId="0"/>
    <xf numFmtId="269" fontId="29" fillId="0" borderId="0"/>
    <xf numFmtId="269" fontId="29" fillId="0" borderId="0"/>
    <xf numFmtId="252" fontId="29" fillId="0" borderId="0"/>
    <xf numFmtId="268" fontId="29" fillId="0" borderId="0"/>
    <xf numFmtId="268" fontId="29" fillId="0" borderId="0"/>
    <xf numFmtId="265" fontId="29" fillId="0" borderId="0"/>
    <xf numFmtId="44" fontId="29" fillId="0" borderId="0"/>
    <xf numFmtId="204" fontId="29" fillId="0" borderId="0"/>
    <xf numFmtId="266" fontId="29" fillId="0" borderId="0"/>
    <xf numFmtId="266" fontId="29" fillId="0" borderId="0"/>
    <xf numFmtId="266" fontId="29" fillId="0" borderId="0"/>
    <xf numFmtId="44" fontId="29" fillId="0" borderId="0"/>
    <xf numFmtId="252" fontId="29" fillId="0" borderId="0"/>
    <xf numFmtId="265" fontId="29" fillId="0" borderId="0"/>
    <xf numFmtId="0" fontId="29" fillId="0" borderId="0"/>
    <xf numFmtId="44" fontId="29" fillId="0" borderId="0"/>
    <xf numFmtId="204" fontId="29" fillId="0" borderId="0"/>
    <xf numFmtId="266" fontId="29" fillId="0" borderId="0"/>
    <xf numFmtId="266" fontId="29" fillId="0" borderId="0"/>
    <xf numFmtId="266" fontId="29" fillId="0" borderId="0"/>
    <xf numFmtId="44" fontId="29" fillId="0" borderId="0"/>
    <xf numFmtId="252" fontId="29" fillId="0" borderId="0"/>
    <xf numFmtId="265" fontId="29" fillId="0" borderId="0"/>
    <xf numFmtId="0" fontId="29" fillId="0" borderId="0"/>
    <xf numFmtId="264" fontId="29" fillId="0" borderId="0"/>
    <xf numFmtId="204" fontId="29" fillId="0" borderId="0"/>
    <xf numFmtId="266" fontId="29" fillId="0" borderId="0"/>
    <xf numFmtId="266" fontId="29" fillId="0" borderId="0"/>
    <xf numFmtId="266" fontId="29" fillId="0" borderId="0"/>
    <xf numFmtId="44" fontId="29" fillId="0" borderId="0"/>
    <xf numFmtId="252" fontId="29" fillId="0" borderId="0"/>
    <xf numFmtId="265" fontId="29" fillId="0" borderId="0"/>
    <xf numFmtId="0" fontId="29" fillId="0" borderId="0"/>
    <xf numFmtId="264" fontId="29" fillId="0" borderId="0"/>
    <xf numFmtId="267" fontId="29" fillId="0" borderId="0"/>
    <xf numFmtId="266" fontId="29" fillId="0" borderId="0"/>
    <xf numFmtId="266" fontId="29" fillId="0" borderId="0"/>
    <xf numFmtId="266" fontId="29" fillId="0" borderId="0"/>
    <xf numFmtId="44" fontId="29" fillId="0" borderId="0"/>
    <xf numFmtId="252" fontId="29" fillId="0" borderId="0"/>
    <xf numFmtId="265" fontId="29" fillId="0" borderId="0"/>
    <xf numFmtId="0" fontId="29" fillId="0" borderId="0"/>
    <xf numFmtId="264" fontId="29" fillId="0" borderId="0"/>
    <xf numFmtId="177" fontId="29" fillId="0" borderId="0"/>
    <xf numFmtId="204" fontId="29" fillId="0" borderId="0"/>
    <xf numFmtId="225" fontId="29" fillId="0" borderId="0"/>
    <xf numFmtId="198" fontId="29" fillId="0" borderId="0"/>
    <xf numFmtId="170" fontId="29" fillId="0" borderId="0"/>
    <xf numFmtId="198" fontId="29" fillId="0" borderId="0"/>
    <xf numFmtId="198" fontId="29" fillId="0" borderId="0"/>
    <xf numFmtId="198" fontId="29" fillId="0" borderId="0"/>
    <xf numFmtId="198" fontId="29" fillId="0" borderId="0"/>
    <xf numFmtId="0" fontId="2" fillId="0" borderId="0"/>
    <xf numFmtId="217" fontId="132" fillId="0" borderId="0">
      <alignment vertical="center"/>
    </xf>
    <xf numFmtId="217" fontId="1" fillId="0" borderId="0"/>
    <xf numFmtId="0" fontId="2" fillId="0" borderId="0"/>
    <xf numFmtId="0" fontId="2" fillId="0" borderId="0"/>
    <xf numFmtId="0" fontId="2" fillId="0" borderId="0" applyProtection="0"/>
    <xf numFmtId="0" fontId="2" fillId="0" borderId="0"/>
    <xf numFmtId="0" fontId="2" fillId="0" borderId="0"/>
    <xf numFmtId="0" fontId="51" fillId="0" borderId="0"/>
    <xf numFmtId="217" fontId="1" fillId="0" borderId="0"/>
    <xf numFmtId="0" fontId="150" fillId="0" borderId="0"/>
    <xf numFmtId="0" fontId="150" fillId="0" borderId="0"/>
    <xf numFmtId="170" fontId="29" fillId="0" borderId="0"/>
    <xf numFmtId="170" fontId="29" fillId="0" borderId="0"/>
    <xf numFmtId="0" fontId="2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170" fontId="29" fillId="0" borderId="0"/>
    <xf numFmtId="170" fontId="29" fillId="0" borderId="0"/>
    <xf numFmtId="0" fontId="26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" fillId="0" borderId="0"/>
    <xf numFmtId="170" fontId="29" fillId="0" borderId="0"/>
    <xf numFmtId="170" fontId="29" fillId="0" borderId="0"/>
    <xf numFmtId="0" fontId="2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" fillId="0" borderId="0"/>
    <xf numFmtId="170" fontId="29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2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37" fontId="25" fillId="0" borderId="0"/>
    <xf numFmtId="0" fontId="2" fillId="0" borderId="0"/>
    <xf numFmtId="217" fontId="11" fillId="0" borderId="0"/>
    <xf numFmtId="217" fontId="11" fillId="0" borderId="0"/>
    <xf numFmtId="217" fontId="11" fillId="0" borderId="0"/>
    <xf numFmtId="217" fontId="11" fillId="0" borderId="0"/>
    <xf numFmtId="0" fontId="15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170" fontId="29" fillId="0" borderId="0"/>
    <xf numFmtId="0" fontId="74" fillId="0" borderId="0"/>
    <xf numFmtId="0" fontId="1" fillId="0" borderId="0"/>
    <xf numFmtId="0" fontId="11" fillId="0" borderId="0"/>
    <xf numFmtId="0" fontId="75" fillId="0" borderId="0"/>
    <xf numFmtId="0" fontId="11" fillId="0" borderId="0"/>
    <xf numFmtId="0" fontId="11" fillId="0" borderId="0"/>
    <xf numFmtId="0" fontId="74" fillId="0" borderId="0"/>
    <xf numFmtId="0" fontId="51" fillId="0" borderId="0"/>
    <xf numFmtId="0" fontId="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11" fillId="0" borderId="0"/>
    <xf numFmtId="217" fontId="11" fillId="0" borderId="0"/>
    <xf numFmtId="0" fontId="205" fillId="0" borderId="0"/>
    <xf numFmtId="217" fontId="11" fillId="0" borderId="0"/>
    <xf numFmtId="0" fontId="1" fillId="0" borderId="0"/>
    <xf numFmtId="0" fontId="150" fillId="0" borderId="0"/>
    <xf numFmtId="217" fontId="1" fillId="0" borderId="0"/>
    <xf numFmtId="217" fontId="1" fillId="0" borderId="0"/>
    <xf numFmtId="0" fontId="51" fillId="0" borderId="0"/>
    <xf numFmtId="0" fontId="2" fillId="0" borderId="0"/>
    <xf numFmtId="0" fontId="51" fillId="0" borderId="0"/>
    <xf numFmtId="0" fontId="2" fillId="0" borderId="0"/>
    <xf numFmtId="217" fontId="11" fillId="0" borderId="0"/>
    <xf numFmtId="217" fontId="11" fillId="0" borderId="0"/>
    <xf numFmtId="217" fontId="11" fillId="0" borderId="0"/>
    <xf numFmtId="183" fontId="11" fillId="0" borderId="0"/>
    <xf numFmtId="217" fontId="11" fillId="0" borderId="0"/>
    <xf numFmtId="217" fontId="11" fillId="0" borderId="0"/>
    <xf numFmtId="217" fontId="11" fillId="0" borderId="0"/>
    <xf numFmtId="0" fontId="75" fillId="0" borderId="0"/>
    <xf numFmtId="217" fontId="11" fillId="0" borderId="0"/>
    <xf numFmtId="217" fontId="11" fillId="0" borderId="0"/>
    <xf numFmtId="217" fontId="11" fillId="0" borderId="0"/>
    <xf numFmtId="200" fontId="2" fillId="0" borderId="0"/>
    <xf numFmtId="5" fontId="11" fillId="0" borderId="0"/>
    <xf numFmtId="217" fontId="11" fillId="0" borderId="0"/>
    <xf numFmtId="0" fontId="11" fillId="0" borderId="0"/>
    <xf numFmtId="0" fontId="11" fillId="0" borderId="0"/>
    <xf numFmtId="0" fontId="11" fillId="0" borderId="0"/>
    <xf numFmtId="217" fontId="11" fillId="0" borderId="0"/>
    <xf numFmtId="200" fontId="2" fillId="0" borderId="0"/>
    <xf numFmtId="0" fontId="15" fillId="0" borderId="0"/>
    <xf numFmtId="0" fontId="7" fillId="0" borderId="0" applyBorder="0"/>
    <xf numFmtId="0" fontId="7" fillId="0" borderId="0" applyBorder="0"/>
    <xf numFmtId="0" fontId="2" fillId="0" borderId="0" applyNumberFormat="0" applyFill="0" applyBorder="0" applyAlignment="0" applyProtection="0"/>
    <xf numFmtId="0" fontId="7" fillId="0" borderId="0" applyBorder="0"/>
    <xf numFmtId="0" fontId="7" fillId="0" borderId="0" applyBorder="0"/>
    <xf numFmtId="0" fontId="11" fillId="0" borderId="0"/>
    <xf numFmtId="0" fontId="7" fillId="0" borderId="0" applyBorder="0"/>
    <xf numFmtId="0" fontId="11" fillId="0" borderId="0"/>
    <xf numFmtId="0" fontId="7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Border="0"/>
    <xf numFmtId="0" fontId="50" fillId="0" borderId="0"/>
    <xf numFmtId="0" fontId="50" fillId="0" borderId="0"/>
    <xf numFmtId="0" fontId="50" fillId="0" borderId="0"/>
    <xf numFmtId="0" fontId="29" fillId="0" borderId="0"/>
    <xf numFmtId="0" fontId="50" fillId="0" borderId="0"/>
    <xf numFmtId="0" fontId="29" fillId="0" borderId="0"/>
    <xf numFmtId="0" fontId="50" fillId="0" borderId="0"/>
    <xf numFmtId="0" fontId="29" fillId="0" borderId="0"/>
    <xf numFmtId="0" fontId="11" fillId="0" borderId="0"/>
    <xf numFmtId="181" fontId="29" fillId="0" borderId="0"/>
    <xf numFmtId="199" fontId="29" fillId="0" borderId="0"/>
    <xf numFmtId="0" fontId="11" fillId="0" borderId="0"/>
    <xf numFmtId="0" fontId="75" fillId="0" borderId="0"/>
    <xf numFmtId="0" fontId="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1" fillId="0" borderId="0"/>
    <xf numFmtId="0" fontId="11" fillId="0" borderId="0"/>
    <xf numFmtId="0" fontId="7" fillId="0" borderId="0" applyBorder="0"/>
    <xf numFmtId="0" fontId="7" fillId="0" borderId="0" applyBorder="0"/>
    <xf numFmtId="0" fontId="7" fillId="0" borderId="0" applyBorder="0"/>
    <xf numFmtId="0" fontId="50" fillId="0" borderId="0"/>
    <xf numFmtId="0" fontId="7" fillId="0" borderId="0" applyBorder="0"/>
    <xf numFmtId="0" fontId="7" fillId="0" borderId="0" applyBorder="0"/>
    <xf numFmtId="217" fontId="11" fillId="0" borderId="0"/>
    <xf numFmtId="217" fontId="11" fillId="0" borderId="0"/>
    <xf numFmtId="0" fontId="7" fillId="0" borderId="0" applyBorder="0"/>
    <xf numFmtId="0" fontId="2" fillId="0" borderId="0"/>
    <xf numFmtId="200" fontId="2" fillId="0" borderId="0"/>
    <xf numFmtId="200" fontId="2" fillId="0" borderId="0"/>
    <xf numFmtId="263" fontId="11" fillId="0" borderId="0"/>
    <xf numFmtId="263" fontId="11" fillId="0" borderId="0"/>
    <xf numFmtId="0" fontId="2" fillId="0" borderId="0"/>
    <xf numFmtId="263" fontId="11" fillId="0" borderId="0"/>
    <xf numFmtId="0" fontId="25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217" fontId="2" fillId="0" borderId="0"/>
    <xf numFmtId="21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11" fillId="0" borderId="0"/>
    <xf numFmtId="0" fontId="2" fillId="0" borderId="0"/>
    <xf numFmtId="0" fontId="1" fillId="0" borderId="0"/>
    <xf numFmtId="0" fontId="11" fillId="0" borderId="0"/>
    <xf numFmtId="37" fontId="56" fillId="0" borderId="0"/>
    <xf numFmtId="0" fontId="2" fillId="0" borderId="0"/>
    <xf numFmtId="0" fontId="150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262" fontId="75" fillId="0" borderId="0"/>
    <xf numFmtId="0" fontId="11" fillId="0" borderId="0"/>
    <xf numFmtId="0" fontId="11" fillId="0" borderId="0"/>
    <xf numFmtId="0" fontId="11" fillId="0" borderId="0"/>
    <xf numFmtId="200" fontId="2" fillId="0" borderId="0"/>
    <xf numFmtId="0" fontId="1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217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0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217" fontId="2" fillId="0" borderId="0"/>
    <xf numFmtId="217" fontId="2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7" fontId="11" fillId="0" borderId="0"/>
    <xf numFmtId="0" fontId="26" fillId="0" borderId="0"/>
    <xf numFmtId="0" fontId="15" fillId="0" borderId="0"/>
    <xf numFmtId="0" fontId="1" fillId="0" borderId="0"/>
    <xf numFmtId="0" fontId="1" fillId="0" borderId="0"/>
    <xf numFmtId="217" fontId="1" fillId="0" borderId="0"/>
    <xf numFmtId="0" fontId="11" fillId="0" borderId="0"/>
    <xf numFmtId="200" fontId="11" fillId="0" borderId="0"/>
    <xf numFmtId="173" fontId="11" fillId="0" borderId="0"/>
    <xf numFmtId="173" fontId="11" fillId="0" borderId="0"/>
    <xf numFmtId="173" fontId="11" fillId="0" borderId="0"/>
    <xf numFmtId="0" fontId="11" fillId="0" borderId="0"/>
    <xf numFmtId="173" fontId="11" fillId="0" borderId="0"/>
    <xf numFmtId="173" fontId="11" fillId="0" borderId="0"/>
    <xf numFmtId="0" fontId="15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7" fontId="11" fillId="0" borderId="0"/>
    <xf numFmtId="0" fontId="11" fillId="0" borderId="0"/>
    <xf numFmtId="0" fontId="15" fillId="0" borderId="0"/>
    <xf numFmtId="0" fontId="11" fillId="0" borderId="0"/>
    <xf numFmtId="217" fontId="11" fillId="0" borderId="0"/>
    <xf numFmtId="0" fontId="1" fillId="0" borderId="0"/>
    <xf numFmtId="0" fontId="1" fillId="0" borderId="0"/>
    <xf numFmtId="217" fontId="1" fillId="0" borderId="0"/>
    <xf numFmtId="0" fontId="2" fillId="0" borderId="0"/>
    <xf numFmtId="0" fontId="11" fillId="0" borderId="0"/>
    <xf numFmtId="0" fontId="51" fillId="0" borderId="0"/>
    <xf numFmtId="0" fontId="11" fillId="0" borderId="0"/>
    <xf numFmtId="0" fontId="51" fillId="0" borderId="0"/>
    <xf numFmtId="0" fontId="15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32" fillId="0" borderId="0">
      <alignment vertical="center"/>
    </xf>
    <xf numFmtId="0" fontId="2" fillId="0" borderId="0"/>
    <xf numFmtId="0" fontId="1" fillId="0" borderId="0"/>
    <xf numFmtId="0" fontId="2" fillId="0" borderId="0"/>
    <xf numFmtId="0" fontId="11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1" fillId="0" borderId="0"/>
    <xf numFmtId="0" fontId="50" fillId="0" borderId="0"/>
    <xf numFmtId="0" fontId="15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37" fontId="29" fillId="0" borderId="0"/>
    <xf numFmtId="37" fontId="29" fillId="0" borderId="0"/>
    <xf numFmtId="0" fontId="50" fillId="0" borderId="0"/>
    <xf numFmtId="0" fontId="2" fillId="0" borderId="0"/>
    <xf numFmtId="0" fontId="2" fillId="0" borderId="0"/>
    <xf numFmtId="20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11" fillId="0" borderId="0"/>
    <xf numFmtId="172" fontId="11" fillId="0" borderId="0"/>
    <xf numFmtId="172" fontId="11" fillId="0" borderId="0"/>
    <xf numFmtId="172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200" fontId="11" fillId="0" borderId="0"/>
    <xf numFmtId="0" fontId="150" fillId="0" borderId="0"/>
    <xf numFmtId="172" fontId="11" fillId="0" borderId="0"/>
    <xf numFmtId="172" fontId="11" fillId="0" borderId="0"/>
    <xf numFmtId="0" fontId="150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7" fontId="15" fillId="0" borderId="0"/>
    <xf numFmtId="0" fontId="2" fillId="0" borderId="0"/>
    <xf numFmtId="0" fontId="11" fillId="0" borderId="0"/>
    <xf numFmtId="217" fontId="11" fillId="0" borderId="0"/>
    <xf numFmtId="0" fontId="11" fillId="0" borderId="0"/>
    <xf numFmtId="0" fontId="11" fillId="0" borderId="0"/>
    <xf numFmtId="233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200" fontId="2" fillId="0" borderId="0"/>
    <xf numFmtId="0" fontId="2" fillId="0" borderId="0"/>
    <xf numFmtId="0" fontId="15" fillId="0" borderId="0"/>
    <xf numFmtId="0" fontId="1" fillId="0" borderId="0"/>
    <xf numFmtId="0" fontId="5" fillId="0" borderId="0" applyNumberFormat="0" applyAlignment="0">
      <alignment horizontal="center"/>
    </xf>
    <xf numFmtId="200" fontId="5" fillId="0" borderId="0" applyNumberFormat="0" applyAlignment="0">
      <alignment horizontal="center"/>
    </xf>
    <xf numFmtId="261" fontId="2" fillId="0" borderId="0" applyFont="0" applyFill="0" applyBorder="0" applyAlignment="0"/>
    <xf numFmtId="40" fontId="37" fillId="0" borderId="0" applyFont="0" applyFill="0" applyBorder="0" applyAlignment="0"/>
    <xf numFmtId="256" fontId="2" fillId="0" borderId="0" applyFont="0" applyFill="0" applyBorder="0" applyAlignment="0"/>
    <xf numFmtId="38" fontId="37" fillId="0" borderId="0" applyFont="0" applyFill="0" applyBorder="0" applyAlignment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" fillId="0" borderId="0"/>
    <xf numFmtId="0" fontId="2" fillId="0" borderId="0"/>
    <xf numFmtId="260" fontId="2" fillId="0" borderId="0"/>
    <xf numFmtId="0" fontId="2" fillId="0" borderId="0"/>
    <xf numFmtId="260" fontId="2" fillId="0" borderId="0"/>
    <xf numFmtId="0" fontId="2" fillId="0" borderId="0"/>
    <xf numFmtId="26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4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9" fontId="49" fillId="0" borderId="0"/>
    <xf numFmtId="0" fontId="11" fillId="0" borderId="0"/>
    <xf numFmtId="37" fontId="48" fillId="0" borderId="0"/>
    <xf numFmtId="0" fontId="2" fillId="0" borderId="0" applyNumberFormat="0" applyBorder="0" applyAlignment="0">
      <alignment horizontal="center"/>
    </xf>
    <xf numFmtId="0" fontId="5" fillId="0" borderId="0"/>
    <xf numFmtId="0" fontId="7" fillId="0" borderId="0"/>
    <xf numFmtId="0" fontId="5" fillId="0" borderId="0"/>
    <xf numFmtId="200" fontId="5" fillId="0" borderId="0"/>
    <xf numFmtId="0" fontId="204" fillId="9" borderId="0" applyNumberFormat="0" applyBorder="0" applyAlignment="0" applyProtection="0"/>
    <xf numFmtId="0" fontId="47" fillId="9" borderId="0" applyNumberFormat="0" applyBorder="0" applyAlignment="0" applyProtection="0"/>
    <xf numFmtId="217" fontId="47" fillId="9" borderId="0" applyNumberFormat="0" applyBorder="0" applyAlignment="0" applyProtection="0"/>
    <xf numFmtId="0" fontId="47" fillId="9" borderId="0" applyNumberFormat="0" applyBorder="0" applyAlignment="0" applyProtection="0"/>
    <xf numFmtId="217" fontId="47" fillId="9" borderId="0" applyNumberFormat="0" applyBorder="0" applyAlignment="0" applyProtection="0"/>
    <xf numFmtId="0" fontId="47" fillId="9" borderId="0" applyNumberFormat="0" applyBorder="0" applyAlignment="0" applyProtection="0"/>
    <xf numFmtId="217" fontId="47" fillId="9" borderId="0" applyNumberFormat="0" applyBorder="0" applyAlignment="0" applyProtection="0"/>
    <xf numFmtId="0" fontId="47" fillId="9" borderId="0" applyNumberFormat="0" applyBorder="0" applyAlignment="0" applyProtection="0"/>
    <xf numFmtId="217" fontId="47" fillId="9" borderId="0" applyNumberFormat="0" applyBorder="0" applyAlignment="0" applyProtection="0"/>
    <xf numFmtId="0" fontId="47" fillId="9" borderId="0" applyNumberFormat="0" applyBorder="0" applyAlignment="0" applyProtection="0"/>
    <xf numFmtId="217" fontId="47" fillId="9" borderId="0" applyNumberFormat="0" applyBorder="0" applyAlignment="0" applyProtection="0"/>
    <xf numFmtId="0" fontId="47" fillId="9" borderId="0" applyNumberFormat="0" applyBorder="0" applyAlignment="0" applyProtection="0"/>
    <xf numFmtId="217" fontId="47" fillId="9" borderId="0" applyNumberFormat="0" applyBorder="0" applyAlignment="0" applyProtection="0"/>
    <xf numFmtId="0" fontId="47" fillId="9" borderId="0" applyNumberFormat="0" applyBorder="0" applyAlignment="0" applyProtection="0"/>
    <xf numFmtId="0" fontId="47" fillId="9" borderId="0" applyNumberFormat="0" applyBorder="0" applyAlignment="0" applyProtection="0"/>
    <xf numFmtId="0" fontId="87" fillId="0" borderId="0"/>
    <xf numFmtId="259" fontId="2" fillId="14" borderId="0" applyFont="0" applyBorder="0" applyAlignment="0" applyProtection="0">
      <alignment horizontal="right"/>
      <protection hidden="1"/>
    </xf>
    <xf numFmtId="239" fontId="76" fillId="0" borderId="0" applyFont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76" fillId="0" borderId="0" applyFont="0">
      <alignment horizontal="left"/>
    </xf>
    <xf numFmtId="3" fontId="7" fillId="0" borderId="0"/>
    <xf numFmtId="188" fontId="45" fillId="0" borderId="0" applyFont="0" applyFill="0" applyBorder="0" applyAlignment="0" applyProtection="0"/>
    <xf numFmtId="173" fontId="45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258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03" fillId="0" borderId="6"/>
    <xf numFmtId="0" fontId="203" fillId="0" borderId="6"/>
    <xf numFmtId="0" fontId="203" fillId="0" borderId="6"/>
    <xf numFmtId="0" fontId="203" fillId="0" borderId="6"/>
    <xf numFmtId="0" fontId="203" fillId="0" borderId="6"/>
    <xf numFmtId="0" fontId="203" fillId="0" borderId="6"/>
    <xf numFmtId="239" fontId="76" fillId="0" borderId="0" applyFont="0" applyFill="0" applyBorder="0">
      <alignment horizontal="left"/>
    </xf>
    <xf numFmtId="0" fontId="46" fillId="0" borderId="0" applyFont="0" applyFill="0" applyBorder="0" applyAlignment="0" applyProtection="0"/>
    <xf numFmtId="170" fontId="45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57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98" fontId="37" fillId="0" borderId="0" applyFont="0"/>
    <xf numFmtId="200" fontId="196" fillId="0" borderId="0"/>
    <xf numFmtId="0" fontId="128" fillId="0" borderId="0" applyFont="0" applyFill="0" applyBorder="0" applyProtection="0">
      <alignment horizontal="center" vertical="center"/>
    </xf>
    <xf numFmtId="200" fontId="128" fillId="0" borderId="0" applyFont="0" applyFill="0" applyBorder="0" applyProtection="0">
      <alignment horizontal="center" vertical="center"/>
    </xf>
    <xf numFmtId="198" fontId="202" fillId="0" borderId="0">
      <alignment horizontal="left" vertical="top"/>
      <protection locked="0"/>
    </xf>
    <xf numFmtId="239" fontId="76" fillId="0" borderId="0" applyFont="0" applyFill="0" applyBorder="0">
      <alignment horizontal="left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39" fontId="76" fillId="0" borderId="0" applyFont="0" applyFill="0" applyBorder="0">
      <alignment horizontal="left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56">
      <alignment horizontal="center"/>
    </xf>
    <xf numFmtId="206" fontId="44" fillId="0" borderId="56">
      <alignment horizontal="center"/>
    </xf>
    <xf numFmtId="20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200" fontId="44" fillId="0" borderId="3">
      <alignment horizontal="center"/>
    </xf>
    <xf numFmtId="206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56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56">
      <alignment horizontal="center"/>
    </xf>
    <xf numFmtId="206" fontId="44" fillId="0" borderId="56">
      <alignment horizontal="center"/>
    </xf>
    <xf numFmtId="20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56">
      <alignment horizontal="center"/>
    </xf>
    <xf numFmtId="200" fontId="44" fillId="0" borderId="57">
      <alignment horizontal="center"/>
    </xf>
    <xf numFmtId="200" fontId="44" fillId="0" borderId="57">
      <alignment horizontal="center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00" fontId="44" fillId="0" borderId="57">
      <alignment horizontal="center"/>
    </xf>
    <xf numFmtId="200" fontId="44" fillId="0" borderId="57">
      <alignment horizontal="center"/>
    </xf>
    <xf numFmtId="239" fontId="2" fillId="0" borderId="0" applyFill="0" applyBorder="0">
      <alignment horizontal="left"/>
    </xf>
    <xf numFmtId="206" fontId="44" fillId="0" borderId="56">
      <alignment horizontal="center"/>
    </xf>
    <xf numFmtId="200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56">
      <alignment horizontal="center"/>
    </xf>
    <xf numFmtId="0" fontId="44" fillId="0" borderId="56">
      <alignment horizontal="center"/>
    </xf>
    <xf numFmtId="200" fontId="44" fillId="0" borderId="56">
      <alignment horizontal="center"/>
    </xf>
    <xf numFmtId="200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56">
      <alignment horizontal="center"/>
    </xf>
    <xf numFmtId="200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39" fontId="2" fillId="0" borderId="0" applyFill="0" applyBorder="0">
      <alignment horizontal="left"/>
    </xf>
    <xf numFmtId="239" fontId="76" fillId="0" borderId="0" applyFont="0" applyFill="0" applyBorder="0">
      <alignment horizontal="left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56">
      <alignment horizontal="center"/>
    </xf>
    <xf numFmtId="200" fontId="44" fillId="0" borderId="56">
      <alignment horizontal="center"/>
    </xf>
    <xf numFmtId="239" fontId="2" fillId="0" borderId="0" applyFill="0" applyBorder="0">
      <alignment horizontal="left"/>
    </xf>
    <xf numFmtId="239" fontId="76" fillId="0" borderId="0" applyFont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76" fillId="0" borderId="0" applyFont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0" fontId="44" fillId="0" borderId="56">
      <alignment horizontal="center"/>
    </xf>
    <xf numFmtId="0" fontId="44" fillId="0" borderId="56">
      <alignment horizontal="center"/>
    </xf>
    <xf numFmtId="200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56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56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39" fontId="76" fillId="0" borderId="0" applyFont="0" applyFill="0" applyBorder="0">
      <alignment horizontal="left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200" fontId="44" fillId="0" borderId="56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56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0" fontId="44" fillId="0" borderId="3">
      <alignment horizontal="center"/>
    </xf>
    <xf numFmtId="200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06" fontId="44" fillId="0" borderId="3">
      <alignment horizontal="center"/>
    </xf>
    <xf numFmtId="219" fontId="201" fillId="0" borderId="0"/>
    <xf numFmtId="206" fontId="44" fillId="0" borderId="3">
      <alignment horizontal="center"/>
    </xf>
    <xf numFmtId="206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3">
      <alignment horizontal="center"/>
    </xf>
    <xf numFmtId="0" fontId="44" fillId="0" borderId="56">
      <alignment horizontal="center"/>
    </xf>
    <xf numFmtId="0" fontId="44" fillId="0" borderId="57">
      <alignment horizontal="center"/>
    </xf>
    <xf numFmtId="0" fontId="44" fillId="0" borderId="57">
      <alignment horizontal="center"/>
    </xf>
    <xf numFmtId="0" fontId="44" fillId="0" borderId="56">
      <alignment horizontal="center"/>
    </xf>
    <xf numFmtId="187" fontId="43" fillId="26" borderId="0"/>
    <xf numFmtId="0" fontId="200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217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217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0" fontId="42" fillId="0" borderId="20" applyNumberFormat="0" applyFill="0" applyAlignment="0" applyProtection="0"/>
    <xf numFmtId="227" fontId="86" fillId="0" borderId="0" applyFill="0" applyBorder="0" applyAlignment="0"/>
    <xf numFmtId="0" fontId="2" fillId="0" borderId="0" applyFill="0" applyBorder="0" applyAlignment="0"/>
    <xf numFmtId="200" fontId="2" fillId="0" borderId="0" applyFill="0" applyBorder="0" applyAlignment="0"/>
    <xf numFmtId="229" fontId="86" fillId="0" borderId="0" applyFill="0" applyBorder="0" applyAlignment="0"/>
    <xf numFmtId="227" fontId="86" fillId="0" borderId="0" applyFill="0" applyBorder="0" applyAlignment="0"/>
    <xf numFmtId="229" fontId="86" fillId="0" borderId="0" applyFill="0" applyBorder="0" applyAlignment="0"/>
    <xf numFmtId="0" fontId="2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4" fontId="2" fillId="25" borderId="0">
      <protection locked="0"/>
    </xf>
    <xf numFmtId="40" fontId="37" fillId="0" borderId="0" applyFont="0">
      <protection locked="0"/>
    </xf>
    <xf numFmtId="0" fontId="5" fillId="0" borderId="0" applyNumberFormat="0" applyFont="0" applyFill="0" applyBorder="0" applyProtection="0">
      <alignment horizontal="left" vertical="center"/>
    </xf>
    <xf numFmtId="200" fontId="148" fillId="1" borderId="0" applyNumberFormat="0" applyBorder="0" applyAlignment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200" fontId="165" fillId="0" borderId="150" applyNumberFormat="0" applyAlignment="0" applyProtection="0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198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0" fontId="79" fillId="24" borderId="154"/>
    <xf numFmtId="0" fontId="79" fillId="24" borderId="154"/>
    <xf numFmtId="216" fontId="197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0" fontId="41" fillId="24" borderId="154"/>
    <xf numFmtId="0" fontId="41" fillId="24" borderId="154"/>
    <xf numFmtId="0" fontId="41" fillId="24" borderId="154"/>
    <xf numFmtId="0" fontId="41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216" fontId="197" fillId="24" borderId="154"/>
    <xf numFmtId="0" fontId="79" fillId="24" borderId="154"/>
    <xf numFmtId="0" fontId="41" fillId="24" borderId="154"/>
    <xf numFmtId="0" fontId="41" fillId="24" borderId="154"/>
    <xf numFmtId="0" fontId="41" fillId="24" borderId="154"/>
    <xf numFmtId="0" fontId="41" fillId="24" borderId="154"/>
    <xf numFmtId="0" fontId="41" fillId="24" borderId="154"/>
    <xf numFmtId="0" fontId="41" fillId="24" borderId="154"/>
    <xf numFmtId="0" fontId="41" fillId="24" borderId="154"/>
    <xf numFmtId="0" fontId="41" fillId="24" borderId="154"/>
    <xf numFmtId="0" fontId="41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79" fillId="24" borderId="154"/>
    <xf numFmtId="0" fontId="41" fillId="24" borderId="154"/>
    <xf numFmtId="200" fontId="165" fillId="0" borderId="157" applyNumberFormat="0" applyAlignment="0" applyProtection="0"/>
    <xf numFmtId="239" fontId="76" fillId="0" borderId="0" applyFont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2" fillId="0" borderId="0" applyFill="0" applyBorder="0">
      <alignment horizontal="left"/>
    </xf>
    <xf numFmtId="239" fontId="76" fillId="0" borderId="0" applyFont="0" applyFill="0" applyBorder="0">
      <alignment horizontal="left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200" fontId="196" fillId="0" borderId="159" applyNumberFormat="0" applyFont="0" applyFill="0" applyBorder="0" applyAlignment="0" applyProtection="0">
      <protection locked="0" hidden="1"/>
    </xf>
    <xf numFmtId="0" fontId="195" fillId="0" borderId="46" applyNumberFormat="0" applyBorder="0" applyAlignment="0"/>
    <xf numFmtId="239" fontId="76" fillId="0" borderId="0" applyFont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2" fillId="0" borderId="0">
      <alignment horizontal="left"/>
    </xf>
    <xf numFmtId="239" fontId="76" fillId="0" borderId="0" applyFont="0">
      <alignment horizontal="left"/>
    </xf>
    <xf numFmtId="256" fontId="2" fillId="22" borderId="0" applyNumberFormat="0" applyBorder="0" applyAlignment="0">
      <protection locked="0"/>
    </xf>
    <xf numFmtId="255" fontId="194" fillId="22" borderId="0" applyFont="0" applyBorder="0" applyAlignment="0">
      <protection locked="0"/>
    </xf>
    <xf numFmtId="10" fontId="37" fillId="22" borderId="0">
      <protection locked="0"/>
    </xf>
    <xf numFmtId="254" fontId="2" fillId="22" borderId="0" applyFont="0" applyBorder="0" applyAlignment="0">
      <protection locked="0"/>
    </xf>
    <xf numFmtId="38" fontId="37" fillId="22" borderId="0">
      <protection locked="0"/>
    </xf>
    <xf numFmtId="251" fontId="2" fillId="22" borderId="0" applyFont="0" applyBorder="0" applyAlignment="0">
      <protection locked="0"/>
    </xf>
    <xf numFmtId="15" fontId="37" fillId="22" borderId="0" applyFont="0" applyBorder="0" applyAlignment="0" applyProtection="0">
      <protection locked="0"/>
    </xf>
    <xf numFmtId="242" fontId="37" fillId="22" borderId="0" applyFont="0" applyBorder="0" applyAlignment="0" applyProtection="0">
      <protection locked="0"/>
    </xf>
    <xf numFmtId="187" fontId="25" fillId="23" borderId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217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193" fillId="10" borderId="158" applyNumberFormat="0" applyAlignment="0" applyProtection="0"/>
    <xf numFmtId="0" fontId="193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0" fontId="40" fillId="10" borderId="158" applyNumberFormat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22" borderId="157" applyNumberFormat="0" applyBorder="0" applyAlignment="0" applyProtection="0"/>
    <xf numFmtId="10" fontId="37" fillId="46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46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10" fontId="37" fillId="22" borderId="157" applyNumberFormat="0" applyBorder="0" applyAlignment="0" applyProtection="0"/>
    <xf numFmtId="206" fontId="192" fillId="0" borderId="55"/>
    <xf numFmtId="0" fontId="20" fillId="5" borderId="0" applyNumberFormat="0" applyBorder="0" applyAlignment="0" applyProtection="0"/>
    <xf numFmtId="0" fontId="19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90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>
      <alignment vertical="top"/>
      <protection locked="0"/>
    </xf>
    <xf numFmtId="0" fontId="324" fillId="0" borderId="0" applyNumberFormat="0" applyFill="0" applyBorder="0" applyAlignment="0" applyProtection="0">
      <alignment vertical="top"/>
      <protection locked="0"/>
    </xf>
    <xf numFmtId="174" fontId="128" fillId="0" borderId="0" applyFont="0" applyFill="0" applyBorder="0" applyAlignment="0" applyProtection="0">
      <alignment horizontal="center" vertical="center"/>
    </xf>
    <xf numFmtId="0" fontId="187" fillId="0" borderId="0" applyNumberFormat="0" applyFill="0" applyBorder="0" applyAlignment="0" applyProtection="0"/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0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200" fontId="39" fillId="0" borderId="6">
      <alignment horizontal="center"/>
    </xf>
    <xf numFmtId="20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200" fontId="39" fillId="0" borderId="6">
      <alignment horizontal="center"/>
    </xf>
    <xf numFmtId="20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200" fontId="39" fillId="0" borderId="6">
      <alignment horizontal="center"/>
    </xf>
    <xf numFmtId="20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200" fontId="39" fillId="0" borderId="6">
      <alignment horizontal="center"/>
    </xf>
    <xf numFmtId="20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200" fontId="39" fillId="0" borderId="6">
      <alignment horizontal="center"/>
    </xf>
    <xf numFmtId="20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200" fontId="39" fillId="0" borderId="6">
      <alignment horizontal="center"/>
    </xf>
    <xf numFmtId="20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20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39" fillId="0" borderId="6">
      <alignment horizontal="center"/>
    </xf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213" fontId="2" fillId="0" borderId="0">
      <protection locked="0"/>
    </xf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186" fontId="323" fillId="0" borderId="0">
      <protection locked="0"/>
    </xf>
    <xf numFmtId="200" fontId="38" fillId="0" borderId="0">
      <protection locked="0"/>
    </xf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213" fontId="2" fillId="0" borderId="0">
      <protection locked="0"/>
    </xf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186" fontId="185" fillId="0" borderId="0">
      <protection locked="0"/>
    </xf>
    <xf numFmtId="186" fontId="186" fillId="0" borderId="0">
      <protection locked="0"/>
    </xf>
    <xf numFmtId="186" fontId="185" fillId="0" borderId="0">
      <protection locked="0"/>
    </xf>
    <xf numFmtId="186" fontId="38" fillId="0" borderId="0">
      <protection locked="0"/>
    </xf>
    <xf numFmtId="186" fontId="323" fillId="0" borderId="0">
      <protection locked="0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1" borderId="156" applyNumberFormat="0" applyFill="0" applyBorder="0" applyAlignment="0" applyProtection="0">
      <alignment horizontal="center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84" fillId="0" borderId="0" applyFill="0" applyBorder="0">
      <alignment vertical="center"/>
    </xf>
    <xf numFmtId="0" fontId="182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217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217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217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217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217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217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183" fillId="0" borderId="0" applyFill="0" applyBorder="0">
      <alignment vertical="center"/>
    </xf>
    <xf numFmtId="0" fontId="182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217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217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68" fillId="0" borderId="54" applyNumberFormat="0" applyFill="0" applyAlignment="0" applyProtection="0"/>
    <xf numFmtId="0" fontId="179" fillId="0" borderId="0" applyProtection="0"/>
    <xf numFmtId="0" fontId="179" fillId="0" borderId="0" applyProtection="0"/>
    <xf numFmtId="217" fontId="14" fillId="0" borderId="0" applyNumberFormat="0" applyFill="0" applyBorder="0" applyAlignment="0" applyProtection="0"/>
    <xf numFmtId="0" fontId="179" fillId="0" borderId="0" applyProtection="0"/>
    <xf numFmtId="0" fontId="14" fillId="0" borderId="0" applyNumberFormat="0" applyFont="0" applyFill="0" applyAlignment="0" applyProtection="0"/>
    <xf numFmtId="0" fontId="179" fillId="0" borderId="0" applyProtection="0"/>
    <xf numFmtId="0" fontId="179" fillId="0" borderId="0" applyProtection="0"/>
    <xf numFmtId="0" fontId="14" fillId="0" borderId="0" applyNumberFormat="0" applyFont="0" applyFill="0" applyAlignment="0" applyProtection="0"/>
    <xf numFmtId="0" fontId="179" fillId="0" borderId="0" applyProtection="0"/>
    <xf numFmtId="0" fontId="179" fillId="0" borderId="0" applyProtection="0"/>
    <xf numFmtId="0" fontId="14" fillId="0" borderId="0" applyNumberFormat="0" applyFont="0" applyFill="0" applyAlignment="0" applyProtection="0"/>
    <xf numFmtId="0" fontId="179" fillId="0" borderId="0" applyProtection="0"/>
    <xf numFmtId="0" fontId="179" fillId="0" borderId="0" applyProtection="0"/>
    <xf numFmtId="0" fontId="14" fillId="0" borderId="0" applyNumberFormat="0" applyFont="0" applyFill="0" applyAlignment="0" applyProtection="0"/>
    <xf numFmtId="0" fontId="179" fillId="0" borderId="0" applyProtection="0"/>
    <xf numFmtId="0" fontId="179" fillId="0" borderId="0" applyProtection="0"/>
    <xf numFmtId="0" fontId="14" fillId="0" borderId="0" applyNumberFormat="0" applyFont="0" applyFill="0" applyAlignment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4" fillId="0" borderId="0" applyNumberFormat="0" applyFill="0" applyBorder="0" applyAlignment="0" applyProtection="0"/>
    <xf numFmtId="0" fontId="181" fillId="0" borderId="53" applyNumberFormat="0" applyFill="0" applyAlignment="0" applyProtection="0"/>
    <xf numFmtId="217" fontId="14" fillId="0" borderId="0" applyNumberFormat="0" applyFill="0" applyBorder="0" applyAlignment="0" applyProtection="0"/>
    <xf numFmtId="217" fontId="14" fillId="0" borderId="0" applyNumberFormat="0" applyFont="0" applyFill="0" applyAlignment="0" applyProtection="0"/>
    <xf numFmtId="0" fontId="181" fillId="0" borderId="53" applyNumberFormat="0" applyFill="0" applyAlignment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217" fontId="14" fillId="0" borderId="0" applyNumberFormat="0" applyFont="0" applyFill="0" applyAlignment="0" applyProtection="0"/>
    <xf numFmtId="0" fontId="179" fillId="0" borderId="0" applyProtection="0"/>
    <xf numFmtId="0" fontId="179" fillId="0" borderId="0" applyProtection="0"/>
    <xf numFmtId="0" fontId="14" fillId="0" borderId="0" applyNumberFormat="0" applyFill="0" applyBorder="0" applyAlignment="0" applyProtection="0"/>
    <xf numFmtId="0" fontId="180" fillId="0" borderId="53" applyNumberFormat="0" applyFill="0" applyAlignment="0" applyProtection="0"/>
    <xf numFmtId="217" fontId="14" fillId="0" borderId="0" applyNumberFormat="0" applyFill="0" applyBorder="0" applyAlignment="0" applyProtection="0"/>
    <xf numFmtId="0" fontId="14" fillId="0" borderId="0" applyNumberFormat="0" applyFont="0" applyFill="0" applyAlignment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79" fillId="0" borderId="0" applyProtection="0"/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2" fillId="25" borderId="25">
      <alignment vertical="center" wrapText="1"/>
    </xf>
    <xf numFmtId="0" fontId="175" fillId="0" borderId="0" applyProtection="0"/>
    <xf numFmtId="0" fontId="175" fillId="0" borderId="0" applyProtection="0"/>
    <xf numFmtId="217" fontId="176" fillId="0" borderId="0" applyNumberFormat="0" applyFill="0" applyBorder="0" applyAlignment="0" applyProtection="0"/>
    <xf numFmtId="0" fontId="175" fillId="0" borderId="0" applyProtection="0"/>
    <xf numFmtId="0" fontId="176" fillId="0" borderId="0" applyNumberFormat="0" applyFont="0" applyFill="0" applyAlignment="0" applyProtection="0"/>
    <xf numFmtId="0" fontId="175" fillId="0" borderId="0" applyProtection="0"/>
    <xf numFmtId="0" fontId="175" fillId="0" borderId="0" applyProtection="0"/>
    <xf numFmtId="0" fontId="176" fillId="0" borderId="0" applyNumberFormat="0" applyFont="0" applyFill="0" applyAlignment="0" applyProtection="0"/>
    <xf numFmtId="0" fontId="175" fillId="0" borderId="0" applyProtection="0"/>
    <xf numFmtId="0" fontId="175" fillId="0" borderId="0" applyProtection="0"/>
    <xf numFmtId="0" fontId="176" fillId="0" borderId="0" applyNumberFormat="0" applyFont="0" applyFill="0" applyAlignment="0" applyProtection="0"/>
    <xf numFmtId="0" fontId="175" fillId="0" borderId="0" applyProtection="0"/>
    <xf numFmtId="0" fontId="175" fillId="0" borderId="0" applyProtection="0"/>
    <xf numFmtId="0" fontId="176" fillId="0" borderId="0" applyNumberFormat="0" applyFont="0" applyFill="0" applyAlignment="0" applyProtection="0"/>
    <xf numFmtId="0" fontId="175" fillId="0" borderId="0" applyProtection="0"/>
    <xf numFmtId="0" fontId="175" fillId="0" borderId="0" applyProtection="0"/>
    <xf numFmtId="0" fontId="176" fillId="0" borderId="0" applyNumberFormat="0" applyFont="0" applyFill="0" applyAlignment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6" fillId="0" borderId="0" applyNumberFormat="0" applyFill="0" applyBorder="0" applyAlignment="0" applyProtection="0"/>
    <xf numFmtId="0" fontId="178" fillId="0" borderId="52" applyNumberFormat="0" applyFill="0" applyAlignment="0" applyProtection="0"/>
    <xf numFmtId="217" fontId="176" fillId="0" borderId="0" applyNumberFormat="0" applyFill="0" applyBorder="0" applyAlignment="0" applyProtection="0"/>
    <xf numFmtId="217" fontId="176" fillId="0" borderId="0" applyNumberFormat="0" applyFont="0" applyFill="0" applyAlignment="0" applyProtection="0"/>
    <xf numFmtId="0" fontId="178" fillId="0" borderId="52" applyNumberFormat="0" applyFill="0" applyAlignment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217" fontId="176" fillId="0" borderId="0" applyNumberFormat="0" applyFont="0" applyFill="0" applyAlignment="0" applyProtection="0"/>
    <xf numFmtId="0" fontId="175" fillId="0" borderId="0" applyProtection="0"/>
    <xf numFmtId="0" fontId="175" fillId="0" borderId="0" applyProtection="0"/>
    <xf numFmtId="0" fontId="176" fillId="0" borderId="0" applyNumberFormat="0" applyFill="0" applyBorder="0" applyAlignment="0" applyProtection="0"/>
    <xf numFmtId="0" fontId="177" fillId="0" borderId="52" applyNumberFormat="0" applyFill="0" applyAlignment="0" applyProtection="0"/>
    <xf numFmtId="217" fontId="176" fillId="0" borderId="0" applyNumberFormat="0" applyFill="0" applyBorder="0" applyAlignment="0" applyProtection="0"/>
    <xf numFmtId="0" fontId="176" fillId="0" borderId="0" applyNumberFormat="0" applyFont="0" applyFill="0" applyAlignment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75" fillId="0" borderId="0" applyProtection="0"/>
    <xf numFmtId="0" fontId="12" fillId="25" borderId="25">
      <alignment vertical="center" wrapText="1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17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200" fontId="14" fillId="0" borderId="155">
      <alignment horizontal="left" vertical="center"/>
    </xf>
    <xf numFmtId="0" fontId="14" fillId="0" borderId="155">
      <alignment horizontal="left" vertical="center"/>
    </xf>
    <xf numFmtId="0" fontId="14" fillId="0" borderId="19" applyNumberFormat="0" applyAlignment="0" applyProtection="0">
      <alignment horizontal="left" vertical="center"/>
    </xf>
    <xf numFmtId="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200" fontId="14" fillId="0" borderId="19" applyNumberFormat="0" applyAlignment="0" applyProtection="0">
      <alignment horizontal="left" vertical="center"/>
    </xf>
    <xf numFmtId="0" fontId="14" fillId="0" borderId="19" applyNumberFormat="0" applyAlignment="0" applyProtection="0">
      <alignment horizontal="left" vertical="center"/>
    </xf>
    <xf numFmtId="0" fontId="14" fillId="0" borderId="19" applyNumberFormat="0" applyAlignment="0" applyProtection="0">
      <alignment horizontal="left" vertical="center"/>
    </xf>
    <xf numFmtId="0" fontId="64" fillId="0" borderId="0">
      <alignment horizontal="left"/>
    </xf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0" fontId="79" fillId="45" borderId="51"/>
    <xf numFmtId="200" fontId="64" fillId="0" borderId="0">
      <alignment horizontal="left"/>
    </xf>
    <xf numFmtId="0" fontId="174" fillId="0" borderId="0"/>
    <xf numFmtId="0" fontId="12" fillId="0" borderId="0"/>
    <xf numFmtId="0" fontId="173" fillId="0" borderId="0" applyAlignment="0">
      <alignment horizontal="right"/>
    </xf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193" fontId="2" fillId="0" borderId="57" applyFont="0" applyFill="0" applyBorder="0" applyAlignment="0"/>
    <xf numFmtId="38" fontId="37" fillId="14" borderId="0" applyNumberFormat="0" applyBorder="0" applyAlignment="0" applyProtection="0"/>
    <xf numFmtId="0" fontId="172" fillId="4" borderId="0" applyNumberFormat="0" applyBorder="0" applyAlignment="0" applyProtection="0"/>
    <xf numFmtId="0" fontId="36" fillId="4" borderId="0" applyNumberFormat="0" applyBorder="0" applyAlignment="0" applyProtection="0"/>
    <xf numFmtId="217" fontId="36" fillId="4" borderId="0" applyNumberFormat="0" applyBorder="0" applyAlignment="0" applyProtection="0"/>
    <xf numFmtId="0" fontId="36" fillId="4" borderId="0" applyNumberFormat="0" applyBorder="0" applyAlignment="0" applyProtection="0"/>
    <xf numFmtId="217" fontId="36" fillId="4" borderId="0" applyNumberFormat="0" applyBorder="0" applyAlignment="0" applyProtection="0"/>
    <xf numFmtId="0" fontId="36" fillId="4" borderId="0" applyNumberFormat="0" applyBorder="0" applyAlignment="0" applyProtection="0"/>
    <xf numFmtId="217" fontId="36" fillId="4" borderId="0" applyNumberFormat="0" applyBorder="0" applyAlignment="0" applyProtection="0"/>
    <xf numFmtId="0" fontId="36" fillId="4" borderId="0" applyNumberFormat="0" applyBorder="0" applyAlignment="0" applyProtection="0"/>
    <xf numFmtId="217" fontId="36" fillId="4" borderId="0" applyNumberFormat="0" applyBorder="0" applyAlignment="0" applyProtection="0"/>
    <xf numFmtId="0" fontId="36" fillId="4" borderId="0" applyNumberFormat="0" applyBorder="0" applyAlignment="0" applyProtection="0"/>
    <xf numFmtId="217" fontId="36" fillId="4" borderId="0" applyNumberFormat="0" applyBorder="0" applyAlignment="0" applyProtection="0"/>
    <xf numFmtId="0" fontId="36" fillId="4" borderId="0" applyNumberFormat="0" applyBorder="0" applyAlignment="0" applyProtection="0"/>
    <xf numFmtId="217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39" fontId="50" fillId="0" borderId="48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0" fontId="35" fillId="20" borderId="154"/>
    <xf numFmtId="206" fontId="35" fillId="20" borderId="153"/>
    <xf numFmtId="206" fontId="35" fillId="20" borderId="153"/>
    <xf numFmtId="206" fontId="35" fillId="20" borderId="153"/>
    <xf numFmtId="206" fontId="35" fillId="20" borderId="153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0" fontId="35" fillId="0" borderId="154"/>
    <xf numFmtId="206" fontId="35" fillId="0" borderId="153"/>
    <xf numFmtId="0" fontId="35" fillId="0" borderId="132"/>
    <xf numFmtId="0" fontId="35" fillId="0" borderId="132"/>
    <xf numFmtId="206" fontId="35" fillId="0" borderId="152"/>
    <xf numFmtId="253" fontId="76" fillId="0" borderId="0" applyFont="0">
      <alignment horizontal="left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200" fontId="171" fillId="0" borderId="0" applyNumberFormat="0" applyFill="0" applyBorder="0" applyAlignment="0" applyProtection="0">
      <alignment vertical="top"/>
      <protection locked="0"/>
    </xf>
    <xf numFmtId="252" fontId="93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" fontId="166" fillId="0" borderId="0" applyProtection="0"/>
    <xf numFmtId="2" fontId="2" fillId="0" borderId="0" applyFont="0" applyFill="0" applyBorder="0" applyAlignment="0" applyProtection="0"/>
    <xf numFmtId="186" fontId="106" fillId="0" borderId="0">
      <protection locked="0"/>
    </xf>
    <xf numFmtId="2" fontId="166" fillId="0" borderId="0" applyProtection="0"/>
    <xf numFmtId="2" fontId="166" fillId="0" borderId="0" applyProtection="0"/>
    <xf numFmtId="2" fontId="166" fillId="0" borderId="0" applyProtection="0"/>
    <xf numFmtId="2" fontId="166" fillId="0" borderId="0" applyProtection="0"/>
    <xf numFmtId="2" fontId="166" fillId="0" borderId="0" applyProtection="0"/>
    <xf numFmtId="2" fontId="2" fillId="0" borderId="0" applyFont="0" applyFill="0" applyBorder="0" applyAlignment="0" applyProtection="0"/>
    <xf numFmtId="2" fontId="166" fillId="0" borderId="0" applyProtection="0"/>
    <xf numFmtId="2" fontId="166" fillId="0" borderId="0" applyProtection="0"/>
    <xf numFmtId="2" fontId="166" fillId="0" borderId="0" applyProtection="0"/>
    <xf numFmtId="2" fontId="2" fillId="0" borderId="0" applyFont="0" applyFill="0" applyBorder="0" applyAlignment="0" applyProtection="0"/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51" fontId="2" fillId="22" borderId="0" applyFont="0" applyFill="0" applyBorder="0" applyAlignment="0"/>
    <xf numFmtId="2" fontId="2" fillId="0" borderId="0" applyFont="0" applyFill="0" applyBorder="0" applyAlignment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0" fontId="170" fillId="0" borderId="0">
      <protection locked="0"/>
    </xf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0" fontId="93" fillId="0" borderId="0">
      <protection locked="0"/>
    </xf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0" fontId="93" fillId="0" borderId="0">
      <protection locked="0"/>
    </xf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0" fontId="93" fillId="0" borderId="0">
      <protection locked="0"/>
    </xf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0" fontId="170" fillId="0" borderId="0">
      <protection locked="0"/>
    </xf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0" fontId="93" fillId="0" borderId="0">
      <protection locked="0"/>
    </xf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0" fontId="93" fillId="0" borderId="0">
      <protection locked="0"/>
    </xf>
    <xf numFmtId="176" fontId="2" fillId="0" borderId="0">
      <protection locked="0"/>
    </xf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3" fontId="166" fillId="0" borderId="0" applyProtection="0"/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0" fontId="93" fillId="0" borderId="0">
      <protection locked="0"/>
    </xf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25" fontId="27" fillId="0" borderId="137" applyFont="0" applyBorder="0"/>
    <xf numFmtId="200" fontId="93" fillId="0" borderId="0">
      <protection locked="0"/>
    </xf>
    <xf numFmtId="225" fontId="27" fillId="0" borderId="137" applyFont="0" applyBorder="0"/>
    <xf numFmtId="0" fontId="16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17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17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17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17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17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17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200" fontId="80" fillId="0" borderId="0"/>
    <xf numFmtId="250" fontId="8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0" fontId="25" fillId="0" borderId="0" applyFont="0" applyFill="0" applyBorder="0" applyAlignment="0" applyProtection="0"/>
    <xf numFmtId="248" fontId="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" fillId="0" borderId="0" applyFont="0" applyFill="0" applyBorder="0" applyAlignment="0" applyProtection="0"/>
    <xf numFmtId="0" fontId="40" fillId="10" borderId="134" applyNumberFormat="0" applyAlignment="0" applyProtection="0"/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0" fontId="33" fillId="0" borderId="0" applyNumberFormat="0" applyAlignment="0">
      <alignment horizontal="left"/>
    </xf>
    <xf numFmtId="227" fontId="86" fillId="0" borderId="0" applyFill="0" applyBorder="0" applyAlignment="0"/>
    <xf numFmtId="0" fontId="2" fillId="0" borderId="0" applyFill="0" applyBorder="0" applyAlignment="0"/>
    <xf numFmtId="200" fontId="2" fillId="0" borderId="0" applyFill="0" applyBorder="0" applyAlignment="0"/>
    <xf numFmtId="229" fontId="86" fillId="0" borderId="0" applyFill="0" applyBorder="0" applyAlignment="0"/>
    <xf numFmtId="227" fontId="86" fillId="0" borderId="0" applyFill="0" applyBorder="0" applyAlignment="0"/>
    <xf numFmtId="229" fontId="86" fillId="0" borderId="0" applyFill="0" applyBorder="0" applyAlignment="0"/>
    <xf numFmtId="206" fontId="32" fillId="19" borderId="0"/>
    <xf numFmtId="0" fontId="16" fillId="37" borderId="0" applyNumberFormat="0" applyBorder="0" applyAlignment="0" applyProtection="0"/>
    <xf numFmtId="0" fontId="16" fillId="13" borderId="0" applyNumberFormat="0" applyBorder="0" applyAlignment="0" applyProtection="0"/>
    <xf numFmtId="0" fontId="16" fillId="35" borderId="0" applyNumberFormat="0" applyBorder="0" applyAlignment="0" applyProtection="0"/>
    <xf numFmtId="0" fontId="16" fillId="41" borderId="0" applyNumberFormat="0" applyBorder="0" applyAlignment="0" applyProtection="0"/>
    <xf numFmtId="0" fontId="16" fillId="40" borderId="0" applyNumberFormat="0" applyBorder="0" applyAlignment="0" applyProtection="0"/>
    <xf numFmtId="0" fontId="16" fillId="39" borderId="0" applyNumberFormat="0" applyBorder="0" applyAlignment="0" applyProtection="0"/>
    <xf numFmtId="0" fontId="168" fillId="0" borderId="0" applyNumberFormat="0" applyFill="0" applyBorder="0" applyAlignment="0" applyProtection="0"/>
    <xf numFmtId="0" fontId="167" fillId="44" borderId="0" applyNumberFormat="0" applyBorder="0" applyAlignment="0" applyProtection="0"/>
    <xf numFmtId="0" fontId="167" fillId="44" borderId="0" applyNumberFormat="0" applyBorder="0" applyAlignment="0" applyProtection="0"/>
    <xf numFmtId="0" fontId="167" fillId="44" borderId="0" applyNumberFormat="0" applyBorder="0" applyAlignment="0" applyProtection="0"/>
    <xf numFmtId="0" fontId="167" fillId="44" borderId="0" applyNumberFormat="0" applyBorder="0" applyAlignment="0" applyProtection="0"/>
    <xf numFmtId="0" fontId="167" fillId="43" borderId="0" applyNumberFormat="0" applyBorder="0" applyAlignment="0" applyProtection="0"/>
    <xf numFmtId="0" fontId="167" fillId="43" borderId="0" applyNumberFormat="0" applyBorder="0" applyAlignment="0" applyProtection="0"/>
    <xf numFmtId="43" fontId="2" fillId="0" borderId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200" fontId="2" fillId="0" borderId="0">
      <alignment vertical="center"/>
    </xf>
    <xf numFmtId="200" fontId="2" fillId="0" borderId="0">
      <alignment vertical="center"/>
    </xf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206" fontId="322" fillId="0" borderId="151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0" fontId="29" fillId="0" borderId="135"/>
    <xf numFmtId="206" fontId="322" fillId="0" borderId="151"/>
    <xf numFmtId="247" fontId="132" fillId="0" borderId="0"/>
    <xf numFmtId="246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198" fontId="76" fillId="0" borderId="0" applyFont="0" applyFill="0" applyBorder="0">
      <alignment horizontal="left" vertical="top" wrapText="1"/>
      <protection locked="0"/>
    </xf>
    <xf numFmtId="198" fontId="76" fillId="0" borderId="0" applyFont="0" applyFill="0" applyBorder="0">
      <alignment horizontal="left" vertical="top" wrapText="1"/>
      <protection locked="0"/>
    </xf>
    <xf numFmtId="198" fontId="76" fillId="0" borderId="0" applyFont="0" applyFill="0" applyBorder="0">
      <alignment horizontal="left" vertical="top" wrapText="1"/>
      <protection locked="0"/>
    </xf>
    <xf numFmtId="206" fontId="322" fillId="0" borderId="0"/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183" fontId="93" fillId="0" borderId="0">
      <protection locked="0"/>
    </xf>
    <xf numFmtId="14" fontId="22" fillId="0" borderId="0" applyFill="0" applyBorder="0" applyAlignment="0"/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0" fontId="166" fillId="0" borderId="0" applyProtection="0"/>
    <xf numFmtId="14" fontId="2" fillId="0" borderId="0" applyFont="0" applyFill="0" applyBorder="0" applyAlignment="0" applyProtection="0"/>
    <xf numFmtId="186" fontId="106" fillId="0" borderId="0">
      <protection locked="0"/>
    </xf>
    <xf numFmtId="0" fontId="166" fillId="0" borderId="0" applyProtection="0"/>
    <xf numFmtId="0" fontId="166" fillId="0" borderId="0" applyProtection="0"/>
    <xf numFmtId="0" fontId="166" fillId="0" borderId="0" applyProtection="0"/>
    <xf numFmtId="0" fontId="166" fillId="0" borderId="0" applyProtection="0"/>
    <xf numFmtId="0" fontId="166" fillId="0" borderId="0" applyProtection="0"/>
    <xf numFmtId="0" fontId="2" fillId="0" borderId="0" applyFont="0" applyFill="0" applyBorder="0" applyAlignment="0" applyProtection="0"/>
    <xf numFmtId="0" fontId="166" fillId="0" borderId="0" applyProtection="0"/>
    <xf numFmtId="0" fontId="166" fillId="0" borderId="0" applyProtection="0"/>
    <xf numFmtId="0" fontId="166" fillId="0" borderId="0" applyProtection="0"/>
    <xf numFmtId="0" fontId="2" fillId="0" borderId="0" applyFont="0" applyFill="0" applyBorder="0" applyAlignment="0" applyProtection="0"/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7" fontId="165" fillId="0" borderId="0" applyFill="0" applyBorder="0">
      <alignment horizontal="right"/>
    </xf>
    <xf numFmtId="193" fontId="2" fillId="22" borderId="7" applyFont="0" applyFill="0" applyBorder="0" applyAlignment="0" applyProtection="0"/>
    <xf numFmtId="193" fontId="2" fillId="22" borderId="7" applyFont="0" applyFill="0" applyBorder="0" applyAlignment="0" applyProtection="0"/>
    <xf numFmtId="193" fontId="2" fillId="22" borderId="7" applyFont="0" applyFill="0" applyBorder="0" applyAlignment="0" applyProtection="0"/>
    <xf numFmtId="193" fontId="2" fillId="22" borderId="7" applyFont="0" applyFill="0" applyBorder="0" applyAlignment="0" applyProtection="0"/>
    <xf numFmtId="193" fontId="2" fillId="22" borderId="7" applyFont="0" applyFill="0" applyBorder="0" applyAlignment="0" applyProtection="0"/>
    <xf numFmtId="193" fontId="2" fillId="22" borderId="7" applyFont="0" applyFill="0" applyBorder="0" applyAlignment="0" applyProtection="0"/>
    <xf numFmtId="193" fontId="2" fillId="22" borderId="0" applyFont="0" applyFill="0" applyBorder="0" applyAlignment="0" applyProtection="0"/>
    <xf numFmtId="15" fontId="165" fillId="0" borderId="0" applyFill="0" applyBorder="0" applyAlignment="0"/>
    <xf numFmtId="0" fontId="2" fillId="0" borderId="0" applyFont="0" applyFill="0" applyBorder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200" fontId="163" fillId="0" borderId="150" applyNumberFormat="0" applyFont="0" applyFill="0" applyAlignment="0" applyProtection="0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142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0" fontId="75" fillId="0" borderId="135"/>
    <xf numFmtId="0" fontId="75" fillId="0" borderId="135"/>
    <xf numFmtId="216" fontId="164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0" fontId="30" fillId="0" borderId="135"/>
    <xf numFmtId="0" fontId="30" fillId="0" borderId="135"/>
    <xf numFmtId="0" fontId="30" fillId="0" borderId="135"/>
    <xf numFmtId="0" fontId="30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216" fontId="164" fillId="0" borderId="135"/>
    <xf numFmtId="0" fontId="75" fillId="0" borderId="135"/>
    <xf numFmtId="0" fontId="30" fillId="0" borderId="135"/>
    <xf numFmtId="0" fontId="30" fillId="0" borderId="135"/>
    <xf numFmtId="0" fontId="30" fillId="0" borderId="135"/>
    <xf numFmtId="0" fontId="30" fillId="0" borderId="135"/>
    <xf numFmtId="0" fontId="30" fillId="0" borderId="135"/>
    <xf numFmtId="0" fontId="30" fillId="0" borderId="135"/>
    <xf numFmtId="0" fontId="30" fillId="0" borderId="135"/>
    <xf numFmtId="0" fontId="30" fillId="0" borderId="135"/>
    <xf numFmtId="0" fontId="30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75" fillId="0" borderId="135"/>
    <xf numFmtId="0" fontId="30" fillId="0" borderId="135"/>
    <xf numFmtId="200" fontId="163" fillId="0" borderId="136" applyNumberFormat="0" applyFont="0" applyFill="0" applyAlignment="0" applyProtection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217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217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217" fontId="2" fillId="14" borderId="0" applyFont="0" applyBorder="0"/>
    <xf numFmtId="217" fontId="2" fillId="14" borderId="0" applyFont="0" applyBorder="0"/>
    <xf numFmtId="0" fontId="163" fillId="0" borderId="0" applyNumberFormat="0" applyFont="0" applyFill="0" applyBorder="0" applyAlignment="0" applyProtection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2" fillId="14" borderId="0" applyFont="0" applyBorder="0"/>
    <xf numFmtId="0" fontId="142" fillId="0" borderId="0"/>
    <xf numFmtId="216" fontId="164" fillId="0" borderId="0"/>
    <xf numFmtId="0" fontId="30" fillId="0" borderId="0"/>
    <xf numFmtId="0" fontId="75" fillId="0" borderId="0"/>
    <xf numFmtId="200" fontId="163" fillId="0" borderId="0" applyNumberFormat="0" applyFont="0" applyFill="0" applyBorder="0" applyAlignment="0" applyProtection="0"/>
    <xf numFmtId="0" fontId="2" fillId="0" borderId="0" applyFont="0" applyFill="0" applyBorder="0" applyAlignment="0" applyProtection="0"/>
    <xf numFmtId="244" fontId="132" fillId="0" borderId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Font="0" applyFill="0" applyBorder="0" applyAlignment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84" fontId="2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199" fontId="2" fillId="0" borderId="0" applyProtection="0"/>
    <xf numFmtId="243" fontId="2" fillId="0" borderId="0">
      <protection locked="0"/>
    </xf>
    <xf numFmtId="184" fontId="2" fillId="0" borderId="0" applyFont="0" applyFill="0" applyBorder="0" applyAlignment="0" applyProtection="0"/>
    <xf numFmtId="217" fontId="2" fillId="0" borderId="0" applyFill="0" applyBorder="0" applyAlignment="0" applyProtection="0"/>
    <xf numFmtId="5" fontId="2" fillId="0" borderId="0" applyFont="0" applyFill="0" applyBorder="0" applyAlignment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99" fontId="2" fillId="0" borderId="0" applyProtection="0"/>
    <xf numFmtId="18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1" fillId="0" borderId="0" applyFont="0" applyFill="0" applyBorder="0" applyAlignment="0" applyProtection="0"/>
    <xf numFmtId="20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20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4" fontId="16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1" fillId="0" borderId="0" applyFont="0" applyFill="0" applyBorder="0" applyAlignment="0" applyProtection="0"/>
    <xf numFmtId="206" fontId="2" fillId="0" borderId="0" applyFont="0" applyFill="0" applyBorder="0" applyAlignment="0" applyProtection="0"/>
    <xf numFmtId="308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42" fontId="2" fillId="0" borderId="0" applyFont="0" applyFill="0" applyBorder="0" applyAlignment="0"/>
    <xf numFmtId="241" fontId="2" fillId="0" borderId="0" applyFont="0" applyFill="0" applyBorder="0" applyAlignment="0"/>
    <xf numFmtId="227" fontId="86" fillId="0" borderId="0" applyFont="0" applyFill="0" applyBorder="0" applyAlignment="0" applyProtection="0"/>
    <xf numFmtId="42" fontId="2" fillId="0" borderId="0" applyFont="0" applyFill="0" applyBorder="0" applyAlignment="0" applyProtection="0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240" fontId="74" fillId="0" borderId="136"/>
    <xf numFmtId="0" fontId="95" fillId="0" borderId="0" applyFont="0" applyFill="0" applyBorder="0" applyAlignment="0" applyProtection="0"/>
    <xf numFmtId="0" fontId="25" fillId="0" borderId="0"/>
    <xf numFmtId="0" fontId="25" fillId="0" borderId="0"/>
    <xf numFmtId="0" fontId="161" fillId="0" borderId="0"/>
    <xf numFmtId="0" fontId="161" fillId="0" borderId="0"/>
    <xf numFmtId="239" fontId="160" fillId="42" borderId="0" applyFill="0">
      <alignment horizontal="left" vertical="top"/>
      <protection locked="0"/>
    </xf>
    <xf numFmtId="0" fontId="6" fillId="0" borderId="0"/>
    <xf numFmtId="0" fontId="29" fillId="0" borderId="0" applyNumberFormat="0" applyAlignment="0"/>
    <xf numFmtId="39" fontId="50" fillId="0" borderId="48"/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28" fillId="0" borderId="0" applyNumberFormat="0" applyAlignment="0">
      <alignment horizontal="left"/>
    </xf>
    <xf numFmtId="0" fontId="17" fillId="14" borderId="144">
      <alignment horizontal="centerContinuous" vertical="top"/>
    </xf>
    <xf numFmtId="3" fontId="158" fillId="0" borderId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2" fillId="0" borderId="0" applyFont="0" applyFill="0" applyBorder="0" applyAlignment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2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3" fontId="158" fillId="0" borderId="0" applyProtection="0"/>
    <xf numFmtId="238" fontId="2" fillId="0" borderId="0">
      <protection locked="0"/>
    </xf>
    <xf numFmtId="3" fontId="2" fillId="0" borderId="0" applyFont="0" applyFill="0" applyBorder="0" applyAlignment="0" applyProtection="0"/>
    <xf numFmtId="237" fontId="2" fillId="0" borderId="0" applyFill="0" applyBorder="0" applyAlignment="0" applyProtection="0"/>
    <xf numFmtId="3" fontId="2" fillId="0" borderId="0" applyFont="0" applyFill="0" applyBorder="0" applyAlignment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158" fillId="0" borderId="0" applyProtection="0"/>
    <xf numFmtId="3" fontId="2" fillId="0" borderId="0" applyFont="0" applyFill="0" applyBorder="0" applyAlignment="0" applyProtection="0"/>
    <xf numFmtId="236" fontId="13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166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80" fillId="0" borderId="0" applyFont="0" applyFill="0" applyBorder="0" applyAlignment="0" applyProtection="0"/>
    <xf numFmtId="166" fontId="11" fillId="0" borderId="0" applyFont="0" applyFill="0" applyBorder="0" applyAlignment="0" applyProtection="0">
      <alignment vertical="center"/>
    </xf>
    <xf numFmtId="166" fontId="11" fillId="0" borderId="0" applyFont="0" applyFill="0" applyBorder="0" applyAlignment="0" applyProtection="0">
      <alignment vertical="center"/>
    </xf>
    <xf numFmtId="166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166" fontId="11" fillId="0" borderId="0" applyFont="0" applyFill="0" applyBorder="0" applyAlignment="0" applyProtection="0">
      <alignment vertical="center"/>
    </xf>
    <xf numFmtId="166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166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15" fillId="0" borderId="0" applyFont="0" applyFill="0" applyBorder="0" applyAlignment="0" applyProtection="0">
      <alignment vertical="center"/>
    </xf>
    <xf numFmtId="166" fontId="132" fillId="0" borderId="0" applyFont="0" applyFill="0" applyBorder="0" applyAlignment="0" applyProtection="0">
      <alignment vertical="center"/>
    </xf>
    <xf numFmtId="166" fontId="13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307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166" fontId="74" fillId="0" borderId="0" applyFont="0" applyFill="0" applyBorder="0" applyAlignment="0" applyProtection="0"/>
    <xf numFmtId="182" fontId="2" fillId="0" borderId="0" applyFont="0" applyFill="0" applyBorder="0" applyAlignment="0" applyProtection="0"/>
    <xf numFmtId="235" fontId="2" fillId="0" borderId="0" applyFont="0" applyFill="0" applyBorder="0" applyAlignment="0" applyProtection="0"/>
    <xf numFmtId="307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234" fontId="76" fillId="0" borderId="0" applyFill="0" applyBorder="0" applyAlignment="0" applyProtection="0"/>
    <xf numFmtId="43" fontId="15" fillId="0" borderId="0" applyFont="0" applyFill="0" applyBorder="0" applyAlignment="0" applyProtection="0"/>
    <xf numFmtId="43" fontId="1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76" fillId="0" borderId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19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1" fontId="7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33" fontId="2" fillId="0" borderId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6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15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166" fontId="2" fillId="0" borderId="0" applyFill="0" applyBorder="0" applyAlignment="0" applyProtection="0"/>
    <xf numFmtId="43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80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166" fontId="80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ill="0" applyBorder="0" applyAlignment="0" applyProtection="0"/>
    <xf numFmtId="166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171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77" fontId="2" fillId="0" borderId="0" applyFill="0" applyBorder="0" applyAlignment="0" applyProtection="0"/>
    <xf numFmtId="43" fontId="2" fillId="0" borderId="0" applyFont="0" applyFill="0" applyBorder="0" applyAlignment="0" applyProtection="0"/>
    <xf numFmtId="21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4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166" fontId="7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3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32" fontId="155" fillId="0" borderId="0" applyFill="0" applyBorder="0" applyProtection="0">
      <alignment vertical="center"/>
    </xf>
    <xf numFmtId="43" fontId="2" fillId="0" borderId="0" applyFont="0" applyFill="0" applyBorder="0" applyAlignment="0" applyProtection="0"/>
    <xf numFmtId="200" fontId="2" fillId="0" borderId="0" applyNumberFormat="0" applyFill="0" applyBorder="0" applyAlignment="0" applyProtection="0"/>
    <xf numFmtId="200" fontId="2" fillId="0" borderId="0" applyNumberFormat="0" applyFill="0" applyBorder="0" applyAlignment="0" applyProtection="0"/>
    <xf numFmtId="200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53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8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5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32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" fillId="0" borderId="0" applyFont="0" applyFill="0" applyBorder="0" applyAlignment="0" applyProtection="0"/>
    <xf numFmtId="4" fontId="152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41" fontId="151" fillId="0" borderId="113" applyBorder="0" applyAlignment="0"/>
    <xf numFmtId="38" fontId="27" fillId="0" borderId="13">
      <alignment horizontal="center"/>
    </xf>
    <xf numFmtId="230" fontId="82" fillId="0" borderId="0" applyFont="0" applyFill="0" applyBorder="0" applyAlignment="0" applyProtection="0"/>
    <xf numFmtId="229" fontId="8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5" fillId="0" borderId="0" applyFont="0" applyFill="0" applyBorder="0" applyAlignment="0" applyProtection="0"/>
    <xf numFmtId="41" fontId="150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5" fillId="0" borderId="0" applyFont="0" applyFill="0" applyBorder="0" applyAlignment="0" applyProtection="0"/>
    <xf numFmtId="169" fontId="76" fillId="0" borderId="0" applyFill="0" applyBorder="0" applyAlignment="0" applyProtection="0"/>
    <xf numFmtId="41" fontId="15" fillId="0" borderId="0" applyFont="0" applyFill="0" applyBorder="0" applyAlignment="0" applyProtection="0"/>
    <xf numFmtId="169" fontId="76" fillId="0" borderId="0" applyFill="0" applyBorder="0" applyAlignment="0" applyProtection="0"/>
    <xf numFmtId="219" fontId="2" fillId="0" borderId="0" applyFont="0" applyFill="0" applyBorder="0" applyAlignment="0" applyProtection="0"/>
    <xf numFmtId="41" fontId="15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76" fillId="0" borderId="0" applyFill="0" applyBorder="0" applyAlignment="0" applyProtection="0"/>
    <xf numFmtId="181" fontId="2" fillId="0" borderId="0" applyFont="0" applyFill="0" applyBorder="0" applyAlignment="0" applyProtection="0"/>
    <xf numFmtId="169" fontId="76" fillId="0" borderId="0" applyFill="0" applyBorder="0" applyAlignment="0" applyProtection="0"/>
    <xf numFmtId="165" fontId="2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7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18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6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7" fillId="0" borderId="0" applyFont="0" applyFill="0" applyBorder="0" applyAlignment="0" applyProtection="0"/>
    <xf numFmtId="169" fontId="76" fillId="0" borderId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41" fontId="3" fillId="0" borderId="0" applyFont="0" applyFill="0" applyBorder="0" applyAlignment="0" applyProtection="0"/>
    <xf numFmtId="5" fontId="2" fillId="0" borderId="0" applyFill="0" applyBorder="0" applyAlignment="0" applyProtection="0"/>
    <xf numFmtId="5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3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49" fillId="0" borderId="0" applyFont="0" applyFill="0" applyBorder="0" applyAlignment="0" applyProtection="0"/>
    <xf numFmtId="41" fontId="149" fillId="0" borderId="0" applyFont="0" applyFill="0" applyBorder="0" applyAlignment="0" applyProtection="0"/>
    <xf numFmtId="197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38" fontId="31" fillId="0" borderId="0" applyFont="0" applyFill="0" applyBorder="0" applyAlignment="0" applyProtection="0"/>
    <xf numFmtId="18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80" fillId="0" borderId="0" applyFont="0" applyFill="0" applyBorder="0" applyAlignment="0" applyProtection="0"/>
    <xf numFmtId="170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11" fillId="0" borderId="0" applyFont="0" applyFill="0" applyBorder="0" applyAlignment="0" applyProtection="0"/>
    <xf numFmtId="38" fontId="31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ill="0" applyBorder="0" applyAlignment="0" applyProtection="0"/>
    <xf numFmtId="41" fontId="2" fillId="0" borderId="0" applyFont="0" applyFill="0" applyBorder="0" applyAlignment="0" applyProtection="0"/>
    <xf numFmtId="38" fontId="31" fillId="0" borderId="0" applyFont="0" applyFill="0" applyBorder="0" applyAlignment="0" applyProtection="0"/>
    <xf numFmtId="38" fontId="31" fillId="0" borderId="0" applyFont="0" applyFill="0" applyBorder="0" applyAlignment="0" applyProtection="0"/>
    <xf numFmtId="4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11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76" fillId="0" borderId="0" applyFill="0" applyBorder="0" applyAlignment="0" applyProtection="0"/>
    <xf numFmtId="4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11" fillId="0" borderId="0" applyFont="0" applyFill="0" applyBorder="0" applyAlignment="0" applyProtection="0"/>
    <xf numFmtId="169" fontId="76" fillId="0" borderId="0" applyFill="0" applyBorder="0" applyAlignment="0" applyProtection="0"/>
    <xf numFmtId="41" fontId="157" fillId="0" borderId="0" applyFont="0" applyFill="0" applyBorder="0" applyAlignment="0" applyProtection="0"/>
    <xf numFmtId="166" fontId="2" fillId="0" borderId="0" applyFont="0" applyFill="0" applyBorder="0" applyAlignment="0" applyProtection="0"/>
    <xf numFmtId="231" fontId="2" fillId="0" borderId="0" applyFont="0" applyFill="0" applyBorder="0" applyAlignment="0" applyProtection="0"/>
    <xf numFmtId="231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9" fontId="76" fillId="0" borderId="0" applyFill="0" applyBorder="0" applyAlignment="0" applyProtection="0"/>
    <xf numFmtId="169" fontId="2" fillId="0" borderId="0" applyFont="0" applyFill="0" applyBorder="0" applyAlignment="0" applyProtection="0"/>
    <xf numFmtId="41" fontId="26" fillId="0" borderId="0" applyFont="0" applyFill="0" applyBorder="0" applyAlignment="0" applyProtection="0"/>
    <xf numFmtId="37" fontId="135" fillId="0" borderId="0"/>
    <xf numFmtId="37" fontId="135" fillId="0" borderId="0"/>
    <xf numFmtId="37" fontId="135" fillId="0" borderId="0"/>
    <xf numFmtId="37" fontId="135" fillId="0" borderId="0"/>
    <xf numFmtId="37" fontId="135" fillId="0" borderId="0"/>
    <xf numFmtId="37" fontId="135" fillId="0" borderId="0"/>
    <xf numFmtId="37" fontId="135" fillId="0" borderId="0"/>
    <xf numFmtId="37" fontId="135" fillId="0" borderId="0"/>
    <xf numFmtId="37" fontId="135" fillId="0" borderId="0"/>
    <xf numFmtId="37" fontId="135" fillId="0" borderId="0"/>
    <xf numFmtId="37" fontId="135" fillId="0" borderId="0"/>
    <xf numFmtId="0" fontId="25" fillId="0" borderId="0"/>
    <xf numFmtId="37" fontId="135" fillId="0" borderId="0"/>
    <xf numFmtId="0" fontId="25" fillId="0" borderId="0"/>
    <xf numFmtId="37" fontId="135" fillId="0" borderId="0"/>
    <xf numFmtId="0" fontId="25" fillId="0" borderId="0"/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3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1" fontId="148" fillId="0" borderId="136">
      <alignment horizontal="center" vertical="center"/>
    </xf>
    <xf numFmtId="0" fontId="4" fillId="0" borderId="0" applyNumberFormat="0" applyFill="0" applyBorder="0" applyAlignment="0" applyProtection="0">
      <alignment vertical="top"/>
      <protection locked="0"/>
    </xf>
    <xf numFmtId="0" fontId="147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217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217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24" fillId="18" borderId="131" applyNumberFormat="0" applyAlignment="0" applyProtection="0"/>
    <xf numFmtId="0" fontId="42" fillId="0" borderId="20" applyNumberFormat="0" applyFill="0" applyAlignment="0" applyProtection="0"/>
    <xf numFmtId="0" fontId="24" fillId="18" borderId="131" applyNumberFormat="0" applyAlignment="0" applyProtection="0"/>
    <xf numFmtId="0" fontId="146" fillId="0" borderId="0"/>
    <xf numFmtId="0" fontId="23" fillId="12" borderId="134" applyNumberFormat="0" applyAlignment="0" applyProtection="0"/>
    <xf numFmtId="0" fontId="145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17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0" fontId="23" fillId="12" borderId="134" applyNumberFormat="0" applyAlignment="0" applyProtection="0"/>
    <xf numFmtId="228" fontId="82" fillId="0" borderId="0" applyFill="0" applyBorder="0" applyAlignment="0"/>
    <xf numFmtId="227" fontId="86" fillId="0" borderId="0" applyFill="0" applyBorder="0" applyAlignment="0"/>
    <xf numFmtId="0" fontId="2" fillId="0" borderId="0" applyFill="0" applyBorder="0" applyAlignment="0"/>
    <xf numFmtId="200" fontId="2" fillId="0" borderId="0" applyFill="0" applyBorder="0" applyAlignment="0"/>
    <xf numFmtId="230" fontId="82" fillId="0" borderId="0" applyFill="0" applyBorder="0" applyAlignment="0"/>
    <xf numFmtId="229" fontId="86" fillId="0" borderId="0" applyFill="0" applyBorder="0" applyAlignment="0"/>
    <xf numFmtId="0" fontId="2" fillId="0" borderId="0" applyFill="0" applyBorder="0" applyAlignment="0"/>
    <xf numFmtId="200" fontId="2" fillId="0" borderId="0" applyFill="0" applyBorder="0" applyAlignment="0"/>
    <xf numFmtId="0" fontId="2" fillId="0" borderId="0" applyFill="0" applyBorder="0" applyAlignment="0"/>
    <xf numFmtId="200" fontId="2" fillId="0" borderId="0" applyFill="0" applyBorder="0" applyAlignment="0"/>
    <xf numFmtId="167" fontId="144" fillId="0" borderId="0" applyFill="0" applyBorder="0" applyAlignment="0"/>
    <xf numFmtId="229" fontId="86" fillId="0" borderId="0" applyFill="0" applyBorder="0" applyAlignment="0"/>
    <xf numFmtId="228" fontId="82" fillId="0" borderId="0" applyFill="0" applyBorder="0" applyAlignment="0"/>
    <xf numFmtId="227" fontId="86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17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17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17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17" fontId="22" fillId="0" borderId="0" applyFill="0" applyBorder="0" applyAlignment="0"/>
    <xf numFmtId="17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26" fontId="2" fillId="0" borderId="0" applyFill="0" applyBorder="0" applyAlignment="0"/>
    <xf numFmtId="267" fontId="22" fillId="0" borderId="0" applyFill="0" applyBorder="0" applyAlignment="0"/>
    <xf numFmtId="0" fontId="143" fillId="0" borderId="0"/>
    <xf numFmtId="0" fontId="139" fillId="0" borderId="0"/>
    <xf numFmtId="0" fontId="143" fillId="0" borderId="0"/>
    <xf numFmtId="0" fontId="139" fillId="0" borderId="0"/>
    <xf numFmtId="37" fontId="142" fillId="0" borderId="0"/>
    <xf numFmtId="0" fontId="124" fillId="0" borderId="0"/>
    <xf numFmtId="0" fontId="125" fillId="0" borderId="0"/>
    <xf numFmtId="0" fontId="124" fillId="0" borderId="0"/>
    <xf numFmtId="0" fontId="125" fillId="0" borderId="0"/>
    <xf numFmtId="0" fontId="124" fillId="0" borderId="0"/>
    <xf numFmtId="0" fontId="125" fillId="0" borderId="0"/>
    <xf numFmtId="0" fontId="138" fillId="0" borderId="0"/>
    <xf numFmtId="0" fontId="138" fillId="0" borderId="0"/>
    <xf numFmtId="0" fontId="124" fillId="0" borderId="0"/>
    <xf numFmtId="200" fontId="112" fillId="0" borderId="0"/>
    <xf numFmtId="0" fontId="141" fillId="0" borderId="0"/>
    <xf numFmtId="0" fontId="140" fillId="0" borderId="0"/>
    <xf numFmtId="0" fontId="139" fillId="0" borderId="0"/>
    <xf numFmtId="0" fontId="138" fillId="0" borderId="0"/>
    <xf numFmtId="39" fontId="9" fillId="0" borderId="50"/>
    <xf numFmtId="39" fontId="9" fillId="0" borderId="50"/>
    <xf numFmtId="200" fontId="124" fillId="0" borderId="0"/>
    <xf numFmtId="39" fontId="9" fillId="0" borderId="50"/>
    <xf numFmtId="39" fontId="9" fillId="0" borderId="50"/>
    <xf numFmtId="0" fontId="137" fillId="0" borderId="0" applyFont="0" applyFill="0" applyBorder="0" applyAlignment="0" applyProtection="0"/>
    <xf numFmtId="0" fontId="36" fillId="4" borderId="0" applyNumberFormat="0" applyBorder="0" applyAlignment="0" applyProtection="0"/>
    <xf numFmtId="0" fontId="31" fillId="0" borderId="49" applyNumberFormat="0" applyFill="0" applyAlignment="0" applyProtection="0">
      <alignment horizontal="center"/>
    </xf>
    <xf numFmtId="200" fontId="31" fillId="0" borderId="49" applyNumberFormat="0" applyFill="0" applyAlignment="0" applyProtection="0">
      <alignment horizontal="center"/>
    </xf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5" fontId="136" fillId="0" borderId="149" applyAlignment="0" applyProtection="0"/>
    <xf numFmtId="0" fontId="67" fillId="0" borderId="0" applyNumberFormat="0" applyFill="0" applyBorder="0" applyAlignment="0" applyProtection="0"/>
    <xf numFmtId="200" fontId="67" fillId="0" borderId="0" applyNumberFormat="0" applyFill="0" applyBorder="0" applyAlignment="0" applyProtection="0"/>
    <xf numFmtId="206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7" fillId="0" borderId="139" applyNumberFormat="0" applyBorder="0">
      <alignment horizontal="center"/>
    </xf>
    <xf numFmtId="200" fontId="6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200" fontId="320" fillId="0" borderId="0" applyNumberFormat="0" applyFill="0" applyBorder="0" applyAlignment="0" applyProtection="0"/>
    <xf numFmtId="0" fontId="134" fillId="0" borderId="0" applyNumberFormat="0" applyFill="0" applyBorder="0" applyAlignment="0">
      <protection locked="0"/>
    </xf>
    <xf numFmtId="0" fontId="133" fillId="0" borderId="0"/>
    <xf numFmtId="0" fontId="132" fillId="0" borderId="0" applyFont="0" applyFill="0" applyBorder="0" applyAlignment="0" applyProtection="0">
      <alignment horizontal="right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225" fontId="2" fillId="0" borderId="136">
      <alignment wrapText="1"/>
      <protection locked="0"/>
    </xf>
    <xf numFmtId="39" fontId="50" fillId="0" borderId="48"/>
    <xf numFmtId="0" fontId="2" fillId="0" borderId="0" applyNumberFormat="0" applyFont="0" applyFill="0" applyBorder="0" applyAlignment="0" applyProtection="0">
      <alignment horizontal="left" vertical="top"/>
    </xf>
    <xf numFmtId="0" fontId="131" fillId="5" borderId="0" applyNumberFormat="0" applyBorder="0" applyAlignment="0" applyProtection="0"/>
    <xf numFmtId="0" fontId="20" fillId="5" borderId="0" applyNumberFormat="0" applyBorder="0" applyAlignment="0" applyProtection="0"/>
    <xf numFmtId="217" fontId="20" fillId="5" borderId="0" applyNumberFormat="0" applyBorder="0" applyAlignment="0" applyProtection="0"/>
    <xf numFmtId="0" fontId="20" fillId="5" borderId="0" applyNumberFormat="0" applyBorder="0" applyAlignment="0" applyProtection="0"/>
    <xf numFmtId="217" fontId="20" fillId="5" borderId="0" applyNumberFormat="0" applyBorder="0" applyAlignment="0" applyProtection="0"/>
    <xf numFmtId="0" fontId="20" fillId="5" borderId="0" applyNumberFormat="0" applyBorder="0" applyAlignment="0" applyProtection="0"/>
    <xf numFmtId="217" fontId="20" fillId="5" borderId="0" applyNumberFormat="0" applyBorder="0" applyAlignment="0" applyProtection="0"/>
    <xf numFmtId="0" fontId="20" fillId="5" borderId="0" applyNumberFormat="0" applyBorder="0" applyAlignment="0" applyProtection="0"/>
    <xf numFmtId="217" fontId="20" fillId="5" borderId="0" applyNumberFormat="0" applyBorder="0" applyAlignment="0" applyProtection="0"/>
    <xf numFmtId="0" fontId="20" fillId="5" borderId="0" applyNumberFormat="0" applyBorder="0" applyAlignment="0" applyProtection="0"/>
    <xf numFmtId="217" fontId="20" fillId="5" borderId="0" applyNumberFormat="0" applyBorder="0" applyAlignment="0" applyProtection="0"/>
    <xf numFmtId="0" fontId="20" fillId="5" borderId="0" applyNumberFormat="0" applyBorder="0" applyAlignment="0" applyProtection="0"/>
    <xf numFmtId="217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82" fillId="0" borderId="0" applyFont="0" applyFill="0" applyBorder="0" applyAlignment="0" applyProtection="0"/>
    <xf numFmtId="224" fontId="125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130" fillId="0" borderId="0" applyFont="0" applyFill="0" applyBorder="0" applyAlignment="0" applyProtection="0"/>
    <xf numFmtId="0" fontId="124" fillId="0" borderId="0" applyFont="0" applyFill="0" applyBorder="0" applyAlignment="0" applyProtection="0"/>
    <xf numFmtId="180" fontId="127" fillId="0" borderId="0" applyFont="0" applyFill="0" applyBorder="0" applyAlignment="0" applyProtection="0"/>
    <xf numFmtId="180" fontId="126" fillId="0" borderId="0" applyFont="0" applyFill="0" applyBorder="0" applyAlignment="0" applyProtection="0"/>
    <xf numFmtId="180" fontId="125" fillId="0" borderId="0" applyFont="0" applyFill="0" applyBorder="0" applyAlignment="0" applyProtection="0"/>
    <xf numFmtId="180" fontId="124" fillId="0" borderId="0" applyFont="0" applyFill="0" applyBorder="0" applyAlignment="0" applyProtection="0"/>
    <xf numFmtId="9" fontId="129" fillId="0" borderId="0"/>
    <xf numFmtId="223" fontId="125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4" fillId="0" borderId="0" applyFont="0" applyFill="0" applyBorder="0" applyAlignment="0" applyProtection="0"/>
    <xf numFmtId="179" fontId="127" fillId="0" borderId="0" applyFont="0" applyFill="0" applyBorder="0" applyAlignment="0" applyProtection="0"/>
    <xf numFmtId="179" fontId="126" fillId="0" borderId="0" applyFont="0" applyFill="0" applyBorder="0" applyAlignment="0" applyProtection="0"/>
    <xf numFmtId="179" fontId="125" fillId="0" borderId="0" applyFont="0" applyFill="0" applyBorder="0" applyAlignment="0" applyProtection="0"/>
    <xf numFmtId="179" fontId="1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Fill="0" applyBorder="0">
      <alignment vertical="center"/>
    </xf>
    <xf numFmtId="0" fontId="2" fillId="0" borderId="0" applyFill="0" applyBorder="0">
      <alignment vertical="center"/>
    </xf>
    <xf numFmtId="200" fontId="2" fillId="0" borderId="0" applyFill="0" applyBorder="0">
      <alignment vertical="center"/>
    </xf>
    <xf numFmtId="0" fontId="2" fillId="0" borderId="0" applyFill="0" applyBorder="0">
      <alignment vertical="center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28" fillId="0" borderId="47" applyFont="0" applyFill="0" applyBorder="0" applyAlignment="0" applyProtection="0">
      <alignment horizontal="center" vertical="center"/>
    </xf>
    <xf numFmtId="200" fontId="128" fillId="0" borderId="47" applyFont="0" applyFill="0" applyBorder="0" applyAlignment="0" applyProtection="0">
      <alignment horizontal="center" vertical="center"/>
    </xf>
    <xf numFmtId="0" fontId="31" fillId="0" borderId="0"/>
    <xf numFmtId="0" fontId="120" fillId="0" borderId="0" applyFont="0" applyFill="0" applyBorder="0" applyAlignment="0" applyProtection="0"/>
    <xf numFmtId="0" fontId="120" fillId="0" borderId="0" applyFont="0" applyFill="0" applyBorder="0" applyAlignment="0" applyProtection="0"/>
    <xf numFmtId="211" fontId="125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4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6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4" fillId="0" borderId="0" applyFont="0" applyFill="0" applyBorder="0" applyAlignment="0" applyProtection="0"/>
    <xf numFmtId="208" fontId="125" fillId="0" borderId="0" applyFont="0" applyFill="0" applyBorder="0" applyAlignment="0" applyProtection="0"/>
    <xf numFmtId="200" fontId="2" fillId="0" borderId="0" applyFill="0" applyBorder="0" applyAlignment="0" applyProtection="0"/>
    <xf numFmtId="0" fontId="125" fillId="0" borderId="0" applyFont="0" applyFill="0" applyBorder="0" applyAlignment="0" applyProtection="0"/>
    <xf numFmtId="0" fontId="124" fillId="0" borderId="0" applyFont="0" applyFill="0" applyBorder="0" applyAlignment="0" applyProtection="0"/>
    <xf numFmtId="221" fontId="127" fillId="0" borderId="0" applyFont="0" applyFill="0" applyBorder="0" applyAlignment="0" applyProtection="0"/>
    <xf numFmtId="221" fontId="126" fillId="0" borderId="0" applyFont="0" applyFill="0" applyBorder="0" applyAlignment="0" applyProtection="0"/>
    <xf numFmtId="221" fontId="125" fillId="0" borderId="0" applyFont="0" applyFill="0" applyBorder="0" applyAlignment="0" applyProtection="0"/>
    <xf numFmtId="221" fontId="124" fillId="0" borderId="0" applyFont="0" applyFill="0" applyBorder="0" applyAlignment="0" applyProtection="0"/>
    <xf numFmtId="220" fontId="2" fillId="0" borderId="0"/>
    <xf numFmtId="200" fontId="2" fillId="0" borderId="0"/>
    <xf numFmtId="0" fontId="3" fillId="0" borderId="0"/>
    <xf numFmtId="0" fontId="116" fillId="37" borderId="0" applyNumberFormat="0" applyBorder="0" applyAlignment="0" applyProtection="0"/>
    <xf numFmtId="0" fontId="16" fillId="37" borderId="0" applyNumberFormat="0" applyBorder="0" applyAlignment="0" applyProtection="0"/>
    <xf numFmtId="217" fontId="16" fillId="37" borderId="0" applyNumberFormat="0" applyBorder="0" applyAlignment="0" applyProtection="0"/>
    <xf numFmtId="0" fontId="16" fillId="37" borderId="0" applyNumberFormat="0" applyBorder="0" applyAlignment="0" applyProtection="0"/>
    <xf numFmtId="217" fontId="16" fillId="37" borderId="0" applyNumberFormat="0" applyBorder="0" applyAlignment="0" applyProtection="0"/>
    <xf numFmtId="0" fontId="16" fillId="37" borderId="0" applyNumberFormat="0" applyBorder="0" applyAlignment="0" applyProtection="0"/>
    <xf numFmtId="217" fontId="16" fillId="37" borderId="0" applyNumberFormat="0" applyBorder="0" applyAlignment="0" applyProtection="0"/>
    <xf numFmtId="0" fontId="16" fillId="37" borderId="0" applyNumberFormat="0" applyBorder="0" applyAlignment="0" applyProtection="0"/>
    <xf numFmtId="217" fontId="16" fillId="37" borderId="0" applyNumberFormat="0" applyBorder="0" applyAlignment="0" applyProtection="0"/>
    <xf numFmtId="0" fontId="16" fillId="37" borderId="0" applyNumberFormat="0" applyBorder="0" applyAlignment="0" applyProtection="0"/>
    <xf numFmtId="217" fontId="16" fillId="37" borderId="0" applyNumberFormat="0" applyBorder="0" applyAlignment="0" applyProtection="0"/>
    <xf numFmtId="0" fontId="16" fillId="37" borderId="0" applyNumberFormat="0" applyBorder="0" applyAlignment="0" applyProtection="0"/>
    <xf numFmtId="217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6" fillId="37" borderId="0" applyNumberFormat="0" applyBorder="0" applyAlignment="0" applyProtection="0"/>
    <xf numFmtId="0" fontId="1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0" fontId="16" fillId="35" borderId="0" applyNumberFormat="0" applyBorder="0" applyAlignment="0" applyProtection="0"/>
    <xf numFmtId="0" fontId="116" fillId="41" borderId="0" applyNumberFormat="0" applyBorder="0" applyAlignment="0" applyProtection="0"/>
    <xf numFmtId="0" fontId="16" fillId="41" borderId="0" applyNumberFormat="0" applyBorder="0" applyAlignment="0" applyProtection="0"/>
    <xf numFmtId="217" fontId="16" fillId="41" borderId="0" applyNumberFormat="0" applyBorder="0" applyAlignment="0" applyProtection="0"/>
    <xf numFmtId="0" fontId="16" fillId="41" borderId="0" applyNumberFormat="0" applyBorder="0" applyAlignment="0" applyProtection="0"/>
    <xf numFmtId="217" fontId="16" fillId="41" borderId="0" applyNumberFormat="0" applyBorder="0" applyAlignment="0" applyProtection="0"/>
    <xf numFmtId="0" fontId="16" fillId="41" borderId="0" applyNumberFormat="0" applyBorder="0" applyAlignment="0" applyProtection="0"/>
    <xf numFmtId="217" fontId="16" fillId="41" borderId="0" applyNumberFormat="0" applyBorder="0" applyAlignment="0" applyProtection="0"/>
    <xf numFmtId="0" fontId="16" fillId="41" borderId="0" applyNumberFormat="0" applyBorder="0" applyAlignment="0" applyProtection="0"/>
    <xf numFmtId="217" fontId="16" fillId="41" borderId="0" applyNumberFormat="0" applyBorder="0" applyAlignment="0" applyProtection="0"/>
    <xf numFmtId="0" fontId="16" fillId="41" borderId="0" applyNumberFormat="0" applyBorder="0" applyAlignment="0" applyProtection="0"/>
    <xf numFmtId="217" fontId="16" fillId="41" borderId="0" applyNumberFormat="0" applyBorder="0" applyAlignment="0" applyProtection="0"/>
    <xf numFmtId="0" fontId="16" fillId="41" borderId="0" applyNumberFormat="0" applyBorder="0" applyAlignment="0" applyProtection="0"/>
    <xf numFmtId="217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6" fillId="41" borderId="0" applyNumberFormat="0" applyBorder="0" applyAlignment="0" applyProtection="0"/>
    <xf numFmtId="0" fontId="116" fillId="40" borderId="0" applyNumberFormat="0" applyBorder="0" applyAlignment="0" applyProtection="0"/>
    <xf numFmtId="0" fontId="16" fillId="40" borderId="0" applyNumberFormat="0" applyBorder="0" applyAlignment="0" applyProtection="0"/>
    <xf numFmtId="217" fontId="16" fillId="40" borderId="0" applyNumberFormat="0" applyBorder="0" applyAlignment="0" applyProtection="0"/>
    <xf numFmtId="0" fontId="16" fillId="40" borderId="0" applyNumberFormat="0" applyBorder="0" applyAlignment="0" applyProtection="0"/>
    <xf numFmtId="217" fontId="16" fillId="40" borderId="0" applyNumberFormat="0" applyBorder="0" applyAlignment="0" applyProtection="0"/>
    <xf numFmtId="0" fontId="16" fillId="40" borderId="0" applyNumberFormat="0" applyBorder="0" applyAlignment="0" applyProtection="0"/>
    <xf numFmtId="217" fontId="16" fillId="40" borderId="0" applyNumberFormat="0" applyBorder="0" applyAlignment="0" applyProtection="0"/>
    <xf numFmtId="0" fontId="16" fillId="40" borderId="0" applyNumberFormat="0" applyBorder="0" applyAlignment="0" applyProtection="0"/>
    <xf numFmtId="217" fontId="16" fillId="40" borderId="0" applyNumberFormat="0" applyBorder="0" applyAlignment="0" applyProtection="0"/>
    <xf numFmtId="0" fontId="16" fillId="40" borderId="0" applyNumberFormat="0" applyBorder="0" applyAlignment="0" applyProtection="0"/>
    <xf numFmtId="217" fontId="16" fillId="40" borderId="0" applyNumberFormat="0" applyBorder="0" applyAlignment="0" applyProtection="0"/>
    <xf numFmtId="0" fontId="16" fillId="40" borderId="0" applyNumberFormat="0" applyBorder="0" applyAlignment="0" applyProtection="0"/>
    <xf numFmtId="217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6" fillId="40" borderId="0" applyNumberFormat="0" applyBorder="0" applyAlignment="0" applyProtection="0"/>
    <xf numFmtId="0" fontId="116" fillId="39" borderId="0" applyNumberFormat="0" applyBorder="0" applyAlignment="0" applyProtection="0"/>
    <xf numFmtId="0" fontId="16" fillId="39" borderId="0" applyNumberFormat="0" applyBorder="0" applyAlignment="0" applyProtection="0"/>
    <xf numFmtId="217" fontId="16" fillId="39" borderId="0" applyNumberFormat="0" applyBorder="0" applyAlignment="0" applyProtection="0"/>
    <xf numFmtId="0" fontId="16" fillId="39" borderId="0" applyNumberFormat="0" applyBorder="0" applyAlignment="0" applyProtection="0"/>
    <xf numFmtId="217" fontId="16" fillId="39" borderId="0" applyNumberFormat="0" applyBorder="0" applyAlignment="0" applyProtection="0"/>
    <xf numFmtId="0" fontId="16" fillId="39" borderId="0" applyNumberFormat="0" applyBorder="0" applyAlignment="0" applyProtection="0"/>
    <xf numFmtId="217" fontId="16" fillId="39" borderId="0" applyNumberFormat="0" applyBorder="0" applyAlignment="0" applyProtection="0"/>
    <xf numFmtId="0" fontId="16" fillId="39" borderId="0" applyNumberFormat="0" applyBorder="0" applyAlignment="0" applyProtection="0"/>
    <xf numFmtId="217" fontId="16" fillId="39" borderId="0" applyNumberFormat="0" applyBorder="0" applyAlignment="0" applyProtection="0"/>
    <xf numFmtId="0" fontId="16" fillId="39" borderId="0" applyNumberFormat="0" applyBorder="0" applyAlignment="0" applyProtection="0"/>
    <xf numFmtId="217" fontId="16" fillId="39" borderId="0" applyNumberFormat="0" applyBorder="0" applyAlignment="0" applyProtection="0"/>
    <xf numFmtId="0" fontId="16" fillId="39" borderId="0" applyNumberFormat="0" applyBorder="0" applyAlignment="0" applyProtection="0"/>
    <xf numFmtId="217" fontId="16" fillId="39" borderId="0" applyNumberFormat="0" applyBorder="0" applyAlignment="0" applyProtection="0"/>
    <xf numFmtId="0" fontId="16" fillId="39" borderId="0" applyNumberFormat="0" applyBorder="0" applyAlignment="0" applyProtection="0"/>
    <xf numFmtId="0" fontId="16" fillId="39" borderId="0" applyNumberFormat="0" applyBorder="0" applyAlignment="0" applyProtection="0"/>
    <xf numFmtId="43" fontId="2" fillId="0" borderId="0" applyFont="0" applyBorder="0" applyAlignment="0"/>
    <xf numFmtId="43" fontId="2" fillId="0" borderId="0" applyFont="0" applyBorder="0" applyAlignment="0"/>
    <xf numFmtId="41" fontId="2" fillId="0" borderId="0" applyFont="0" applyBorder="0" applyAlignment="0"/>
    <xf numFmtId="41" fontId="2" fillId="0" borderId="0" applyFont="0" applyBorder="0" applyAlignment="0"/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0" fontId="17" fillId="14" borderId="144">
      <alignment horizontal="centerContinuous" vertical="top"/>
    </xf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200" fontId="123" fillId="1" borderId="146"/>
    <xf numFmtId="0" fontId="44" fillId="30" borderId="46" applyNumberFormat="0" applyFill="0" applyBorder="0" applyAlignment="0" applyProtection="0">
      <alignment horizontal="center" vertical="center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left" vertical="center" wrapText="1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200" fontId="122" fillId="1" borderId="136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175" fontId="2" fillId="1" borderId="148">
      <alignment horizontal="center" vertical="center"/>
    </xf>
    <xf numFmtId="0" fontId="120" fillId="0" borderId="0" applyFont="0" applyFill="0" applyBorder="0" applyAlignment="0" applyProtection="0"/>
    <xf numFmtId="9" fontId="121" fillId="0" borderId="0"/>
    <xf numFmtId="0" fontId="120" fillId="0" borderId="0" applyFont="0" applyFill="0" applyBorder="0" applyAlignment="0" applyProtection="0"/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38" borderId="0" applyNumberFormat="0" applyBorder="0" applyAlignment="0"/>
    <xf numFmtId="20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38" borderId="0" applyNumberFormat="0" applyBorder="0" applyAlignment="0"/>
    <xf numFmtId="206" fontId="73" fillId="38" borderId="0" applyNumberFormat="0" applyBorder="0" applyAlignment="0"/>
    <xf numFmtId="206" fontId="73" fillId="38" borderId="0" applyNumberFormat="0" applyBorder="0" applyAlignment="0"/>
    <xf numFmtId="206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19" fontId="73" fillId="38" borderId="0" applyAlignment="0"/>
    <xf numFmtId="200" fontId="73" fillId="38" borderId="0" applyNumberFormat="0" applyBorder="0" applyAlignment="0"/>
    <xf numFmtId="200" fontId="73" fillId="29" borderId="0" applyNumberFormat="0" applyBorder="0" applyAlignment="0">
      <alignment horizontal="center"/>
    </xf>
    <xf numFmtId="219" fontId="73" fillId="38" borderId="0" applyAlignment="0"/>
    <xf numFmtId="219" fontId="73" fillId="38" borderId="0" applyAlignment="0"/>
    <xf numFmtId="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19" fontId="73" fillId="38" borderId="0" applyAlignment="0"/>
    <xf numFmtId="206" fontId="73" fillId="29" borderId="0" applyNumberFormat="0" applyBorder="0" applyAlignment="0">
      <alignment horizontal="center"/>
    </xf>
    <xf numFmtId="206" fontId="73" fillId="38" borderId="0" applyNumberFormat="0" applyBorder="0" applyAlignment="0"/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19" fontId="73" fillId="38" borderId="0" applyAlignment="0"/>
    <xf numFmtId="219" fontId="73" fillId="38" borderId="0" applyAlignment="0"/>
    <xf numFmtId="200" fontId="73" fillId="29" borderId="0" applyNumberFormat="0" applyBorder="0" applyAlignment="0">
      <alignment horizontal="center"/>
    </xf>
    <xf numFmtId="219" fontId="73" fillId="38" borderId="0" applyAlignment="0"/>
    <xf numFmtId="219" fontId="73" fillId="38" borderId="0" applyAlignment="0"/>
    <xf numFmtId="206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19" fontId="73" fillId="38" borderId="0" applyAlignment="0"/>
    <xf numFmtId="200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19" fontId="73" fillId="38" borderId="0" applyAlignment="0"/>
    <xf numFmtId="0" fontId="73" fillId="38" borderId="0" applyNumberFormat="0" applyBorder="0" applyAlignment="0"/>
    <xf numFmtId="200" fontId="73" fillId="38" borderId="0" applyNumberFormat="0" applyBorder="0" applyAlignment="0"/>
    <xf numFmtId="219" fontId="73" fillId="38" borderId="0" applyAlignment="0"/>
    <xf numFmtId="20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19" fontId="73" fillId="38" borderId="0" applyAlignment="0"/>
    <xf numFmtId="200" fontId="73" fillId="29" borderId="0" applyNumberFormat="0" applyBorder="0" applyAlignment="0">
      <alignment horizontal="center"/>
    </xf>
    <xf numFmtId="206" fontId="73" fillId="38" borderId="0" applyNumberFormat="0" applyBorder="0" applyAlignment="0"/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19" fontId="73" fillId="38" borderId="0" applyAlignment="0"/>
    <xf numFmtId="206" fontId="73" fillId="38" borderId="0" applyNumberFormat="0" applyBorder="0" applyAlignment="0"/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0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206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73" fillId="29" borderId="0" applyNumberFormat="0" applyBorder="0" applyAlignment="0">
      <alignment horizontal="center"/>
    </xf>
    <xf numFmtId="0" fontId="82" fillId="0" borderId="0" applyFont="0" applyFill="0" applyBorder="0" applyAlignment="0" applyProtection="0"/>
    <xf numFmtId="0" fontId="119" fillId="0" borderId="0" applyNumberFormat="0" applyFont="0" applyBorder="0" applyAlignment="0"/>
    <xf numFmtId="170" fontId="2" fillId="0" borderId="45">
      <alignment vertical="center"/>
    </xf>
    <xf numFmtId="170" fontId="2" fillId="0" borderId="45">
      <alignment vertical="center"/>
    </xf>
    <xf numFmtId="170" fontId="2" fillId="0" borderId="45">
      <alignment vertical="center"/>
    </xf>
    <xf numFmtId="170" fontId="2" fillId="0" borderId="45">
      <alignment vertical="center"/>
    </xf>
    <xf numFmtId="170" fontId="2" fillId="0" borderId="45">
      <alignment vertical="center"/>
    </xf>
    <xf numFmtId="170" fontId="2" fillId="0" borderId="45">
      <alignment vertical="center"/>
    </xf>
    <xf numFmtId="0" fontId="118" fillId="33" borderId="0" applyNumberFormat="0" applyBorder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118" fillId="5" borderId="0" applyNumberFormat="0" applyBorder="0" applyAlignment="0" applyProtection="0">
      <alignment vertical="center"/>
    </xf>
    <xf numFmtId="0" fontId="118" fillId="16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117" fillId="36" borderId="0" applyNumberFormat="0" applyBorder="0" applyAlignment="0" applyProtection="0">
      <alignment vertical="center"/>
    </xf>
    <xf numFmtId="0" fontId="117" fillId="13" borderId="0" applyNumberFormat="0" applyBorder="0" applyAlignment="0" applyProtection="0">
      <alignment vertical="center"/>
    </xf>
    <xf numFmtId="0" fontId="117" fillId="35" borderId="0" applyNumberFormat="0" applyBorder="0" applyAlignment="0" applyProtection="0">
      <alignment vertical="center"/>
    </xf>
    <xf numFmtId="0" fontId="117" fillId="15" borderId="0" applyNumberFormat="0" applyBorder="0" applyAlignment="0" applyProtection="0">
      <alignment vertical="center"/>
    </xf>
    <xf numFmtId="0" fontId="117" fillId="33" borderId="0" applyNumberFormat="0" applyBorder="0" applyAlignment="0" applyProtection="0">
      <alignment vertical="center"/>
    </xf>
    <xf numFmtId="0" fontId="117" fillId="34" borderId="0" applyNumberFormat="0" applyBorder="0" applyAlignment="0" applyProtection="0">
      <alignment vertical="center"/>
    </xf>
    <xf numFmtId="0" fontId="16" fillId="36" borderId="0" applyNumberFormat="0" applyBorder="0" applyAlignment="0" applyProtection="0"/>
    <xf numFmtId="0" fontId="16" fillId="13" borderId="0" applyNumberFormat="0" applyBorder="0" applyAlignment="0" applyProtection="0"/>
    <xf numFmtId="0" fontId="16" fillId="35" borderId="0" applyNumberFormat="0" applyBorder="0" applyAlignment="0" applyProtection="0"/>
    <xf numFmtId="0" fontId="16" fillId="15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16" fillId="36" borderId="0" applyNumberFormat="0" applyBorder="0" applyAlignment="0" applyProtection="0"/>
    <xf numFmtId="0" fontId="16" fillId="36" borderId="0" applyNumberFormat="0" applyBorder="0" applyAlignment="0" applyProtection="0"/>
    <xf numFmtId="217" fontId="16" fillId="36" borderId="0" applyNumberFormat="0" applyBorder="0" applyAlignment="0" applyProtection="0"/>
    <xf numFmtId="0" fontId="16" fillId="36" borderId="0" applyNumberFormat="0" applyBorder="0" applyAlignment="0" applyProtection="0"/>
    <xf numFmtId="217" fontId="16" fillId="36" borderId="0" applyNumberFormat="0" applyBorder="0" applyAlignment="0" applyProtection="0"/>
    <xf numFmtId="0" fontId="16" fillId="36" borderId="0" applyNumberFormat="0" applyBorder="0" applyAlignment="0" applyProtection="0"/>
    <xf numFmtId="217" fontId="16" fillId="36" borderId="0" applyNumberFormat="0" applyBorder="0" applyAlignment="0" applyProtection="0"/>
    <xf numFmtId="0" fontId="16" fillId="36" borderId="0" applyNumberFormat="0" applyBorder="0" applyAlignment="0" applyProtection="0"/>
    <xf numFmtId="217" fontId="16" fillId="36" borderId="0" applyNumberFormat="0" applyBorder="0" applyAlignment="0" applyProtection="0"/>
    <xf numFmtId="0" fontId="16" fillId="36" borderId="0" applyNumberFormat="0" applyBorder="0" applyAlignment="0" applyProtection="0"/>
    <xf numFmtId="217" fontId="16" fillId="36" borderId="0" applyNumberFormat="0" applyBorder="0" applyAlignment="0" applyProtection="0"/>
    <xf numFmtId="0" fontId="16" fillId="36" borderId="0" applyNumberFormat="0" applyBorder="0" applyAlignment="0" applyProtection="0"/>
    <xf numFmtId="217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6" fillId="36" borderId="0" applyNumberFormat="0" applyBorder="0" applyAlignment="0" applyProtection="0"/>
    <xf numFmtId="0" fontId="1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217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217" fontId="16" fillId="35" borderId="0" applyNumberFormat="0" applyBorder="0" applyAlignment="0" applyProtection="0"/>
    <xf numFmtId="0" fontId="16" fillId="35" borderId="0" applyNumberFormat="0" applyBorder="0" applyAlignment="0" applyProtection="0"/>
    <xf numFmtId="0" fontId="16" fillId="35" borderId="0" applyNumberFormat="0" applyBorder="0" applyAlignment="0" applyProtection="0"/>
    <xf numFmtId="0" fontId="116" fillId="15" borderId="0" applyNumberFormat="0" applyBorder="0" applyAlignment="0" applyProtection="0"/>
    <xf numFmtId="0" fontId="16" fillId="15" borderId="0" applyNumberFormat="0" applyBorder="0" applyAlignment="0" applyProtection="0"/>
    <xf numFmtId="217" fontId="16" fillId="15" borderId="0" applyNumberFormat="0" applyBorder="0" applyAlignment="0" applyProtection="0"/>
    <xf numFmtId="0" fontId="16" fillId="15" borderId="0" applyNumberFormat="0" applyBorder="0" applyAlignment="0" applyProtection="0"/>
    <xf numFmtId="217" fontId="16" fillId="15" borderId="0" applyNumberFormat="0" applyBorder="0" applyAlignment="0" applyProtection="0"/>
    <xf numFmtId="0" fontId="16" fillId="15" borderId="0" applyNumberFormat="0" applyBorder="0" applyAlignment="0" applyProtection="0"/>
    <xf numFmtId="217" fontId="16" fillId="15" borderId="0" applyNumberFormat="0" applyBorder="0" applyAlignment="0" applyProtection="0"/>
    <xf numFmtId="0" fontId="16" fillId="15" borderId="0" applyNumberFormat="0" applyBorder="0" applyAlignment="0" applyProtection="0"/>
    <xf numFmtId="217" fontId="16" fillId="15" borderId="0" applyNumberFormat="0" applyBorder="0" applyAlignment="0" applyProtection="0"/>
    <xf numFmtId="0" fontId="16" fillId="15" borderId="0" applyNumberFormat="0" applyBorder="0" applyAlignment="0" applyProtection="0"/>
    <xf numFmtId="217" fontId="16" fillId="15" borderId="0" applyNumberFormat="0" applyBorder="0" applyAlignment="0" applyProtection="0"/>
    <xf numFmtId="0" fontId="16" fillId="15" borderId="0" applyNumberFormat="0" applyBorder="0" applyAlignment="0" applyProtection="0"/>
    <xf numFmtId="217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16" fillId="33" borderId="0" applyNumberFormat="0" applyBorder="0" applyAlignment="0" applyProtection="0"/>
    <xf numFmtId="0" fontId="16" fillId="33" borderId="0" applyNumberFormat="0" applyBorder="0" applyAlignment="0" applyProtection="0"/>
    <xf numFmtId="217" fontId="16" fillId="33" borderId="0" applyNumberFormat="0" applyBorder="0" applyAlignment="0" applyProtection="0"/>
    <xf numFmtId="0" fontId="16" fillId="33" borderId="0" applyNumberFormat="0" applyBorder="0" applyAlignment="0" applyProtection="0"/>
    <xf numFmtId="217" fontId="16" fillId="33" borderId="0" applyNumberFormat="0" applyBorder="0" applyAlignment="0" applyProtection="0"/>
    <xf numFmtId="0" fontId="16" fillId="33" borderId="0" applyNumberFormat="0" applyBorder="0" applyAlignment="0" applyProtection="0"/>
    <xf numFmtId="217" fontId="16" fillId="33" borderId="0" applyNumberFormat="0" applyBorder="0" applyAlignment="0" applyProtection="0"/>
    <xf numFmtId="0" fontId="16" fillId="33" borderId="0" applyNumberFormat="0" applyBorder="0" applyAlignment="0" applyProtection="0"/>
    <xf numFmtId="217" fontId="16" fillId="33" borderId="0" applyNumberFormat="0" applyBorder="0" applyAlignment="0" applyProtection="0"/>
    <xf numFmtId="0" fontId="16" fillId="33" borderId="0" applyNumberFormat="0" applyBorder="0" applyAlignment="0" applyProtection="0"/>
    <xf numFmtId="217" fontId="16" fillId="33" borderId="0" applyNumberFormat="0" applyBorder="0" applyAlignment="0" applyProtection="0"/>
    <xf numFmtId="0" fontId="16" fillId="33" borderId="0" applyNumberFormat="0" applyBorder="0" applyAlignment="0" applyProtection="0"/>
    <xf numFmtId="217" fontId="16" fillId="33" borderId="0" applyNumberFormat="0" applyBorder="0" applyAlignment="0" applyProtection="0"/>
    <xf numFmtId="0" fontId="16" fillId="33" borderId="0" applyNumberFormat="0" applyBorder="0" applyAlignment="0" applyProtection="0"/>
    <xf numFmtId="0" fontId="16" fillId="33" borderId="0" applyNumberFormat="0" applyBorder="0" applyAlignment="0" applyProtection="0"/>
    <xf numFmtId="0" fontId="116" fillId="34" borderId="0" applyNumberFormat="0" applyBorder="0" applyAlignment="0" applyProtection="0"/>
    <xf numFmtId="0" fontId="16" fillId="34" borderId="0" applyNumberFormat="0" applyBorder="0" applyAlignment="0" applyProtection="0"/>
    <xf numFmtId="217" fontId="16" fillId="34" borderId="0" applyNumberFormat="0" applyBorder="0" applyAlignment="0" applyProtection="0"/>
    <xf numFmtId="0" fontId="16" fillId="34" borderId="0" applyNumberFormat="0" applyBorder="0" applyAlignment="0" applyProtection="0"/>
    <xf numFmtId="217" fontId="16" fillId="34" borderId="0" applyNumberFormat="0" applyBorder="0" applyAlignment="0" applyProtection="0"/>
    <xf numFmtId="0" fontId="16" fillId="34" borderId="0" applyNumberFormat="0" applyBorder="0" applyAlignment="0" applyProtection="0"/>
    <xf numFmtId="217" fontId="16" fillId="34" borderId="0" applyNumberFormat="0" applyBorder="0" applyAlignment="0" applyProtection="0"/>
    <xf numFmtId="0" fontId="16" fillId="34" borderId="0" applyNumberFormat="0" applyBorder="0" applyAlignment="0" applyProtection="0"/>
    <xf numFmtId="217" fontId="16" fillId="34" borderId="0" applyNumberFormat="0" applyBorder="0" applyAlignment="0" applyProtection="0"/>
    <xf numFmtId="0" fontId="16" fillId="34" borderId="0" applyNumberFormat="0" applyBorder="0" applyAlignment="0" applyProtection="0"/>
    <xf numFmtId="217" fontId="16" fillId="34" borderId="0" applyNumberFormat="0" applyBorder="0" applyAlignment="0" applyProtection="0"/>
    <xf numFmtId="0" fontId="16" fillId="34" borderId="0" applyNumberFormat="0" applyBorder="0" applyAlignment="0" applyProtection="0"/>
    <xf numFmtId="217" fontId="16" fillId="34" borderId="0" applyNumberFormat="0" applyBorder="0" applyAlignment="0" applyProtection="0"/>
    <xf numFmtId="0" fontId="16" fillId="34" borderId="0" applyNumberFormat="0" applyBorder="0" applyAlignment="0" applyProtection="0"/>
    <xf numFmtId="0" fontId="16" fillId="34" borderId="0" applyNumberFormat="0" applyBorder="0" applyAlignment="0" applyProtection="0"/>
    <xf numFmtId="9" fontId="82" fillId="0" borderId="0">
      <protection locked="0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170" fontId="12" fillId="0" borderId="4" applyFont="0" applyAlignment="0">
      <alignment horizontal="right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41" fontId="115" fillId="0" borderId="137">
      <alignment vertical="center"/>
    </xf>
    <xf numFmtId="0" fontId="114" fillId="6" borderId="0" applyNumberFormat="0" applyBorder="0" applyAlignment="0" applyProtection="0">
      <alignment vertical="center"/>
    </xf>
    <xf numFmtId="0" fontId="114" fillId="7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7" borderId="0" applyNumberFormat="0" applyBorder="0" applyAlignment="0" applyProtection="0">
      <alignment vertical="center"/>
    </xf>
    <xf numFmtId="0" fontId="113" fillId="16" borderId="0" applyNumberFormat="0" applyBorder="0" applyAlignment="0" applyProtection="0">
      <alignment vertical="center"/>
    </xf>
    <xf numFmtId="0" fontId="113" fillId="1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15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11" borderId="0" applyNumberFormat="0" applyBorder="0" applyAlignment="0" applyProtection="0">
      <alignment vertical="center"/>
    </xf>
    <xf numFmtId="0" fontId="15" fillId="16" borderId="0" applyNumberFormat="0" applyBorder="0" applyAlignment="0" applyProtection="0"/>
    <xf numFmtId="0" fontId="15" fillId="11" borderId="0" applyNumberFormat="0" applyBorder="0" applyAlignment="0" applyProtection="0"/>
    <xf numFmtId="0" fontId="15" fillId="32" borderId="0" applyNumberFormat="0" applyBorder="0" applyAlignment="0" applyProtection="0"/>
    <xf numFmtId="0" fontId="15" fillId="15" borderId="0" applyNumberFormat="0" applyBorder="0" applyAlignment="0" applyProtection="0"/>
    <xf numFmtId="0" fontId="15" fillId="33" borderId="0" applyNumberFormat="0" applyBorder="0" applyAlignment="0" applyProtection="0"/>
    <xf numFmtId="0" fontId="15" fillId="11" borderId="0" applyNumberFormat="0" applyBorder="0" applyAlignment="0" applyProtection="0"/>
    <xf numFmtId="0" fontId="80" fillId="16" borderId="0" applyNumberFormat="0" applyBorder="0" applyAlignment="0" applyProtection="0"/>
    <xf numFmtId="0" fontId="15" fillId="16" borderId="0" applyNumberFormat="0" applyBorder="0" applyAlignment="0" applyProtection="0"/>
    <xf numFmtId="217" fontId="15" fillId="16" borderId="0" applyNumberFormat="0" applyBorder="0" applyAlignment="0" applyProtection="0"/>
    <xf numFmtId="0" fontId="15" fillId="16" borderId="0" applyNumberFormat="0" applyBorder="0" applyAlignment="0" applyProtection="0"/>
    <xf numFmtId="217" fontId="15" fillId="16" borderId="0" applyNumberFormat="0" applyBorder="0" applyAlignment="0" applyProtection="0"/>
    <xf numFmtId="0" fontId="15" fillId="16" borderId="0" applyNumberFormat="0" applyBorder="0" applyAlignment="0" applyProtection="0"/>
    <xf numFmtId="217" fontId="15" fillId="16" borderId="0" applyNumberFormat="0" applyBorder="0" applyAlignment="0" applyProtection="0"/>
    <xf numFmtId="0" fontId="15" fillId="16" borderId="0" applyNumberFormat="0" applyBorder="0" applyAlignment="0" applyProtection="0"/>
    <xf numFmtId="217" fontId="15" fillId="16" borderId="0" applyNumberFormat="0" applyBorder="0" applyAlignment="0" applyProtection="0"/>
    <xf numFmtId="0" fontId="15" fillId="16" borderId="0" applyNumberFormat="0" applyBorder="0" applyAlignment="0" applyProtection="0"/>
    <xf numFmtId="217" fontId="15" fillId="16" borderId="0" applyNumberFormat="0" applyBorder="0" applyAlignment="0" applyProtection="0"/>
    <xf numFmtId="0" fontId="15" fillId="16" borderId="0" applyNumberFormat="0" applyBorder="0" applyAlignment="0" applyProtection="0"/>
    <xf numFmtId="217" fontId="15" fillId="16" borderId="0" applyNumberFormat="0" applyBorder="0" applyAlignment="0" applyProtection="0"/>
    <xf numFmtId="217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80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80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80" fillId="15" borderId="0" applyNumberFormat="0" applyBorder="0" applyAlignment="0" applyProtection="0"/>
    <xf numFmtId="0" fontId="15" fillId="15" borderId="0" applyNumberFormat="0" applyBorder="0" applyAlignment="0" applyProtection="0"/>
    <xf numFmtId="217" fontId="15" fillId="15" borderId="0" applyNumberFormat="0" applyBorder="0" applyAlignment="0" applyProtection="0"/>
    <xf numFmtId="0" fontId="15" fillId="15" borderId="0" applyNumberFormat="0" applyBorder="0" applyAlignment="0" applyProtection="0"/>
    <xf numFmtId="217" fontId="15" fillId="15" borderId="0" applyNumberFormat="0" applyBorder="0" applyAlignment="0" applyProtection="0"/>
    <xf numFmtId="0" fontId="15" fillId="15" borderId="0" applyNumberFormat="0" applyBorder="0" applyAlignment="0" applyProtection="0"/>
    <xf numFmtId="217" fontId="15" fillId="15" borderId="0" applyNumberFormat="0" applyBorder="0" applyAlignment="0" applyProtection="0"/>
    <xf numFmtId="0" fontId="15" fillId="15" borderId="0" applyNumberFormat="0" applyBorder="0" applyAlignment="0" applyProtection="0"/>
    <xf numFmtId="217" fontId="15" fillId="15" borderId="0" applyNumberFormat="0" applyBorder="0" applyAlignment="0" applyProtection="0"/>
    <xf numFmtId="0" fontId="15" fillId="15" borderId="0" applyNumberFormat="0" applyBorder="0" applyAlignment="0" applyProtection="0"/>
    <xf numFmtId="217" fontId="15" fillId="15" borderId="0" applyNumberFormat="0" applyBorder="0" applyAlignment="0" applyProtection="0"/>
    <xf numFmtId="0" fontId="15" fillId="15" borderId="0" applyNumberFormat="0" applyBorder="0" applyAlignment="0" applyProtection="0"/>
    <xf numFmtId="217" fontId="15" fillId="15" borderId="0" applyNumberFormat="0" applyBorder="0" applyAlignment="0" applyProtection="0"/>
    <xf numFmtId="217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80" fillId="33" borderId="0" applyNumberFormat="0" applyBorder="0" applyAlignment="0" applyProtection="0"/>
    <xf numFmtId="0" fontId="15" fillId="33" borderId="0" applyNumberFormat="0" applyBorder="0" applyAlignment="0" applyProtection="0"/>
    <xf numFmtId="217" fontId="15" fillId="33" borderId="0" applyNumberFormat="0" applyBorder="0" applyAlignment="0" applyProtection="0"/>
    <xf numFmtId="0" fontId="15" fillId="33" borderId="0" applyNumberFormat="0" applyBorder="0" applyAlignment="0" applyProtection="0"/>
    <xf numFmtId="217" fontId="15" fillId="33" borderId="0" applyNumberFormat="0" applyBorder="0" applyAlignment="0" applyProtection="0"/>
    <xf numFmtId="0" fontId="15" fillId="33" borderId="0" applyNumberFormat="0" applyBorder="0" applyAlignment="0" applyProtection="0"/>
    <xf numFmtId="217" fontId="15" fillId="33" borderId="0" applyNumberFormat="0" applyBorder="0" applyAlignment="0" applyProtection="0"/>
    <xf numFmtId="0" fontId="15" fillId="33" borderId="0" applyNumberFormat="0" applyBorder="0" applyAlignment="0" applyProtection="0"/>
    <xf numFmtId="217" fontId="15" fillId="33" borderId="0" applyNumberFormat="0" applyBorder="0" applyAlignment="0" applyProtection="0"/>
    <xf numFmtId="0" fontId="15" fillId="33" borderId="0" applyNumberFormat="0" applyBorder="0" applyAlignment="0" applyProtection="0"/>
    <xf numFmtId="217" fontId="15" fillId="33" borderId="0" applyNumberFormat="0" applyBorder="0" applyAlignment="0" applyProtection="0"/>
    <xf numFmtId="0" fontId="15" fillId="33" borderId="0" applyNumberFormat="0" applyBorder="0" applyAlignment="0" applyProtection="0"/>
    <xf numFmtId="217" fontId="15" fillId="33" borderId="0" applyNumberFormat="0" applyBorder="0" applyAlignment="0" applyProtection="0"/>
    <xf numFmtId="217" fontId="15" fillId="33" borderId="0" applyNumberFormat="0" applyBorder="0" applyAlignment="0" applyProtection="0"/>
    <xf numFmtId="0" fontId="15" fillId="33" borderId="0" applyNumberFormat="0" applyBorder="0" applyAlignment="0" applyProtection="0"/>
    <xf numFmtId="0" fontId="80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17" fontId="15" fillId="11" borderId="0" applyNumberFormat="0" applyBorder="0" applyAlignment="0" applyProtection="0"/>
    <xf numFmtId="217" fontId="15" fillId="11" borderId="0" applyNumberFormat="0" applyBorder="0" applyAlignment="0" applyProtection="0"/>
    <xf numFmtId="0" fontId="15" fillId="11" borderId="0" applyNumberFormat="0" applyBorder="0" applyAlignment="0" applyProtection="0"/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200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176" fontId="2" fillId="0" borderId="147" applyNumberFormat="0" applyFont="0" applyAlignment="0">
      <alignment horizontal="center" vertical="center"/>
    </xf>
    <xf numFmtId="0" fontId="114" fillId="6" borderId="0" applyNumberFormat="0" applyBorder="0" applyAlignment="0" applyProtection="0">
      <alignment vertical="center"/>
    </xf>
    <xf numFmtId="0" fontId="114" fillId="7" borderId="0" applyNumberFormat="0" applyBorder="0" applyAlignment="0" applyProtection="0">
      <alignment vertical="center"/>
    </xf>
    <xf numFmtId="0" fontId="114" fillId="10" borderId="0" applyNumberFormat="0" applyBorder="0" applyAlignment="0" applyProtection="0">
      <alignment vertical="center"/>
    </xf>
    <xf numFmtId="0" fontId="114" fillId="6" borderId="0" applyNumberFormat="0" applyBorder="0" applyAlignment="0" applyProtection="0">
      <alignment vertical="center"/>
    </xf>
    <xf numFmtId="0" fontId="114" fillId="33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7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4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5" fillId="10" borderId="0" applyNumberFormat="0" applyBorder="0" applyAlignment="0" applyProtection="0"/>
    <xf numFmtId="0" fontId="15" fillId="7" borderId="0" applyNumberFormat="0" applyBorder="0" applyAlignment="0" applyProtection="0"/>
    <xf numFmtId="0" fontId="15" fillId="32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31" borderId="0" applyNumberFormat="0" applyBorder="0" applyAlignment="0" applyProtection="0"/>
    <xf numFmtId="0" fontId="80" fillId="10" borderId="0" applyNumberFormat="0" applyBorder="0" applyAlignment="0" applyProtection="0"/>
    <xf numFmtId="0" fontId="15" fillId="10" borderId="0" applyNumberFormat="0" applyBorder="0" applyAlignment="0" applyProtection="0"/>
    <xf numFmtId="217" fontId="15" fillId="10" borderId="0" applyNumberFormat="0" applyBorder="0" applyAlignment="0" applyProtection="0"/>
    <xf numFmtId="0" fontId="15" fillId="10" borderId="0" applyNumberFormat="0" applyBorder="0" applyAlignment="0" applyProtection="0"/>
    <xf numFmtId="217" fontId="15" fillId="10" borderId="0" applyNumberFormat="0" applyBorder="0" applyAlignment="0" applyProtection="0"/>
    <xf numFmtId="0" fontId="15" fillId="10" borderId="0" applyNumberFormat="0" applyBorder="0" applyAlignment="0" applyProtection="0"/>
    <xf numFmtId="217" fontId="15" fillId="10" borderId="0" applyNumberFormat="0" applyBorder="0" applyAlignment="0" applyProtection="0"/>
    <xf numFmtId="0" fontId="15" fillId="10" borderId="0" applyNumberFormat="0" applyBorder="0" applyAlignment="0" applyProtection="0"/>
    <xf numFmtId="217" fontId="15" fillId="10" borderId="0" applyNumberFormat="0" applyBorder="0" applyAlignment="0" applyProtection="0"/>
    <xf numFmtId="0" fontId="15" fillId="10" borderId="0" applyNumberFormat="0" applyBorder="0" applyAlignment="0" applyProtection="0"/>
    <xf numFmtId="217" fontId="15" fillId="10" borderId="0" applyNumberFormat="0" applyBorder="0" applyAlignment="0" applyProtection="0"/>
    <xf numFmtId="0" fontId="15" fillId="10" borderId="0" applyNumberFormat="0" applyBorder="0" applyAlignment="0" applyProtection="0"/>
    <xf numFmtId="217" fontId="15" fillId="10" borderId="0" applyNumberFormat="0" applyBorder="0" applyAlignment="0" applyProtection="0"/>
    <xf numFmtId="217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80" fillId="7" borderId="0" applyNumberFormat="0" applyBorder="0" applyAlignment="0" applyProtection="0"/>
    <xf numFmtId="0" fontId="15" fillId="7" borderId="0" applyNumberFormat="0" applyBorder="0" applyAlignment="0" applyProtection="0"/>
    <xf numFmtId="217" fontId="15" fillId="7" borderId="0" applyNumberFormat="0" applyBorder="0" applyAlignment="0" applyProtection="0"/>
    <xf numFmtId="0" fontId="15" fillId="7" borderId="0" applyNumberFormat="0" applyBorder="0" applyAlignment="0" applyProtection="0"/>
    <xf numFmtId="217" fontId="15" fillId="7" borderId="0" applyNumberFormat="0" applyBorder="0" applyAlignment="0" applyProtection="0"/>
    <xf numFmtId="0" fontId="15" fillId="7" borderId="0" applyNumberFormat="0" applyBorder="0" applyAlignment="0" applyProtection="0"/>
    <xf numFmtId="217" fontId="15" fillId="7" borderId="0" applyNumberFormat="0" applyBorder="0" applyAlignment="0" applyProtection="0"/>
    <xf numFmtId="0" fontId="15" fillId="7" borderId="0" applyNumberFormat="0" applyBorder="0" applyAlignment="0" applyProtection="0"/>
    <xf numFmtId="217" fontId="15" fillId="7" borderId="0" applyNumberFormat="0" applyBorder="0" applyAlignment="0" applyProtection="0"/>
    <xf numFmtId="0" fontId="15" fillId="7" borderId="0" applyNumberFormat="0" applyBorder="0" applyAlignment="0" applyProtection="0"/>
    <xf numFmtId="217" fontId="15" fillId="7" borderId="0" applyNumberFormat="0" applyBorder="0" applyAlignment="0" applyProtection="0"/>
    <xf numFmtId="0" fontId="15" fillId="7" borderId="0" applyNumberFormat="0" applyBorder="0" applyAlignment="0" applyProtection="0"/>
    <xf numFmtId="217" fontId="15" fillId="7" borderId="0" applyNumberFormat="0" applyBorder="0" applyAlignment="0" applyProtection="0"/>
    <xf numFmtId="217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80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217" fontId="15" fillId="32" borderId="0" applyNumberFormat="0" applyBorder="0" applyAlignment="0" applyProtection="0"/>
    <xf numFmtId="217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80" fillId="4" borderId="0" applyNumberFormat="0" applyBorder="0" applyAlignment="0" applyProtection="0"/>
    <xf numFmtId="0" fontId="15" fillId="4" borderId="0" applyNumberFormat="0" applyBorder="0" applyAlignment="0" applyProtection="0"/>
    <xf numFmtId="217" fontId="15" fillId="4" borderId="0" applyNumberFormat="0" applyBorder="0" applyAlignment="0" applyProtection="0"/>
    <xf numFmtId="0" fontId="15" fillId="4" borderId="0" applyNumberFormat="0" applyBorder="0" applyAlignment="0" applyProtection="0"/>
    <xf numFmtId="217" fontId="15" fillId="4" borderId="0" applyNumberFormat="0" applyBorder="0" applyAlignment="0" applyProtection="0"/>
    <xf numFmtId="0" fontId="15" fillId="4" borderId="0" applyNumberFormat="0" applyBorder="0" applyAlignment="0" applyProtection="0"/>
    <xf numFmtId="217" fontId="15" fillId="4" borderId="0" applyNumberFormat="0" applyBorder="0" applyAlignment="0" applyProtection="0"/>
    <xf numFmtId="0" fontId="15" fillId="4" borderId="0" applyNumberFormat="0" applyBorder="0" applyAlignment="0" applyProtection="0"/>
    <xf numFmtId="217" fontId="15" fillId="4" borderId="0" applyNumberFormat="0" applyBorder="0" applyAlignment="0" applyProtection="0"/>
    <xf numFmtId="0" fontId="15" fillId="4" borderId="0" applyNumberFormat="0" applyBorder="0" applyAlignment="0" applyProtection="0"/>
    <xf numFmtId="217" fontId="15" fillId="4" borderId="0" applyNumberFormat="0" applyBorder="0" applyAlignment="0" applyProtection="0"/>
    <xf numFmtId="0" fontId="15" fillId="4" borderId="0" applyNumberFormat="0" applyBorder="0" applyAlignment="0" applyProtection="0"/>
    <xf numFmtId="217" fontId="15" fillId="4" borderId="0" applyNumberFormat="0" applyBorder="0" applyAlignment="0" applyProtection="0"/>
    <xf numFmtId="217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80" fillId="5" borderId="0" applyNumberFormat="0" applyBorder="0" applyAlignment="0" applyProtection="0"/>
    <xf numFmtId="0" fontId="15" fillId="5" borderId="0" applyNumberFormat="0" applyBorder="0" applyAlignment="0" applyProtection="0"/>
    <xf numFmtId="217" fontId="15" fillId="5" borderId="0" applyNumberFormat="0" applyBorder="0" applyAlignment="0" applyProtection="0"/>
    <xf numFmtId="0" fontId="15" fillId="5" borderId="0" applyNumberFormat="0" applyBorder="0" applyAlignment="0" applyProtection="0"/>
    <xf numFmtId="217" fontId="15" fillId="5" borderId="0" applyNumberFormat="0" applyBorder="0" applyAlignment="0" applyProtection="0"/>
    <xf numFmtId="0" fontId="15" fillId="5" borderId="0" applyNumberFormat="0" applyBorder="0" applyAlignment="0" applyProtection="0"/>
    <xf numFmtId="217" fontId="15" fillId="5" borderId="0" applyNumberFormat="0" applyBorder="0" applyAlignment="0" applyProtection="0"/>
    <xf numFmtId="0" fontId="15" fillId="5" borderId="0" applyNumberFormat="0" applyBorder="0" applyAlignment="0" applyProtection="0"/>
    <xf numFmtId="217" fontId="15" fillId="5" borderId="0" applyNumberFormat="0" applyBorder="0" applyAlignment="0" applyProtection="0"/>
    <xf numFmtId="0" fontId="15" fillId="5" borderId="0" applyNumberFormat="0" applyBorder="0" applyAlignment="0" applyProtection="0"/>
    <xf numFmtId="217" fontId="15" fillId="5" borderId="0" applyNumberFormat="0" applyBorder="0" applyAlignment="0" applyProtection="0"/>
    <xf numFmtId="0" fontId="15" fillId="5" borderId="0" applyNumberFormat="0" applyBorder="0" applyAlignment="0" applyProtection="0"/>
    <xf numFmtId="217" fontId="15" fillId="5" borderId="0" applyNumberFormat="0" applyBorder="0" applyAlignment="0" applyProtection="0"/>
    <xf numFmtId="217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80" fillId="31" borderId="0" applyNumberFormat="0" applyBorder="0" applyAlignment="0" applyProtection="0"/>
    <xf numFmtId="0" fontId="15" fillId="31" borderId="0" applyNumberFormat="0" applyBorder="0" applyAlignment="0" applyProtection="0"/>
    <xf numFmtId="217" fontId="15" fillId="31" borderId="0" applyNumberFormat="0" applyBorder="0" applyAlignment="0" applyProtection="0"/>
    <xf numFmtId="0" fontId="15" fillId="31" borderId="0" applyNumberFormat="0" applyBorder="0" applyAlignment="0" applyProtection="0"/>
    <xf numFmtId="217" fontId="15" fillId="31" borderId="0" applyNumberFormat="0" applyBorder="0" applyAlignment="0" applyProtection="0"/>
    <xf numFmtId="0" fontId="15" fillId="31" borderId="0" applyNumberFormat="0" applyBorder="0" applyAlignment="0" applyProtection="0"/>
    <xf numFmtId="217" fontId="15" fillId="31" borderId="0" applyNumberFormat="0" applyBorder="0" applyAlignment="0" applyProtection="0"/>
    <xf numFmtId="0" fontId="15" fillId="31" borderId="0" applyNumberFormat="0" applyBorder="0" applyAlignment="0" applyProtection="0"/>
    <xf numFmtId="217" fontId="15" fillId="31" borderId="0" applyNumberFormat="0" applyBorder="0" applyAlignment="0" applyProtection="0"/>
    <xf numFmtId="0" fontId="15" fillId="31" borderId="0" applyNumberFormat="0" applyBorder="0" applyAlignment="0" applyProtection="0"/>
    <xf numFmtId="217" fontId="15" fillId="31" borderId="0" applyNumberFormat="0" applyBorder="0" applyAlignment="0" applyProtection="0"/>
    <xf numFmtId="0" fontId="15" fillId="31" borderId="0" applyNumberFormat="0" applyBorder="0" applyAlignment="0" applyProtection="0"/>
    <xf numFmtId="217" fontId="15" fillId="31" borderId="0" applyNumberFormat="0" applyBorder="0" applyAlignment="0" applyProtection="0"/>
    <xf numFmtId="217" fontId="15" fillId="31" borderId="0" applyNumberFormat="0" applyBorder="0" applyAlignment="0" applyProtection="0"/>
    <xf numFmtId="0" fontId="15" fillId="31" borderId="0" applyNumberFormat="0" applyBorder="0" applyAlignment="0" applyProtection="0"/>
    <xf numFmtId="0" fontId="82" fillId="0" borderId="44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176" fontId="2" fillId="0" borderId="145" applyNumberFormat="0" applyFont="0" applyAlignment="0">
      <alignment horizontal="center"/>
    </xf>
    <xf numFmtId="9" fontId="112" fillId="0" borderId="0" applyFont="0" applyFill="0" applyBorder="0" applyAlignment="0" applyProtection="0"/>
    <xf numFmtId="0" fontId="111" fillId="30" borderId="133" applyFont="0" applyFill="0" applyAlignment="0">
      <alignment vertical="center" wrapText="1"/>
    </xf>
    <xf numFmtId="0" fontId="111" fillId="30" borderId="133" applyFont="0" applyFill="0" applyAlignment="0">
      <alignment vertical="center" wrapText="1"/>
    </xf>
    <xf numFmtId="0" fontId="111" fillId="30" borderId="133" applyFont="0" applyFill="0" applyAlignment="0">
      <alignment vertical="center" wrapText="1"/>
    </xf>
    <xf numFmtId="0" fontId="111" fillId="30" borderId="133" applyFont="0" applyFill="0" applyAlignment="0">
      <alignment vertical="center" wrapText="1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200" fontId="2" fillId="0" borderId="136" applyNumberFormat="0" applyFont="0" applyAlignment="0">
      <alignment horizontal="center" vertical="center"/>
    </xf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0" fontId="27" fillId="0" borderId="0"/>
    <xf numFmtId="0" fontId="2" fillId="0" borderId="0"/>
    <xf numFmtId="200" fontId="27" fillId="0" borderId="0"/>
    <xf numFmtId="206" fontId="2" fillId="0" borderId="0"/>
    <xf numFmtId="206" fontId="2" fillId="0" borderId="0"/>
    <xf numFmtId="200" fontId="110" fillId="0" borderId="0"/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174" fontId="109" fillId="0" borderId="144">
      <alignment horizontal="center"/>
    </xf>
    <xf numFmtId="211" fontId="108" fillId="0" borderId="0" applyFont="0" applyFill="0" applyBorder="0" applyAlignment="0" applyProtection="0"/>
    <xf numFmtId="208" fontId="108" fillId="0" borderId="0" applyFont="0" applyFill="0" applyBorder="0" applyAlignment="0" applyProtection="0"/>
    <xf numFmtId="38" fontId="108" fillId="0" borderId="0" applyFont="0" applyFill="0" applyBorder="0" applyAlignment="0" applyProtection="0"/>
    <xf numFmtId="40" fontId="108" fillId="0" borderId="0" applyFont="0" applyFill="0" applyBorder="0" applyAlignment="0" applyProtection="0"/>
    <xf numFmtId="0" fontId="105" fillId="0" borderId="0"/>
    <xf numFmtId="200" fontId="105" fillId="0" borderId="0"/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18" fontId="2" fillId="0" borderId="0" applyBorder="0"/>
    <xf numFmtId="218" fontId="2" fillId="0" borderId="0" applyBorder="0"/>
    <xf numFmtId="200" fontId="101" fillId="0" borderId="0"/>
    <xf numFmtId="0" fontId="10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200" fontId="107" fillId="0" borderId="0" applyNumberFormat="0" applyFill="0" applyBorder="0" applyAlignment="0" applyProtection="0">
      <alignment vertical="top"/>
      <protection locked="0"/>
    </xf>
    <xf numFmtId="200" fontId="10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200" fontId="107" fillId="0" borderId="0" applyNumberFormat="0" applyFill="0" applyBorder="0" applyAlignment="0" applyProtection="0">
      <alignment vertical="top"/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214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186" fontId="106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106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5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0" fontId="93" fillId="0" borderId="0">
      <protection locked="0"/>
    </xf>
    <xf numFmtId="217" fontId="93" fillId="0" borderId="0">
      <protection locked="0"/>
    </xf>
    <xf numFmtId="0" fontId="93" fillId="0" borderId="0">
      <protection locked="0"/>
    </xf>
    <xf numFmtId="217" fontId="93" fillId="0" borderId="0">
      <protection locked="0"/>
    </xf>
    <xf numFmtId="0" fontId="93" fillId="0" borderId="0">
      <protection locked="0"/>
    </xf>
    <xf numFmtId="217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17" fontId="93" fillId="0" borderId="0">
      <protection locked="0"/>
    </xf>
    <xf numFmtId="0" fontId="93" fillId="0" borderId="0">
      <protection locked="0"/>
    </xf>
    <xf numFmtId="217" fontId="93" fillId="0" borderId="0">
      <protection locked="0"/>
    </xf>
    <xf numFmtId="0" fontId="93" fillId="0" borderId="0">
      <protection locked="0"/>
    </xf>
    <xf numFmtId="217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213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6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215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214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166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86" fontId="93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76" fontId="2" fillId="0" borderId="0">
      <protection locked="0"/>
    </xf>
    <xf numFmtId="18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27" fillId="0" borderId="0"/>
    <xf numFmtId="0" fontId="105" fillId="0" borderId="0"/>
    <xf numFmtId="0" fontId="105" fillId="0" borderId="0"/>
    <xf numFmtId="200" fontId="104" fillId="0" borderId="0"/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3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0" fontId="102" fillId="0" borderId="144">
      <alignment horizontal="center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0" fontId="93" fillId="0" borderId="0">
      <protection locked="0"/>
    </xf>
    <xf numFmtId="200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206" fontId="93" fillId="0" borderId="0">
      <protection locked="0"/>
    </xf>
    <xf numFmtId="0" fontId="93" fillId="0" borderId="0">
      <protection locked="0"/>
    </xf>
    <xf numFmtId="200" fontId="93" fillId="0" borderId="0">
      <protection locked="0"/>
    </xf>
    <xf numFmtId="211" fontId="9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211" fontId="98" fillId="0" borderId="0" applyFont="0" applyFill="0" applyBorder="0" applyAlignment="0" applyProtection="0"/>
    <xf numFmtId="211" fontId="9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8" fontId="31" fillId="0" borderId="0" applyFont="0" applyFill="0" applyBorder="0" applyAlignment="0" applyProtection="0"/>
    <xf numFmtId="8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8" fontId="31" fillId="0" borderId="0" applyFont="0" applyFill="0" applyBorder="0" applyAlignment="0" applyProtection="0"/>
    <xf numFmtId="8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12" fontId="99" fillId="0" borderId="0" applyFont="0" applyFill="0" applyBorder="0" applyAlignment="0" applyProtection="0"/>
    <xf numFmtId="212" fontId="92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2" fillId="0" borderId="0" applyFont="0" applyFill="0" applyBorder="0" applyAlignment="0" applyProtection="0"/>
    <xf numFmtId="200" fontId="98" fillId="0" borderId="0" applyFont="0" applyFill="0" applyBorder="0" applyAlignment="0" applyProtection="0"/>
    <xf numFmtId="200" fontId="9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11" fontId="98" fillId="0" borderId="0" applyFont="0" applyFill="0" applyBorder="0" applyAlignment="0" applyProtection="0"/>
    <xf numFmtId="211" fontId="9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11" fontId="101" fillId="0" borderId="0" applyFont="0" applyFill="0" applyBorder="0" applyAlignment="0" applyProtection="0"/>
    <xf numFmtId="211" fontId="100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11" fontId="101" fillId="0" borderId="0" applyFont="0" applyFill="0" applyBorder="0" applyAlignment="0" applyProtection="0"/>
    <xf numFmtId="211" fontId="100" fillId="0" borderId="0" applyFont="0" applyFill="0" applyBorder="0" applyAlignment="0" applyProtection="0"/>
    <xf numFmtId="200" fontId="2" fillId="0" borderId="0" applyFont="0" applyFill="0" applyBorder="0" applyAlignment="0" applyProtection="0"/>
    <xf numFmtId="211" fontId="9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6" fontId="99" fillId="0" borderId="0" applyFont="0" applyFill="0" applyBorder="0" applyAlignment="0" applyProtection="0"/>
    <xf numFmtId="6" fontId="92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2" fillId="0" borderId="0" applyFont="0" applyFill="0" applyBorder="0" applyAlignment="0" applyProtection="0"/>
    <xf numFmtId="200" fontId="98" fillId="0" borderId="0" applyFont="0" applyFill="0" applyBorder="0" applyAlignment="0" applyProtection="0"/>
    <xf numFmtId="200" fontId="9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11" fontId="98" fillId="0" borderId="0" applyFont="0" applyFill="0" applyBorder="0" applyAlignment="0" applyProtection="0"/>
    <xf numFmtId="211" fontId="9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11" fontId="98" fillId="0" borderId="0" applyFont="0" applyFill="0" applyBorder="0" applyAlignment="0" applyProtection="0"/>
    <xf numFmtId="211" fontId="92" fillId="0" borderId="0" applyFont="0" applyFill="0" applyBorder="0" applyAlignment="0" applyProtection="0"/>
    <xf numFmtId="208" fontId="9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08" fontId="98" fillId="0" borderId="0" applyFont="0" applyFill="0" applyBorder="0" applyAlignment="0" applyProtection="0"/>
    <xf numFmtId="208" fontId="9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6" fontId="31" fillId="0" borderId="0" applyFont="0" applyFill="0" applyBorder="0" applyAlignment="0" applyProtection="0"/>
    <xf numFmtId="6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6" fontId="31" fillId="0" borderId="0" applyFont="0" applyFill="0" applyBorder="0" applyAlignment="0" applyProtection="0"/>
    <xf numFmtId="6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10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2" fillId="0" borderId="0" applyFont="0" applyFill="0" applyBorder="0" applyAlignment="0" applyProtection="0"/>
    <xf numFmtId="200" fontId="98" fillId="0" borderId="0" applyFont="0" applyFill="0" applyBorder="0" applyAlignment="0" applyProtection="0"/>
    <xf numFmtId="200" fontId="9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8" fontId="98" fillId="0" borderId="0" applyFont="0" applyFill="0" applyBorder="0" applyAlignment="0" applyProtection="0"/>
    <xf numFmtId="208" fontId="9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8" fontId="101" fillId="0" borderId="0" applyFont="0" applyFill="0" applyBorder="0" applyAlignment="0" applyProtection="0"/>
    <xf numFmtId="208" fontId="100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8" fontId="101" fillId="0" borderId="0" applyFont="0" applyFill="0" applyBorder="0" applyAlignment="0" applyProtection="0"/>
    <xf numFmtId="208" fontId="100" fillId="0" borderId="0" applyFont="0" applyFill="0" applyBorder="0" applyAlignment="0" applyProtection="0"/>
    <xf numFmtId="200" fontId="2" fillId="0" borderId="0" applyFont="0" applyFill="0" applyBorder="0" applyAlignment="0" applyProtection="0"/>
    <xf numFmtId="208" fontId="9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8" fontId="99" fillId="0" borderId="0" applyFont="0" applyFill="0" applyBorder="0" applyAlignment="0" applyProtection="0"/>
    <xf numFmtId="8" fontId="92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2" fillId="0" borderId="0" applyFont="0" applyFill="0" applyBorder="0" applyAlignment="0" applyProtection="0"/>
    <xf numFmtId="200" fontId="98" fillId="0" borderId="0" applyFont="0" applyFill="0" applyBorder="0" applyAlignment="0" applyProtection="0"/>
    <xf numFmtId="200" fontId="9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8" fontId="98" fillId="0" borderId="0" applyFont="0" applyFill="0" applyBorder="0" applyAlignment="0" applyProtection="0"/>
    <xf numFmtId="208" fontId="9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8" fontId="98" fillId="0" borderId="0" applyFont="0" applyFill="0" applyBorder="0" applyAlignment="0" applyProtection="0"/>
    <xf numFmtId="208" fontId="92" fillId="0" borderId="0" applyFont="0" applyFill="0" applyBorder="0" applyAlignment="0" applyProtection="0"/>
    <xf numFmtId="0" fontId="95" fillId="0" borderId="0"/>
    <xf numFmtId="0" fontId="95" fillId="0" borderId="0" applyFont="0" applyFill="0" applyBorder="0" applyAlignment="0" applyProtection="0"/>
    <xf numFmtId="0" fontId="31" fillId="0" borderId="0"/>
    <xf numFmtId="0" fontId="95" fillId="0" borderId="0"/>
    <xf numFmtId="0" fontId="2" fillId="0" borderId="0"/>
    <xf numFmtId="0" fontId="2" fillId="0" borderId="0" applyFont="0" applyFill="0" applyBorder="0" applyAlignment="0" applyProtection="0"/>
    <xf numFmtId="0" fontId="2" fillId="0" borderId="0"/>
    <xf numFmtId="206" fontId="97" fillId="0" borderId="0"/>
    <xf numFmtId="206" fontId="97" fillId="0" borderId="0"/>
    <xf numFmtId="186" fontId="93" fillId="0" borderId="0">
      <protection locked="0"/>
    </xf>
    <xf numFmtId="0" fontId="95" fillId="0" borderId="0"/>
    <xf numFmtId="0" fontId="2" fillId="0" borderId="0"/>
    <xf numFmtId="0" fontId="2" fillId="0" borderId="0"/>
    <xf numFmtId="0" fontId="96" fillId="0" borderId="0"/>
    <xf numFmtId="0" fontId="97" fillId="0" borderId="0"/>
    <xf numFmtId="206" fontId="93" fillId="0" borderId="0">
      <protection locked="0"/>
    </xf>
    <xf numFmtId="206" fontId="93" fillId="0" borderId="0">
      <protection locked="0"/>
    </xf>
    <xf numFmtId="206" fontId="94" fillId="0" borderId="0"/>
    <xf numFmtId="186" fontId="93" fillId="0" borderId="0">
      <protection locked="0"/>
    </xf>
    <xf numFmtId="186" fontId="93" fillId="0" borderId="0">
      <protection locked="0"/>
    </xf>
    <xf numFmtId="200" fontId="96" fillId="0" borderId="0"/>
    <xf numFmtId="206" fontId="96" fillId="0" borderId="0"/>
    <xf numFmtId="0" fontId="2" fillId="0" borderId="0"/>
    <xf numFmtId="0" fontId="95" fillId="0" borderId="0"/>
    <xf numFmtId="206" fontId="96" fillId="0" borderId="0"/>
    <xf numFmtId="0" fontId="95" fillId="0" borderId="0"/>
    <xf numFmtId="0" fontId="95" fillId="0" borderId="0"/>
    <xf numFmtId="0" fontId="95" fillId="0" borderId="0"/>
    <xf numFmtId="206" fontId="97" fillId="0" borderId="0"/>
    <xf numFmtId="206" fontId="96" fillId="0" borderId="0"/>
    <xf numFmtId="0" fontId="95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6" fontId="96" fillId="0" borderId="0"/>
    <xf numFmtId="206" fontId="96" fillId="0" borderId="0"/>
    <xf numFmtId="206" fontId="93" fillId="0" borderId="0">
      <protection locked="0"/>
    </xf>
    <xf numFmtId="186" fontId="93" fillId="0" borderId="0">
      <protection locked="0"/>
    </xf>
    <xf numFmtId="206" fontId="94" fillId="0" borderId="0"/>
    <xf numFmtId="0" fontId="31" fillId="0" borderId="0"/>
    <xf numFmtId="0" fontId="2" fillId="0" borderId="0"/>
    <xf numFmtId="0" fontId="2" fillId="0" borderId="0" applyFont="0" applyFill="0" applyBorder="0" applyAlignment="0" applyProtection="0"/>
    <xf numFmtId="206" fontId="96" fillId="0" borderId="0"/>
    <xf numFmtId="206" fontId="96" fillId="0" borderId="0"/>
    <xf numFmtId="206" fontId="96" fillId="0" borderId="0"/>
    <xf numFmtId="206" fontId="97" fillId="0" borderId="0"/>
    <xf numFmtId="206" fontId="97" fillId="0" borderId="0"/>
    <xf numFmtId="206" fontId="96" fillId="0" borderId="0"/>
    <xf numFmtId="0" fontId="2" fillId="0" borderId="0"/>
    <xf numFmtId="0" fontId="31" fillId="0" borderId="0"/>
    <xf numFmtId="0" fontId="95" fillId="0" borderId="0"/>
    <xf numFmtId="0" fontId="2" fillId="0" borderId="0"/>
    <xf numFmtId="0" fontId="95" fillId="0" borderId="0"/>
    <xf numFmtId="186" fontId="93" fillId="0" borderId="0">
      <protection locked="0"/>
    </xf>
    <xf numFmtId="206" fontId="94" fillId="0" borderId="0"/>
    <xf numFmtId="206" fontId="94" fillId="0" borderId="0"/>
    <xf numFmtId="206" fontId="93" fillId="0" borderId="0">
      <protection locked="0"/>
    </xf>
    <xf numFmtId="206" fontId="93" fillId="0" borderId="0">
      <protection locked="0"/>
    </xf>
    <xf numFmtId="186" fontId="93" fillId="0" borderId="0">
      <protection locked="0"/>
    </xf>
    <xf numFmtId="206" fontId="94" fillId="0" borderId="0"/>
    <xf numFmtId="206" fontId="93" fillId="0" borderId="0">
      <protection locked="0"/>
    </xf>
    <xf numFmtId="206" fontId="94" fillId="0" borderId="0"/>
    <xf numFmtId="186" fontId="93" fillId="0" borderId="0">
      <protection locked="0"/>
    </xf>
    <xf numFmtId="0" fontId="95" fillId="0" borderId="0"/>
    <xf numFmtId="0" fontId="95" fillId="0" borderId="0"/>
    <xf numFmtId="206" fontId="93" fillId="0" borderId="0">
      <protection locked="0"/>
    </xf>
    <xf numFmtId="186" fontId="93" fillId="0" borderId="0">
      <protection locked="0"/>
    </xf>
    <xf numFmtId="206" fontId="94" fillId="0" borderId="0"/>
    <xf numFmtId="206" fontId="93" fillId="0" borderId="0">
      <protection locked="0"/>
    </xf>
    <xf numFmtId="206" fontId="93" fillId="0" borderId="0">
      <protection locked="0"/>
    </xf>
    <xf numFmtId="186" fontId="93" fillId="0" borderId="0">
      <protection locked="0"/>
    </xf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200" fontId="92" fillId="0" borderId="0"/>
    <xf numFmtId="0" fontId="2" fillId="0" borderId="0"/>
    <xf numFmtId="38" fontId="92" fillId="0" borderId="0" applyFont="0" applyFill="0" applyBorder="0" applyAlignment="0" applyProtection="0"/>
    <xf numFmtId="40" fontId="92" fillId="0" borderId="0" applyFont="0" applyFill="0" applyBorder="0" applyAlignment="0" applyProtection="0"/>
    <xf numFmtId="200" fontId="91" fillId="0" borderId="0"/>
    <xf numFmtId="9" fontId="90" fillId="0" borderId="0" applyFont="0" applyFill="0" applyBorder="0" applyAlignment="0" applyProtection="0"/>
    <xf numFmtId="207" fontId="2" fillId="0" borderId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6" fontId="89" fillId="0" borderId="0"/>
    <xf numFmtId="0" fontId="8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205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203" fontId="2" fillId="0" borderId="0" applyFill="0" applyBorder="0" applyAlignment="0" applyProtection="0"/>
    <xf numFmtId="44" fontId="2" fillId="0" borderId="0" applyFont="0" applyFill="0" applyBorder="0" applyAlignment="0" applyProtection="0"/>
    <xf numFmtId="202" fontId="2" fillId="0" borderId="0" applyFill="0" applyBorder="0" applyAlignment="0" applyProtection="0"/>
    <xf numFmtId="0" fontId="87" fillId="0" borderId="0" applyFont="0" applyFill="0" applyBorder="0" applyAlignment="0" applyProtection="0"/>
    <xf numFmtId="201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200" fontId="2" fillId="0" borderId="0"/>
    <xf numFmtId="0" fontId="2" fillId="0" borderId="0"/>
    <xf numFmtId="200" fontId="2" fillId="0" borderId="0"/>
    <xf numFmtId="0" fontId="2" fillId="0" borderId="0"/>
    <xf numFmtId="200" fontId="2" fillId="0" borderId="0"/>
    <xf numFmtId="38" fontId="85" fillId="0" borderId="0" applyFont="0" applyFill="0" applyBorder="0" applyAlignment="0" applyProtection="0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3" fontId="84" fillId="0" borderId="136"/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31" fillId="0" borderId="138">
      <alignment horizontal="center"/>
    </xf>
    <xf numFmtId="0" fontId="83" fillId="0" borderId="0"/>
    <xf numFmtId="0" fontId="82" fillId="0" borderId="0" applyFont="0" applyFill="0" applyBorder="0" applyAlignment="0" applyProtection="0"/>
    <xf numFmtId="0" fontId="8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170" fontId="11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2" fillId="0" borderId="0"/>
    <xf numFmtId="9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1249">
    <xf numFmtId="0" fontId="0" fillId="0" borderId="0" xfId="0"/>
    <xf numFmtId="170" fontId="69" fillId="0" borderId="209" xfId="17620" applyNumberFormat="1" applyFont="1" applyFill="1" applyBorder="1" applyAlignment="1">
      <alignment horizontal="right" vertical="center" indent="2"/>
    </xf>
    <xf numFmtId="170" fontId="69" fillId="0" borderId="187" xfId="17620" applyNumberFormat="1" applyFont="1" applyFill="1" applyBorder="1" applyAlignment="1">
      <alignment horizontal="right" vertical="center" indent="2"/>
    </xf>
    <xf numFmtId="0" fontId="68" fillId="0" borderId="3" xfId="26362" applyFont="1" applyFill="1" applyBorder="1"/>
    <xf numFmtId="0" fontId="68" fillId="0" borderId="71" xfId="26362" applyFont="1" applyFill="1" applyBorder="1" applyAlignment="1">
      <alignment vertical="center"/>
    </xf>
    <xf numFmtId="0" fontId="68" fillId="0" borderId="23" xfId="26362" applyFont="1" applyFill="1" applyBorder="1" applyAlignment="1">
      <alignment horizontal="right" vertical="center"/>
    </xf>
    <xf numFmtId="170" fontId="68" fillId="0" borderId="24" xfId="17620" applyNumberFormat="1" applyFont="1" applyFill="1" applyBorder="1" applyAlignment="1">
      <alignment horizontal="right" vertical="center" indent="2"/>
    </xf>
    <xf numFmtId="0" fontId="69" fillId="0" borderId="23" xfId="26362" applyFont="1" applyFill="1" applyBorder="1" applyAlignment="1">
      <alignment horizontal="center" vertical="center"/>
    </xf>
    <xf numFmtId="43" fontId="69" fillId="0" borderId="24" xfId="17620" applyFont="1" applyFill="1" applyBorder="1" applyAlignment="1">
      <alignment horizontal="center" vertical="center"/>
    </xf>
    <xf numFmtId="43" fontId="69" fillId="0" borderId="121" xfId="17620" applyFont="1" applyFill="1" applyBorder="1" applyAlignment="1">
      <alignment horizontal="center" vertical="center"/>
    </xf>
    <xf numFmtId="0" fontId="303" fillId="0" borderId="0" xfId="26362" applyFont="1" applyFill="1"/>
    <xf numFmtId="43" fontId="68" fillId="0" borderId="0" xfId="17620" applyFont="1" applyFill="1"/>
    <xf numFmtId="0" fontId="2" fillId="0" borderId="0" xfId="12373" applyFill="1" applyAlignment="1">
      <alignment vertical="center"/>
    </xf>
    <xf numFmtId="1" fontId="2" fillId="0" borderId="206" xfId="12373" applyNumberFormat="1" applyFill="1" applyBorder="1" applyAlignment="1">
      <alignment horizontal="center" vertical="center"/>
    </xf>
    <xf numFmtId="0" fontId="2" fillId="0" borderId="204" xfId="12373" applyFill="1" applyBorder="1" applyAlignment="1">
      <alignment horizontal="center" vertical="center"/>
    </xf>
    <xf numFmtId="3" fontId="68" fillId="0" borderId="209" xfId="17466" applyNumberFormat="1" applyFont="1" applyFill="1" applyBorder="1"/>
    <xf numFmtId="3" fontId="68" fillId="0" borderId="206" xfId="12373" applyNumberFormat="1" applyFont="1" applyFill="1" applyBorder="1"/>
    <xf numFmtId="0" fontId="8" fillId="0" borderId="207" xfId="12373" applyFont="1" applyFill="1" applyBorder="1" applyAlignment="1">
      <alignment horizontal="right"/>
    </xf>
    <xf numFmtId="0" fontId="2" fillId="0" borderId="188" xfId="12373" applyFont="1" applyFill="1" applyBorder="1"/>
    <xf numFmtId="0" fontId="12" fillId="0" borderId="188" xfId="12373" applyFont="1" applyFill="1" applyBorder="1" applyAlignment="1">
      <alignment horizontal="left"/>
    </xf>
    <xf numFmtId="0" fontId="12" fillId="0" borderId="210" xfId="12373" applyFont="1" applyFill="1" applyBorder="1" applyAlignment="1"/>
    <xf numFmtId="0" fontId="12" fillId="0" borderId="208" xfId="12373" applyFont="1" applyFill="1" applyBorder="1" applyAlignment="1"/>
    <xf numFmtId="0" fontId="2" fillId="0" borderId="188" xfId="12373" applyFont="1" applyFill="1" applyBorder="1" applyAlignment="1">
      <alignment horizontal="left"/>
    </xf>
    <xf numFmtId="0" fontId="2" fillId="0" borderId="210" xfId="12373" applyFont="1" applyFill="1" applyBorder="1" applyAlignment="1"/>
    <xf numFmtId="3" fontId="2" fillId="0" borderId="208" xfId="12373" applyNumberFormat="1" applyFont="1" applyFill="1" applyBorder="1" applyAlignment="1"/>
    <xf numFmtId="0" fontId="68" fillId="0" borderId="206" xfId="12373" applyFont="1" applyFill="1" applyBorder="1" applyAlignment="1">
      <alignment horizontal="center"/>
    </xf>
    <xf numFmtId="0" fontId="68" fillId="0" borderId="204" xfId="12373" applyFont="1" applyFill="1" applyBorder="1"/>
    <xf numFmtId="0" fontId="69" fillId="0" borderId="206" xfId="12373" applyFont="1" applyFill="1" applyBorder="1"/>
    <xf numFmtId="0" fontId="69" fillId="0" borderId="207" xfId="12373" applyFont="1" applyFill="1" applyBorder="1" applyAlignment="1">
      <alignment horizontal="center"/>
    </xf>
    <xf numFmtId="1" fontId="2" fillId="0" borderId="0" xfId="12373" applyNumberFormat="1" applyFill="1"/>
    <xf numFmtId="0" fontId="2" fillId="0" borderId="0" xfId="12373" applyFill="1" applyBorder="1" applyAlignment="1"/>
    <xf numFmtId="3" fontId="2" fillId="0" borderId="0" xfId="12373" applyNumberFormat="1" applyFill="1" applyBorder="1" applyAlignment="1"/>
    <xf numFmtId="3" fontId="2" fillId="0" borderId="0" xfId="12373" applyNumberFormat="1" applyFill="1"/>
    <xf numFmtId="3" fontId="2" fillId="0" borderId="188" xfId="12373" applyNumberFormat="1" applyFill="1" applyBorder="1" applyAlignment="1">
      <alignment horizontal="center"/>
    </xf>
    <xf numFmtId="43" fontId="68" fillId="0" borderId="24" xfId="17625" applyFont="1" applyFill="1" applyBorder="1"/>
    <xf numFmtId="0" fontId="312" fillId="0" borderId="0" xfId="0" applyFont="1" applyFill="1"/>
    <xf numFmtId="43" fontId="68" fillId="0" borderId="209" xfId="17466" applyFont="1" applyFill="1" applyBorder="1"/>
    <xf numFmtId="0" fontId="68" fillId="0" borderId="206" xfId="12373" applyFont="1" applyFill="1" applyBorder="1"/>
    <xf numFmtId="0" fontId="2" fillId="0" borderId="204" xfId="12373" applyFill="1" applyBorder="1"/>
    <xf numFmtId="0" fontId="8" fillId="0" borderId="206" xfId="12373" applyFont="1" applyFill="1" applyBorder="1"/>
    <xf numFmtId="0" fontId="8" fillId="0" borderId="207" xfId="12373" applyFont="1" applyFill="1" applyBorder="1" applyAlignment="1">
      <alignment horizontal="center"/>
    </xf>
    <xf numFmtId="0" fontId="302" fillId="0" borderId="206" xfId="12373" applyFont="1" applyFill="1" applyBorder="1" applyAlignment="1">
      <alignment horizontal="center"/>
    </xf>
    <xf numFmtId="0" fontId="302" fillId="0" borderId="208" xfId="12373" applyFont="1" applyFill="1" applyBorder="1" applyAlignment="1">
      <alignment horizontal="center" vertical="center"/>
    </xf>
    <xf numFmtId="0" fontId="302" fillId="0" borderId="206" xfId="12373" applyFont="1" applyFill="1" applyBorder="1" applyAlignment="1">
      <alignment horizontal="center" vertical="center"/>
    </xf>
    <xf numFmtId="0" fontId="302" fillId="0" borderId="207" xfId="12373" applyFont="1" applyFill="1" applyBorder="1" applyAlignment="1">
      <alignment horizontal="center" vertical="center"/>
    </xf>
    <xf numFmtId="0" fontId="9" fillId="0" borderId="0" xfId="12373" applyFont="1" applyFill="1" applyAlignment="1" applyProtection="1">
      <alignment vertical="center" wrapText="1"/>
    </xf>
    <xf numFmtId="170" fontId="65" fillId="0" borderId="199" xfId="17625" applyNumberFormat="1" applyFont="1" applyFill="1" applyBorder="1" applyAlignment="1" applyProtection="1">
      <alignment horizontal="right"/>
    </xf>
    <xf numFmtId="170" fontId="65" fillId="0" borderId="203" xfId="17625" applyNumberFormat="1" applyFont="1" applyFill="1" applyBorder="1" applyProtection="1"/>
    <xf numFmtId="164" fontId="10" fillId="0" borderId="188" xfId="11097" applyNumberFormat="1" applyFont="1" applyFill="1" applyBorder="1" applyAlignment="1">
      <alignment horizontal="left"/>
    </xf>
    <xf numFmtId="0" fontId="65" fillId="0" borderId="188" xfId="11097" applyFont="1" applyFill="1" applyBorder="1" applyAlignment="1">
      <alignment horizontal="center"/>
    </xf>
    <xf numFmtId="0" fontId="65" fillId="0" borderId="0" xfId="11097" applyFont="1" applyFill="1" applyBorder="1"/>
    <xf numFmtId="170" fontId="10" fillId="0" borderId="56" xfId="17620" applyNumberFormat="1" applyFont="1" applyFill="1" applyBorder="1" applyProtection="1"/>
    <xf numFmtId="4" fontId="10" fillId="0" borderId="202" xfId="11097" applyNumberFormat="1" applyFont="1" applyFill="1" applyBorder="1" applyProtection="1"/>
    <xf numFmtId="0" fontId="10" fillId="0" borderId="202" xfId="11097" applyFont="1" applyFill="1" applyBorder="1" applyAlignment="1" applyProtection="1">
      <alignment horizontal="center"/>
    </xf>
    <xf numFmtId="0" fontId="65" fillId="0" borderId="0" xfId="11097" applyFont="1" applyFill="1" applyBorder="1" applyProtection="1"/>
    <xf numFmtId="0" fontId="10" fillId="0" borderId="8" xfId="11097" applyFont="1" applyFill="1" applyBorder="1" applyAlignment="1" applyProtection="1">
      <alignment horizontal="center"/>
    </xf>
    <xf numFmtId="0" fontId="71" fillId="0" borderId="0" xfId="26359" applyFont="1" applyFill="1" applyBorder="1" applyAlignment="1">
      <alignment horizontal="left"/>
    </xf>
    <xf numFmtId="4" fontId="10" fillId="0" borderId="199" xfId="11097" applyNumberFormat="1" applyFont="1" applyFill="1" applyBorder="1" applyProtection="1"/>
    <xf numFmtId="0" fontId="10" fillId="0" borderId="199" xfId="11097" applyFont="1" applyFill="1" applyBorder="1" applyAlignment="1" applyProtection="1">
      <alignment horizontal="center" vertical="center"/>
    </xf>
    <xf numFmtId="0" fontId="65" fillId="0" borderId="199" xfId="11097" applyFont="1" applyFill="1" applyBorder="1" applyAlignment="1" applyProtection="1">
      <alignment vertical="center"/>
    </xf>
    <xf numFmtId="0" fontId="65" fillId="0" borderId="199" xfId="11097" applyFont="1" applyFill="1" applyBorder="1" applyAlignment="1" applyProtection="1">
      <alignment horizontal="center"/>
    </xf>
    <xf numFmtId="0" fontId="10" fillId="0" borderId="51" xfId="11097" applyFont="1" applyFill="1" applyBorder="1" applyAlignment="1" applyProtection="1">
      <alignment horizontal="center" vertical="center"/>
    </xf>
    <xf numFmtId="0" fontId="10" fillId="0" borderId="51" xfId="11097" applyFont="1" applyFill="1" applyBorder="1" applyAlignment="1" applyProtection="1">
      <alignment vertical="center"/>
    </xf>
    <xf numFmtId="4" fontId="10" fillId="0" borderId="51" xfId="11097" applyNumberFormat="1" applyFont="1" applyFill="1" applyBorder="1" applyProtection="1"/>
    <xf numFmtId="0" fontId="10" fillId="0" borderId="111" xfId="11097" applyFont="1" applyFill="1" applyBorder="1" applyAlignment="1" applyProtection="1">
      <alignment horizontal="center"/>
    </xf>
    <xf numFmtId="0" fontId="65" fillId="0" borderId="51" xfId="11098" applyFont="1" applyFill="1" applyBorder="1" applyAlignment="1" applyProtection="1">
      <alignment horizontal="left" vertical="top" wrapText="1"/>
    </xf>
    <xf numFmtId="0" fontId="65" fillId="0" borderId="71" xfId="11098" applyFont="1" applyFill="1" applyBorder="1" applyAlignment="1" applyProtection="1">
      <alignment horizontal="center" vertical="top" wrapText="1"/>
    </xf>
    <xf numFmtId="0" fontId="68" fillId="0" borderId="199" xfId="26359" applyFont="1" applyFill="1" applyBorder="1" applyAlignment="1">
      <alignment horizontal="center" vertical="center"/>
    </xf>
    <xf numFmtId="0" fontId="71" fillId="0" borderId="0" xfId="26359" applyFont="1" applyFill="1" applyBorder="1" applyAlignment="1">
      <alignment horizontal="left" vertical="center"/>
    </xf>
    <xf numFmtId="4" fontId="10" fillId="0" borderId="191" xfId="18270" applyNumberFormat="1" applyFont="1" applyFill="1" applyBorder="1" applyProtection="1"/>
    <xf numFmtId="0" fontId="10" fillId="0" borderId="191" xfId="11098" applyFont="1" applyFill="1" applyBorder="1" applyAlignment="1" applyProtection="1">
      <alignment horizontal="center"/>
    </xf>
    <xf numFmtId="0" fontId="10" fillId="0" borderId="66" xfId="11098" applyFont="1" applyFill="1" applyBorder="1" applyAlignment="1" applyProtection="1">
      <alignment vertical="center"/>
    </xf>
    <xf numFmtId="0" fontId="10" fillId="0" borderId="51" xfId="11098" applyFont="1" applyFill="1" applyBorder="1" applyAlignment="1" applyProtection="1">
      <alignment vertical="center"/>
    </xf>
    <xf numFmtId="0" fontId="10" fillId="0" borderId="71" xfId="11098" applyFont="1" applyFill="1" applyBorder="1" applyAlignment="1" applyProtection="1">
      <alignment horizontal="center" vertical="top"/>
    </xf>
    <xf numFmtId="0" fontId="10" fillId="0" borderId="113" xfId="11098" applyFont="1" applyFill="1" applyBorder="1" applyAlignment="1" applyProtection="1">
      <alignment horizontal="center" vertical="top"/>
    </xf>
    <xf numFmtId="0" fontId="10" fillId="0" borderId="113" xfId="11098" applyFont="1" applyFill="1" applyBorder="1" applyAlignment="1" applyProtection="1">
      <alignment horizontal="center" vertical="center"/>
    </xf>
    <xf numFmtId="3" fontId="10" fillId="0" borderId="51" xfId="11098" applyNumberFormat="1" applyFont="1" applyFill="1" applyBorder="1" applyProtection="1"/>
    <xf numFmtId="0" fontId="65" fillId="0" borderId="56" xfId="11098" applyFont="1" applyFill="1" applyBorder="1" applyProtection="1"/>
    <xf numFmtId="0" fontId="10" fillId="0" borderId="192" xfId="11098" applyFont="1" applyFill="1" applyBorder="1" applyAlignment="1" applyProtection="1">
      <alignment horizontal="center"/>
    </xf>
    <xf numFmtId="170" fontId="10" fillId="0" borderId="56" xfId="17625" applyNumberFormat="1" applyFont="1" applyFill="1" applyBorder="1" applyAlignment="1" applyProtection="1">
      <alignment vertical="center"/>
    </xf>
    <xf numFmtId="0" fontId="10" fillId="0" borderId="56" xfId="11096" applyFont="1" applyFill="1" applyBorder="1" applyAlignment="1" applyProtection="1">
      <alignment horizontal="center" vertical="center"/>
    </xf>
    <xf numFmtId="0" fontId="10" fillId="0" borderId="51" xfId="11098" applyFont="1" applyFill="1" applyBorder="1" applyAlignment="1" applyProtection="1">
      <alignment vertical="center" wrapText="1"/>
    </xf>
    <xf numFmtId="0" fontId="10" fillId="0" borderId="71" xfId="11098" applyFont="1" applyFill="1" applyBorder="1" applyAlignment="1" applyProtection="1">
      <alignment horizontal="center" vertical="center"/>
    </xf>
    <xf numFmtId="305" fontId="10" fillId="0" borderId="51" xfId="11098" applyNumberFormat="1" applyFont="1" applyFill="1" applyBorder="1" applyProtection="1"/>
    <xf numFmtId="0" fontId="65" fillId="0" borderId="111" xfId="11098" applyFont="1" applyFill="1" applyBorder="1" applyAlignment="1" applyProtection="1">
      <alignment horizontal="center"/>
    </xf>
    <xf numFmtId="170" fontId="65" fillId="0" borderId="198" xfId="17625" applyNumberFormat="1" applyFont="1" applyFill="1" applyBorder="1" applyProtection="1"/>
    <xf numFmtId="3" fontId="65" fillId="0" borderId="104" xfId="18270" applyNumberFormat="1" applyFont="1" applyFill="1" applyBorder="1" applyAlignment="1" applyProtection="1"/>
    <xf numFmtId="3" fontId="10" fillId="0" borderId="114" xfId="11097" applyNumberFormat="1" applyFont="1" applyFill="1" applyBorder="1" applyAlignment="1">
      <alignment horizontal="left"/>
    </xf>
    <xf numFmtId="3" fontId="10" fillId="0" borderId="114" xfId="11097" applyNumberFormat="1" applyFont="1" applyFill="1" applyBorder="1"/>
    <xf numFmtId="0" fontId="10" fillId="0" borderId="114" xfId="11097" applyFont="1" applyFill="1" applyBorder="1" applyAlignment="1">
      <alignment horizontal="left"/>
    </xf>
    <xf numFmtId="0" fontId="10" fillId="0" borderId="159" xfId="11097" applyFont="1" applyFill="1" applyBorder="1" applyAlignment="1">
      <alignment horizontal="center"/>
    </xf>
    <xf numFmtId="0" fontId="10" fillId="0" borderId="71" xfId="11098" applyFont="1" applyFill="1" applyBorder="1" applyAlignment="1" applyProtection="1">
      <alignment horizontal="center"/>
    </xf>
    <xf numFmtId="0" fontId="71" fillId="0" borderId="0" xfId="26359" applyFont="1" applyFill="1" applyBorder="1" applyAlignment="1"/>
    <xf numFmtId="3" fontId="65" fillId="0" borderId="114" xfId="11097" applyNumberFormat="1" applyFont="1" applyFill="1" applyBorder="1"/>
    <xf numFmtId="0" fontId="10" fillId="0" borderId="196" xfId="11098" applyFont="1" applyFill="1" applyBorder="1" applyAlignment="1" applyProtection="1">
      <alignment horizontal="center"/>
    </xf>
    <xf numFmtId="0" fontId="65" fillId="0" borderId="0" xfId="11097" applyFont="1" applyFill="1" applyBorder="1" applyAlignment="1"/>
    <xf numFmtId="3" fontId="10" fillId="0" borderId="0" xfId="11097" applyNumberFormat="1" applyFont="1" applyFill="1" applyBorder="1"/>
    <xf numFmtId="0" fontId="65" fillId="0" borderId="196" xfId="11097" applyFont="1" applyFill="1" applyBorder="1" applyAlignment="1">
      <alignment horizontal="center"/>
    </xf>
    <xf numFmtId="170" fontId="10" fillId="0" borderId="112" xfId="17625" applyNumberFormat="1" applyFont="1" applyFill="1" applyBorder="1" applyProtection="1"/>
    <xf numFmtId="2" fontId="10" fillId="0" borderId="51" xfId="11098" applyNumberFormat="1" applyFont="1" applyFill="1" applyBorder="1" applyProtection="1"/>
    <xf numFmtId="0" fontId="10" fillId="0" borderId="51" xfId="11098" applyFont="1" applyFill="1" applyBorder="1" applyProtection="1"/>
    <xf numFmtId="0" fontId="65" fillId="0" borderId="51" xfId="11098" applyFont="1" applyFill="1" applyBorder="1" applyProtection="1"/>
    <xf numFmtId="0" fontId="65" fillId="0" borderId="71" xfId="11098" applyFont="1" applyFill="1" applyBorder="1" applyAlignment="1" applyProtection="1">
      <alignment horizontal="center"/>
    </xf>
    <xf numFmtId="170" fontId="10" fillId="0" borderId="57" xfId="17625" applyNumberFormat="1" applyFont="1" applyFill="1" applyBorder="1" applyProtection="1"/>
    <xf numFmtId="43" fontId="10" fillId="0" borderId="56" xfId="17620" applyFont="1" applyFill="1" applyBorder="1" applyProtection="1"/>
    <xf numFmtId="2" fontId="10" fillId="0" borderId="56" xfId="11097" applyNumberFormat="1" applyFont="1" applyFill="1" applyBorder="1" applyProtection="1"/>
    <xf numFmtId="0" fontId="10" fillId="0" borderId="56" xfId="11097" applyFont="1" applyFill="1" applyBorder="1" applyProtection="1"/>
    <xf numFmtId="0" fontId="10" fillId="0" borderId="111" xfId="11097" applyFont="1" applyFill="1" applyBorder="1" applyProtection="1"/>
    <xf numFmtId="170" fontId="10" fillId="0" borderId="110" xfId="17625" applyNumberFormat="1" applyFont="1" applyFill="1" applyBorder="1" applyProtection="1"/>
    <xf numFmtId="43" fontId="10" fillId="0" borderId="109" xfId="17620" applyFont="1" applyFill="1" applyBorder="1" applyProtection="1"/>
    <xf numFmtId="2" fontId="10" fillId="0" borderId="109" xfId="11097" applyNumberFormat="1" applyFont="1" applyFill="1" applyBorder="1" applyProtection="1"/>
    <xf numFmtId="0" fontId="10" fillId="0" borderId="109" xfId="11097" applyFont="1" applyFill="1" applyBorder="1" applyProtection="1"/>
    <xf numFmtId="0" fontId="64" fillId="0" borderId="108" xfId="11096" applyFont="1" applyFill="1" applyBorder="1" applyAlignment="1" applyProtection="1">
      <alignment vertical="center" wrapText="1"/>
    </xf>
    <xf numFmtId="0" fontId="65" fillId="0" borderId="107" xfId="11097" applyFont="1" applyFill="1" applyBorder="1" applyAlignment="1" applyProtection="1">
      <alignment horizontal="center" vertical="top"/>
    </xf>
    <xf numFmtId="170" fontId="10" fillId="0" borderId="51" xfId="17625" applyNumberFormat="1" applyFont="1" applyFill="1" applyBorder="1" applyAlignment="1" applyProtection="1">
      <alignment horizontal="right" vertical="top"/>
    </xf>
    <xf numFmtId="37" fontId="10" fillId="0" borderId="51" xfId="11097" applyNumberFormat="1" applyFont="1" applyFill="1" applyBorder="1" applyAlignment="1" applyProtection="1">
      <alignment vertical="top"/>
    </xf>
    <xf numFmtId="0" fontId="10" fillId="0" borderId="51" xfId="11096" applyFont="1" applyFill="1" applyBorder="1" applyAlignment="1" applyProtection="1">
      <alignment horizontal="center" vertical="top"/>
    </xf>
    <xf numFmtId="0" fontId="10" fillId="0" borderId="56" xfId="11097" applyFont="1" applyFill="1" applyBorder="1" applyAlignment="1" applyProtection="1">
      <alignment horizontal="left"/>
    </xf>
    <xf numFmtId="3" fontId="10" fillId="0" borderId="56" xfId="11097" applyNumberFormat="1" applyFont="1" applyFill="1" applyBorder="1" applyProtection="1"/>
    <xf numFmtId="3" fontId="10" fillId="0" borderId="51" xfId="11097" applyNumberFormat="1" applyFont="1" applyFill="1" applyBorder="1" applyProtection="1"/>
    <xf numFmtId="170" fontId="10" fillId="0" borderId="51" xfId="17625" applyNumberFormat="1" applyFont="1" applyFill="1" applyBorder="1" applyProtection="1"/>
    <xf numFmtId="170" fontId="65" fillId="0" borderId="195" xfId="17625" applyNumberFormat="1" applyFont="1" applyFill="1" applyBorder="1" applyAlignment="1" applyProtection="1">
      <alignment horizontal="right"/>
    </xf>
    <xf numFmtId="0" fontId="10" fillId="0" borderId="193" xfId="11097" applyFont="1" applyFill="1" applyBorder="1" applyAlignment="1" applyProtection="1">
      <alignment horizontal="center"/>
    </xf>
    <xf numFmtId="170" fontId="10" fillId="0" borderId="56" xfId="17620" applyNumberFormat="1" applyFont="1" applyFill="1" applyBorder="1" applyAlignment="1" applyProtection="1">
      <alignment horizontal="center"/>
    </xf>
    <xf numFmtId="0" fontId="65" fillId="0" borderId="56" xfId="11097" applyFont="1" applyFill="1" applyBorder="1" applyAlignment="1" applyProtection="1">
      <alignment horizontal="center"/>
    </xf>
    <xf numFmtId="170" fontId="10" fillId="0" borderId="56" xfId="17625" applyNumberFormat="1" applyFont="1" applyFill="1" applyBorder="1" applyAlignment="1" applyProtection="1">
      <alignment horizontal="right"/>
    </xf>
    <xf numFmtId="3" fontId="65" fillId="0" borderId="114" xfId="11097" applyNumberFormat="1" applyFont="1" applyFill="1" applyBorder="1" applyAlignment="1">
      <alignment horizontal="center"/>
    </xf>
    <xf numFmtId="170" fontId="65" fillId="0" borderId="192" xfId="17625" applyNumberFormat="1" applyFont="1" applyFill="1" applyBorder="1" applyAlignment="1" applyProtection="1">
      <alignment horizontal="right" vertical="top"/>
    </xf>
    <xf numFmtId="0" fontId="10" fillId="0" borderId="56" xfId="11097" applyFont="1" applyFill="1" applyBorder="1" applyAlignment="1" applyProtection="1">
      <alignment horizontal="left" vertical="top" wrapText="1"/>
    </xf>
    <xf numFmtId="0" fontId="65" fillId="0" borderId="0" xfId="11097" applyFont="1" applyFill="1" applyBorder="1" applyAlignment="1">
      <alignment horizontal="center" vertical="center"/>
    </xf>
    <xf numFmtId="0" fontId="68" fillId="0" borderId="0" xfId="26359" applyFont="1" applyFill="1" applyBorder="1" applyAlignment="1">
      <alignment vertical="center"/>
    </xf>
    <xf numFmtId="3" fontId="10" fillId="0" borderId="114" xfId="11097" applyNumberFormat="1" applyFont="1" applyFill="1" applyBorder="1" applyAlignment="1">
      <alignment horizontal="center" vertical="center"/>
    </xf>
    <xf numFmtId="0" fontId="65" fillId="0" borderId="106" xfId="11097" applyFont="1" applyFill="1" applyBorder="1" applyAlignment="1">
      <alignment horizontal="center" vertical="center"/>
    </xf>
    <xf numFmtId="170" fontId="10" fillId="0" borderId="56" xfId="17620" applyNumberFormat="1" applyFont="1" applyFill="1" applyBorder="1" applyAlignment="1" applyProtection="1">
      <alignment vertical="top"/>
    </xf>
    <xf numFmtId="0" fontId="10" fillId="0" borderId="56" xfId="11096" applyFont="1" applyFill="1" applyBorder="1" applyAlignment="1" applyProtection="1">
      <alignment horizontal="centerContinuous" vertical="top"/>
    </xf>
    <xf numFmtId="0" fontId="10" fillId="0" borderId="56" xfId="11097" applyFont="1" applyFill="1" applyBorder="1" applyAlignment="1" applyProtection="1">
      <alignment horizontal="left" vertical="center" wrapText="1"/>
    </xf>
    <xf numFmtId="0" fontId="10" fillId="0" borderId="51" xfId="11096" applyFont="1" applyFill="1" applyBorder="1" applyAlignment="1" applyProtection="1">
      <alignment horizontal="center" vertical="center"/>
    </xf>
    <xf numFmtId="0" fontId="65" fillId="0" borderId="0" xfId="11097" applyFont="1" applyFill="1" applyBorder="1" applyAlignment="1">
      <alignment horizontal="left"/>
    </xf>
    <xf numFmtId="0" fontId="65" fillId="0" borderId="114" xfId="11097" applyFont="1" applyFill="1" applyBorder="1" applyAlignment="1">
      <alignment horizontal="center"/>
    </xf>
    <xf numFmtId="170" fontId="10" fillId="0" borderId="56" xfId="17625" applyNumberFormat="1" applyFont="1" applyFill="1" applyBorder="1" applyAlignment="1" applyProtection="1">
      <alignment horizontal="right" vertical="top"/>
    </xf>
    <xf numFmtId="4" fontId="10" fillId="0" borderId="56" xfId="11097" applyNumberFormat="1" applyFont="1" applyFill="1" applyBorder="1" applyAlignment="1" applyProtection="1">
      <alignment horizontal="right"/>
    </xf>
    <xf numFmtId="166" fontId="68" fillId="0" borderId="0" xfId="26359" applyNumberFormat="1" applyFont="1" applyFill="1" applyBorder="1" applyAlignment="1"/>
    <xf numFmtId="166" fontId="10" fillId="0" borderId="0" xfId="11097" applyNumberFormat="1" applyFont="1" applyFill="1" applyBorder="1" applyAlignment="1">
      <alignment horizontal="center"/>
    </xf>
    <xf numFmtId="3" fontId="68" fillId="0" borderId="0" xfId="17625" applyNumberFormat="1" applyFont="1" applyFill="1" applyBorder="1" applyAlignment="1"/>
    <xf numFmtId="0" fontId="10" fillId="0" borderId="0" xfId="11097" applyFont="1" applyFill="1" applyBorder="1" applyAlignment="1">
      <alignment horizontal="center"/>
    </xf>
    <xf numFmtId="43" fontId="65" fillId="0" borderId="0" xfId="17625" applyFont="1" applyFill="1" applyBorder="1" applyAlignment="1">
      <alignment horizontal="center"/>
    </xf>
    <xf numFmtId="0" fontId="68" fillId="0" borderId="0" xfId="26359" applyFont="1" applyFill="1" applyBorder="1" applyAlignment="1"/>
    <xf numFmtId="0" fontId="68" fillId="0" borderId="66" xfId="26359" applyFont="1" applyFill="1" applyBorder="1" applyAlignment="1"/>
    <xf numFmtId="0" fontId="10" fillId="0" borderId="56" xfId="11097" applyFont="1" applyFill="1" applyBorder="1" applyAlignment="1" applyProtection="1">
      <alignment horizontal="center" vertical="center"/>
    </xf>
    <xf numFmtId="170" fontId="10" fillId="0" borderId="56" xfId="17625" applyNumberFormat="1" applyFont="1" applyFill="1" applyBorder="1" applyProtection="1"/>
    <xf numFmtId="0" fontId="10" fillId="0" borderId="56" xfId="11097" applyFont="1" applyFill="1" applyBorder="1" applyAlignment="1" applyProtection="1">
      <alignment horizontal="centerContinuous" vertical="top"/>
    </xf>
    <xf numFmtId="0" fontId="10" fillId="0" borderId="56" xfId="11097" applyFont="1" applyFill="1" applyBorder="1" applyAlignment="1" applyProtection="1">
      <alignment vertical="center"/>
    </xf>
    <xf numFmtId="0" fontId="65" fillId="0" borderId="56" xfId="11097" applyFont="1" applyFill="1" applyBorder="1" applyAlignment="1" applyProtection="1">
      <alignment horizontal="left"/>
    </xf>
    <xf numFmtId="2" fontId="10" fillId="0" borderId="56" xfId="11097" applyNumberFormat="1" applyFont="1" applyFill="1" applyBorder="1" applyAlignment="1" applyProtection="1">
      <alignment horizontal="center"/>
    </xf>
    <xf numFmtId="170" fontId="65" fillId="0" borderId="192" xfId="17625" applyNumberFormat="1" applyFont="1" applyFill="1" applyBorder="1" applyAlignment="1" applyProtection="1">
      <alignment horizontal="right"/>
    </xf>
    <xf numFmtId="0" fontId="65" fillId="0" borderId="66" xfId="11097" applyFont="1" applyFill="1" applyBorder="1" applyAlignment="1" applyProtection="1">
      <alignment horizontal="center"/>
    </xf>
    <xf numFmtId="170" fontId="10" fillId="0" borderId="56" xfId="17625" applyNumberFormat="1" applyFont="1" applyFill="1" applyBorder="1" applyAlignment="1" applyProtection="1">
      <alignment horizontal="center"/>
    </xf>
    <xf numFmtId="0" fontId="10" fillId="0" borderId="51" xfId="11098" applyFont="1" applyFill="1" applyBorder="1" applyAlignment="1" applyProtection="1">
      <alignment horizontal="center"/>
    </xf>
    <xf numFmtId="0" fontId="10" fillId="0" borderId="56" xfId="11096" applyFont="1" applyFill="1" applyBorder="1" applyProtection="1"/>
    <xf numFmtId="0" fontId="65" fillId="0" borderId="56" xfId="11096" applyFont="1" applyFill="1" applyBorder="1" applyAlignment="1" applyProtection="1">
      <alignment vertical="center" wrapText="1"/>
    </xf>
    <xf numFmtId="0" fontId="65" fillId="0" borderId="51" xfId="11096" applyFont="1" applyFill="1" applyBorder="1" applyAlignment="1" applyProtection="1">
      <alignment vertical="center" wrapText="1"/>
    </xf>
    <xf numFmtId="0" fontId="65" fillId="0" borderId="51" xfId="11097" applyFont="1" applyFill="1" applyBorder="1" applyAlignment="1" applyProtection="1">
      <alignment horizontal="center"/>
    </xf>
    <xf numFmtId="0" fontId="65" fillId="0" borderId="0" xfId="11097" applyFont="1" applyFill="1" applyBorder="1" applyAlignment="1">
      <alignment horizontal="center"/>
    </xf>
    <xf numFmtId="43" fontId="10" fillId="0" borderId="56" xfId="17620" applyFont="1" applyFill="1" applyBorder="1" applyAlignment="1" applyProtection="1">
      <alignment horizontal="center"/>
    </xf>
    <xf numFmtId="0" fontId="10" fillId="0" borderId="56" xfId="11097" applyFont="1" applyFill="1" applyBorder="1" applyAlignment="1" applyProtection="1">
      <alignment horizontal="center"/>
    </xf>
    <xf numFmtId="0" fontId="10" fillId="0" borderId="51" xfId="11097" applyFont="1" applyFill="1" applyBorder="1" applyAlignment="1" applyProtection="1">
      <alignment horizontal="center"/>
    </xf>
    <xf numFmtId="0" fontId="65" fillId="0" borderId="68" xfId="17620" applyNumberFormat="1" applyFont="1" applyFill="1" applyBorder="1" applyAlignment="1" applyProtection="1">
      <alignment horizontal="center"/>
    </xf>
    <xf numFmtId="0" fontId="65" fillId="0" borderId="68" xfId="11097" applyFont="1" applyFill="1" applyBorder="1" applyAlignment="1" applyProtection="1">
      <alignment horizontal="center"/>
    </xf>
    <xf numFmtId="0" fontId="65" fillId="0" borderId="191" xfId="11097" applyFont="1" applyFill="1" applyBorder="1" applyAlignment="1" applyProtection="1">
      <alignment horizontal="center"/>
    </xf>
    <xf numFmtId="43" fontId="65" fillId="0" borderId="191" xfId="17620" applyFont="1" applyFill="1" applyBorder="1" applyAlignment="1" applyProtection="1">
      <alignment horizontal="center"/>
    </xf>
    <xf numFmtId="0" fontId="65" fillId="0" borderId="56" xfId="11097" applyFont="1" applyFill="1" applyBorder="1" applyAlignment="1" applyProtection="1">
      <alignment horizontal="centerContinuous"/>
    </xf>
    <xf numFmtId="43" fontId="65" fillId="0" borderId="189" xfId="17620" applyFont="1" applyFill="1" applyBorder="1" applyAlignment="1" applyProtection="1">
      <alignment horizontal="center"/>
    </xf>
    <xf numFmtId="0" fontId="44" fillId="0" borderId="0" xfId="26362" applyFont="1" applyFill="1" applyBorder="1" applyAlignment="1">
      <alignment horizontal="center" vertical="top" wrapText="1"/>
    </xf>
    <xf numFmtId="37" fontId="309" fillId="0" borderId="0" xfId="11095" applyFont="1" applyFill="1" applyAlignment="1"/>
    <xf numFmtId="37" fontId="309" fillId="0" borderId="0" xfId="11099" applyFont="1" applyFill="1" applyAlignment="1">
      <alignment vertical="top" wrapText="1"/>
    </xf>
    <xf numFmtId="0" fontId="37" fillId="0" borderId="0" xfId="26362" applyFont="1" applyFill="1" applyBorder="1"/>
    <xf numFmtId="0" fontId="10" fillId="0" borderId="0" xfId="11097" applyFont="1" applyFill="1" applyBorder="1"/>
    <xf numFmtId="43" fontId="10" fillId="0" borderId="0" xfId="17620" applyFont="1" applyFill="1"/>
    <xf numFmtId="0" fontId="10" fillId="0" borderId="0" xfId="11097" applyFont="1" applyFill="1"/>
    <xf numFmtId="165" fontId="68" fillId="0" borderId="7" xfId="26364" applyFont="1" applyFill="1" applyBorder="1"/>
    <xf numFmtId="165" fontId="68" fillId="0" borderId="88" xfId="26364" applyFont="1" applyFill="1" applyBorder="1" applyAlignment="1">
      <alignment vertical="center"/>
    </xf>
    <xf numFmtId="0" fontId="2" fillId="0" borderId="8" xfId="12373" applyFill="1" applyBorder="1"/>
    <xf numFmtId="0" fontId="2" fillId="0" borderId="7" xfId="12373" applyFill="1" applyBorder="1"/>
    <xf numFmtId="0" fontId="2" fillId="0" borderId="84" xfId="12373" applyFill="1" applyBorder="1"/>
    <xf numFmtId="3" fontId="68" fillId="0" borderId="7" xfId="12373" applyNumberFormat="1" applyFont="1" applyFill="1" applyBorder="1" applyAlignment="1">
      <alignment horizontal="center"/>
    </xf>
    <xf numFmtId="0" fontId="2" fillId="0" borderId="0" xfId="12373" applyFill="1" applyBorder="1"/>
    <xf numFmtId="0" fontId="12" fillId="0" borderId="23" xfId="12373" applyFont="1" applyFill="1" applyBorder="1" applyAlignment="1">
      <alignment horizontal="right"/>
    </xf>
    <xf numFmtId="0" fontId="304" fillId="0" borderId="23" xfId="12373" applyFont="1" applyFill="1" applyBorder="1" applyAlignment="1">
      <alignment horizontal="center" vertical="center"/>
    </xf>
    <xf numFmtId="0" fontId="302" fillId="0" borderId="188" xfId="12373" applyFont="1" applyFill="1" applyBorder="1" applyAlignment="1">
      <alignment horizontal="center" vertical="center"/>
    </xf>
    <xf numFmtId="3" fontId="68" fillId="0" borderId="17" xfId="0" applyNumberFormat="1" applyFont="1" applyFill="1" applyBorder="1"/>
    <xf numFmtId="0" fontId="2" fillId="0" borderId="7" xfId="12373" applyFont="1" applyFill="1" applyBorder="1" applyAlignment="1">
      <alignment horizontal="right" indent="2"/>
    </xf>
    <xf numFmtId="0" fontId="2" fillId="0" borderId="8" xfId="12373" applyFont="1" applyFill="1" applyBorder="1"/>
    <xf numFmtId="0" fontId="2" fillId="0" borderId="7" xfId="12373" applyFont="1" applyFill="1" applyBorder="1"/>
    <xf numFmtId="0" fontId="2" fillId="0" borderId="84" xfId="12373" applyFont="1" applyFill="1" applyBorder="1"/>
    <xf numFmtId="0" fontId="68" fillId="0" borderId="71" xfId="12373" applyFont="1" applyFill="1" applyBorder="1" applyAlignment="1">
      <alignment horizontal="center"/>
    </xf>
    <xf numFmtId="3" fontId="68" fillId="0" borderId="127" xfId="12373" applyNumberFormat="1" applyFont="1" applyFill="1" applyBorder="1" applyAlignment="1">
      <alignment horizontal="right"/>
    </xf>
    <xf numFmtId="0" fontId="2" fillId="0" borderId="127" xfId="12373" applyFill="1" applyBorder="1" applyAlignment="1">
      <alignment horizontal="center" vertical="center"/>
    </xf>
    <xf numFmtId="0" fontId="2" fillId="0" borderId="128" xfId="12373" applyFill="1" applyBorder="1"/>
    <xf numFmtId="0" fontId="8" fillId="0" borderId="127" xfId="12373" applyFont="1" applyFill="1" applyBorder="1"/>
    <xf numFmtId="0" fontId="8" fillId="0" borderId="116" xfId="12373" applyFont="1" applyFill="1" applyBorder="1" applyAlignment="1">
      <alignment horizontal="right"/>
    </xf>
    <xf numFmtId="3" fontId="68" fillId="0" borderId="7" xfId="0" applyNumberFormat="1" applyFont="1" applyFill="1" applyBorder="1" applyAlignment="1">
      <alignment horizontal="right"/>
    </xf>
    <xf numFmtId="0" fontId="2" fillId="0" borderId="12" xfId="12373" applyFill="1" applyBorder="1"/>
    <xf numFmtId="3" fontId="68" fillId="0" borderId="113" xfId="0" applyNumberFormat="1" applyFont="1" applyFill="1" applyBorder="1" applyAlignment="1">
      <alignment horizontal="right"/>
    </xf>
    <xf numFmtId="165" fontId="68" fillId="0" borderId="92" xfId="26364" applyFont="1" applyFill="1" applyBorder="1"/>
    <xf numFmtId="165" fontId="68" fillId="0" borderId="17" xfId="26364" applyFont="1" applyFill="1" applyBorder="1" applyAlignment="1">
      <alignment horizontal="right"/>
    </xf>
    <xf numFmtId="2" fontId="68" fillId="0" borderId="17" xfId="12373" applyNumberFormat="1" applyFont="1" applyFill="1" applyBorder="1" applyAlignment="1">
      <alignment horizontal="right" indent="2"/>
    </xf>
    <xf numFmtId="0" fontId="68" fillId="0" borderId="16" xfId="12373" applyFont="1" applyFill="1" applyBorder="1" applyAlignment="1">
      <alignment horizontal="center" vertical="center"/>
    </xf>
    <xf numFmtId="0" fontId="68" fillId="0" borderId="17" xfId="12373" applyFont="1" applyFill="1" applyBorder="1"/>
    <xf numFmtId="0" fontId="68" fillId="0" borderId="15" xfId="12373" applyFont="1" applyFill="1" applyBorder="1"/>
    <xf numFmtId="165" fontId="68" fillId="0" borderId="127" xfId="26364" applyFont="1" applyFill="1" applyBorder="1" applyAlignment="1">
      <alignment horizontal="right"/>
    </xf>
    <xf numFmtId="165" fontId="68" fillId="0" borderId="7" xfId="26364" applyFont="1" applyFill="1" applyBorder="1" applyAlignment="1">
      <alignment horizontal="right"/>
    </xf>
    <xf numFmtId="165" fontId="68" fillId="0" borderId="127" xfId="26364" applyFont="1" applyFill="1" applyBorder="1"/>
    <xf numFmtId="165" fontId="68" fillId="0" borderId="113" xfId="26364" applyFont="1" applyFill="1" applyBorder="1" applyAlignment="1">
      <alignment horizontal="right"/>
    </xf>
    <xf numFmtId="165" fontId="68" fillId="0" borderId="113" xfId="26364" applyFont="1" applyFill="1" applyBorder="1"/>
    <xf numFmtId="165" fontId="68" fillId="0" borderId="188" xfId="26364" applyFont="1" applyFill="1" applyBorder="1" applyAlignment="1">
      <alignment vertical="center"/>
    </xf>
    <xf numFmtId="165" fontId="302" fillId="0" borderId="127" xfId="26364" applyFont="1" applyFill="1" applyBorder="1" applyAlignment="1">
      <alignment horizontal="center"/>
    </xf>
    <xf numFmtId="165" fontId="2" fillId="0" borderId="188" xfId="26364" applyFont="1" applyFill="1" applyBorder="1" applyAlignment="1">
      <alignment horizontal="center"/>
    </xf>
    <xf numFmtId="165" fontId="68" fillId="0" borderId="91" xfId="26364" applyFont="1" applyFill="1" applyBorder="1"/>
    <xf numFmtId="165" fontId="68" fillId="0" borderId="118" xfId="26364" applyFont="1" applyFill="1" applyBorder="1"/>
    <xf numFmtId="165" fontId="68" fillId="0" borderId="24" xfId="26364" applyFont="1" applyFill="1" applyBorder="1"/>
    <xf numFmtId="165" fontId="68" fillId="0" borderId="187" xfId="26364" applyFont="1" applyFill="1" applyBorder="1" applyAlignment="1">
      <alignment vertical="center"/>
    </xf>
    <xf numFmtId="165" fontId="302" fillId="0" borderId="118" xfId="26364" applyFont="1" applyFill="1" applyBorder="1" applyAlignment="1">
      <alignment horizontal="center"/>
    </xf>
    <xf numFmtId="165" fontId="2" fillId="0" borderId="187" xfId="26364" applyFont="1" applyFill="1" applyBorder="1" applyAlignment="1">
      <alignment horizontal="center"/>
    </xf>
    <xf numFmtId="165" fontId="2" fillId="0" borderId="0" xfId="26364" applyFont="1" applyFill="1"/>
    <xf numFmtId="2" fontId="68" fillId="0" borderId="113" xfId="12373" applyNumberFormat="1" applyFont="1" applyFill="1" applyBorder="1" applyAlignment="1">
      <alignment horizontal="right" indent="2"/>
    </xf>
    <xf numFmtId="0" fontId="8" fillId="0" borderId="127" xfId="12373" applyFont="1" applyFill="1" applyBorder="1" applyAlignment="1">
      <alignment horizontal="left" vertical="top" wrapText="1"/>
    </xf>
    <xf numFmtId="4" fontId="68" fillId="0" borderId="113" xfId="12373" applyNumberFormat="1" applyFont="1" applyFill="1" applyBorder="1" applyAlignment="1">
      <alignment horizontal="right" indent="2"/>
    </xf>
    <xf numFmtId="3" fontId="68" fillId="0" borderId="127" xfId="12373" applyNumberFormat="1" applyFont="1" applyFill="1" applyBorder="1" applyAlignment="1">
      <alignment horizontal="right" indent="2"/>
    </xf>
    <xf numFmtId="0" fontId="69" fillId="0" borderId="127" xfId="12373" quotePrefix="1" applyFont="1" applyFill="1" applyBorder="1"/>
    <xf numFmtId="3" fontId="68" fillId="0" borderId="7" xfId="12373" applyNumberFormat="1" applyFont="1" applyFill="1" applyBorder="1" applyAlignment="1">
      <alignment horizontal="right" indent="2"/>
    </xf>
    <xf numFmtId="0" fontId="68" fillId="0" borderId="8" xfId="12373" applyFont="1" applyFill="1" applyBorder="1" applyAlignment="1">
      <alignment horizontal="center" vertical="center"/>
    </xf>
    <xf numFmtId="0" fontId="69" fillId="0" borderId="7" xfId="12373" applyFont="1" applyFill="1" applyBorder="1"/>
    <xf numFmtId="0" fontId="68" fillId="0" borderId="84" xfId="12373" applyFont="1" applyFill="1" applyBorder="1"/>
    <xf numFmtId="0" fontId="69" fillId="0" borderId="113" xfId="12373" applyFont="1" applyFill="1" applyBorder="1"/>
    <xf numFmtId="0" fontId="69" fillId="0" borderId="113" xfId="12373" quotePrefix="1" applyFont="1" applyFill="1" applyBorder="1"/>
    <xf numFmtId="0" fontId="69" fillId="0" borderId="23" xfId="12373" applyFont="1" applyFill="1" applyBorder="1" applyAlignment="1">
      <alignment horizontal="center"/>
    </xf>
    <xf numFmtId="0" fontId="68" fillId="0" borderId="127" xfId="12373" applyFont="1" applyFill="1" applyBorder="1" applyAlignment="1">
      <alignment horizontal="right" indent="2"/>
    </xf>
    <xf numFmtId="0" fontId="68" fillId="0" borderId="128" xfId="12373" applyFont="1" applyFill="1" applyBorder="1"/>
    <xf numFmtId="0" fontId="69" fillId="0" borderId="127" xfId="12373" applyFont="1" applyFill="1" applyBorder="1"/>
    <xf numFmtId="0" fontId="69" fillId="0" borderId="116" xfId="12373" applyFont="1" applyFill="1" applyBorder="1" applyAlignment="1">
      <alignment horizontal="center"/>
    </xf>
    <xf numFmtId="3" fontId="68" fillId="0" borderId="113" xfId="12373" applyNumberFormat="1" applyFont="1" applyFill="1" applyBorder="1" applyAlignment="1">
      <alignment horizontal="right"/>
    </xf>
    <xf numFmtId="0" fontId="2" fillId="0" borderId="71" xfId="12373" applyFont="1" applyFill="1" applyBorder="1" applyAlignment="1">
      <alignment horizontal="center" vertical="center"/>
    </xf>
    <xf numFmtId="0" fontId="2" fillId="0" borderId="113" xfId="12373" applyFont="1" applyFill="1" applyBorder="1"/>
    <xf numFmtId="1" fontId="2" fillId="0" borderId="113" xfId="12373" applyNumberFormat="1" applyFont="1" applyFill="1" applyBorder="1" applyAlignment="1">
      <alignment horizontal="center" vertical="center"/>
    </xf>
    <xf numFmtId="0" fontId="2" fillId="0" borderId="71" xfId="12373" applyFill="1" applyBorder="1" applyAlignment="1">
      <alignment horizontal="center" vertical="center"/>
    </xf>
    <xf numFmtId="0" fontId="68" fillId="0" borderId="0" xfId="12373" applyFont="1" applyFill="1" applyBorder="1"/>
    <xf numFmtId="4" fontId="68" fillId="0" borderId="113" xfId="12373" applyNumberFormat="1" applyFont="1" applyFill="1" applyBorder="1" applyAlignment="1">
      <alignment horizontal="right"/>
    </xf>
    <xf numFmtId="3" fontId="68" fillId="0" borderId="113" xfId="12373" applyNumberFormat="1" applyFont="1" applyFill="1" applyBorder="1" applyAlignment="1">
      <alignment horizontal="right" indent="2"/>
    </xf>
    <xf numFmtId="0" fontId="68" fillId="0" borderId="71" xfId="12373" applyFont="1" applyFill="1" applyBorder="1" applyAlignment="1">
      <alignment horizontal="center" vertical="center"/>
    </xf>
    <xf numFmtId="0" fontId="68" fillId="0" borderId="113" xfId="12373" applyFont="1" applyFill="1" applyBorder="1" applyAlignment="1">
      <alignment horizontal="right" indent="2"/>
    </xf>
    <xf numFmtId="0" fontId="68" fillId="0" borderId="71" xfId="12373" applyFont="1" applyFill="1" applyBorder="1"/>
    <xf numFmtId="0" fontId="8" fillId="0" borderId="113" xfId="12373" applyFont="1" applyFill="1" applyBorder="1"/>
    <xf numFmtId="0" fontId="68" fillId="0" borderId="23" xfId="12373" applyFont="1" applyFill="1" applyBorder="1"/>
    <xf numFmtId="0" fontId="68" fillId="0" borderId="188" xfId="12373" applyFont="1" applyFill="1" applyBorder="1" applyAlignment="1">
      <alignment vertical="center"/>
    </xf>
    <xf numFmtId="0" fontId="2" fillId="0" borderId="188" xfId="12373" applyFill="1" applyBorder="1" applyAlignment="1">
      <alignment horizontal="right" vertical="center"/>
    </xf>
    <xf numFmtId="0" fontId="2" fillId="0" borderId="117" xfId="12373" applyFill="1" applyBorder="1" applyAlignment="1">
      <alignment vertical="center"/>
    </xf>
    <xf numFmtId="0" fontId="8" fillId="0" borderId="188" xfId="12373" applyFont="1" applyFill="1" applyBorder="1" applyAlignment="1">
      <alignment vertical="center"/>
    </xf>
    <xf numFmtId="0" fontId="8" fillId="0" borderId="14" xfId="12373" applyFont="1" applyFill="1" applyBorder="1" applyAlignment="1">
      <alignment horizontal="center" vertical="center"/>
    </xf>
    <xf numFmtId="0" fontId="302" fillId="0" borderId="127" xfId="12373" applyFont="1" applyFill="1" applyBorder="1" applyAlignment="1">
      <alignment horizontal="center"/>
    </xf>
    <xf numFmtId="0" fontId="302" fillId="0" borderId="113" xfId="12373" applyFont="1" applyFill="1" applyBorder="1" applyAlignment="1">
      <alignment horizontal="center" vertical="center"/>
    </xf>
    <xf numFmtId="0" fontId="302" fillId="0" borderId="71" xfId="12373" applyFont="1" applyFill="1" applyBorder="1" applyAlignment="1">
      <alignment horizontal="center" vertical="center"/>
    </xf>
    <xf numFmtId="0" fontId="302" fillId="0" borderId="127" xfId="12373" applyFont="1" applyFill="1" applyBorder="1" applyAlignment="1">
      <alignment horizontal="center" vertical="center"/>
    </xf>
    <xf numFmtId="0" fontId="302" fillId="0" borderId="116" xfId="12373" applyFont="1" applyFill="1" applyBorder="1" applyAlignment="1">
      <alignment horizontal="center" vertical="center"/>
    </xf>
    <xf numFmtId="0" fontId="2" fillId="0" borderId="188" xfId="12373" applyFill="1" applyBorder="1" applyAlignment="1">
      <alignment horizontal="center"/>
    </xf>
    <xf numFmtId="3" fontId="298" fillId="0" borderId="127" xfId="12373" applyNumberFormat="1" applyFont="1" applyFill="1" applyBorder="1"/>
    <xf numFmtId="0" fontId="298" fillId="0" borderId="127" xfId="12373" applyFont="1" applyFill="1" applyBorder="1"/>
    <xf numFmtId="0" fontId="2" fillId="0" borderId="116" xfId="12373" applyFill="1" applyBorder="1"/>
    <xf numFmtId="49" fontId="2" fillId="0" borderId="23" xfId="12373" applyNumberFormat="1" applyFill="1" applyBorder="1" applyAlignment="1">
      <alignment horizontal="right"/>
    </xf>
    <xf numFmtId="0" fontId="2" fillId="0" borderId="116" xfId="12373" applyFont="1" applyFill="1" applyBorder="1" applyAlignment="1">
      <alignment horizontal="right"/>
    </xf>
    <xf numFmtId="0" fontId="2" fillId="0" borderId="84" xfId="12373" applyFont="1" applyFill="1" applyBorder="1" applyAlignment="1">
      <alignment horizontal="right"/>
    </xf>
    <xf numFmtId="0" fontId="2" fillId="0" borderId="23" xfId="12373" applyFont="1" applyFill="1" applyBorder="1" applyAlignment="1">
      <alignment horizontal="right"/>
    </xf>
    <xf numFmtId="0" fontId="2" fillId="0" borderId="116" xfId="12373" applyFill="1" applyBorder="1" applyAlignment="1">
      <alignment horizontal="right"/>
    </xf>
    <xf numFmtId="0" fontId="2" fillId="0" borderId="84" xfId="12373" applyFill="1" applyBorder="1" applyAlignment="1">
      <alignment horizontal="right"/>
    </xf>
    <xf numFmtId="3" fontId="68" fillId="0" borderId="24" xfId="17466" applyNumberFormat="1" applyFont="1" applyFill="1" applyBorder="1"/>
    <xf numFmtId="170" fontId="68" fillId="0" borderId="113" xfId="17466" applyNumberFormat="1" applyFont="1" applyFill="1" applyBorder="1" applyAlignment="1">
      <alignment horizontal="center"/>
    </xf>
    <xf numFmtId="0" fontId="12" fillId="0" borderId="23" xfId="12373" applyFont="1" applyFill="1" applyBorder="1"/>
    <xf numFmtId="3" fontId="68" fillId="0" borderId="127" xfId="12373" applyNumberFormat="1" applyFont="1" applyFill="1" applyBorder="1"/>
    <xf numFmtId="0" fontId="68" fillId="0" borderId="127" xfId="17466" applyNumberFormat="1" applyFont="1" applyFill="1" applyBorder="1" applyAlignment="1">
      <alignment horizontal="center" vertical="center"/>
    </xf>
    <xf numFmtId="0" fontId="68" fillId="0" borderId="127" xfId="12373" applyFont="1" applyFill="1" applyBorder="1" applyAlignment="1">
      <alignment horizontal="center"/>
    </xf>
    <xf numFmtId="0" fontId="68" fillId="0" borderId="127" xfId="12373" applyFont="1" applyFill="1" applyBorder="1"/>
    <xf numFmtId="49" fontId="2" fillId="0" borderId="116" xfId="12373" applyNumberFormat="1" applyFont="1" applyFill="1" applyBorder="1" applyAlignment="1">
      <alignment horizontal="right"/>
    </xf>
    <xf numFmtId="3" fontId="68" fillId="0" borderId="7" xfId="12373" applyNumberFormat="1" applyFont="1" applyFill="1" applyBorder="1"/>
    <xf numFmtId="0" fontId="68" fillId="0" borderId="7" xfId="17466" applyNumberFormat="1" applyFont="1" applyFill="1" applyBorder="1" applyAlignment="1">
      <alignment horizontal="center" vertical="center"/>
    </xf>
    <xf numFmtId="0" fontId="68" fillId="0" borderId="7" xfId="12373" applyFont="1" applyFill="1" applyBorder="1" applyAlignment="1">
      <alignment horizontal="center"/>
    </xf>
    <xf numFmtId="0" fontId="68" fillId="0" borderId="7" xfId="12373" applyFont="1" applyFill="1" applyBorder="1"/>
    <xf numFmtId="49" fontId="2" fillId="0" borderId="84" xfId="12373" applyNumberFormat="1" applyFont="1" applyFill="1" applyBorder="1" applyAlignment="1">
      <alignment horizontal="right"/>
    </xf>
    <xf numFmtId="49" fontId="2" fillId="0" borderId="23" xfId="12373" applyNumberFormat="1" applyFont="1" applyFill="1" applyBorder="1" applyAlignment="1">
      <alignment horizontal="right"/>
    </xf>
    <xf numFmtId="0" fontId="68" fillId="0" borderId="113" xfId="17466" applyNumberFormat="1" applyFont="1" applyFill="1" applyBorder="1" applyAlignment="1">
      <alignment horizontal="center" vertical="center"/>
    </xf>
    <xf numFmtId="0" fontId="2" fillId="0" borderId="23" xfId="12373" applyFill="1" applyBorder="1" applyAlignment="1">
      <alignment horizontal="right"/>
    </xf>
    <xf numFmtId="43" fontId="68" fillId="0" borderId="24" xfId="17466" applyFont="1" applyFill="1" applyBorder="1"/>
    <xf numFmtId="43" fontId="11" fillId="0" borderId="113" xfId="17466" applyFont="1" applyFill="1" applyBorder="1"/>
    <xf numFmtId="0" fontId="2" fillId="0" borderId="113" xfId="12373" applyFill="1" applyBorder="1"/>
    <xf numFmtId="0" fontId="12" fillId="0" borderId="113" xfId="12373" applyFont="1" applyFill="1" applyBorder="1"/>
    <xf numFmtId="0" fontId="68" fillId="0" borderId="113" xfId="12373" applyFont="1" applyFill="1" applyBorder="1" applyAlignment="1">
      <alignment vertical="center"/>
    </xf>
    <xf numFmtId="43" fontId="11" fillId="0" borderId="113" xfId="17466" applyFont="1" applyFill="1" applyBorder="1" applyAlignment="1">
      <alignment vertical="center"/>
    </xf>
    <xf numFmtId="0" fontId="8" fillId="0" borderId="113" xfId="12373" applyFont="1" applyFill="1" applyBorder="1" applyAlignment="1">
      <alignment vertical="center"/>
    </xf>
    <xf numFmtId="0" fontId="8" fillId="0" borderId="23" xfId="12373" applyFont="1" applyFill="1" applyBorder="1" applyAlignment="1">
      <alignment horizontal="right" vertical="center"/>
    </xf>
    <xf numFmtId="0" fontId="2" fillId="0" borderId="113" xfId="12373" applyFill="1" applyBorder="1" applyAlignment="1">
      <alignment horizontal="left"/>
    </xf>
    <xf numFmtId="0" fontId="2" fillId="0" borderId="23" xfId="12373" applyFont="1" applyFill="1" applyBorder="1" applyAlignment="1">
      <alignment horizontal="center"/>
    </xf>
    <xf numFmtId="3" fontId="68" fillId="0" borderId="113" xfId="12373" applyNumberFormat="1" applyFont="1" applyFill="1" applyBorder="1"/>
    <xf numFmtId="4" fontId="11" fillId="0" borderId="113" xfId="17466" applyNumberFormat="1" applyFont="1" applyFill="1" applyBorder="1" applyAlignment="1">
      <alignment horizontal="center" vertical="center"/>
    </xf>
    <xf numFmtId="0" fontId="68" fillId="0" borderId="113" xfId="12373" applyFont="1" applyFill="1" applyBorder="1" applyAlignment="1">
      <alignment horizontal="center"/>
    </xf>
    <xf numFmtId="0" fontId="68" fillId="0" borderId="113" xfId="12373" applyFont="1" applyFill="1" applyBorder="1"/>
    <xf numFmtId="0" fontId="2" fillId="0" borderId="23" xfId="12373" applyFill="1" applyBorder="1"/>
    <xf numFmtId="4" fontId="2" fillId="0" borderId="113" xfId="12373" applyNumberFormat="1" applyFont="1" applyFill="1" applyBorder="1" applyAlignment="1">
      <alignment horizontal="center"/>
    </xf>
    <xf numFmtId="43" fontId="11" fillId="0" borderId="113" xfId="17466" applyFont="1" applyFill="1" applyBorder="1" applyAlignment="1">
      <alignment horizontal="center"/>
    </xf>
    <xf numFmtId="0" fontId="2" fillId="0" borderId="113" xfId="12373" applyFont="1" applyFill="1" applyBorder="1" applyAlignment="1">
      <alignment horizontal="center"/>
    </xf>
    <xf numFmtId="0" fontId="8" fillId="0" borderId="113" xfId="12373" applyFont="1" applyFill="1" applyBorder="1" applyAlignment="1">
      <alignment horizontal="left"/>
    </xf>
    <xf numFmtId="0" fontId="8" fillId="0" borderId="23" xfId="12373" applyFont="1" applyFill="1" applyBorder="1" applyAlignment="1">
      <alignment horizontal="right"/>
    </xf>
    <xf numFmtId="43" fontId="11" fillId="0" borderId="188" xfId="17466" applyFont="1" applyFill="1" applyBorder="1" applyAlignment="1">
      <alignment horizontal="center" vertical="center"/>
    </xf>
    <xf numFmtId="0" fontId="2" fillId="0" borderId="188" xfId="12373" applyFont="1" applyFill="1" applyBorder="1" applyAlignment="1">
      <alignment horizontal="center" vertical="center"/>
    </xf>
    <xf numFmtId="0" fontId="304" fillId="0" borderId="188" xfId="12373" applyFont="1" applyFill="1" applyBorder="1" applyAlignment="1">
      <alignment horizontal="left" vertical="center"/>
    </xf>
    <xf numFmtId="0" fontId="304" fillId="0" borderId="14" xfId="12373" applyFont="1" applyFill="1" applyBorder="1" applyAlignment="1">
      <alignment horizontal="center" vertical="center"/>
    </xf>
    <xf numFmtId="0" fontId="302" fillId="0" borderId="188" xfId="17466" applyNumberFormat="1" applyFont="1" applyFill="1" applyBorder="1" applyAlignment="1">
      <alignment horizontal="center"/>
    </xf>
    <xf numFmtId="0" fontId="302" fillId="0" borderId="188" xfId="12373" applyFont="1" applyFill="1" applyBorder="1" applyAlignment="1">
      <alignment horizontal="center"/>
    </xf>
    <xf numFmtId="0" fontId="302" fillId="0" borderId="14" xfId="12373" applyFont="1" applyFill="1" applyBorder="1" applyAlignment="1">
      <alignment horizontal="center"/>
    </xf>
    <xf numFmtId="0" fontId="2" fillId="0" borderId="7" xfId="12373" applyFill="1" applyBorder="1" applyAlignment="1">
      <alignment horizontal="center"/>
    </xf>
    <xf numFmtId="0" fontId="69" fillId="0" borderId="0" xfId="12373" applyFont="1" applyFill="1"/>
    <xf numFmtId="43" fontId="8" fillId="0" borderId="0" xfId="17466" applyFont="1" applyFill="1"/>
    <xf numFmtId="0" fontId="12" fillId="0" borderId="0" xfId="12373" applyFont="1" applyFill="1"/>
    <xf numFmtId="0" fontId="68" fillId="0" borderId="0" xfId="12373" applyFont="1" applyFill="1"/>
    <xf numFmtId="43" fontId="11" fillId="0" borderId="0" xfId="17466" applyFont="1" applyFill="1"/>
    <xf numFmtId="49" fontId="2" fillId="0" borderId="23" xfId="12372" applyNumberFormat="1" applyFill="1" applyBorder="1" applyAlignment="1">
      <alignment horizontal="right"/>
    </xf>
    <xf numFmtId="3" fontId="68" fillId="0" borderId="24" xfId="17465" applyNumberFormat="1" applyFont="1" applyFill="1" applyBorder="1"/>
    <xf numFmtId="0" fontId="12" fillId="0" borderId="23" xfId="12372" applyFont="1" applyFill="1" applyBorder="1"/>
    <xf numFmtId="3" fontId="68" fillId="0" borderId="7" xfId="12372" applyNumberFormat="1" applyFont="1" applyFill="1" applyBorder="1"/>
    <xf numFmtId="0" fontId="68" fillId="0" borderId="7" xfId="17465" applyNumberFormat="1" applyFont="1" applyFill="1" applyBorder="1" applyAlignment="1">
      <alignment horizontal="center" vertical="center"/>
    </xf>
    <xf numFmtId="0" fontId="68" fillId="0" borderId="7" xfId="12372" applyFont="1" applyFill="1" applyBorder="1" applyAlignment="1">
      <alignment horizontal="center"/>
    </xf>
    <xf numFmtId="0" fontId="68" fillId="0" borderId="7" xfId="12372" applyFont="1" applyFill="1" applyBorder="1"/>
    <xf numFmtId="49" fontId="2" fillId="0" borderId="84" xfId="12372" applyNumberFormat="1" applyFont="1" applyFill="1" applyBorder="1" applyAlignment="1">
      <alignment horizontal="right"/>
    </xf>
    <xf numFmtId="0" fontId="2" fillId="0" borderId="23" xfId="12372" applyFill="1" applyBorder="1" applyAlignment="1">
      <alignment horizontal="right"/>
    </xf>
    <xf numFmtId="49" fontId="2" fillId="0" borderId="23" xfId="12372" applyNumberFormat="1" applyFont="1" applyFill="1" applyBorder="1" applyAlignment="1">
      <alignment horizontal="right"/>
    </xf>
    <xf numFmtId="43" fontId="68" fillId="0" borderId="24" xfId="17465" applyFont="1" applyFill="1" applyBorder="1"/>
    <xf numFmtId="0" fontId="2" fillId="0" borderId="23" xfId="12372" applyFill="1" applyBorder="1"/>
    <xf numFmtId="43" fontId="68" fillId="0" borderId="24" xfId="17465" applyFont="1" applyFill="1" applyBorder="1" applyAlignment="1">
      <alignment vertical="center"/>
    </xf>
    <xf numFmtId="0" fontId="8" fillId="0" borderId="23" xfId="12372" applyFont="1" applyFill="1" applyBorder="1" applyAlignment="1">
      <alignment horizontal="right" vertical="center"/>
    </xf>
    <xf numFmtId="0" fontId="12" fillId="0" borderId="186" xfId="11097" applyFont="1" applyFill="1" applyBorder="1" applyAlignment="1" applyProtection="1">
      <alignment horizontal="center"/>
    </xf>
    <xf numFmtId="0" fontId="2" fillId="0" borderId="115" xfId="11097" applyFont="1" applyFill="1" applyBorder="1" applyAlignment="1" applyProtection="1">
      <alignment horizontal="center"/>
    </xf>
    <xf numFmtId="170" fontId="2" fillId="0" borderId="51" xfId="17620" applyNumberFormat="1" applyFont="1" applyFill="1" applyBorder="1" applyAlignment="1" applyProtection="1">
      <alignment horizontal="center"/>
    </xf>
    <xf numFmtId="4" fontId="12" fillId="0" borderId="56" xfId="11097" applyNumberFormat="1" applyFont="1" applyFill="1" applyBorder="1" applyAlignment="1" applyProtection="1">
      <alignment horizontal="right"/>
    </xf>
    <xf numFmtId="0" fontId="12" fillId="0" borderId="56" xfId="11097" applyFont="1" applyFill="1" applyBorder="1" applyAlignment="1" applyProtection="1">
      <alignment horizontal="center"/>
    </xf>
    <xf numFmtId="3" fontId="12" fillId="0" borderId="119" xfId="11097" applyNumberFormat="1" applyFont="1" applyFill="1" applyBorder="1" applyAlignment="1">
      <alignment horizontal="center"/>
    </xf>
    <xf numFmtId="0" fontId="2" fillId="0" borderId="56" xfId="11097" applyFont="1" applyFill="1" applyBorder="1" applyAlignment="1" applyProtection="1">
      <alignment horizontal="left" vertical="top" wrapText="1"/>
    </xf>
    <xf numFmtId="0" fontId="2" fillId="0" borderId="0" xfId="26359" applyFont="1" applyFill="1" applyBorder="1" applyAlignment="1">
      <alignment vertical="center"/>
    </xf>
    <xf numFmtId="3" fontId="2" fillId="0" borderId="119" xfId="11097" applyNumberFormat="1" applyFont="1" applyFill="1" applyBorder="1" applyAlignment="1">
      <alignment horizontal="center" vertical="center"/>
    </xf>
    <xf numFmtId="170" fontId="2" fillId="0" borderId="51" xfId="17625" applyNumberFormat="1" applyFont="1" applyFill="1" applyBorder="1" applyAlignment="1" applyProtection="1">
      <alignment vertical="top"/>
    </xf>
    <xf numFmtId="304" fontId="2" fillId="0" borderId="51" xfId="11097" applyNumberFormat="1" applyFont="1" applyFill="1" applyBorder="1" applyAlignment="1" applyProtection="1">
      <alignment vertical="top"/>
    </xf>
    <xf numFmtId="0" fontId="2" fillId="0" borderId="56" xfId="11096" applyFont="1" applyFill="1" applyBorder="1" applyAlignment="1" applyProtection="1">
      <alignment horizontal="centerContinuous" vertical="top"/>
    </xf>
    <xf numFmtId="0" fontId="2" fillId="0" borderId="56" xfId="11097" applyFont="1" applyFill="1" applyBorder="1" applyAlignment="1" applyProtection="1">
      <alignment horizontal="left" vertical="center" wrapText="1"/>
    </xf>
    <xf numFmtId="0" fontId="2" fillId="0" borderId="51" xfId="11096" applyFont="1" applyFill="1" applyBorder="1" applyAlignment="1" applyProtection="1">
      <alignment horizontal="center" vertical="center"/>
    </xf>
    <xf numFmtId="0" fontId="12" fillId="0" borderId="0" xfId="11097" applyFont="1" applyFill="1" applyBorder="1" applyAlignment="1">
      <alignment horizontal="left"/>
    </xf>
    <xf numFmtId="0" fontId="12" fillId="0" borderId="119" xfId="11097" applyFont="1" applyFill="1" applyBorder="1" applyAlignment="1">
      <alignment horizontal="center"/>
    </xf>
    <xf numFmtId="170" fontId="12" fillId="0" borderId="183" xfId="17625" applyNumberFormat="1" applyFont="1" applyFill="1" applyBorder="1" applyAlignment="1" applyProtection="1">
      <alignment horizontal="center"/>
    </xf>
    <xf numFmtId="41" fontId="2" fillId="0" borderId="0" xfId="17620" applyNumberFormat="1" applyFont="1" applyFill="1" applyBorder="1" applyAlignment="1" applyProtection="1">
      <alignment horizontal="center"/>
    </xf>
    <xf numFmtId="4" fontId="2" fillId="0" borderId="56" xfId="11097" applyNumberFormat="1" applyFont="1" applyFill="1" applyBorder="1" applyAlignment="1" applyProtection="1">
      <alignment horizontal="right"/>
    </xf>
    <xf numFmtId="166" fontId="2" fillId="0" borderId="0" xfId="26359" applyNumberFormat="1" applyFont="1" applyFill="1" applyBorder="1" applyAlignment="1"/>
    <xf numFmtId="3" fontId="2" fillId="0" borderId="0" xfId="17625" applyNumberFormat="1" applyFont="1" applyFill="1" applyBorder="1" applyAlignment="1"/>
    <xf numFmtId="0" fontId="2" fillId="0" borderId="56" xfId="11097" applyFont="1" applyFill="1" applyBorder="1" applyAlignment="1" applyProtection="1">
      <alignment horizontal="center" vertical="center"/>
    </xf>
    <xf numFmtId="170" fontId="2" fillId="0" borderId="51" xfId="17625" applyNumberFormat="1" applyFont="1" applyFill="1" applyBorder="1" applyProtection="1"/>
    <xf numFmtId="170" fontId="2" fillId="0" borderId="0" xfId="17625" applyNumberFormat="1" applyFont="1" applyFill="1" applyBorder="1" applyProtection="1"/>
    <xf numFmtId="4" fontId="2" fillId="0" borderId="51" xfId="11097" applyNumberFormat="1" applyFont="1" applyFill="1" applyBorder="1" applyAlignment="1" applyProtection="1">
      <alignment horizontal="right"/>
    </xf>
    <xf numFmtId="0" fontId="2" fillId="0" borderId="56" xfId="11097" applyFont="1" applyFill="1" applyBorder="1" applyAlignment="1" applyProtection="1">
      <alignment horizontal="centerContinuous" vertical="top"/>
    </xf>
    <xf numFmtId="0" fontId="2" fillId="0" borderId="56" xfId="11097" applyFont="1" applyFill="1" applyBorder="1" applyAlignment="1" applyProtection="1">
      <alignment vertical="center"/>
    </xf>
    <xf numFmtId="0" fontId="12" fillId="0" borderId="56" xfId="11097" applyFont="1" applyFill="1" applyBorder="1" applyAlignment="1" applyProtection="1">
      <alignment horizontal="left"/>
    </xf>
    <xf numFmtId="2" fontId="2" fillId="0" borderId="56" xfId="11097" applyNumberFormat="1" applyFont="1" applyFill="1" applyBorder="1" applyAlignment="1" applyProtection="1">
      <alignment horizontal="center"/>
    </xf>
    <xf numFmtId="0" fontId="12" fillId="0" borderId="183" xfId="11097" applyFont="1" applyFill="1" applyBorder="1" applyAlignment="1" applyProtection="1">
      <alignment horizontal="center"/>
    </xf>
    <xf numFmtId="0" fontId="12" fillId="0" borderId="66" xfId="11097" applyFont="1" applyFill="1" applyBorder="1" applyAlignment="1" applyProtection="1">
      <alignment horizontal="center"/>
    </xf>
    <xf numFmtId="0" fontId="12" fillId="0" borderId="0" xfId="11097" applyFont="1" applyFill="1"/>
    <xf numFmtId="0" fontId="2" fillId="0" borderId="0" xfId="26359" applyFont="1" applyFill="1" applyBorder="1" applyAlignment="1"/>
    <xf numFmtId="170" fontId="2" fillId="0" borderId="51" xfId="17625" applyNumberFormat="1" applyFont="1" applyFill="1" applyBorder="1" applyAlignment="1"/>
    <xf numFmtId="41" fontId="2" fillId="0" borderId="29" xfId="18305" applyNumberFormat="1" applyFont="1" applyFill="1" applyBorder="1" applyAlignment="1">
      <alignment horizontal="right" vertical="center"/>
    </xf>
    <xf numFmtId="170" fontId="2" fillId="0" borderId="51" xfId="17625" applyNumberFormat="1" applyFont="1" applyFill="1" applyBorder="1" applyAlignment="1" applyProtection="1">
      <alignment horizontal="center"/>
    </xf>
    <xf numFmtId="170" fontId="2" fillId="0" borderId="0" xfId="17625" applyNumberFormat="1" applyFont="1" applyFill="1" applyBorder="1" applyAlignment="1" applyProtection="1">
      <alignment horizontal="center"/>
    </xf>
    <xf numFmtId="4" fontId="2" fillId="0" borderId="51" xfId="18270" applyNumberFormat="1" applyFont="1" applyFill="1" applyBorder="1" applyProtection="1"/>
    <xf numFmtId="0" fontId="2" fillId="0" borderId="51" xfId="11098" applyFont="1" applyFill="1" applyBorder="1" applyAlignment="1" applyProtection="1">
      <alignment horizontal="center"/>
    </xf>
    <xf numFmtId="0" fontId="2" fillId="0" borderId="56" xfId="11096" applyFont="1" applyFill="1" applyBorder="1" applyProtection="1"/>
    <xf numFmtId="0" fontId="12" fillId="0" borderId="56" xfId="11096" applyFont="1" applyFill="1" applyBorder="1" applyAlignment="1" applyProtection="1">
      <alignment vertical="center" wrapText="1"/>
    </xf>
    <xf numFmtId="43" fontId="2" fillId="0" borderId="51" xfId="17620" applyFont="1" applyFill="1" applyBorder="1" applyAlignment="1" applyProtection="1">
      <alignment horizontal="center"/>
    </xf>
    <xf numFmtId="0" fontId="12" fillId="0" borderId="51" xfId="11096" applyFont="1" applyFill="1" applyBorder="1" applyAlignment="1" applyProtection="1">
      <alignment vertical="center" wrapText="1"/>
    </xf>
    <xf numFmtId="0" fontId="12" fillId="0" borderId="51" xfId="11097" applyFont="1" applyFill="1" applyBorder="1" applyAlignment="1" applyProtection="1">
      <alignment horizontal="center"/>
    </xf>
    <xf numFmtId="0" fontId="12" fillId="0" borderId="0" xfId="11097" applyFont="1" applyFill="1" applyBorder="1" applyAlignment="1">
      <alignment horizontal="center"/>
    </xf>
    <xf numFmtId="10" fontId="2" fillId="0" borderId="51" xfId="17620" applyNumberFormat="1" applyFont="1" applyFill="1" applyBorder="1" applyAlignment="1" applyProtection="1">
      <alignment horizontal="center"/>
    </xf>
    <xf numFmtId="9" fontId="2" fillId="0" borderId="51" xfId="17620" applyNumberFormat="1" applyFont="1" applyFill="1" applyBorder="1" applyAlignment="1" applyProtection="1">
      <alignment horizontal="center"/>
    </xf>
    <xf numFmtId="43" fontId="2" fillId="0" borderId="0" xfId="17620" applyFont="1" applyFill="1" applyBorder="1" applyAlignment="1" applyProtection="1">
      <alignment horizontal="center"/>
    </xf>
    <xf numFmtId="0" fontId="2" fillId="0" borderId="56" xfId="11097" applyFont="1" applyFill="1" applyBorder="1" applyAlignment="1" applyProtection="1">
      <alignment horizontal="center"/>
    </xf>
    <xf numFmtId="0" fontId="2" fillId="0" borderId="51" xfId="11097" applyFont="1" applyFill="1" applyBorder="1" applyAlignment="1" applyProtection="1">
      <alignment horizontal="center"/>
    </xf>
    <xf numFmtId="0" fontId="12" fillId="0" borderId="0" xfId="11097" applyFont="1" applyFill="1" applyBorder="1" applyAlignment="1"/>
    <xf numFmtId="0" fontId="12" fillId="0" borderId="67" xfId="17620" applyNumberFormat="1" applyFont="1" applyFill="1" applyBorder="1" applyAlignment="1" applyProtection="1">
      <alignment horizontal="center"/>
    </xf>
    <xf numFmtId="0" fontId="12" fillId="0" borderId="69" xfId="17620" applyNumberFormat="1" applyFont="1" applyFill="1" applyBorder="1" applyAlignment="1" applyProtection="1">
      <alignment horizontal="center"/>
    </xf>
    <xf numFmtId="0" fontId="12" fillId="0" borderId="68" xfId="11097" applyFont="1" applyFill="1" applyBorder="1" applyAlignment="1" applyProtection="1">
      <alignment horizontal="center"/>
    </xf>
    <xf numFmtId="0" fontId="12" fillId="0" borderId="67" xfId="11097" applyFont="1" applyFill="1" applyBorder="1" applyAlignment="1" applyProtection="1">
      <alignment horizontal="center"/>
    </xf>
    <xf numFmtId="43" fontId="12" fillId="0" borderId="67" xfId="17620" applyFont="1" applyFill="1" applyBorder="1" applyAlignment="1" applyProtection="1">
      <alignment horizontal="center"/>
    </xf>
    <xf numFmtId="43" fontId="12" fillId="0" borderId="50" xfId="17620" applyFont="1" applyFill="1" applyBorder="1" applyAlignment="1" applyProtection="1">
      <alignment horizontal="center"/>
    </xf>
    <xf numFmtId="43" fontId="12" fillId="0" borderId="181" xfId="17620" applyFont="1" applyFill="1" applyBorder="1" applyAlignment="1" applyProtection="1">
      <alignment horizontal="center"/>
    </xf>
    <xf numFmtId="43" fontId="12" fillId="0" borderId="179" xfId="17620" applyFont="1" applyFill="1" applyBorder="1" applyAlignment="1" applyProtection="1">
      <alignment horizontal="center"/>
    </xf>
    <xf numFmtId="0" fontId="12" fillId="0" borderId="154" xfId="11097" applyFont="1" applyFill="1" applyBorder="1" applyAlignment="1" applyProtection="1">
      <alignment horizontal="centerContinuous"/>
    </xf>
    <xf numFmtId="43" fontId="2" fillId="0" borderId="0" xfId="17620" applyFont="1" applyFill="1" applyBorder="1" applyProtection="1"/>
    <xf numFmtId="37" fontId="2" fillId="0" borderId="0" xfId="11097" applyNumberFormat="1" applyFont="1" applyFill="1" applyBorder="1" applyProtection="1"/>
    <xf numFmtId="0" fontId="2" fillId="0" borderId="0" xfId="11097" applyFont="1" applyFill="1" applyBorder="1" applyProtection="1"/>
    <xf numFmtId="0" fontId="12" fillId="0" borderId="0" xfId="11097" applyFont="1" applyFill="1" applyBorder="1" applyAlignment="1" applyProtection="1">
      <alignment horizontal="center"/>
    </xf>
    <xf numFmtId="0" fontId="2" fillId="0" borderId="66" xfId="11097" applyFont="1" applyFill="1" applyBorder="1" applyAlignment="1" applyProtection="1">
      <alignment horizontal="center"/>
    </xf>
    <xf numFmtId="37" fontId="12" fillId="0" borderId="0" xfId="11095" applyFont="1" applyFill="1" applyAlignment="1"/>
    <xf numFmtId="37" fontId="12" fillId="0" borderId="0" xfId="11099" applyFont="1" applyFill="1" applyAlignment="1">
      <alignment vertical="top" wrapText="1"/>
    </xf>
    <xf numFmtId="0" fontId="2" fillId="0" borderId="0" xfId="26362" applyFont="1" applyFill="1" applyBorder="1"/>
    <xf numFmtId="0" fontId="2" fillId="0" borderId="0" xfId="11097" applyFont="1" applyFill="1" applyBorder="1"/>
    <xf numFmtId="0" fontId="12" fillId="0" borderId="0" xfId="26362" applyFont="1" applyFill="1" applyBorder="1" applyAlignment="1">
      <alignment horizontal="center" vertical="center"/>
    </xf>
    <xf numFmtId="43" fontId="2" fillId="0" borderId="0" xfId="17620" applyFont="1" applyFill="1"/>
    <xf numFmtId="0" fontId="2" fillId="0" borderId="0" xfId="11097" applyFont="1" applyFill="1"/>
    <xf numFmtId="0" fontId="224" fillId="55" borderId="42" xfId="26362" applyFont="1" applyFill="1" applyBorder="1" applyAlignment="1">
      <alignment horizontal="center"/>
    </xf>
    <xf numFmtId="0" fontId="224" fillId="55" borderId="42" xfId="26362" applyFont="1" applyFill="1" applyBorder="1" applyAlignment="1">
      <alignment horizontal="right"/>
    </xf>
    <xf numFmtId="165" fontId="297" fillId="3" borderId="79" xfId="26364" applyFont="1" applyFill="1" applyBorder="1"/>
    <xf numFmtId="165" fontId="224" fillId="2" borderId="10" xfId="26364" applyFont="1" applyFill="1" applyBorder="1" applyAlignment="1"/>
    <xf numFmtId="165" fontId="224" fillId="2" borderId="6" xfId="26364" applyFont="1" applyFill="1" applyBorder="1" applyAlignment="1"/>
    <xf numFmtId="165" fontId="224" fillId="2" borderId="30" xfId="26364" applyFont="1" applyFill="1" applyBorder="1" applyAlignment="1"/>
    <xf numFmtId="165" fontId="224" fillId="2" borderId="19" xfId="26364" applyFont="1" applyFill="1" applyBorder="1" applyAlignment="1"/>
    <xf numFmtId="165" fontId="224" fillId="2" borderId="0" xfId="26364" applyFont="1" applyFill="1" applyBorder="1" applyAlignment="1"/>
    <xf numFmtId="165" fontId="224" fillId="2" borderId="3" xfId="26364" applyFont="1" applyFill="1" applyBorder="1" applyAlignment="1"/>
    <xf numFmtId="165" fontId="224" fillId="2" borderId="3" xfId="26364" applyFont="1" applyFill="1" applyBorder="1" applyAlignment="1">
      <alignment horizontal="right"/>
    </xf>
    <xf numFmtId="165" fontId="224" fillId="2" borderId="75" xfId="26364" applyFont="1" applyFill="1" applyBorder="1"/>
    <xf numFmtId="165" fontId="224" fillId="2" borderId="32" xfId="26364" applyFont="1" applyFill="1" applyBorder="1"/>
    <xf numFmtId="165" fontId="224" fillId="2" borderId="146" xfId="26364" applyFont="1" applyFill="1" applyBorder="1"/>
    <xf numFmtId="165" fontId="224" fillId="2" borderId="159" xfId="26364" applyFont="1" applyFill="1" applyBorder="1"/>
    <xf numFmtId="165" fontId="224" fillId="2" borderId="75" xfId="26364" applyFont="1" applyFill="1" applyBorder="1" applyAlignment="1">
      <alignment horizontal="right"/>
    </xf>
    <xf numFmtId="165" fontId="225" fillId="2" borderId="72" xfId="26364" applyFont="1" applyFill="1" applyBorder="1" applyAlignment="1">
      <alignment horizontal="center"/>
    </xf>
    <xf numFmtId="165" fontId="225" fillId="2" borderId="3" xfId="26364" applyFont="1" applyFill="1" applyBorder="1" applyAlignment="1">
      <alignment horizontal="center"/>
    </xf>
    <xf numFmtId="165" fontId="225" fillId="2" borderId="30" xfId="26364" applyFont="1" applyFill="1" applyBorder="1" applyAlignment="1">
      <alignment horizontal="center"/>
    </xf>
    <xf numFmtId="165" fontId="224" fillId="2" borderId="0" xfId="26364" applyFont="1" applyFill="1"/>
    <xf numFmtId="0" fontId="224" fillId="2" borderId="0" xfId="26362" applyFont="1" applyFill="1"/>
    <xf numFmtId="4" fontId="224" fillId="2" borderId="159" xfId="17620" applyNumberFormat="1" applyFont="1" applyFill="1" applyBorder="1" applyAlignment="1"/>
    <xf numFmtId="170" fontId="224" fillId="2" borderId="3" xfId="17620" applyNumberFormat="1" applyFont="1" applyFill="1" applyBorder="1" applyAlignment="1">
      <alignment horizontal="right"/>
    </xf>
    <xf numFmtId="43" fontId="224" fillId="2" borderId="159" xfId="26360" applyNumberFormat="1" applyFont="1" applyFill="1" applyBorder="1" applyAlignment="1">
      <alignment horizontal="center"/>
    </xf>
    <xf numFmtId="165" fontId="297" fillId="2" borderId="11" xfId="26364" applyFont="1" applyFill="1" applyBorder="1" applyAlignment="1"/>
    <xf numFmtId="4" fontId="224" fillId="2" borderId="10" xfId="26362" applyNumberFormat="1" applyFont="1" applyFill="1" applyBorder="1" applyAlignment="1"/>
    <xf numFmtId="4" fontId="224" fillId="2" borderId="10" xfId="17620" applyNumberFormat="1" applyFont="1" applyFill="1" applyBorder="1" applyAlignment="1"/>
    <xf numFmtId="0" fontId="224" fillId="2" borderId="10" xfId="26362" applyFont="1" applyFill="1" applyBorder="1" applyAlignment="1">
      <alignment horizontal="center"/>
    </xf>
    <xf numFmtId="0" fontId="297" fillId="2" borderId="10" xfId="26362" applyFont="1" applyFill="1" applyBorder="1" applyAlignment="1"/>
    <xf numFmtId="165" fontId="297" fillId="2" borderId="6" xfId="26364" applyFont="1" applyFill="1" applyBorder="1" applyAlignment="1"/>
    <xf numFmtId="4" fontId="224" fillId="2" borderId="6" xfId="26362" applyNumberFormat="1" applyFont="1" applyFill="1" applyBorder="1" applyAlignment="1"/>
    <xf numFmtId="4" fontId="224" fillId="2" borderId="6" xfId="17620" applyNumberFormat="1" applyFont="1" applyFill="1" applyBorder="1" applyAlignment="1"/>
    <xf numFmtId="0" fontId="224" fillId="2" borderId="6" xfId="26362" applyFont="1" applyFill="1" applyBorder="1" applyAlignment="1">
      <alignment horizontal="center"/>
    </xf>
    <xf numFmtId="0" fontId="297" fillId="2" borderId="6" xfId="26362" applyFont="1" applyFill="1" applyBorder="1" applyAlignment="1"/>
    <xf numFmtId="165" fontId="224" fillId="2" borderId="2" xfId="26364" applyFont="1" applyFill="1" applyBorder="1" applyAlignment="1"/>
    <xf numFmtId="4" fontId="224" fillId="2" borderId="30" xfId="26362" applyNumberFormat="1" applyFont="1" applyFill="1" applyBorder="1" applyAlignment="1"/>
    <xf numFmtId="4" fontId="224" fillId="2" borderId="1" xfId="17620" applyNumberFormat="1" applyFont="1" applyFill="1" applyBorder="1" applyAlignment="1"/>
    <xf numFmtId="0" fontId="224" fillId="2" borderId="1" xfId="26362" applyFont="1" applyFill="1" applyBorder="1" applyAlignment="1">
      <alignment horizontal="center"/>
    </xf>
    <xf numFmtId="0" fontId="225" fillId="2" borderId="31" xfId="26362" applyFont="1" applyFill="1" applyBorder="1" applyAlignment="1"/>
    <xf numFmtId="0" fontId="224" fillId="2" borderId="70" xfId="26362" applyFont="1" applyFill="1" applyBorder="1" applyAlignment="1">
      <alignment horizontal="center"/>
    </xf>
    <xf numFmtId="165" fontId="297" fillId="2" borderId="35" xfId="26364" applyFont="1" applyFill="1" applyBorder="1" applyAlignment="1"/>
    <xf numFmtId="4" fontId="224" fillId="2" borderId="19" xfId="26362" applyNumberFormat="1" applyFont="1" applyFill="1" applyBorder="1" applyAlignment="1"/>
    <xf numFmtId="4" fontId="224" fillId="2" borderId="19" xfId="17620" applyNumberFormat="1" applyFont="1" applyFill="1" applyBorder="1" applyAlignment="1"/>
    <xf numFmtId="0" fontId="224" fillId="2" borderId="19" xfId="26362" applyFont="1" applyFill="1" applyBorder="1" applyAlignment="1">
      <alignment horizontal="center"/>
    </xf>
    <xf numFmtId="0" fontId="297" fillId="2" borderId="19" xfId="26362" applyFont="1" applyFill="1" applyBorder="1" applyAlignment="1"/>
    <xf numFmtId="0" fontId="225" fillId="2" borderId="9" xfId="26362" applyFont="1" applyFill="1" applyBorder="1"/>
    <xf numFmtId="165" fontId="297" fillId="2" borderId="0" xfId="26364" applyFont="1" applyFill="1" applyBorder="1" applyAlignment="1"/>
    <xf numFmtId="4" fontId="224" fillId="2" borderId="0" xfId="26362" applyNumberFormat="1" applyFont="1" applyFill="1" applyBorder="1" applyAlignment="1"/>
    <xf numFmtId="4" fontId="224" fillId="2" borderId="0" xfId="17620" applyNumberFormat="1" applyFont="1" applyFill="1" applyBorder="1" applyAlignment="1"/>
    <xf numFmtId="0" fontId="297" fillId="2" borderId="0" xfId="26362" applyFont="1" applyFill="1" applyBorder="1" applyAlignment="1"/>
    <xf numFmtId="0" fontId="224" fillId="2" borderId="0" xfId="26362" applyFont="1" applyFill="1" applyBorder="1" applyAlignment="1">
      <alignment horizontal="center"/>
    </xf>
    <xf numFmtId="165" fontId="297" fillId="2" borderId="173" xfId="26364" applyFont="1" applyFill="1" applyBorder="1" applyAlignment="1"/>
    <xf numFmtId="0" fontId="224" fillId="2" borderId="80" xfId="26362" applyFont="1" applyFill="1" applyBorder="1" applyAlignment="1">
      <alignment horizontal="center"/>
    </xf>
    <xf numFmtId="0" fontId="225" fillId="2" borderId="71" xfId="26362" applyFont="1" applyFill="1" applyBorder="1" applyAlignment="1"/>
    <xf numFmtId="0" fontId="224" fillId="2" borderId="71" xfId="26362" applyFont="1" applyFill="1" applyBorder="1" applyAlignment="1"/>
    <xf numFmtId="0" fontId="224" fillId="2" borderId="42" xfId="26362" applyFont="1" applyFill="1" applyBorder="1" applyAlignment="1">
      <alignment horizontal="center"/>
    </xf>
    <xf numFmtId="165" fontId="224" fillId="2" borderId="18" xfId="26364" applyFont="1" applyFill="1" applyBorder="1" applyAlignment="1"/>
    <xf numFmtId="0" fontId="224" fillId="2" borderId="71" xfId="26362" applyFont="1" applyFill="1" applyBorder="1" applyAlignment="1">
      <alignment horizontal="left"/>
    </xf>
    <xf numFmtId="4" fontId="224" fillId="2" borderId="3" xfId="26362" applyNumberFormat="1" applyFont="1" applyFill="1" applyBorder="1" applyAlignment="1">
      <alignment horizontal="right"/>
    </xf>
    <xf numFmtId="43" fontId="224" fillId="2" borderId="159" xfId="17620" applyFont="1" applyFill="1" applyBorder="1" applyAlignment="1">
      <alignment horizontal="center"/>
    </xf>
    <xf numFmtId="0" fontId="225" fillId="2" borderId="71" xfId="26362" applyFont="1" applyFill="1" applyBorder="1" applyAlignment="1">
      <alignment horizontal="left"/>
    </xf>
    <xf numFmtId="0" fontId="225" fillId="2" borderId="42" xfId="26362" quotePrefix="1" applyFont="1" applyFill="1" applyBorder="1" applyAlignment="1">
      <alignment horizontal="center"/>
    </xf>
    <xf numFmtId="165" fontId="224" fillId="2" borderId="76" xfId="26364" applyFont="1" applyFill="1" applyBorder="1"/>
    <xf numFmtId="0" fontId="224" fillId="2" borderId="75" xfId="26362" applyFont="1" applyFill="1" applyBorder="1"/>
    <xf numFmtId="0" fontId="224" fillId="2" borderId="130" xfId="26362" applyFont="1" applyFill="1" applyBorder="1"/>
    <xf numFmtId="0" fontId="225" fillId="2" borderId="129" xfId="26362" applyFont="1" applyFill="1" applyBorder="1" applyAlignment="1"/>
    <xf numFmtId="0" fontId="224" fillId="2" borderId="74" xfId="26362" applyFont="1" applyFill="1" applyBorder="1" applyAlignment="1">
      <alignment horizontal="center"/>
    </xf>
    <xf numFmtId="165" fontId="224" fillId="2" borderId="0" xfId="26364" applyFont="1" applyFill="1" applyBorder="1"/>
    <xf numFmtId="0" fontId="12" fillId="2" borderId="0" xfId="26362" applyFont="1" applyFill="1" applyBorder="1" applyAlignment="1">
      <alignment vertical="center"/>
    </xf>
    <xf numFmtId="0" fontId="224" fillId="2" borderId="0" xfId="26362" applyFont="1" applyFill="1" applyBorder="1"/>
    <xf numFmtId="0" fontId="225" fillId="2" borderId="0" xfId="26362" applyFont="1" applyFill="1" applyBorder="1"/>
    <xf numFmtId="0" fontId="224" fillId="2" borderId="32" xfId="26362" applyFont="1" applyFill="1" applyBorder="1"/>
    <xf numFmtId="0" fontId="224" fillId="2" borderId="78" xfId="26362" applyFont="1" applyFill="1" applyBorder="1"/>
    <xf numFmtId="165" fontId="224" fillId="2" borderId="77" xfId="26364" applyFont="1" applyFill="1" applyBorder="1" applyAlignment="1">
      <alignment horizontal="right"/>
    </xf>
    <xf numFmtId="4" fontId="224" fillId="2" borderId="146" xfId="17620" applyNumberFormat="1" applyFont="1" applyFill="1" applyBorder="1" applyAlignment="1">
      <alignment horizontal="right"/>
    </xf>
    <xf numFmtId="0" fontId="224" fillId="2" borderId="146" xfId="26362" applyFont="1" applyFill="1" applyBorder="1" applyAlignment="1">
      <alignment horizontal="center"/>
    </xf>
    <xf numFmtId="0" fontId="224" fillId="2" borderId="146" xfId="26362" applyFont="1" applyFill="1" applyBorder="1"/>
    <xf numFmtId="4" fontId="224" fillId="2" borderId="159" xfId="26362" applyNumberFormat="1" applyFont="1" applyFill="1" applyBorder="1"/>
    <xf numFmtId="0" fontId="224" fillId="2" borderId="42" xfId="26362" applyFont="1" applyFill="1" applyBorder="1"/>
    <xf numFmtId="165" fontId="224" fillId="2" borderId="18" xfId="26364" applyFont="1" applyFill="1" applyBorder="1" applyAlignment="1">
      <alignment horizontal="right"/>
    </xf>
    <xf numFmtId="4" fontId="224" fillId="2" borderId="159" xfId="17620" applyNumberFormat="1" applyFont="1" applyFill="1" applyBorder="1" applyAlignment="1">
      <alignment horizontal="right"/>
    </xf>
    <xf numFmtId="0" fontId="224" fillId="2" borderId="159" xfId="26362" applyFont="1" applyFill="1" applyBorder="1" applyAlignment="1">
      <alignment horizontal="left"/>
    </xf>
    <xf numFmtId="165" fontId="224" fillId="2" borderId="18" xfId="26364" applyFont="1" applyFill="1" applyBorder="1"/>
    <xf numFmtId="4" fontId="224" fillId="2" borderId="159" xfId="26362" applyNumberFormat="1" applyFont="1" applyFill="1" applyBorder="1" applyAlignment="1">
      <alignment horizontal="right"/>
    </xf>
    <xf numFmtId="0" fontId="224" fillId="2" borderId="159" xfId="26362" applyFont="1" applyFill="1" applyBorder="1"/>
    <xf numFmtId="0" fontId="224" fillId="2" borderId="42" xfId="26362" applyFont="1" applyFill="1" applyBorder="1" applyAlignment="1">
      <alignment horizontal="right"/>
    </xf>
    <xf numFmtId="165" fontId="224" fillId="2" borderId="76" xfId="26364" applyFont="1" applyFill="1" applyBorder="1" applyAlignment="1">
      <alignment horizontal="right"/>
    </xf>
    <xf numFmtId="4" fontId="224" fillId="2" borderId="130" xfId="17620" applyNumberFormat="1" applyFont="1" applyFill="1" applyBorder="1" applyAlignment="1">
      <alignment horizontal="right"/>
    </xf>
    <xf numFmtId="0" fontId="224" fillId="2" borderId="130" xfId="26362" applyFont="1" applyFill="1" applyBorder="1" applyAlignment="1">
      <alignment horizontal="center"/>
    </xf>
    <xf numFmtId="0" fontId="224" fillId="2" borderId="129" xfId="26362" applyFont="1" applyFill="1" applyBorder="1" applyAlignment="1">
      <alignment horizontal="left"/>
    </xf>
    <xf numFmtId="0" fontId="225" fillId="2" borderId="74" xfId="26362" quotePrefix="1" applyFont="1" applyFill="1" applyBorder="1" applyAlignment="1">
      <alignment horizontal="center"/>
    </xf>
    <xf numFmtId="165" fontId="225" fillId="2" borderId="73" xfId="26364" applyFont="1" applyFill="1" applyBorder="1" applyAlignment="1">
      <alignment horizontal="center"/>
    </xf>
    <xf numFmtId="0" fontId="225" fillId="2" borderId="72" xfId="26362" applyFont="1" applyFill="1" applyBorder="1" applyAlignment="1">
      <alignment horizontal="center"/>
    </xf>
    <xf numFmtId="0" fontId="225" fillId="2" borderId="17" xfId="26362" applyFont="1" applyFill="1" applyBorder="1" applyAlignment="1">
      <alignment horizontal="center"/>
    </xf>
    <xf numFmtId="0" fontId="225" fillId="2" borderId="16" xfId="26362" applyFont="1" applyFill="1" applyBorder="1" applyAlignment="1">
      <alignment horizontal="center"/>
    </xf>
    <xf numFmtId="0" fontId="225" fillId="2" borderId="43" xfId="26362" applyFont="1" applyFill="1" applyBorder="1" applyAlignment="1">
      <alignment horizontal="center"/>
    </xf>
    <xf numFmtId="165" fontId="225" fillId="2" borderId="18" xfId="26364" applyFont="1" applyFill="1" applyBorder="1" applyAlignment="1">
      <alignment horizontal="center"/>
    </xf>
    <xf numFmtId="0" fontId="225" fillId="2" borderId="3" xfId="26362" applyFont="1" applyFill="1" applyBorder="1" applyAlignment="1">
      <alignment horizontal="center"/>
    </xf>
    <xf numFmtId="0" fontId="225" fillId="2" borderId="159" xfId="26362" applyFont="1" applyFill="1" applyBorder="1" applyAlignment="1">
      <alignment horizontal="center"/>
    </xf>
    <xf numFmtId="0" fontId="225" fillId="2" borderId="71" xfId="26362" applyFont="1" applyFill="1" applyBorder="1" applyAlignment="1">
      <alignment horizontal="center"/>
    </xf>
    <xf numFmtId="0" fontId="225" fillId="2" borderId="42" xfId="26362" applyFont="1" applyFill="1" applyBorder="1" applyAlignment="1">
      <alignment horizontal="center"/>
    </xf>
    <xf numFmtId="165" fontId="225" fillId="2" borderId="2" xfId="26364" applyFont="1" applyFill="1" applyBorder="1" applyAlignment="1">
      <alignment horizontal="center"/>
    </xf>
    <xf numFmtId="0" fontId="225" fillId="2" borderId="30" xfId="26362" applyFont="1" applyFill="1" applyBorder="1" applyAlignment="1">
      <alignment horizontal="center"/>
    </xf>
    <xf numFmtId="0" fontId="225" fillId="2" borderId="1" xfId="26362" applyFont="1" applyFill="1" applyBorder="1" applyAlignment="1">
      <alignment horizontal="center"/>
    </xf>
    <xf numFmtId="0" fontId="225" fillId="2" borderId="31" xfId="26362" applyFont="1" applyFill="1" applyBorder="1" applyAlignment="1">
      <alignment horizontal="center"/>
    </xf>
    <xf numFmtId="0" fontId="225" fillId="2" borderId="70" xfId="26362" applyFont="1" applyFill="1" applyBorder="1" applyAlignment="1">
      <alignment horizontal="center"/>
    </xf>
    <xf numFmtId="165" fontId="64" fillId="2" borderId="0" xfId="26364" applyFont="1" applyFill="1" applyAlignment="1">
      <alignment horizontal="left"/>
    </xf>
    <xf numFmtId="0" fontId="64" fillId="2" borderId="0" xfId="26362" applyFont="1" applyFill="1" applyAlignment="1">
      <alignment horizontal="left"/>
    </xf>
    <xf numFmtId="165" fontId="0" fillId="2" borderId="0" xfId="26364" applyFont="1" applyFill="1"/>
    <xf numFmtId="0" fontId="0" fillId="2" borderId="0" xfId="0" applyFill="1"/>
    <xf numFmtId="170" fontId="224" fillId="2" borderId="3" xfId="17620" applyNumberFormat="1" applyFont="1" applyFill="1" applyBorder="1" applyAlignment="1"/>
    <xf numFmtId="4" fontId="224" fillId="2" borderId="159" xfId="26360" applyNumberFormat="1" applyFont="1" applyFill="1" applyBorder="1" applyAlignment="1"/>
    <xf numFmtId="0" fontId="224" fillId="2" borderId="159" xfId="26362" applyFont="1" applyFill="1" applyBorder="1" applyAlignment="1">
      <alignment horizontal="center"/>
    </xf>
    <xf numFmtId="3" fontId="215" fillId="0" borderId="103" xfId="11759" applyNumberFormat="1" applyFont="1" applyFill="1" applyBorder="1" applyAlignment="1">
      <alignment vertical="center"/>
    </xf>
    <xf numFmtId="3" fontId="215" fillId="0" borderId="100" xfId="11759" applyNumberFormat="1" applyFont="1" applyFill="1" applyBorder="1" applyAlignment="1">
      <alignment vertical="center"/>
    </xf>
    <xf numFmtId="256" fontId="76" fillId="0" borderId="159" xfId="11759" applyNumberFormat="1" applyFont="1" applyFill="1" applyBorder="1" applyAlignment="1">
      <alignment vertical="top"/>
    </xf>
    <xf numFmtId="0" fontId="76" fillId="0" borderId="93" xfId="11759" quotePrefix="1" applyFont="1" applyFill="1" applyBorder="1" applyAlignment="1">
      <alignment horizontal="right" vertical="top"/>
    </xf>
    <xf numFmtId="256" fontId="76" fillId="0" borderId="159" xfId="11759" applyNumberFormat="1" applyFont="1" applyFill="1" applyBorder="1" applyAlignment="1">
      <alignment horizontal="center" vertical="top"/>
    </xf>
    <xf numFmtId="0" fontId="215" fillId="0" borderId="159" xfId="11759" applyFont="1" applyFill="1" applyBorder="1" applyAlignment="1">
      <alignment vertical="top" wrapText="1"/>
    </xf>
    <xf numFmtId="0" fontId="76" fillId="0" borderId="159" xfId="11759" applyFont="1" applyFill="1" applyBorder="1" applyAlignment="1">
      <alignment vertical="top" wrapText="1"/>
    </xf>
    <xf numFmtId="0" fontId="215" fillId="0" borderId="159" xfId="11759" applyFont="1" applyFill="1" applyBorder="1" applyAlignment="1">
      <alignment vertical="top"/>
    </xf>
    <xf numFmtId="4" fontId="76" fillId="0" borderId="127" xfId="11759" applyNumberFormat="1" applyFont="1" applyFill="1" applyBorder="1" applyAlignment="1">
      <alignment vertical="top"/>
    </xf>
    <xf numFmtId="0" fontId="215" fillId="0" borderId="127" xfId="11759" applyFont="1" applyFill="1" applyBorder="1" applyAlignment="1">
      <alignment vertical="top"/>
    </xf>
    <xf numFmtId="4" fontId="76" fillId="0" borderId="159" xfId="11759" applyNumberFormat="1" applyFont="1" applyFill="1" applyBorder="1" applyAlignment="1">
      <alignment vertical="top" wrapText="1"/>
    </xf>
    <xf numFmtId="0" fontId="76" fillId="0" borderId="159" xfId="11759" applyFont="1" applyFill="1" applyBorder="1" applyAlignment="1">
      <alignment horizontal="center" vertical="top" wrapText="1"/>
    </xf>
    <xf numFmtId="0" fontId="76" fillId="0" borderId="93" xfId="11759" applyFont="1" applyFill="1" applyBorder="1" applyAlignment="1">
      <alignment horizontal="right" vertical="top" wrapText="1"/>
    </xf>
    <xf numFmtId="0" fontId="215" fillId="0" borderId="93" xfId="11759" quotePrefix="1" applyFont="1" applyFill="1" applyBorder="1" applyAlignment="1">
      <alignment horizontal="right" vertical="top"/>
    </xf>
    <xf numFmtId="3" fontId="76" fillId="0" borderId="83" xfId="11759" applyNumberFormat="1" applyFont="1" applyFill="1" applyBorder="1" applyAlignment="1">
      <alignment vertical="top"/>
    </xf>
    <xf numFmtId="3" fontId="76" fillId="0" borderId="159" xfId="11759" applyNumberFormat="1" applyFont="1" applyFill="1" applyBorder="1" applyAlignment="1">
      <alignment vertical="top"/>
    </xf>
    <xf numFmtId="4" fontId="76" fillId="0" borderId="159" xfId="11759" applyNumberFormat="1" applyFont="1" applyFill="1" applyBorder="1" applyAlignment="1">
      <alignment vertical="top"/>
    </xf>
    <xf numFmtId="0" fontId="76" fillId="0" borderId="71" xfId="11759" applyFont="1" applyFill="1" applyBorder="1" applyAlignment="1">
      <alignment vertical="top" wrapText="1"/>
    </xf>
    <xf numFmtId="0" fontId="76" fillId="0" borderId="93" xfId="11759" applyFont="1" applyFill="1" applyBorder="1" applyAlignment="1">
      <alignment horizontal="right" vertical="top"/>
    </xf>
    <xf numFmtId="0" fontId="307" fillId="0" borderId="83" xfId="11759" applyFont="1" applyFill="1" applyBorder="1" applyAlignment="1">
      <alignment vertical="top"/>
    </xf>
    <xf numFmtId="0" fontId="307" fillId="0" borderId="159" xfId="11759" applyFont="1" applyFill="1" applyBorder="1" applyAlignment="1">
      <alignment vertical="top"/>
    </xf>
    <xf numFmtId="0" fontId="76" fillId="0" borderId="159" xfId="11759" applyFont="1" applyFill="1" applyBorder="1" applyAlignment="1">
      <alignment vertical="top"/>
    </xf>
    <xf numFmtId="0" fontId="76" fillId="0" borderId="159" xfId="11759" applyFont="1" applyFill="1" applyBorder="1" applyAlignment="1">
      <alignment horizontal="center" vertical="top"/>
    </xf>
    <xf numFmtId="0" fontId="215" fillId="0" borderId="71" xfId="11759" applyFont="1" applyFill="1" applyBorder="1" applyAlignment="1">
      <alignment vertical="top"/>
    </xf>
    <xf numFmtId="0" fontId="215" fillId="0" borderId="93" xfId="11759" applyFont="1" applyFill="1" applyBorder="1" applyAlignment="1">
      <alignment horizontal="right" vertical="top"/>
    </xf>
    <xf numFmtId="0" fontId="307" fillId="0" borderId="127" xfId="11759" applyFont="1" applyFill="1" applyBorder="1" applyAlignment="1">
      <alignment vertical="top"/>
    </xf>
    <xf numFmtId="0" fontId="76" fillId="0" borderId="127" xfId="11759" applyFont="1" applyFill="1" applyBorder="1" applyAlignment="1">
      <alignment vertical="top"/>
    </xf>
    <xf numFmtId="0" fontId="76" fillId="0" borderId="127" xfId="11759" applyFont="1" applyFill="1" applyBorder="1" applyAlignment="1">
      <alignment horizontal="center" vertical="top"/>
    </xf>
    <xf numFmtId="0" fontId="215" fillId="0" borderId="128" xfId="11759" applyFont="1" applyFill="1" applyBorder="1" applyAlignment="1">
      <alignment vertical="top"/>
    </xf>
    <xf numFmtId="0" fontId="215" fillId="0" borderId="174" xfId="11759" applyFont="1" applyFill="1" applyBorder="1" applyAlignment="1">
      <alignment horizontal="center" vertical="top"/>
    </xf>
    <xf numFmtId="0" fontId="215" fillId="0" borderId="83" xfId="11759" applyFont="1" applyFill="1" applyBorder="1" applyAlignment="1">
      <alignment horizontal="center" vertical="center"/>
    </xf>
    <xf numFmtId="0" fontId="215" fillId="0" borderId="159" xfId="11759" applyFont="1" applyFill="1" applyBorder="1" applyAlignment="1">
      <alignment horizontal="center" vertical="center"/>
    </xf>
    <xf numFmtId="0" fontId="306" fillId="0" borderId="71" xfId="11759" applyFont="1" applyFill="1" applyBorder="1" applyAlignment="1">
      <alignment vertical="center"/>
    </xf>
    <xf numFmtId="0" fontId="306" fillId="0" borderId="93" xfId="11759" applyFont="1" applyFill="1" applyBorder="1" applyAlignment="1">
      <alignment horizontal="center" vertical="center"/>
    </xf>
    <xf numFmtId="0" fontId="215" fillId="0" borderId="94" xfId="11759" applyFont="1" applyFill="1" applyBorder="1" applyAlignment="1">
      <alignment horizontal="center" vertical="center" wrapText="1"/>
    </xf>
    <xf numFmtId="0" fontId="215" fillId="0" borderId="36" xfId="11759" applyFont="1" applyFill="1" applyBorder="1" applyAlignment="1">
      <alignment horizontal="center" vertical="center" wrapText="1"/>
    </xf>
    <xf numFmtId="0" fontId="215" fillId="0" borderId="37" xfId="11759" applyFont="1" applyFill="1" applyBorder="1" applyAlignment="1">
      <alignment horizontal="center" vertical="center" wrapText="1"/>
    </xf>
    <xf numFmtId="0" fontId="215" fillId="0" borderId="98" xfId="11759" applyFont="1" applyFill="1" applyBorder="1" applyAlignment="1">
      <alignment horizontal="center" vertical="center" wrapText="1"/>
    </xf>
    <xf numFmtId="0" fontId="224" fillId="0" borderId="0" xfId="11759" applyFont="1" applyFill="1"/>
    <xf numFmtId="0" fontId="2" fillId="0" borderId="0" xfId="12373" applyFill="1"/>
    <xf numFmtId="165" fontId="297" fillId="0" borderId="173" xfId="26364" applyFont="1" applyFill="1" applyBorder="1" applyAlignment="1"/>
    <xf numFmtId="165" fontId="224" fillId="0" borderId="18" xfId="26364" applyFont="1" applyFill="1" applyBorder="1" applyAlignment="1"/>
    <xf numFmtId="165" fontId="224" fillId="0" borderId="18" xfId="26364" applyFont="1" applyFill="1" applyBorder="1" applyAlignment="1">
      <alignment horizontal="right"/>
    </xf>
    <xf numFmtId="165" fontId="224" fillId="0" borderId="2" xfId="26364" applyFont="1" applyFill="1" applyBorder="1" applyAlignment="1"/>
    <xf numFmtId="165" fontId="297" fillId="0" borderId="11" xfId="26364" applyFont="1" applyFill="1" applyBorder="1" applyAlignment="1"/>
    <xf numFmtId="0" fontId="224" fillId="0" borderId="159" xfId="26362" applyFont="1" applyFill="1" applyBorder="1"/>
    <xf numFmtId="4" fontId="224" fillId="0" borderId="159" xfId="26361" applyNumberFormat="1" applyFont="1" applyFill="1" applyBorder="1" applyAlignment="1"/>
    <xf numFmtId="170" fontId="224" fillId="0" borderId="3" xfId="26361" applyNumberFormat="1" applyFont="1" applyFill="1" applyBorder="1" applyAlignment="1"/>
    <xf numFmtId="4" fontId="224" fillId="0" borderId="159" xfId="26360" applyNumberFormat="1" applyFont="1" applyFill="1" applyBorder="1" applyAlignment="1"/>
    <xf numFmtId="170" fontId="224" fillId="0" borderId="3" xfId="26361" applyNumberFormat="1" applyFont="1" applyFill="1" applyBorder="1" applyAlignment="1">
      <alignment horizontal="right"/>
    </xf>
    <xf numFmtId="43" fontId="224" fillId="0" borderId="159" xfId="26360" applyNumberFormat="1" applyFont="1" applyFill="1" applyBorder="1" applyAlignment="1">
      <alignment horizontal="center"/>
    </xf>
    <xf numFmtId="0" fontId="224" fillId="0" borderId="159" xfId="26362" applyFont="1" applyFill="1" applyBorder="1" applyAlignment="1">
      <alignment horizontal="center"/>
    </xf>
    <xf numFmtId="4" fontId="224" fillId="0" borderId="30" xfId="26362" applyNumberFormat="1" applyFont="1" applyFill="1" applyBorder="1" applyAlignment="1"/>
    <xf numFmtId="4" fontId="224" fillId="0" borderId="1" xfId="26361" applyNumberFormat="1" applyFont="1" applyFill="1" applyBorder="1" applyAlignment="1"/>
    <xf numFmtId="0" fontId="224" fillId="0" borderId="1" xfId="26362" applyFont="1" applyFill="1" applyBorder="1" applyAlignment="1">
      <alignment horizontal="center"/>
    </xf>
    <xf numFmtId="0" fontId="225" fillId="0" borderId="31" xfId="26362" applyFont="1" applyFill="1" applyBorder="1" applyAlignment="1"/>
    <xf numFmtId="0" fontId="224" fillId="0" borderId="70" xfId="26362" applyFont="1" applyFill="1" applyBorder="1" applyAlignment="1">
      <alignment horizontal="center"/>
    </xf>
    <xf numFmtId="4" fontId="224" fillId="0" borderId="10" xfId="26362" applyNumberFormat="1" applyFont="1" applyFill="1" applyBorder="1" applyAlignment="1"/>
    <xf numFmtId="4" fontId="224" fillId="0" borderId="10" xfId="26361" applyNumberFormat="1" applyFont="1" applyFill="1" applyBorder="1" applyAlignment="1"/>
    <xf numFmtId="0" fontId="224" fillId="0" borderId="10" xfId="26362" applyFont="1" applyFill="1" applyBorder="1" applyAlignment="1">
      <alignment horizontal="center"/>
    </xf>
    <xf numFmtId="0" fontId="297" fillId="0" borderId="10" xfId="26362" applyFont="1" applyFill="1" applyBorder="1" applyAlignment="1"/>
    <xf numFmtId="0" fontId="225" fillId="0" borderId="9" xfId="26362" applyFont="1" applyFill="1" applyBorder="1"/>
    <xf numFmtId="0" fontId="224" fillId="0" borderId="80" xfId="26362" applyFont="1" applyFill="1" applyBorder="1" applyAlignment="1">
      <alignment horizontal="center"/>
    </xf>
    <xf numFmtId="0" fontId="225" fillId="0" borderId="71" xfId="26362" applyFont="1" applyFill="1" applyBorder="1" applyAlignment="1"/>
    <xf numFmtId="0" fontId="224" fillId="0" borderId="71" xfId="26362" applyFont="1" applyFill="1" applyBorder="1" applyAlignment="1"/>
    <xf numFmtId="0" fontId="224" fillId="0" borderId="42" xfId="26362" applyFont="1" applyFill="1" applyBorder="1" applyAlignment="1">
      <alignment horizontal="center"/>
    </xf>
    <xf numFmtId="0" fontId="224" fillId="0" borderId="71" xfId="26362" applyFont="1" applyFill="1" applyBorder="1" applyAlignment="1">
      <alignment horizontal="left"/>
    </xf>
    <xf numFmtId="0" fontId="225" fillId="0" borderId="71" xfId="26362" applyFont="1" applyFill="1" applyBorder="1" applyAlignment="1">
      <alignment horizontal="left"/>
    </xf>
    <xf numFmtId="0" fontId="225" fillId="0" borderId="42" xfId="26362" quotePrefix="1" applyFont="1" applyFill="1" applyBorder="1" applyAlignment="1">
      <alignment horizontal="center"/>
    </xf>
    <xf numFmtId="0" fontId="224" fillId="0" borderId="42" xfId="26362" applyFont="1" applyFill="1" applyBorder="1" applyAlignment="1">
      <alignment horizontal="right"/>
    </xf>
    <xf numFmtId="0" fontId="225" fillId="0" borderId="42" xfId="26362" applyFont="1" applyFill="1" applyBorder="1" applyAlignment="1">
      <alignment horizontal="center"/>
    </xf>
    <xf numFmtId="0" fontId="68" fillId="0" borderId="0" xfId="26362" applyFont="1" applyFill="1"/>
    <xf numFmtId="0" fontId="66" fillId="54" borderId="29" xfId="0" applyFont="1" applyFill="1" applyBorder="1" applyAlignment="1">
      <alignment horizontal="center"/>
    </xf>
    <xf numFmtId="0" fontId="66" fillId="54" borderId="28" xfId="0" applyFont="1" applyFill="1" applyBorder="1" applyAlignment="1">
      <alignment horizontal="center"/>
    </xf>
    <xf numFmtId="0" fontId="66" fillId="3" borderId="0" xfId="0" applyFont="1" applyFill="1" applyAlignment="1">
      <alignment horizontal="center"/>
    </xf>
    <xf numFmtId="0" fontId="66" fillId="3" borderId="28" xfId="0" applyFont="1" applyFill="1" applyBorder="1" applyAlignment="1">
      <alignment horizontal="center"/>
    </xf>
    <xf numFmtId="165" fontId="318" fillId="55" borderId="79" xfId="26364" applyFont="1" applyFill="1" applyBorder="1" applyAlignment="1">
      <alignment horizontal="center"/>
    </xf>
    <xf numFmtId="165" fontId="318" fillId="55" borderId="32" xfId="26364" applyFont="1" applyFill="1" applyBorder="1" applyAlignment="1">
      <alignment horizontal="center"/>
    </xf>
    <xf numFmtId="165" fontId="318" fillId="55" borderId="126" xfId="26364" applyFont="1" applyFill="1" applyBorder="1" applyAlignment="1">
      <alignment horizontal="center"/>
    </xf>
    <xf numFmtId="165" fontId="318" fillId="55" borderId="113" xfId="26364" applyFont="1" applyFill="1" applyBorder="1" applyAlignment="1">
      <alignment horizontal="center"/>
    </xf>
    <xf numFmtId="165" fontId="318" fillId="55" borderId="2" xfId="26364" applyFont="1" applyFill="1" applyBorder="1" applyAlignment="1">
      <alignment horizontal="center"/>
    </xf>
    <xf numFmtId="165" fontId="318" fillId="55" borderId="1" xfId="26364" applyFont="1" applyFill="1" applyBorder="1" applyAlignment="1">
      <alignment horizontal="center"/>
    </xf>
    <xf numFmtId="0" fontId="318" fillId="0" borderId="0" xfId="0" applyFont="1"/>
    <xf numFmtId="165" fontId="66" fillId="3" borderId="29" xfId="26364" applyFont="1" applyFill="1" applyBorder="1"/>
    <xf numFmtId="165" fontId="318" fillId="3" borderId="29" xfId="26364" applyFont="1" applyFill="1" applyBorder="1"/>
    <xf numFmtId="165" fontId="318" fillId="3" borderId="28" xfId="26364" applyFont="1" applyFill="1" applyBorder="1"/>
    <xf numFmtId="165" fontId="66" fillId="0" borderId="27" xfId="26364" applyFont="1" applyBorder="1"/>
    <xf numFmtId="0" fontId="66" fillId="0" borderId="27" xfId="0" applyFont="1" applyBorder="1" applyAlignment="1">
      <alignment horizontal="center"/>
    </xf>
    <xf numFmtId="0" fontId="66" fillId="0" borderId="27" xfId="0" applyFont="1" applyBorder="1"/>
    <xf numFmtId="0" fontId="66" fillId="3" borderId="29" xfId="0" applyFont="1" applyFill="1" applyBorder="1" applyAlignment="1">
      <alignment horizontal="center"/>
    </xf>
    <xf numFmtId="2" fontId="66" fillId="0" borderId="29" xfId="0" applyNumberFormat="1" applyFont="1" applyBorder="1"/>
    <xf numFmtId="165" fontId="66" fillId="0" borderId="29" xfId="26364" applyFont="1" applyBorder="1"/>
    <xf numFmtId="0" fontId="66" fillId="0" borderId="29" xfId="0" applyFont="1" applyBorder="1" applyAlignment="1">
      <alignment horizontal="center"/>
    </xf>
    <xf numFmtId="0" fontId="66" fillId="0" borderId="29" xfId="0" applyFont="1" applyBorder="1"/>
    <xf numFmtId="165" fontId="66" fillId="0" borderId="28" xfId="26364" applyFont="1" applyBorder="1"/>
    <xf numFmtId="0" fontId="66" fillId="0" borderId="28" xfId="0" applyFont="1" applyBorder="1" applyAlignment="1">
      <alignment horizontal="center"/>
    </xf>
    <xf numFmtId="0" fontId="66" fillId="0" borderId="28" xfId="0" applyFont="1" applyBorder="1"/>
    <xf numFmtId="0" fontId="66" fillId="0" borderId="136" xfId="0" applyFont="1" applyBorder="1" applyAlignment="1">
      <alignment horizontal="center"/>
    </xf>
    <xf numFmtId="165" fontId="66" fillId="0" borderId="0" xfId="26364" applyFont="1"/>
    <xf numFmtId="0" fontId="66" fillId="0" borderId="0" xfId="0" applyFont="1" applyAlignment="1">
      <alignment horizontal="center"/>
    </xf>
    <xf numFmtId="165" fontId="66" fillId="0" borderId="0" xfId="26364" applyFont="1" applyAlignment="1">
      <alignment vertical="center" wrapText="1"/>
    </xf>
    <xf numFmtId="0" fontId="66" fillId="0" borderId="0" xfId="0" applyFont="1" applyAlignment="1">
      <alignment horizontal="center" vertical="center" wrapText="1"/>
    </xf>
    <xf numFmtId="306" fontId="66" fillId="55" borderId="136" xfId="26364" applyNumberFormat="1" applyFont="1" applyFill="1" applyBorder="1" applyAlignment="1">
      <alignment horizontal="center" vertical="center" wrapText="1"/>
    </xf>
    <xf numFmtId="165" fontId="66" fillId="0" borderId="136" xfId="26364" applyFont="1" applyBorder="1" applyAlignment="1">
      <alignment horizontal="center" vertical="center" wrapText="1"/>
    </xf>
    <xf numFmtId="165" fontId="66" fillId="0" borderId="136" xfId="26364" applyFont="1" applyBorder="1" applyAlignment="1">
      <alignment vertical="center" wrapText="1"/>
    </xf>
    <xf numFmtId="0" fontId="66" fillId="0" borderId="136" xfId="0" applyFont="1" applyBorder="1" applyAlignment="1">
      <alignment vertical="center" wrapText="1"/>
    </xf>
    <xf numFmtId="0" fontId="66" fillId="0" borderId="136" xfId="0" applyFont="1" applyBorder="1" applyAlignment="1">
      <alignment horizontal="center" vertical="center" wrapText="1"/>
    </xf>
    <xf numFmtId="165" fontId="66" fillId="55" borderId="136" xfId="26364" applyFont="1" applyFill="1" applyBorder="1" applyAlignment="1">
      <alignment horizontal="center" vertical="center" wrapText="1"/>
    </xf>
    <xf numFmtId="165" fontId="318" fillId="55" borderId="136" xfId="26364" applyFont="1" applyFill="1" applyBorder="1" applyAlignment="1">
      <alignment vertical="center" wrapText="1"/>
    </xf>
    <xf numFmtId="0" fontId="318" fillId="55" borderId="136" xfId="0" applyFont="1" applyFill="1" applyBorder="1" applyAlignment="1">
      <alignment vertical="center" wrapText="1"/>
    </xf>
    <xf numFmtId="0" fontId="318" fillId="55" borderId="136" xfId="0" applyFont="1" applyFill="1" applyBorder="1" applyAlignment="1">
      <alignment horizontal="center" vertical="center" wrapText="1"/>
    </xf>
    <xf numFmtId="0" fontId="66" fillId="0" borderId="0" xfId="0" applyFont="1" applyAlignment="1">
      <alignment vertical="center" wrapText="1"/>
    </xf>
    <xf numFmtId="165" fontId="318" fillId="3" borderId="136" xfId="26364" applyFont="1" applyFill="1" applyBorder="1" applyAlignment="1">
      <alignment horizontal="center" vertical="center" wrapText="1"/>
    </xf>
    <xf numFmtId="0" fontId="66" fillId="0" borderId="0" xfId="0" applyFont="1"/>
    <xf numFmtId="165" fontId="0" fillId="0" borderId="0" xfId="26364" applyFont="1"/>
    <xf numFmtId="0" fontId="0" fillId="0" borderId="0" xfId="0" applyAlignment="1">
      <alignment horizontal="center"/>
    </xf>
    <xf numFmtId="170" fontId="0" fillId="0" borderId="0" xfId="0" applyNumberFormat="1"/>
    <xf numFmtId="43" fontId="66" fillId="55" borderId="136" xfId="26365" applyFont="1" applyFill="1" applyBorder="1" applyAlignment="1">
      <alignment horizontal="center" vertical="center" wrapText="1"/>
    </xf>
    <xf numFmtId="0" fontId="66" fillId="0" borderId="0" xfId="0" applyFont="1"/>
    <xf numFmtId="170" fontId="69" fillId="0" borderId="121" xfId="26365" applyNumberFormat="1" applyFont="1" applyFill="1" applyBorder="1" applyAlignment="1">
      <alignment horizontal="right" vertical="center" indent="2"/>
    </xf>
    <xf numFmtId="310" fontId="66" fillId="0" borderId="29" xfId="0" applyNumberFormat="1" applyFont="1" applyBorder="1"/>
    <xf numFmtId="170" fontId="327" fillId="2" borderId="188" xfId="17622" applyNumberFormat="1" applyFont="1" applyFill="1" applyBorder="1" applyAlignment="1">
      <alignment horizontal="center" vertical="top"/>
    </xf>
    <xf numFmtId="0" fontId="3" fillId="56" borderId="29" xfId="12153" applyFont="1" applyFill="1" applyBorder="1" applyAlignment="1">
      <alignment horizontal="center" vertical="top"/>
    </xf>
    <xf numFmtId="0" fontId="3" fillId="0" borderId="27" xfId="12043" applyFont="1" applyFill="1" applyBorder="1" applyAlignment="1">
      <alignment vertical="top"/>
    </xf>
    <xf numFmtId="0" fontId="327" fillId="2" borderId="27" xfId="12153" applyFont="1" applyFill="1" applyBorder="1" applyAlignment="1">
      <alignment horizontal="center" vertical="top"/>
    </xf>
    <xf numFmtId="41" fontId="327" fillId="2" borderId="188" xfId="18264" applyFont="1" applyFill="1" applyBorder="1" applyAlignment="1">
      <alignment vertical="top"/>
    </xf>
    <xf numFmtId="0" fontId="3" fillId="0" borderId="28" xfId="14094" applyFont="1" applyFill="1" applyBorder="1" applyAlignment="1" applyProtection="1">
      <alignment horizontal="center" vertical="top" wrapText="1"/>
    </xf>
    <xf numFmtId="0" fontId="3" fillId="0" borderId="29" xfId="14094" applyFont="1" applyFill="1" applyBorder="1" applyAlignment="1" applyProtection="1">
      <alignment horizontal="center" vertical="top" wrapText="1"/>
    </xf>
    <xf numFmtId="0" fontId="3" fillId="0" borderId="28" xfId="12153" applyFont="1" applyFill="1" applyBorder="1" applyAlignment="1">
      <alignment horizontal="center" vertical="top" wrapText="1"/>
    </xf>
    <xf numFmtId="0" fontId="3" fillId="57" borderId="28" xfId="12153" applyFont="1" applyFill="1" applyBorder="1" applyAlignment="1">
      <alignment horizontal="center" vertical="top" wrapText="1"/>
    </xf>
    <xf numFmtId="0" fontId="3" fillId="0" borderId="29" xfId="12043" applyFont="1" applyFill="1" applyBorder="1" applyAlignment="1">
      <alignment horizontal="center" vertical="top"/>
    </xf>
    <xf numFmtId="0" fontId="328" fillId="0" borderId="27" xfId="14094" applyFont="1" applyFill="1" applyBorder="1" applyAlignment="1" applyProtection="1">
      <alignment horizontal="center" vertical="top" wrapText="1"/>
    </xf>
    <xf numFmtId="0" fontId="4" fillId="0" borderId="27" xfId="14094" applyFill="1" applyBorder="1" applyAlignment="1" applyProtection="1">
      <alignment horizontal="center" vertical="top"/>
    </xf>
    <xf numFmtId="0" fontId="3" fillId="0" borderId="27" xfId="12043" applyFont="1" applyFill="1" applyBorder="1" applyAlignment="1">
      <alignment horizontal="center" vertical="top"/>
    </xf>
    <xf numFmtId="170" fontId="327" fillId="2" borderId="188" xfId="18264" applyNumberFormat="1" applyFont="1" applyFill="1" applyBorder="1" applyAlignment="1">
      <alignment vertical="top"/>
    </xf>
    <xf numFmtId="0" fontId="0" fillId="0" borderId="0" xfId="0"/>
    <xf numFmtId="0" fontId="300" fillId="0" borderId="0" xfId="12373" applyFont="1" applyFill="1" applyAlignment="1">
      <alignment horizontal="center"/>
    </xf>
    <xf numFmtId="0" fontId="301" fillId="0" borderId="0" xfId="12373" applyFont="1" applyFill="1" applyAlignment="1">
      <alignment horizontal="center"/>
    </xf>
    <xf numFmtId="0" fontId="301" fillId="0" borderId="0" xfId="12373" applyFont="1" applyFill="1" applyAlignment="1">
      <alignment horizontal="center" vertical="center"/>
    </xf>
    <xf numFmtId="167" fontId="66" fillId="0" borderId="29" xfId="0" applyNumberFormat="1" applyFont="1" applyBorder="1"/>
    <xf numFmtId="4" fontId="329" fillId="0" borderId="159" xfId="11759" applyNumberFormat="1" applyFont="1" applyFill="1" applyBorder="1" applyAlignment="1">
      <alignment vertical="top"/>
    </xf>
    <xf numFmtId="170" fontId="69" fillId="0" borderId="22" xfId="17620" applyNumberFormat="1" applyFont="1" applyFill="1" applyBorder="1" applyAlignment="1">
      <alignment horizontal="right" vertical="center" indent="2"/>
    </xf>
    <xf numFmtId="0" fontId="2" fillId="0" borderId="188" xfId="12373" applyFill="1" applyBorder="1" applyAlignment="1">
      <alignment horizontal="center" wrapText="1"/>
    </xf>
    <xf numFmtId="0" fontId="2" fillId="0" borderId="159" xfId="12373" applyFill="1" applyBorder="1" applyAlignment="1">
      <alignment horizontal="center" vertical="center"/>
    </xf>
    <xf numFmtId="3" fontId="68" fillId="0" borderId="159" xfId="12373" applyNumberFormat="1" applyFont="1" applyFill="1" applyBorder="1" applyAlignment="1">
      <alignment horizontal="center"/>
    </xf>
    <xf numFmtId="1" fontId="2" fillId="0" borderId="159" xfId="12373" applyNumberFormat="1" applyFont="1" applyFill="1" applyBorder="1" applyAlignment="1">
      <alignment horizontal="center" vertical="center"/>
    </xf>
    <xf numFmtId="0" fontId="2" fillId="0" borderId="196" xfId="12373" applyFont="1" applyFill="1" applyBorder="1" applyAlignment="1">
      <alignment horizontal="center" vertical="center"/>
    </xf>
    <xf numFmtId="0" fontId="68" fillId="0" borderId="159" xfId="12373" applyFont="1" applyFill="1" applyBorder="1" applyAlignment="1">
      <alignment horizontal="center"/>
    </xf>
    <xf numFmtId="2" fontId="2" fillId="0" borderId="159" xfId="12373" applyNumberFormat="1" applyFill="1" applyBorder="1" applyAlignment="1">
      <alignment horizontal="center" vertical="center"/>
    </xf>
    <xf numFmtId="1" fontId="2" fillId="0" borderId="159" xfId="12373" applyNumberFormat="1" applyFill="1" applyBorder="1" applyAlignment="1">
      <alignment horizontal="center" vertical="center"/>
    </xf>
    <xf numFmtId="43" fontId="68" fillId="0" borderId="206" xfId="17466" applyFont="1" applyFill="1" applyBorder="1"/>
    <xf numFmtId="43" fontId="68" fillId="0" borderId="159" xfId="17466" applyFont="1" applyFill="1" applyBorder="1"/>
    <xf numFmtId="43" fontId="68" fillId="0" borderId="159" xfId="17625" applyFont="1" applyFill="1" applyBorder="1"/>
    <xf numFmtId="3" fontId="68" fillId="0" borderId="159" xfId="17466" applyNumberFormat="1" applyFont="1" applyFill="1" applyBorder="1"/>
    <xf numFmtId="3" fontId="68" fillId="0" borderId="206" xfId="17466" applyNumberFormat="1" applyFont="1" applyFill="1" applyBorder="1"/>
    <xf numFmtId="165" fontId="2" fillId="0" borderId="188" xfId="26364" applyFont="1" applyFill="1" applyBorder="1" applyAlignment="1">
      <alignment horizontal="center" wrapText="1"/>
    </xf>
    <xf numFmtId="0" fontId="0" fillId="0" borderId="0" xfId="0" applyFill="1"/>
    <xf numFmtId="165" fontId="2" fillId="0" borderId="165" xfId="26364" applyFont="1" applyFill="1" applyBorder="1" applyAlignment="1">
      <alignment horizontal="center" wrapText="1"/>
    </xf>
    <xf numFmtId="165" fontId="2" fillId="0" borderId="165" xfId="26364" applyFont="1" applyFill="1" applyBorder="1" applyAlignment="1">
      <alignment horizontal="center"/>
    </xf>
    <xf numFmtId="0" fontId="2" fillId="0" borderId="130" xfId="12373" applyFill="1" applyBorder="1" applyAlignment="1">
      <alignment horizontal="center" wrapText="1"/>
    </xf>
    <xf numFmtId="0" fontId="215" fillId="0" borderId="95" xfId="11759" applyFont="1" applyFill="1" applyBorder="1" applyAlignment="1">
      <alignment horizontal="center" vertical="center" wrapText="1"/>
    </xf>
    <xf numFmtId="0" fontId="215" fillId="0" borderId="214" xfId="11759" applyFont="1" applyFill="1" applyBorder="1" applyAlignment="1">
      <alignment horizontal="center" vertical="center" wrapText="1"/>
    </xf>
    <xf numFmtId="0" fontId="215" fillId="0" borderId="41" xfId="11759" applyFont="1" applyFill="1" applyBorder="1" applyAlignment="1">
      <alignment horizontal="center" vertical="center" wrapText="1"/>
    </xf>
    <xf numFmtId="0" fontId="215" fillId="0" borderId="103" xfId="11759" applyFont="1" applyFill="1" applyBorder="1" applyAlignment="1">
      <alignment horizontal="center" vertical="center" wrapText="1"/>
    </xf>
    <xf numFmtId="0" fontId="68" fillId="0" borderId="133" xfId="12373" applyFont="1" applyFill="1" applyBorder="1" applyAlignment="1">
      <alignment horizontal="center" wrapText="1"/>
    </xf>
    <xf numFmtId="0" fontId="68" fillId="0" borderId="211" xfId="12373" applyFont="1" applyFill="1" applyBorder="1" applyAlignment="1">
      <alignment horizontal="center"/>
    </xf>
    <xf numFmtId="0" fontId="68" fillId="0" borderId="91" xfId="12373" applyFont="1" applyFill="1" applyBorder="1" applyAlignment="1">
      <alignment horizontal="center"/>
    </xf>
    <xf numFmtId="0" fontId="303" fillId="0" borderId="187" xfId="12373" applyFont="1" applyFill="1" applyBorder="1" applyAlignment="1">
      <alignment horizontal="center"/>
    </xf>
    <xf numFmtId="3" fontId="68" fillId="0" borderId="24" xfId="17465" applyNumberFormat="1" applyFont="1" applyFill="1" applyBorder="1" applyAlignment="1">
      <alignment horizontal="right"/>
    </xf>
    <xf numFmtId="3" fontId="68" fillId="0" borderId="91" xfId="17465" applyNumberFormat="1" applyFont="1" applyFill="1" applyBorder="1" applyAlignment="1">
      <alignment horizontal="right"/>
    </xf>
    <xf numFmtId="0" fontId="0" fillId="0" borderId="0" xfId="0"/>
    <xf numFmtId="0" fontId="2" fillId="0" borderId="188" xfId="12373" applyFill="1" applyBorder="1" applyAlignment="1">
      <alignment horizontal="center"/>
    </xf>
    <xf numFmtId="0" fontId="2" fillId="0" borderId="206" xfId="12373" applyFill="1" applyBorder="1" applyAlignment="1">
      <alignment horizontal="center"/>
    </xf>
    <xf numFmtId="0" fontId="2" fillId="0" borderId="206" xfId="12373" applyFill="1" applyBorder="1" applyAlignment="1">
      <alignment horizontal="center" vertical="center"/>
    </xf>
    <xf numFmtId="0" fontId="2" fillId="0" borderId="7" xfId="12373" applyFill="1" applyBorder="1" applyAlignment="1">
      <alignment horizontal="center" vertical="center"/>
    </xf>
    <xf numFmtId="0" fontId="0" fillId="2" borderId="0" xfId="0" applyFill="1"/>
    <xf numFmtId="170" fontId="2" fillId="0" borderId="0" xfId="26361" applyNumberFormat="1" applyFont="1" applyFill="1" applyBorder="1" applyAlignment="1" applyProtection="1">
      <alignment vertical="top"/>
    </xf>
    <xf numFmtId="170" fontId="2" fillId="0" borderId="0" xfId="26361" applyNumberFormat="1" applyFont="1" applyFill="1" applyBorder="1" applyAlignment="1" applyProtection="1">
      <alignment horizontal="center"/>
    </xf>
    <xf numFmtId="4" fontId="10" fillId="0" borderId="215" xfId="18270" applyNumberFormat="1" applyFont="1" applyFill="1" applyBorder="1" applyProtection="1"/>
    <xf numFmtId="4" fontId="10" fillId="0" borderId="215" xfId="11097" applyNumberFormat="1" applyFont="1" applyFill="1" applyBorder="1" applyAlignment="1" applyProtection="1">
      <alignment horizontal="right"/>
    </xf>
    <xf numFmtId="304" fontId="10" fillId="0" borderId="215" xfId="11097" applyNumberFormat="1" applyFont="1" applyFill="1" applyBorder="1" applyAlignment="1" applyProtection="1">
      <alignment vertical="center"/>
    </xf>
    <xf numFmtId="2" fontId="10" fillId="0" borderId="215" xfId="11098" applyNumberFormat="1" applyFont="1" applyFill="1" applyBorder="1" applyProtection="1"/>
    <xf numFmtId="2" fontId="10" fillId="0" borderId="215" xfId="11098" applyNumberFormat="1" applyFont="1" applyFill="1" applyBorder="1" applyAlignment="1" applyProtection="1">
      <alignment horizontal="right"/>
    </xf>
    <xf numFmtId="170" fontId="330" fillId="0" borderId="56" xfId="26365" applyNumberFormat="1" applyFont="1" applyFill="1" applyBorder="1" applyProtection="1"/>
    <xf numFmtId="170" fontId="10" fillId="0" borderId="56" xfId="26365" applyNumberFormat="1" applyFont="1" applyFill="1" applyBorder="1" applyProtection="1"/>
    <xf numFmtId="41" fontId="10" fillId="0" borderId="56" xfId="26361" applyNumberFormat="1" applyFont="1" applyFill="1" applyBorder="1" applyProtection="1"/>
    <xf numFmtId="41" fontId="330" fillId="0" borderId="191" xfId="26361" applyNumberFormat="1" applyFont="1" applyFill="1" applyBorder="1" applyProtection="1"/>
    <xf numFmtId="170" fontId="10" fillId="0" borderId="215" xfId="26365" applyNumberFormat="1" applyFont="1" applyFill="1" applyBorder="1" applyProtection="1"/>
    <xf numFmtId="0" fontId="0" fillId="0" borderId="0" xfId="0"/>
    <xf numFmtId="0" fontId="68" fillId="0" borderId="0" xfId="26362" applyFont="1" applyFill="1" applyBorder="1" applyAlignment="1">
      <alignment horizontal="left"/>
    </xf>
    <xf numFmtId="43" fontId="69" fillId="0" borderId="129" xfId="17620" applyFont="1" applyFill="1" applyBorder="1" applyAlignment="1">
      <alignment horizontal="center" vertical="center"/>
    </xf>
    <xf numFmtId="43" fontId="69" fillId="0" borderId="196" xfId="17620" applyFont="1" applyFill="1" applyBorder="1" applyAlignment="1">
      <alignment horizontal="center" vertical="center"/>
    </xf>
    <xf numFmtId="43" fontId="69" fillId="0" borderId="217" xfId="17620" applyFont="1" applyFill="1" applyBorder="1" applyAlignment="1">
      <alignment horizontal="center" vertical="center"/>
    </xf>
    <xf numFmtId="170" fontId="68" fillId="0" borderId="196" xfId="17620" applyNumberFormat="1" applyFont="1" applyFill="1" applyBorder="1" applyAlignment="1">
      <alignment horizontal="right" vertical="center" indent="2"/>
    </xf>
    <xf numFmtId="170" fontId="68" fillId="0" borderId="196" xfId="17620" applyNumberFormat="1" applyFont="1" applyFill="1" applyBorder="1" applyAlignment="1">
      <alignment horizontal="center"/>
    </xf>
    <xf numFmtId="170" fontId="69" fillId="0" borderId="208" xfId="17620" applyNumberFormat="1" applyFont="1" applyFill="1" applyBorder="1" applyAlignment="1">
      <alignment horizontal="right" vertical="center" indent="2"/>
    </xf>
    <xf numFmtId="170" fontId="69" fillId="0" borderId="204" xfId="17620" applyNumberFormat="1" applyFont="1" applyFill="1" applyBorder="1" applyAlignment="1">
      <alignment horizontal="right" vertical="center" indent="2"/>
    </xf>
    <xf numFmtId="170" fontId="69" fillId="0" borderId="129" xfId="26365" applyNumberFormat="1" applyFont="1" applyFill="1" applyBorder="1" applyAlignment="1">
      <alignment horizontal="right" vertical="center" indent="2"/>
    </xf>
    <xf numFmtId="170" fontId="68" fillId="0" borderId="196" xfId="11100" applyNumberFormat="1" applyFont="1" applyFill="1" applyBorder="1" applyAlignment="1">
      <alignment horizontal="center" vertical="center"/>
    </xf>
    <xf numFmtId="170" fontId="69" fillId="0" borderId="218" xfId="17620" applyNumberFormat="1" applyFont="1" applyFill="1" applyBorder="1" applyAlignment="1">
      <alignment horizontal="right" vertical="center" indent="2"/>
    </xf>
    <xf numFmtId="170" fontId="68" fillId="0" borderId="219" xfId="17620" applyNumberFormat="1" applyFont="1" applyFill="1" applyBorder="1" applyAlignment="1">
      <alignment horizontal="right" vertical="center" indent="2"/>
    </xf>
    <xf numFmtId="0" fontId="2" fillId="0" borderId="221" xfId="12373" applyFill="1" applyBorder="1" applyAlignment="1">
      <alignment horizontal="center"/>
    </xf>
    <xf numFmtId="0" fontId="8" fillId="0" borderId="159" xfId="12373" applyFont="1" applyFill="1" applyBorder="1"/>
    <xf numFmtId="0" fontId="2" fillId="0" borderId="196" xfId="12373" applyFill="1" applyBorder="1"/>
    <xf numFmtId="0" fontId="68" fillId="0" borderId="159" xfId="12373" applyFont="1" applyFill="1" applyBorder="1"/>
    <xf numFmtId="0" fontId="2" fillId="0" borderId="159" xfId="12373" applyFont="1" applyFill="1" applyBorder="1"/>
    <xf numFmtId="0" fontId="2" fillId="0" borderId="196" xfId="12373" applyFill="1" applyBorder="1" applyAlignment="1">
      <alignment horizontal="center" vertical="center"/>
    </xf>
    <xf numFmtId="0" fontId="2" fillId="0" borderId="159" xfId="12373" applyFill="1" applyBorder="1"/>
    <xf numFmtId="3" fontId="68" fillId="0" borderId="159" xfId="12373" applyNumberFormat="1" applyFont="1" applyFill="1" applyBorder="1"/>
    <xf numFmtId="0" fontId="2" fillId="0" borderId="8" xfId="12373" applyFill="1" applyBorder="1" applyAlignment="1">
      <alignment horizontal="center" vertical="center"/>
    </xf>
    <xf numFmtId="1" fontId="2" fillId="0" borderId="7" xfId="12373" applyNumberFormat="1" applyFont="1" applyFill="1" applyBorder="1" applyAlignment="1">
      <alignment horizontal="center" vertical="center"/>
    </xf>
    <xf numFmtId="0" fontId="69" fillId="0" borderId="159" xfId="12373" quotePrefix="1" applyFont="1" applyFill="1" applyBorder="1"/>
    <xf numFmtId="0" fontId="68" fillId="0" borderId="196" xfId="12373" applyFont="1" applyFill="1" applyBorder="1"/>
    <xf numFmtId="0" fontId="69" fillId="0" borderId="159" xfId="12373" applyFont="1" applyFill="1" applyBorder="1"/>
    <xf numFmtId="0" fontId="68" fillId="0" borderId="196" xfId="12373" applyFont="1" applyFill="1" applyBorder="1" applyAlignment="1">
      <alignment horizontal="center" vertical="center"/>
    </xf>
    <xf numFmtId="3" fontId="68" fillId="0" borderId="159" xfId="12373" applyNumberFormat="1" applyFont="1" applyFill="1" applyBorder="1" applyAlignment="1">
      <alignment horizontal="right"/>
    </xf>
    <xf numFmtId="1" fontId="2" fillId="0" borderId="7" xfId="12373" applyNumberFormat="1" applyFill="1" applyBorder="1" applyAlignment="1">
      <alignment horizontal="center" vertical="center"/>
    </xf>
    <xf numFmtId="43" fontId="2" fillId="0" borderId="0" xfId="12373" applyNumberFormat="1" applyFill="1"/>
    <xf numFmtId="0" fontId="2" fillId="2" borderId="0" xfId="12373" applyFill="1"/>
    <xf numFmtId="0" fontId="300" fillId="2" borderId="0" xfId="12373" applyFont="1" applyFill="1" applyAlignment="1">
      <alignment horizontal="center"/>
    </xf>
    <xf numFmtId="0" fontId="301" fillId="2" borderId="0" xfId="12373" applyFont="1" applyFill="1" applyAlignment="1">
      <alignment horizontal="center"/>
    </xf>
    <xf numFmtId="0" fontId="301" fillId="2" borderId="0" xfId="12373" applyFont="1" applyFill="1" applyAlignment="1">
      <alignment horizontal="center" vertical="center"/>
    </xf>
    <xf numFmtId="0" fontId="2" fillId="2" borderId="188" xfId="12373" applyFill="1" applyBorder="1" applyAlignment="1">
      <alignment horizontal="center" wrapText="1"/>
    </xf>
    <xf numFmtId="0" fontId="2" fillId="2" borderId="187" xfId="12373" applyFill="1" applyBorder="1" applyAlignment="1">
      <alignment horizontal="center" wrapText="1"/>
    </xf>
    <xf numFmtId="0" fontId="2" fillId="2" borderId="188" xfId="12373" applyFill="1" applyBorder="1" applyAlignment="1">
      <alignment horizontal="center"/>
    </xf>
    <xf numFmtId="0" fontId="2" fillId="2" borderId="187" xfId="12373" applyFill="1" applyBorder="1" applyAlignment="1">
      <alignment horizontal="center"/>
    </xf>
    <xf numFmtId="0" fontId="302" fillId="2" borderId="206" xfId="12373" applyFont="1" applyFill="1" applyBorder="1" applyAlignment="1">
      <alignment horizontal="center"/>
    </xf>
    <xf numFmtId="0" fontId="302" fillId="2" borderId="209" xfId="12373" applyFont="1" applyFill="1" applyBorder="1" applyAlignment="1">
      <alignment horizontal="center"/>
    </xf>
    <xf numFmtId="43" fontId="68" fillId="2" borderId="159" xfId="17625" applyFont="1" applyFill="1" applyBorder="1"/>
    <xf numFmtId="43" fontId="68" fillId="2" borderId="24" xfId="17625" applyFont="1" applyFill="1" applyBorder="1"/>
    <xf numFmtId="3" fontId="68" fillId="2" borderId="159" xfId="12373" applyNumberFormat="1" applyFont="1" applyFill="1" applyBorder="1"/>
    <xf numFmtId="3" fontId="68" fillId="2" borderId="159" xfId="17466" applyNumberFormat="1" applyFont="1" applyFill="1" applyBorder="1"/>
    <xf numFmtId="3" fontId="68" fillId="2" borderId="24" xfId="17466" applyNumberFormat="1" applyFont="1" applyFill="1" applyBorder="1"/>
    <xf numFmtId="43" fontId="69" fillId="2" borderId="7" xfId="17466" applyFont="1" applyFill="1" applyBorder="1"/>
    <xf numFmtId="0" fontId="68" fillId="2" borderId="7" xfId="12373" applyFont="1" applyFill="1" applyBorder="1"/>
    <xf numFmtId="43" fontId="69" fillId="2" borderId="91" xfId="17466" applyFont="1" applyFill="1" applyBorder="1"/>
    <xf numFmtId="170" fontId="69" fillId="2" borderId="88" xfId="17466" applyNumberFormat="1" applyFont="1" applyFill="1" applyBorder="1" applyAlignment="1">
      <alignment vertical="center"/>
    </xf>
    <xf numFmtId="43" fontId="69" fillId="2" borderId="41" xfId="17466" applyFont="1" applyFill="1" applyBorder="1"/>
    <xf numFmtId="43" fontId="69" fillId="2" borderId="88" xfId="17466" applyFont="1" applyFill="1" applyBorder="1"/>
    <xf numFmtId="43" fontId="69" fillId="0" borderId="159" xfId="17625" applyFont="1" applyFill="1" applyBorder="1"/>
    <xf numFmtId="43" fontId="69" fillId="0" borderId="24" xfId="17625" applyFont="1" applyFill="1" applyBorder="1"/>
    <xf numFmtId="43" fontId="69" fillId="0" borderId="7" xfId="17625" applyFont="1" applyFill="1" applyBorder="1"/>
    <xf numFmtId="43" fontId="69" fillId="0" borderId="91" xfId="17625" applyFont="1" applyFill="1" applyBorder="1"/>
    <xf numFmtId="0" fontId="65" fillId="0" borderId="106" xfId="11097" applyFont="1" applyFill="1" applyBorder="1" applyAlignment="1" applyProtection="1"/>
    <xf numFmtId="0" fontId="65" fillId="0" borderId="194" xfId="11097" applyFont="1" applyFill="1" applyBorder="1" applyAlignment="1" applyProtection="1"/>
    <xf numFmtId="3" fontId="65" fillId="0" borderId="197" xfId="18270" applyNumberFormat="1" applyFont="1" applyFill="1" applyBorder="1" applyAlignment="1" applyProtection="1"/>
    <xf numFmtId="3" fontId="65" fillId="0" borderId="117" xfId="18270" applyNumberFormat="1" applyFont="1" applyFill="1" applyBorder="1" applyAlignment="1" applyProtection="1"/>
    <xf numFmtId="3" fontId="65" fillId="0" borderId="228" xfId="18270" applyNumberFormat="1" applyFont="1" applyFill="1" applyBorder="1" applyAlignment="1" applyProtection="1"/>
    <xf numFmtId="3" fontId="65" fillId="0" borderId="119" xfId="18270" applyNumberFormat="1" applyFont="1" applyFill="1" applyBorder="1" applyAlignment="1" applyProtection="1"/>
    <xf numFmtId="3" fontId="65" fillId="0" borderId="201" xfId="18270" applyNumberFormat="1" applyFont="1" applyFill="1" applyBorder="1" applyAlignment="1" applyProtection="1"/>
    <xf numFmtId="0" fontId="10" fillId="0" borderId="236" xfId="11097" applyFont="1" applyFill="1" applyBorder="1" applyAlignment="1" applyProtection="1">
      <alignment horizontal="center"/>
    </xf>
    <xf numFmtId="0" fontId="10" fillId="0" borderId="237" xfId="11097" applyFont="1" applyFill="1" applyBorder="1" applyAlignment="1" applyProtection="1">
      <alignment horizontal="center"/>
    </xf>
    <xf numFmtId="0" fontId="10" fillId="0" borderId="220" xfId="11097" applyFont="1" applyFill="1" applyBorder="1" applyAlignment="1" applyProtection="1">
      <alignment horizontal="center"/>
    </xf>
    <xf numFmtId="0" fontId="295" fillId="0" borderId="0" xfId="26362" applyFont="1" applyFill="1" applyBorder="1" applyAlignment="1" applyProtection="1">
      <alignment horizontal="center" vertical="center" wrapText="1"/>
    </xf>
    <xf numFmtId="0" fontId="295" fillId="0" borderId="56" xfId="26362" applyFont="1" applyFill="1" applyBorder="1" applyAlignment="1" applyProtection="1">
      <alignment horizontal="center" vertical="center" wrapText="1"/>
    </xf>
    <xf numFmtId="0" fontId="295" fillId="0" borderId="0" xfId="26362" applyFont="1" applyFill="1" applyBorder="1" applyAlignment="1" applyProtection="1">
      <alignment horizontal="center" vertical="center"/>
    </xf>
    <xf numFmtId="0" fontId="295" fillId="0" borderId="56" xfId="26362" applyFont="1" applyFill="1" applyBorder="1" applyAlignment="1" applyProtection="1">
      <alignment horizontal="center" vertical="center"/>
    </xf>
    <xf numFmtId="0" fontId="295" fillId="0" borderId="0" xfId="11097" applyFont="1" applyFill="1" applyBorder="1" applyAlignment="1" applyProtection="1">
      <alignment horizontal="center" vertical="center"/>
    </xf>
    <xf numFmtId="0" fontId="295" fillId="0" borderId="56" xfId="11097" applyFont="1" applyFill="1" applyBorder="1" applyAlignment="1" applyProtection="1">
      <alignment horizontal="center" vertical="center"/>
    </xf>
    <xf numFmtId="0" fontId="66" fillId="0" borderId="0" xfId="0" applyFont="1"/>
    <xf numFmtId="170" fontId="65" fillId="0" borderId="0" xfId="17625" applyNumberFormat="1" applyFont="1" applyFill="1" applyBorder="1" applyAlignment="1" applyProtection="1">
      <alignment horizontal="right"/>
    </xf>
    <xf numFmtId="170" fontId="65" fillId="0" borderId="0" xfId="17625" applyNumberFormat="1" applyFont="1" applyFill="1" applyBorder="1" applyAlignment="1" applyProtection="1">
      <alignment horizontal="right" vertical="top"/>
    </xf>
    <xf numFmtId="0" fontId="10" fillId="0" borderId="56" xfId="11096" applyFont="1" applyFill="1" applyBorder="1" applyAlignment="1" applyProtection="1">
      <alignment horizontal="center" vertical="top"/>
    </xf>
    <xf numFmtId="304" fontId="10" fillId="0" borderId="215" xfId="11097" applyNumberFormat="1" applyFont="1" applyFill="1" applyBorder="1" applyAlignment="1" applyProtection="1">
      <alignment vertical="top"/>
    </xf>
    <xf numFmtId="170" fontId="10" fillId="0" borderId="56" xfId="17625" applyNumberFormat="1" applyFont="1" applyFill="1" applyBorder="1" applyAlignment="1" applyProtection="1">
      <alignment horizontal="center" vertical="top"/>
    </xf>
    <xf numFmtId="0" fontId="65" fillId="0" borderId="106" xfId="11097" applyFont="1" applyFill="1" applyBorder="1" applyAlignment="1">
      <alignment horizontal="center" vertical="top"/>
    </xf>
    <xf numFmtId="3" fontId="10" fillId="0" borderId="114" xfId="11097" applyNumberFormat="1" applyFont="1" applyFill="1" applyBorder="1" applyAlignment="1">
      <alignment horizontal="center" vertical="top"/>
    </xf>
    <xf numFmtId="0" fontId="68" fillId="0" borderId="0" xfId="26359" applyFont="1" applyFill="1" applyBorder="1" applyAlignment="1">
      <alignment vertical="top"/>
    </xf>
    <xf numFmtId="0" fontId="65" fillId="0" borderId="0" xfId="11097" applyFont="1" applyFill="1" applyBorder="1" applyAlignment="1">
      <alignment horizontal="center" vertical="top"/>
    </xf>
    <xf numFmtId="0" fontId="0" fillId="0" borderId="0" xfId="0" applyAlignment="1">
      <alignment vertical="top"/>
    </xf>
    <xf numFmtId="165" fontId="318" fillId="0" borderId="29" xfId="26364" applyFont="1" applyBorder="1"/>
    <xf numFmtId="0" fontId="0" fillId="0" borderId="0" xfId="0"/>
    <xf numFmtId="0" fontId="300" fillId="0" borderId="0" xfId="12373" applyFont="1" applyFill="1" applyAlignment="1">
      <alignment horizontal="center"/>
    </xf>
    <xf numFmtId="0" fontId="301" fillId="0" borderId="0" xfId="12373" applyFont="1" applyFill="1" applyAlignment="1">
      <alignment horizontal="center"/>
    </xf>
    <xf numFmtId="0" fontId="301" fillId="0" borderId="0" xfId="12373" applyFont="1" applyFill="1" applyAlignment="1">
      <alignment horizontal="center" vertical="center"/>
    </xf>
    <xf numFmtId="0" fontId="2" fillId="0" borderId="188" xfId="12373" applyFill="1" applyBorder="1" applyAlignment="1">
      <alignment horizontal="center"/>
    </xf>
    <xf numFmtId="0" fontId="2" fillId="0" borderId="7" xfId="12373" applyFill="1" applyBorder="1" applyAlignment="1">
      <alignment horizontal="center"/>
    </xf>
    <xf numFmtId="0" fontId="299" fillId="0" borderId="87" xfId="12372" applyFont="1" applyFill="1" applyBorder="1" applyAlignment="1">
      <alignment horizontal="center" vertical="center"/>
    </xf>
    <xf numFmtId="0" fontId="299" fillId="0" borderId="41" xfId="12372" applyFont="1" applyFill="1" applyBorder="1" applyAlignment="1">
      <alignment horizontal="center" vertical="center"/>
    </xf>
    <xf numFmtId="0" fontId="68" fillId="0" borderId="0" xfId="12153" applyFont="1"/>
    <xf numFmtId="0" fontId="68" fillId="0" borderId="0" xfId="0" applyFont="1" applyAlignment="1">
      <alignment horizontal="center"/>
    </xf>
    <xf numFmtId="2" fontId="68" fillId="0" borderId="0" xfId="0" applyNumberFormat="1" applyFont="1" applyAlignment="1">
      <alignment horizontal="center"/>
    </xf>
    <xf numFmtId="0" fontId="68" fillId="0" borderId="0" xfId="0" applyFont="1"/>
    <xf numFmtId="2" fontId="69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5" fontId="318" fillId="58" borderId="29" xfId="26364" applyFont="1" applyFill="1" applyBorder="1"/>
    <xf numFmtId="0" fontId="333" fillId="0" borderId="0" xfId="0" applyFont="1" applyAlignment="1">
      <alignment horizontal="center"/>
    </xf>
    <xf numFmtId="0" fontId="68" fillId="0" borderId="0" xfId="12153" applyFont="1" applyAlignment="1">
      <alignment horizontal="center"/>
    </xf>
    <xf numFmtId="165" fontId="66" fillId="2" borderId="29" xfId="26364" applyFont="1" applyFill="1" applyBorder="1"/>
    <xf numFmtId="165" fontId="66" fillId="0" borderId="29" xfId="26364" applyFont="1" applyFill="1" applyBorder="1"/>
    <xf numFmtId="43" fontId="334" fillId="0" borderId="0" xfId="0" applyNumberFormat="1" applyFont="1"/>
    <xf numFmtId="170" fontId="10" fillId="0" borderId="56" xfId="17625" applyNumberFormat="1" applyFont="1" applyFill="1" applyBorder="1" applyAlignment="1" applyProtection="1">
      <alignment horizontal="center" vertical="center"/>
    </xf>
    <xf numFmtId="0" fontId="10" fillId="0" borderId="0" xfId="11097" applyFont="1" applyFill="1" applyBorder="1" applyAlignment="1">
      <alignment vertical="center"/>
    </xf>
    <xf numFmtId="0" fontId="0" fillId="0" borderId="0" xfId="0" applyAlignment="1">
      <alignment vertical="center"/>
    </xf>
    <xf numFmtId="3" fontId="65" fillId="0" borderId="243" xfId="18270" applyNumberFormat="1" applyFont="1" applyFill="1" applyBorder="1" applyAlignment="1" applyProtection="1"/>
    <xf numFmtId="170" fontId="65" fillId="0" borderId="242" xfId="17625" applyNumberFormat="1" applyFont="1" applyFill="1" applyBorder="1" applyProtection="1"/>
    <xf numFmtId="3" fontId="65" fillId="0" borderId="232" xfId="18270" applyNumberFormat="1" applyFont="1" applyFill="1" applyBorder="1" applyAlignment="1" applyProtection="1"/>
    <xf numFmtId="170" fontId="330" fillId="0" borderId="244" xfId="26365" applyNumberFormat="1" applyFont="1" applyFill="1" applyBorder="1" applyProtection="1"/>
    <xf numFmtId="170" fontId="10" fillId="0" borderId="235" xfId="17625" applyNumberFormat="1" applyFont="1" applyFill="1" applyBorder="1" applyAlignment="1" applyProtection="1">
      <alignment horizontal="center"/>
    </xf>
    <xf numFmtId="170" fontId="10" fillId="0" borderId="235" xfId="17625" applyNumberFormat="1" applyFont="1" applyFill="1" applyBorder="1" applyAlignment="1" applyProtection="1">
      <alignment horizontal="center" vertical="center"/>
    </xf>
    <xf numFmtId="0" fontId="66" fillId="2" borderId="0" xfId="11458" applyFont="1" applyFill="1" applyBorder="1" applyAlignment="1">
      <alignment horizontal="center" vertical="center"/>
    </xf>
    <xf numFmtId="0" fontId="335" fillId="2" borderId="0" xfId="12153" applyFont="1" applyFill="1"/>
    <xf numFmtId="0" fontId="335" fillId="2" borderId="0" xfId="12153" applyFont="1" applyFill="1" applyAlignment="1">
      <alignment horizontal="center"/>
    </xf>
    <xf numFmtId="0" fontId="10" fillId="0" borderId="50" xfId="11097" applyFont="1" applyFill="1" applyBorder="1" applyAlignment="1" applyProtection="1">
      <alignment horizontal="center"/>
    </xf>
    <xf numFmtId="0" fontId="65" fillId="0" borderId="69" xfId="11097" applyFont="1" applyFill="1" applyBorder="1" applyAlignment="1" applyProtection="1">
      <alignment horizontal="center"/>
    </xf>
    <xf numFmtId="0" fontId="10" fillId="0" borderId="69" xfId="11097" applyFont="1" applyFill="1" applyBorder="1" applyProtection="1"/>
    <xf numFmtId="37" fontId="10" fillId="0" borderId="69" xfId="11097" applyNumberFormat="1" applyFont="1" applyFill="1" applyBorder="1" applyProtection="1"/>
    <xf numFmtId="43" fontId="10" fillId="0" borderId="69" xfId="17620" applyFont="1" applyFill="1" applyBorder="1" applyProtection="1"/>
    <xf numFmtId="37" fontId="65" fillId="0" borderId="69" xfId="11097" applyNumberFormat="1" applyFont="1" applyFill="1" applyBorder="1" applyProtection="1"/>
    <xf numFmtId="37" fontId="65" fillId="0" borderId="68" xfId="11097" applyNumberFormat="1" applyFont="1" applyFill="1" applyBorder="1" applyProtection="1"/>
    <xf numFmtId="0" fontId="295" fillId="0" borderId="246" xfId="26362" applyFont="1" applyFill="1" applyBorder="1" applyAlignment="1" applyProtection="1">
      <alignment horizontal="center" vertical="center" wrapText="1"/>
    </xf>
    <xf numFmtId="0" fontId="295" fillId="0" borderId="248" xfId="26362" applyFont="1" applyFill="1" applyBorder="1" applyAlignment="1" applyProtection="1">
      <alignment horizontal="center" vertical="center" wrapText="1"/>
    </xf>
    <xf numFmtId="0" fontId="2" fillId="0" borderId="0" xfId="12373" applyFill="1" applyBorder="1" applyAlignment="1">
      <alignment vertical="center"/>
    </xf>
    <xf numFmtId="165" fontId="2" fillId="0" borderId="187" xfId="26364" applyFont="1" applyFill="1" applyBorder="1" applyAlignment="1">
      <alignment horizontal="center" wrapText="1"/>
    </xf>
    <xf numFmtId="0" fontId="302" fillId="0" borderId="250" xfId="12373" applyFont="1" applyFill="1" applyBorder="1" applyAlignment="1">
      <alignment horizontal="center" vertical="center"/>
    </xf>
    <xf numFmtId="0" fontId="302" fillId="0" borderId="139" xfId="12373" applyFont="1" applyFill="1" applyBorder="1" applyAlignment="1">
      <alignment horizontal="center" vertical="center"/>
    </xf>
    <xf numFmtId="0" fontId="302" fillId="0" borderId="144" xfId="12373" applyFont="1" applyFill="1" applyBorder="1" applyAlignment="1">
      <alignment horizontal="center" vertical="center"/>
    </xf>
    <xf numFmtId="165" fontId="302" fillId="0" borderId="128" xfId="26364" applyFont="1" applyFill="1" applyBorder="1" applyAlignment="1">
      <alignment horizontal="center"/>
    </xf>
    <xf numFmtId="165" fontId="302" fillId="0" borderId="251" xfId="26364" applyFont="1" applyFill="1" applyBorder="1" applyAlignment="1">
      <alignment horizontal="center"/>
    </xf>
    <xf numFmtId="0" fontId="8" fillId="0" borderId="252" xfId="12373" applyFont="1" applyFill="1" applyBorder="1" applyAlignment="1">
      <alignment horizontal="right"/>
    </xf>
    <xf numFmtId="0" fontId="8" fillId="0" borderId="139" xfId="12373" applyFont="1" applyFill="1" applyBorder="1"/>
    <xf numFmtId="0" fontId="2" fillId="0" borderId="253" xfId="12373" applyFill="1" applyBorder="1" applyAlignment="1">
      <alignment horizontal="center" vertical="center"/>
    </xf>
    <xf numFmtId="3" fontId="2" fillId="0" borderId="253" xfId="12373" applyNumberFormat="1" applyFill="1" applyBorder="1" applyAlignment="1">
      <alignment horizontal="center" vertical="center"/>
    </xf>
    <xf numFmtId="165" fontId="68" fillId="0" borderId="254" xfId="26364" applyFont="1" applyFill="1" applyBorder="1"/>
    <xf numFmtId="165" fontId="2" fillId="0" borderId="253" xfId="26364" applyFont="1" applyFill="1" applyBorder="1" applyAlignment="1">
      <alignment horizontal="center"/>
    </xf>
    <xf numFmtId="165" fontId="2" fillId="0" borderId="24" xfId="26364" applyFont="1" applyFill="1" applyBorder="1" applyAlignment="1">
      <alignment horizontal="center"/>
    </xf>
    <xf numFmtId="0" fontId="2" fillId="0" borderId="254" xfId="12373" applyFont="1" applyFill="1" applyBorder="1"/>
    <xf numFmtId="165" fontId="68" fillId="0" borderId="254" xfId="26364" applyFont="1" applyFill="1" applyBorder="1" applyAlignment="1"/>
    <xf numFmtId="165" fontId="68" fillId="0" borderId="253" xfId="26364" applyFont="1" applyFill="1" applyBorder="1"/>
    <xf numFmtId="0" fontId="2" fillId="0" borderId="254" xfId="12373" applyFill="1" applyBorder="1"/>
    <xf numFmtId="0" fontId="69" fillId="0" borderId="254" xfId="12373" applyFont="1" applyFill="1" applyBorder="1"/>
    <xf numFmtId="0" fontId="8" fillId="0" borderId="254" xfId="12373" applyFont="1" applyFill="1" applyBorder="1"/>
    <xf numFmtId="3" fontId="2" fillId="0" borderId="253" xfId="12373" applyNumberFormat="1" applyFont="1" applyFill="1" applyBorder="1" applyAlignment="1">
      <alignment horizontal="center" vertical="center"/>
    </xf>
    <xf numFmtId="0" fontId="2" fillId="0" borderId="253" xfId="12373" applyFill="1" applyBorder="1"/>
    <xf numFmtId="1" fontId="2" fillId="0" borderId="254" xfId="12373" applyNumberFormat="1" applyFont="1" applyFill="1" applyBorder="1" applyAlignment="1">
      <alignment horizontal="right" indent="2"/>
    </xf>
    <xf numFmtId="0" fontId="69" fillId="0" borderId="252" xfId="12373" applyFont="1" applyFill="1" applyBorder="1" applyAlignment="1">
      <alignment horizontal="center"/>
    </xf>
    <xf numFmtId="0" fontId="69" fillId="0" borderId="139" xfId="12373" applyFont="1" applyFill="1" applyBorder="1"/>
    <xf numFmtId="0" fontId="68" fillId="0" borderId="139" xfId="12373" applyFont="1" applyFill="1" applyBorder="1" applyAlignment="1">
      <alignment horizontal="center"/>
    </xf>
    <xf numFmtId="165" fontId="68" fillId="0" borderId="139" xfId="26364" applyFont="1" applyFill="1" applyBorder="1"/>
    <xf numFmtId="165" fontId="68" fillId="0" borderId="128" xfId="26364" applyFont="1" applyFill="1" applyBorder="1"/>
    <xf numFmtId="165" fontId="68" fillId="0" borderId="251" xfId="26364" applyFont="1" applyFill="1" applyBorder="1"/>
    <xf numFmtId="0" fontId="69" fillId="0" borderId="254" xfId="12373" quotePrefix="1" applyFont="1" applyFill="1" applyBorder="1"/>
    <xf numFmtId="0" fontId="68" fillId="0" borderId="253" xfId="12373" applyFont="1" applyFill="1" applyBorder="1"/>
    <xf numFmtId="0" fontId="68" fillId="0" borderId="254" xfId="12373" applyFont="1" applyFill="1" applyBorder="1" applyAlignment="1">
      <alignment horizontal="center"/>
    </xf>
    <xf numFmtId="0" fontId="68" fillId="0" borderId="253" xfId="12373" applyFont="1" applyFill="1" applyBorder="1" applyAlignment="1">
      <alignment horizontal="center" vertical="center"/>
    </xf>
    <xf numFmtId="3" fontId="68" fillId="0" borderId="254" xfId="12373" applyNumberFormat="1" applyFont="1" applyFill="1" applyBorder="1" applyAlignment="1">
      <alignment horizontal="center"/>
    </xf>
    <xf numFmtId="165" fontId="68" fillId="0" borderId="254" xfId="26364" applyFont="1" applyFill="1" applyBorder="1" applyAlignment="1">
      <alignment horizontal="right"/>
    </xf>
    <xf numFmtId="0" fontId="68" fillId="0" borderId="254" xfId="12373" applyFont="1" applyFill="1" applyBorder="1"/>
    <xf numFmtId="165" fontId="68" fillId="0" borderId="8" xfId="26364" applyFont="1" applyFill="1" applyBorder="1"/>
    <xf numFmtId="0" fontId="69" fillId="0" borderId="139" xfId="12373" quotePrefix="1" applyFont="1" applyFill="1" applyBorder="1"/>
    <xf numFmtId="3" fontId="68" fillId="0" borderId="139" xfId="12373" applyNumberFormat="1" applyFont="1" applyFill="1" applyBorder="1" applyAlignment="1">
      <alignment horizontal="center"/>
    </xf>
    <xf numFmtId="165" fontId="68" fillId="0" borderId="139" xfId="26364" applyFont="1" applyFill="1" applyBorder="1" applyAlignment="1">
      <alignment horizontal="right"/>
    </xf>
    <xf numFmtId="0" fontId="2" fillId="0" borderId="139" xfId="12373" applyFill="1" applyBorder="1" applyAlignment="1">
      <alignment horizontal="center"/>
    </xf>
    <xf numFmtId="1" fontId="2" fillId="0" borderId="254" xfId="12373" applyNumberFormat="1" applyFill="1" applyBorder="1" applyAlignment="1">
      <alignment horizontal="center"/>
    </xf>
    <xf numFmtId="2" fontId="2" fillId="0" borderId="254" xfId="12373" applyNumberFormat="1" applyFill="1" applyBorder="1" applyAlignment="1">
      <alignment horizontal="center"/>
    </xf>
    <xf numFmtId="165" fontId="68" fillId="0" borderId="93" xfId="26364" applyFont="1" applyFill="1" applyBorder="1" applyAlignment="1">
      <alignment vertical="center"/>
    </xf>
    <xf numFmtId="0" fontId="305" fillId="0" borderId="93" xfId="12373" applyFont="1" applyFill="1" applyBorder="1" applyAlignment="1">
      <alignment horizontal="left" vertical="center" wrapText="1"/>
    </xf>
    <xf numFmtId="170" fontId="68" fillId="0" borderId="254" xfId="26364" applyNumberFormat="1" applyFont="1" applyFill="1" applyBorder="1" applyAlignment="1"/>
    <xf numFmtId="170" fontId="68" fillId="0" borderId="254" xfId="26364" applyNumberFormat="1" applyFont="1" applyFill="1" applyBorder="1"/>
    <xf numFmtId="170" fontId="68" fillId="0" borderId="139" xfId="26364" applyNumberFormat="1" applyFont="1" applyFill="1" applyBorder="1"/>
    <xf numFmtId="170" fontId="68" fillId="0" borderId="254" xfId="26364" applyNumberFormat="1" applyFont="1" applyFill="1" applyBorder="1" applyAlignment="1">
      <alignment horizontal="right"/>
    </xf>
    <xf numFmtId="170" fontId="68" fillId="0" borderId="139" xfId="26364" applyNumberFormat="1" applyFont="1" applyFill="1" applyBorder="1" applyAlignment="1">
      <alignment horizontal="right"/>
    </xf>
    <xf numFmtId="170" fontId="68" fillId="0" borderId="7" xfId="26364" applyNumberFormat="1" applyFont="1" applyFill="1" applyBorder="1"/>
    <xf numFmtId="3" fontId="68" fillId="0" borderId="17" xfId="0" applyNumberFormat="1" applyFont="1" applyFill="1" applyBorder="1" applyAlignment="1">
      <alignment horizontal="right"/>
    </xf>
    <xf numFmtId="0" fontId="299" fillId="0" borderId="86" xfId="12373" applyFont="1" applyFill="1" applyBorder="1" applyAlignment="1">
      <alignment vertical="center"/>
    </xf>
    <xf numFmtId="0" fontId="299" fillId="0" borderId="120" xfId="12373" applyFont="1" applyFill="1" applyBorder="1" applyAlignment="1">
      <alignment vertical="center"/>
    </xf>
    <xf numFmtId="0" fontId="299" fillId="0" borderId="119" xfId="12373" applyFont="1" applyFill="1" applyBorder="1" applyAlignment="1">
      <alignment vertical="center"/>
    </xf>
    <xf numFmtId="0" fontId="299" fillId="0" borderId="87" xfId="12373" applyFont="1" applyFill="1" applyBorder="1" applyAlignment="1">
      <alignment vertical="center"/>
    </xf>
    <xf numFmtId="0" fontId="299" fillId="0" borderId="41" xfId="12373" applyFont="1" applyFill="1" applyBorder="1" applyAlignment="1">
      <alignment vertical="center"/>
    </xf>
    <xf numFmtId="43" fontId="68" fillId="0" borderId="0" xfId="17466" applyFont="1" applyFill="1" applyBorder="1" applyAlignment="1">
      <alignment horizontal="center"/>
    </xf>
    <xf numFmtId="3" fontId="68" fillId="0" borderId="0" xfId="17466" applyNumberFormat="1" applyFont="1" applyFill="1" applyBorder="1" applyAlignment="1">
      <alignment horizontal="right"/>
    </xf>
    <xf numFmtId="43" fontId="68" fillId="0" borderId="0" xfId="26365" applyFont="1" applyFill="1" applyBorder="1" applyAlignment="1">
      <alignment horizontal="right"/>
    </xf>
    <xf numFmtId="0" fontId="303" fillId="0" borderId="147" xfId="12373" applyFont="1" applyFill="1" applyBorder="1" applyAlignment="1">
      <alignment horizontal="center"/>
    </xf>
    <xf numFmtId="43" fontId="68" fillId="0" borderId="147" xfId="17466" applyFont="1" applyFill="1" applyBorder="1" applyAlignment="1">
      <alignment horizontal="center" vertical="center"/>
    </xf>
    <xf numFmtId="170" fontId="69" fillId="0" borderId="144" xfId="17466" applyNumberFormat="1" applyFont="1" applyFill="1" applyBorder="1" applyAlignment="1">
      <alignment horizontal="center" vertical="center"/>
    </xf>
    <xf numFmtId="43" fontId="68" fillId="0" borderId="253" xfId="17466" applyFont="1" applyFill="1" applyBorder="1" applyAlignment="1">
      <alignment vertical="center"/>
    </xf>
    <xf numFmtId="43" fontId="68" fillId="0" borderId="253" xfId="17466" applyFont="1" applyFill="1" applyBorder="1"/>
    <xf numFmtId="3" fontId="68" fillId="0" borderId="211" xfId="17466" applyNumberFormat="1" applyFont="1" applyFill="1" applyBorder="1" applyAlignment="1">
      <alignment horizontal="right"/>
    </xf>
    <xf numFmtId="3" fontId="68" fillId="0" borderId="149" xfId="17466" applyNumberFormat="1" applyFont="1" applyFill="1" applyBorder="1" applyAlignment="1">
      <alignment horizontal="right"/>
    </xf>
    <xf numFmtId="3" fontId="68" fillId="0" borderId="253" xfId="17466" applyNumberFormat="1" applyFont="1" applyFill="1" applyBorder="1"/>
    <xf numFmtId="3" fontId="68" fillId="0" borderId="128" xfId="17466" applyNumberFormat="1" applyFont="1" applyFill="1" applyBorder="1"/>
    <xf numFmtId="170" fontId="69" fillId="0" borderId="214" xfId="17466" applyNumberFormat="1" applyFont="1" applyFill="1" applyBorder="1" applyAlignment="1">
      <alignment vertical="center"/>
    </xf>
    <xf numFmtId="170" fontId="2" fillId="0" borderId="0" xfId="26365" applyNumberFormat="1" applyFont="1" applyFill="1"/>
    <xf numFmtId="170" fontId="68" fillId="0" borderId="0" xfId="26365" applyNumberFormat="1" applyFont="1" applyFill="1"/>
    <xf numFmtId="170" fontId="12" fillId="0" borderId="0" xfId="26365" applyNumberFormat="1" applyFont="1" applyFill="1"/>
    <xf numFmtId="170" fontId="69" fillId="0" borderId="0" xfId="26365" applyNumberFormat="1" applyFont="1" applyFill="1"/>
    <xf numFmtId="170" fontId="2" fillId="0" borderId="130" xfId="26365" applyNumberFormat="1" applyFont="1" applyFill="1" applyBorder="1" applyAlignment="1">
      <alignment horizontal="center" wrapText="1"/>
    </xf>
    <xf numFmtId="170" fontId="68" fillId="0" borderId="82" xfId="26365" applyNumberFormat="1" applyFont="1" applyFill="1" applyBorder="1" applyAlignment="1">
      <alignment horizontal="center" wrapText="1"/>
    </xf>
    <xf numFmtId="170" fontId="2" fillId="0" borderId="7" xfId="26365" applyNumberFormat="1" applyFont="1" applyFill="1" applyBorder="1" applyAlignment="1">
      <alignment horizontal="center"/>
    </xf>
    <xf numFmtId="170" fontId="68" fillId="0" borderId="85" xfId="26365" applyNumberFormat="1" applyFont="1" applyFill="1" applyBorder="1" applyAlignment="1">
      <alignment horizontal="center"/>
    </xf>
    <xf numFmtId="170" fontId="302" fillId="0" borderId="188" xfId="26365" applyNumberFormat="1" applyFont="1" applyFill="1" applyBorder="1" applyAlignment="1">
      <alignment horizontal="center"/>
    </xf>
    <xf numFmtId="170" fontId="303" fillId="0" borderId="177" xfId="26365" applyNumberFormat="1" applyFont="1" applyFill="1" applyBorder="1" applyAlignment="1">
      <alignment horizontal="center"/>
    </xf>
    <xf numFmtId="170" fontId="2" fillId="0" borderId="188" xfId="26365" applyNumberFormat="1" applyFont="1" applyFill="1" applyBorder="1" applyAlignment="1">
      <alignment horizontal="center" vertical="center"/>
    </xf>
    <xf numFmtId="170" fontId="68" fillId="0" borderId="177" xfId="26365" applyNumberFormat="1" applyFont="1" applyFill="1" applyBorder="1" applyAlignment="1">
      <alignment horizontal="center" vertical="center"/>
    </xf>
    <xf numFmtId="170" fontId="2" fillId="0" borderId="254" xfId="26365" applyNumberFormat="1" applyFont="1" applyFill="1" applyBorder="1" applyAlignment="1">
      <alignment horizontal="center"/>
    </xf>
    <xf numFmtId="170" fontId="68" fillId="0" borderId="83" xfId="26365" applyNumberFormat="1" applyFont="1" applyFill="1" applyBorder="1" applyAlignment="1">
      <alignment horizontal="center"/>
    </xf>
    <xf numFmtId="170" fontId="68" fillId="0" borderId="254" xfId="26365" applyNumberFormat="1" applyFont="1" applyFill="1" applyBorder="1"/>
    <xf numFmtId="170" fontId="68" fillId="0" borderId="83" xfId="26365" applyNumberFormat="1" applyFont="1" applyFill="1" applyBorder="1" applyAlignment="1">
      <alignment horizontal="right"/>
    </xf>
    <xf numFmtId="170" fontId="299" fillId="0" borderId="188" xfId="26365" applyNumberFormat="1" applyFont="1" applyFill="1" applyBorder="1" applyAlignment="1">
      <alignment vertical="center"/>
    </xf>
    <xf numFmtId="170" fontId="69" fillId="0" borderId="187" xfId="26365" applyNumberFormat="1" applyFont="1" applyFill="1" applyBorder="1" applyAlignment="1">
      <alignment horizontal="center" vertical="center"/>
    </xf>
    <xf numFmtId="170" fontId="68" fillId="0" borderId="254" xfId="26365" applyNumberFormat="1" applyFont="1" applyFill="1" applyBorder="1" applyAlignment="1">
      <alignment horizontal="center"/>
    </xf>
    <xf numFmtId="170" fontId="68" fillId="0" borderId="254" xfId="26365" applyNumberFormat="1" applyFont="1" applyFill="1" applyBorder="1" applyAlignment="1">
      <alignment vertical="center"/>
    </xf>
    <xf numFmtId="170" fontId="68" fillId="0" borderId="24" xfId="26365" applyNumberFormat="1" applyFont="1" applyFill="1" applyBorder="1" applyAlignment="1">
      <alignment vertical="center"/>
    </xf>
    <xf numFmtId="170" fontId="68" fillId="0" borderId="24" xfId="26365" applyNumberFormat="1" applyFont="1" applyFill="1" applyBorder="1"/>
    <xf numFmtId="170" fontId="68" fillId="0" borderId="7" xfId="26365" applyNumberFormat="1" applyFont="1" applyFill="1" applyBorder="1"/>
    <xf numFmtId="170" fontId="68" fillId="0" borderId="85" xfId="26365" applyNumberFormat="1" applyFont="1" applyFill="1" applyBorder="1" applyAlignment="1">
      <alignment horizontal="right"/>
    </xf>
    <xf numFmtId="170" fontId="68" fillId="0" borderId="139" xfId="26365" applyNumberFormat="1" applyFont="1" applyFill="1" applyBorder="1"/>
    <xf numFmtId="170" fontId="68" fillId="0" borderId="175" xfId="26365" applyNumberFormat="1" applyFont="1" applyFill="1" applyBorder="1" applyAlignment="1">
      <alignment horizontal="right"/>
    </xf>
    <xf numFmtId="170" fontId="298" fillId="0" borderId="139" xfId="26365" applyNumberFormat="1" applyFont="1" applyFill="1" applyBorder="1"/>
    <xf numFmtId="170" fontId="68" fillId="0" borderId="118" xfId="26365" applyNumberFormat="1" applyFont="1" applyFill="1" applyBorder="1"/>
    <xf numFmtId="170" fontId="299" fillId="0" borderId="41" xfId="26365" applyNumberFormat="1" applyFont="1" applyFill="1" applyBorder="1" applyAlignment="1">
      <alignment vertical="center"/>
    </xf>
    <xf numFmtId="170" fontId="69" fillId="0" borderId="88" xfId="26365" applyNumberFormat="1" applyFont="1" applyFill="1" applyBorder="1" applyAlignment="1">
      <alignment vertical="center"/>
    </xf>
    <xf numFmtId="170" fontId="0" fillId="0" borderId="0" xfId="26365" applyNumberFormat="1" applyFont="1"/>
    <xf numFmtId="0" fontId="68" fillId="0" borderId="130" xfId="12373" applyFont="1" applyFill="1" applyBorder="1" applyAlignment="1">
      <alignment horizontal="center" wrapText="1"/>
    </xf>
    <xf numFmtId="0" fontId="2" fillId="0" borderId="121" xfId="12373" applyFill="1" applyBorder="1" applyAlignment="1">
      <alignment horizontal="center" wrapText="1"/>
    </xf>
    <xf numFmtId="0" fontId="303" fillId="0" borderId="188" xfId="12373" applyFont="1" applyFill="1" applyBorder="1" applyAlignment="1">
      <alignment horizontal="center"/>
    </xf>
    <xf numFmtId="0" fontId="8" fillId="0" borderId="254" xfId="12372" applyFont="1" applyFill="1" applyBorder="1" applyAlignment="1">
      <alignment vertical="center"/>
    </xf>
    <xf numFmtId="43" fontId="11" fillId="0" borderId="254" xfId="17465" applyFont="1" applyFill="1" applyBorder="1" applyAlignment="1">
      <alignment vertical="center"/>
    </xf>
    <xf numFmtId="0" fontId="68" fillId="0" borderId="254" xfId="12372" applyFont="1" applyFill="1" applyBorder="1" applyAlignment="1">
      <alignment vertical="center"/>
    </xf>
    <xf numFmtId="43" fontId="68" fillId="0" borderId="254" xfId="17465" applyFont="1" applyFill="1" applyBorder="1" applyAlignment="1">
      <alignment vertical="center"/>
    </xf>
    <xf numFmtId="0" fontId="12" fillId="0" borderId="254" xfId="12372" applyFont="1" applyFill="1" applyBorder="1"/>
    <xf numFmtId="0" fontId="2" fillId="0" borderId="254" xfId="12372" applyFill="1" applyBorder="1"/>
    <xf numFmtId="43" fontId="11" fillId="0" borderId="254" xfId="17465" applyFont="1" applyFill="1" applyBorder="1"/>
    <xf numFmtId="0" fontId="68" fillId="0" borderId="254" xfId="12372" applyFont="1" applyFill="1" applyBorder="1"/>
    <xf numFmtId="43" fontId="68" fillId="0" borderId="254" xfId="17465" applyFont="1" applyFill="1" applyBorder="1"/>
    <xf numFmtId="0" fontId="68" fillId="0" borderId="254" xfId="12372" applyFont="1" applyFill="1" applyBorder="1" applyAlignment="1">
      <alignment horizontal="center"/>
    </xf>
    <xf numFmtId="0" fontId="68" fillId="0" borderId="254" xfId="17465" applyNumberFormat="1" applyFont="1" applyFill="1" applyBorder="1" applyAlignment="1">
      <alignment horizontal="center" vertical="center"/>
    </xf>
    <xf numFmtId="3" fontId="68" fillId="0" borderId="254" xfId="12372" applyNumberFormat="1" applyFont="1" applyFill="1" applyBorder="1"/>
    <xf numFmtId="3" fontId="68" fillId="0" borderId="254" xfId="17465" applyNumberFormat="1" applyFont="1" applyFill="1" applyBorder="1" applyAlignment="1">
      <alignment horizontal="right"/>
    </xf>
    <xf numFmtId="3" fontId="68" fillId="0" borderId="7" xfId="17465" applyNumberFormat="1" applyFont="1" applyFill="1" applyBorder="1" applyAlignment="1">
      <alignment horizontal="right"/>
    </xf>
    <xf numFmtId="49" fontId="2" fillId="0" borderId="252" xfId="12372" applyNumberFormat="1" applyFont="1" applyFill="1" applyBorder="1" applyAlignment="1">
      <alignment horizontal="right"/>
    </xf>
    <xf numFmtId="0" fontId="68" fillId="0" borderId="139" xfId="12372" applyFont="1" applyFill="1" applyBorder="1"/>
    <xf numFmtId="0" fontId="68" fillId="0" borderId="139" xfId="12372" applyFont="1" applyFill="1" applyBorder="1" applyAlignment="1">
      <alignment horizontal="center"/>
    </xf>
    <xf numFmtId="0" fontId="68" fillId="0" borderId="139" xfId="17465" applyNumberFormat="1" applyFont="1" applyFill="1" applyBorder="1" applyAlignment="1">
      <alignment horizontal="center" vertical="center"/>
    </xf>
    <xf numFmtId="3" fontId="68" fillId="0" borderId="139" xfId="12372" applyNumberFormat="1" applyFont="1" applyFill="1" applyBorder="1"/>
    <xf numFmtId="3" fontId="68" fillId="0" borderId="139" xfId="17465" applyNumberFormat="1" applyFont="1" applyFill="1" applyBorder="1" applyAlignment="1">
      <alignment horizontal="right"/>
    </xf>
    <xf numFmtId="3" fontId="68" fillId="0" borderId="251" xfId="17465" applyNumberFormat="1" applyFont="1" applyFill="1" applyBorder="1" applyAlignment="1">
      <alignment horizontal="right"/>
    </xf>
    <xf numFmtId="170" fontId="68" fillId="0" borderId="254" xfId="17465" applyNumberFormat="1" applyFont="1" applyFill="1" applyBorder="1" applyAlignment="1">
      <alignment horizontal="center"/>
    </xf>
    <xf numFmtId="3" fontId="68" fillId="0" borderId="254" xfId="17465" applyNumberFormat="1" applyFont="1" applyFill="1" applyBorder="1"/>
    <xf numFmtId="0" fontId="2" fillId="0" borderId="252" xfId="12372" applyFill="1" applyBorder="1" applyAlignment="1">
      <alignment horizontal="right"/>
    </xf>
    <xf numFmtId="0" fontId="2" fillId="0" borderId="252" xfId="12372" applyFill="1" applyBorder="1"/>
    <xf numFmtId="0" fontId="298" fillId="0" borderId="139" xfId="12372" applyFont="1" applyFill="1" applyBorder="1"/>
    <xf numFmtId="3" fontId="298" fillId="0" borderId="139" xfId="12372" applyNumberFormat="1" applyFont="1" applyFill="1" applyBorder="1"/>
    <xf numFmtId="3" fontId="68" fillId="0" borderId="139" xfId="17465" applyNumberFormat="1" applyFont="1" applyFill="1" applyBorder="1"/>
    <xf numFmtId="3" fontId="68" fillId="0" borderId="251" xfId="17465" applyNumberFormat="1" applyFont="1" applyFill="1" applyBorder="1"/>
    <xf numFmtId="43" fontId="68" fillId="0" borderId="254" xfId="17465" applyNumberFormat="1" applyFont="1" applyFill="1" applyBorder="1" applyAlignment="1">
      <alignment horizontal="center" vertical="center"/>
    </xf>
    <xf numFmtId="0" fontId="299" fillId="0" borderId="14" xfId="12372" applyFont="1" applyFill="1" applyBorder="1" applyAlignment="1">
      <alignment horizontal="center" vertical="center"/>
    </xf>
    <xf numFmtId="0" fontId="299" fillId="0" borderId="188" xfId="12372" applyFont="1" applyFill="1" applyBorder="1" applyAlignment="1">
      <alignment horizontal="center" vertical="center"/>
    </xf>
    <xf numFmtId="0" fontId="299" fillId="0" borderId="214" xfId="12372" applyFont="1" applyFill="1" applyBorder="1" applyAlignment="1">
      <alignment horizontal="center" vertical="center"/>
    </xf>
    <xf numFmtId="170" fontId="69" fillId="0" borderId="93" xfId="17465" applyNumberFormat="1" applyFont="1" applyFill="1" applyBorder="1" applyAlignment="1">
      <alignment vertical="center"/>
    </xf>
    <xf numFmtId="170" fontId="69" fillId="0" borderId="0" xfId="17465" applyNumberFormat="1" applyFont="1" applyFill="1" applyBorder="1" applyAlignment="1">
      <alignment vertical="center"/>
    </xf>
    <xf numFmtId="170" fontId="69" fillId="0" borderId="93" xfId="17465" applyNumberFormat="1" applyFont="1" applyFill="1" applyBorder="1" applyAlignment="1">
      <alignment horizontal="center" vertical="center"/>
    </xf>
    <xf numFmtId="170" fontId="69" fillId="0" borderId="0" xfId="17465" applyNumberFormat="1" applyFont="1" applyFill="1" applyBorder="1" applyAlignment="1">
      <alignment horizontal="center" vertical="center"/>
    </xf>
    <xf numFmtId="165" fontId="0" fillId="0" borderId="0" xfId="26364" applyFont="1" applyBorder="1"/>
    <xf numFmtId="170" fontId="8" fillId="0" borderId="188" xfId="12372" applyNumberFormat="1" applyFont="1" applyFill="1" applyBorder="1" applyAlignment="1">
      <alignment horizontal="center" vertical="center"/>
    </xf>
    <xf numFmtId="170" fontId="299" fillId="0" borderId="188" xfId="12372" applyNumberFormat="1" applyFont="1" applyFill="1" applyBorder="1" applyAlignment="1">
      <alignment horizontal="center" vertical="center"/>
    </xf>
    <xf numFmtId="0" fontId="308" fillId="0" borderId="176" xfId="11759" applyFont="1" applyFill="1" applyBorder="1" applyAlignment="1">
      <alignment vertical="center"/>
    </xf>
    <xf numFmtId="0" fontId="308" fillId="0" borderId="120" xfId="11759" applyFont="1" applyFill="1" applyBorder="1" applyAlignment="1">
      <alignment vertical="center"/>
    </xf>
    <xf numFmtId="0" fontId="308" fillId="0" borderId="119" xfId="11759" applyFont="1" applyFill="1" applyBorder="1" applyAlignment="1">
      <alignment vertical="center"/>
    </xf>
    <xf numFmtId="0" fontId="308" fillId="0" borderId="99" xfId="11759" applyFont="1" applyFill="1" applyBorder="1" applyAlignment="1">
      <alignment vertical="center"/>
    </xf>
    <xf numFmtId="0" fontId="308" fillId="0" borderId="171" xfId="11759" applyFont="1" applyFill="1" applyBorder="1" applyAlignment="1">
      <alignment vertical="center"/>
    </xf>
    <xf numFmtId="0" fontId="308" fillId="0" borderId="172" xfId="11759" applyFont="1" applyFill="1" applyBorder="1" applyAlignment="1">
      <alignment vertical="center"/>
    </xf>
    <xf numFmtId="0" fontId="308" fillId="0" borderId="101" xfId="11759" applyFont="1" applyFill="1" applyBorder="1" applyAlignment="1">
      <alignment vertical="center"/>
    </xf>
    <xf numFmtId="0" fontId="308" fillId="0" borderId="102" xfId="11759" applyFont="1" applyFill="1" applyBorder="1" applyAlignment="1">
      <alignment vertical="center"/>
    </xf>
    <xf numFmtId="0" fontId="308" fillId="0" borderId="26" xfId="11759" applyFont="1" applyFill="1" applyBorder="1" applyAlignment="1">
      <alignment vertical="center"/>
    </xf>
    <xf numFmtId="0" fontId="215" fillId="0" borderId="38" xfId="11759" applyFont="1" applyFill="1" applyBorder="1" applyAlignment="1">
      <alignment horizontal="center" vertical="center" wrapText="1"/>
    </xf>
    <xf numFmtId="0" fontId="215" fillId="0" borderId="39" xfId="11759" applyFont="1" applyFill="1" applyBorder="1" applyAlignment="1">
      <alignment horizontal="center" vertical="center" wrapText="1"/>
    </xf>
    <xf numFmtId="0" fontId="215" fillId="0" borderId="0" xfId="11759" applyFont="1" applyFill="1" applyBorder="1" applyAlignment="1">
      <alignment horizontal="center" vertical="center"/>
    </xf>
    <xf numFmtId="0" fontId="307" fillId="0" borderId="149" xfId="11759" applyFont="1" applyFill="1" applyBorder="1" applyAlignment="1">
      <alignment vertical="top"/>
    </xf>
    <xf numFmtId="0" fontId="307" fillId="0" borderId="0" xfId="11759" applyFont="1" applyFill="1" applyBorder="1" applyAlignment="1">
      <alignment vertical="top"/>
    </xf>
    <xf numFmtId="3" fontId="76" fillId="0" borderId="0" xfId="11759" applyNumberFormat="1" applyFont="1" applyFill="1" applyBorder="1" applyAlignment="1">
      <alignment vertical="top"/>
    </xf>
    <xf numFmtId="3" fontId="215" fillId="0" borderId="147" xfId="11759" applyNumberFormat="1" applyFont="1" applyFill="1" applyBorder="1" applyAlignment="1">
      <alignment vertical="center"/>
    </xf>
    <xf numFmtId="3" fontId="76" fillId="0" borderId="149" xfId="11759" applyNumberFormat="1" applyFont="1" applyFill="1" applyBorder="1" applyAlignment="1">
      <alignment vertical="top"/>
    </xf>
    <xf numFmtId="3" fontId="215" fillId="0" borderId="170" xfId="11759" applyNumberFormat="1" applyFont="1" applyFill="1" applyBorder="1" applyAlignment="1">
      <alignment vertical="center"/>
    </xf>
    <xf numFmtId="3" fontId="215" fillId="0" borderId="39" xfId="11759" applyNumberFormat="1" applyFont="1" applyFill="1" applyBorder="1" applyAlignment="1">
      <alignment vertical="center"/>
    </xf>
    <xf numFmtId="0" fontId="215" fillId="0" borderId="254" xfId="11759" applyFont="1" applyFill="1" applyBorder="1" applyAlignment="1">
      <alignment horizontal="center" vertical="center"/>
    </xf>
    <xf numFmtId="0" fontId="307" fillId="0" borderId="139" xfId="11759" applyFont="1" applyFill="1" applyBorder="1" applyAlignment="1">
      <alignment vertical="top"/>
    </xf>
    <xf numFmtId="0" fontId="307" fillId="0" borderId="257" xfId="11759" applyFont="1" applyFill="1" applyBorder="1" applyAlignment="1">
      <alignment vertical="top"/>
    </xf>
    <xf numFmtId="0" fontId="307" fillId="0" borderId="254" xfId="11759" applyFont="1" applyFill="1" applyBorder="1" applyAlignment="1">
      <alignment vertical="top"/>
    </xf>
    <xf numFmtId="3" fontId="76" fillId="0" borderId="254" xfId="11759" applyNumberFormat="1" applyFont="1" applyFill="1" applyBorder="1" applyAlignment="1">
      <alignment vertical="top"/>
    </xf>
    <xf numFmtId="3" fontId="76" fillId="0" borderId="254" xfId="11759" applyNumberFormat="1" applyFont="1" applyFill="1" applyBorder="1" applyAlignment="1">
      <alignment vertical="top" wrapText="1"/>
    </xf>
    <xf numFmtId="0" fontId="308" fillId="0" borderId="188" xfId="11759" applyFont="1" applyFill="1" applyBorder="1" applyAlignment="1">
      <alignment vertical="center"/>
    </xf>
    <xf numFmtId="3" fontId="215" fillId="0" borderId="255" xfId="11759" applyNumberFormat="1" applyFont="1" applyFill="1" applyBorder="1" applyAlignment="1">
      <alignment vertical="center"/>
    </xf>
    <xf numFmtId="4" fontId="76" fillId="0" borderId="139" xfId="11759" applyNumberFormat="1" applyFont="1" applyFill="1" applyBorder="1" applyAlignment="1">
      <alignment vertical="top"/>
    </xf>
    <xf numFmtId="3" fontId="76" fillId="0" borderId="257" xfId="11759" applyNumberFormat="1" applyFont="1" applyFill="1" applyBorder="1" applyAlignment="1">
      <alignment vertical="top"/>
    </xf>
    <xf numFmtId="4" fontId="76" fillId="0" borderId="254" xfId="11759" applyNumberFormat="1" applyFont="1" applyFill="1" applyBorder="1" applyAlignment="1">
      <alignment vertical="top"/>
    </xf>
    <xf numFmtId="3" fontId="329" fillId="0" borderId="254" xfId="11759" applyNumberFormat="1" applyFont="1" applyFill="1" applyBorder="1" applyAlignment="1">
      <alignment vertical="top"/>
    </xf>
    <xf numFmtId="4" fontId="329" fillId="0" borderId="254" xfId="11759" applyNumberFormat="1" applyFont="1" applyFill="1" applyBorder="1" applyAlignment="1">
      <alignment vertical="top"/>
    </xf>
    <xf numFmtId="0" fontId="308" fillId="0" borderId="138" xfId="11759" applyFont="1" applyFill="1" applyBorder="1" applyAlignment="1">
      <alignment vertical="center"/>
    </xf>
    <xf numFmtId="0" fontId="308" fillId="0" borderId="258" xfId="11759" applyFont="1" applyFill="1" applyBorder="1" applyAlignment="1">
      <alignment vertical="center"/>
    </xf>
    <xf numFmtId="43" fontId="66" fillId="0" borderId="29" xfId="26364" applyNumberFormat="1" applyFont="1" applyBorder="1"/>
    <xf numFmtId="41" fontId="2" fillId="0" borderId="29" xfId="18308" applyNumberFormat="1" applyFont="1" applyFill="1" applyBorder="1" applyAlignment="1">
      <alignment horizontal="right" vertical="center"/>
    </xf>
    <xf numFmtId="43" fontId="0" fillId="2" borderId="0" xfId="26365" applyFont="1" applyFill="1"/>
    <xf numFmtId="43" fontId="0" fillId="2" borderId="0" xfId="0" applyNumberFormat="1" applyFill="1"/>
    <xf numFmtId="43" fontId="71" fillId="0" borderId="0" xfId="26359" applyNumberFormat="1" applyFont="1" applyFill="1" applyBorder="1" applyAlignment="1"/>
    <xf numFmtId="170" fontId="68" fillId="59" borderId="24" xfId="11100" applyNumberFormat="1" applyFont="1" applyFill="1" applyBorder="1" applyAlignment="1">
      <alignment horizontal="center" vertical="center"/>
    </xf>
    <xf numFmtId="170" fontId="68" fillId="59" borderId="24" xfId="17620" applyNumberFormat="1" applyFont="1" applyFill="1" applyBorder="1" applyAlignment="1">
      <alignment horizontal="center"/>
    </xf>
    <xf numFmtId="170" fontId="68" fillId="59" borderId="24" xfId="17620" applyNumberFormat="1" applyFont="1" applyFill="1" applyBorder="1" applyAlignment="1">
      <alignment horizontal="right" vertical="center" indent="2"/>
    </xf>
    <xf numFmtId="3" fontId="0" fillId="0" borderId="0" xfId="0" applyNumberFormat="1"/>
    <xf numFmtId="0" fontId="68" fillId="59" borderId="113" xfId="12373" applyFont="1" applyFill="1" applyBorder="1"/>
    <xf numFmtId="14" fontId="0" fillId="0" borderId="0" xfId="0" applyNumberFormat="1"/>
    <xf numFmtId="0" fontId="69" fillId="0" borderId="122" xfId="26362" applyFont="1" applyFill="1" applyBorder="1" applyAlignment="1">
      <alignment horizontal="left" vertical="center"/>
    </xf>
    <xf numFmtId="0" fontId="69" fillId="0" borderId="123" xfId="26362" applyFont="1" applyFill="1" applyBorder="1" applyAlignment="1">
      <alignment horizontal="left" vertical="center"/>
    </xf>
    <xf numFmtId="0" fontId="69" fillId="0" borderId="216" xfId="26362" applyFont="1" applyFill="1" applyBorder="1" applyAlignment="1">
      <alignment horizontal="left" vertical="center"/>
    </xf>
    <xf numFmtId="0" fontId="316" fillId="0" borderId="95" xfId="26362" applyFont="1" applyFill="1" applyBorder="1" applyAlignment="1">
      <alignment horizontal="center" vertical="center"/>
    </xf>
    <xf numFmtId="0" fontId="316" fillId="0" borderId="39" xfId="26362" applyFont="1" applyFill="1" applyBorder="1" applyAlignment="1">
      <alignment horizontal="center" vertical="center"/>
    </xf>
    <xf numFmtId="0" fontId="316" fillId="0" borderId="40" xfId="26362" applyFont="1" applyFill="1" applyBorder="1" applyAlignment="1">
      <alignment horizontal="center" vertical="center"/>
    </xf>
    <xf numFmtId="0" fontId="69" fillId="0" borderId="71" xfId="26362" applyFont="1" applyFill="1" applyBorder="1" applyAlignment="1">
      <alignment horizontal="left" vertical="center"/>
    </xf>
    <xf numFmtId="0" fontId="69" fillId="0" borderId="3" xfId="26362" applyFont="1" applyFill="1" applyBorder="1" applyAlignment="1">
      <alignment horizontal="left" vertical="center"/>
    </xf>
    <xf numFmtId="0" fontId="68" fillId="0" borderId="71" xfId="26362" applyFont="1" applyFill="1" applyBorder="1" applyAlignment="1">
      <alignment horizontal="left" vertical="center"/>
    </xf>
    <xf numFmtId="0" fontId="68" fillId="0" borderId="3" xfId="26362" applyFont="1" applyFill="1" applyBorder="1" applyAlignment="1">
      <alignment horizontal="left" vertical="center"/>
    </xf>
    <xf numFmtId="0" fontId="68" fillId="0" borderId="148" xfId="26362" applyFont="1" applyFill="1" applyBorder="1" applyAlignment="1">
      <alignment horizontal="left" vertical="center"/>
    </xf>
    <xf numFmtId="0" fontId="68" fillId="0" borderId="213" xfId="26362" applyFont="1" applyFill="1" applyBorder="1" applyAlignment="1">
      <alignment horizontal="left" vertical="center"/>
    </xf>
    <xf numFmtId="0" fontId="316" fillId="0" borderId="86" xfId="26362" applyFont="1" applyFill="1" applyBorder="1" applyAlignment="1">
      <alignment horizontal="center" vertical="center"/>
    </xf>
    <xf numFmtId="0" fontId="316" fillId="0" borderId="212" xfId="26362" applyFont="1" applyFill="1" applyBorder="1" applyAlignment="1">
      <alignment horizontal="center" vertical="center"/>
    </xf>
    <xf numFmtId="0" fontId="316" fillId="0" borderId="210" xfId="26362" applyFont="1" applyFill="1" applyBorder="1" applyAlignment="1">
      <alignment horizontal="center" vertical="center"/>
    </xf>
    <xf numFmtId="0" fontId="69" fillId="0" borderId="96" xfId="26362" applyFont="1" applyFill="1" applyBorder="1" applyAlignment="1">
      <alignment horizontal="left" vertical="center"/>
    </xf>
    <xf numFmtId="0" fontId="69" fillId="0" borderId="133" xfId="26362" applyFont="1" applyFill="1" applyBorder="1" applyAlignment="1">
      <alignment horizontal="left" vertical="center"/>
    </xf>
    <xf numFmtId="0" fontId="69" fillId="0" borderId="75" xfId="26362" applyFont="1" applyFill="1" applyBorder="1" applyAlignment="1">
      <alignment horizontal="left" vertical="center"/>
    </xf>
    <xf numFmtId="0" fontId="69" fillId="0" borderId="71" xfId="26362" applyFont="1" applyFill="1" applyBorder="1" applyAlignment="1">
      <alignment horizontal="left" vertical="center" wrapText="1"/>
    </xf>
    <xf numFmtId="0" fontId="69" fillId="0" borderId="3" xfId="26362" applyFont="1" applyFill="1" applyBorder="1" applyAlignment="1">
      <alignment horizontal="left" vertical="center" wrapText="1"/>
    </xf>
    <xf numFmtId="0" fontId="0" fillId="0" borderId="0" xfId="0"/>
    <xf numFmtId="0" fontId="69" fillId="0" borderId="124" xfId="26362" applyFont="1" applyFill="1" applyBorder="1" applyAlignment="1">
      <alignment horizontal="left" vertical="center"/>
    </xf>
    <xf numFmtId="0" fontId="69" fillId="0" borderId="125" xfId="26362" applyFont="1" applyFill="1" applyBorder="1" applyAlignment="1">
      <alignment horizontal="left" vertical="center"/>
    </xf>
    <xf numFmtId="0" fontId="69" fillId="0" borderId="21" xfId="26362" applyFont="1" applyFill="1" applyBorder="1" applyAlignment="1">
      <alignment horizontal="left" vertical="center"/>
    </xf>
    <xf numFmtId="0" fontId="68" fillId="0" borderId="133" xfId="26362" applyFont="1" applyFill="1" applyBorder="1" applyAlignment="1">
      <alignment horizontal="left"/>
    </xf>
    <xf numFmtId="0" fontId="313" fillId="0" borderId="0" xfId="26362" applyFont="1" applyFill="1" applyAlignment="1">
      <alignment horizontal="center"/>
    </xf>
    <xf numFmtId="0" fontId="314" fillId="0" borderId="0" xfId="26362" applyFont="1" applyFill="1" applyAlignment="1">
      <alignment horizontal="center"/>
    </xf>
    <xf numFmtId="0" fontId="314" fillId="0" borderId="0" xfId="26362" applyFont="1" applyFill="1" applyAlignment="1">
      <alignment horizontal="center" vertical="center"/>
    </xf>
    <xf numFmtId="0" fontId="316" fillId="0" borderId="14" xfId="26362" applyFont="1" applyFill="1" applyBorder="1" applyAlignment="1">
      <alignment horizontal="center" vertical="center"/>
    </xf>
    <xf numFmtId="0" fontId="316" fillId="0" borderId="188" xfId="26362" applyFont="1" applyFill="1" applyBorder="1" applyAlignment="1">
      <alignment horizontal="center" vertical="center"/>
    </xf>
    <xf numFmtId="0" fontId="69" fillId="0" borderId="204" xfId="26362" applyFont="1" applyFill="1" applyBorder="1" applyAlignment="1">
      <alignment horizontal="left" vertical="center"/>
    </xf>
    <xf numFmtId="0" fontId="69" fillId="0" borderId="205" xfId="26362" applyFont="1" applyFill="1" applyBorder="1" applyAlignment="1">
      <alignment horizontal="left" vertical="center"/>
    </xf>
    <xf numFmtId="0" fontId="69" fillId="0" borderId="81" xfId="26362" applyFont="1" applyFill="1" applyBorder="1" applyAlignment="1">
      <alignment horizontal="center" vertical="center"/>
    </xf>
    <xf numFmtId="0" fontId="69" fillId="0" borderId="23" xfId="26362" applyFont="1" applyFill="1" applyBorder="1" applyAlignment="1">
      <alignment horizontal="center" vertical="center"/>
    </xf>
    <xf numFmtId="0" fontId="69" fillId="0" borderId="129" xfId="26362" applyFont="1" applyFill="1" applyBorder="1" applyAlignment="1">
      <alignment horizontal="center" vertical="center" wrapText="1"/>
    </xf>
    <xf numFmtId="0" fontId="69" fillId="0" borderId="75" xfId="26362" applyFont="1" applyFill="1" applyBorder="1" applyAlignment="1">
      <alignment horizontal="center" vertical="center" wrapText="1"/>
    </xf>
    <xf numFmtId="0" fontId="69" fillId="0" borderId="196" xfId="26362" applyFont="1" applyFill="1" applyBorder="1" applyAlignment="1">
      <alignment horizontal="center" vertical="center" wrapText="1"/>
    </xf>
    <xf numFmtId="0" fontId="69" fillId="0" borderId="3" xfId="26362" applyFont="1" applyFill="1" applyBorder="1" applyAlignment="1">
      <alignment horizontal="center" vertical="center" wrapText="1"/>
    </xf>
    <xf numFmtId="0" fontId="69" fillId="0" borderId="71" xfId="26362" applyFont="1" applyFill="1" applyBorder="1" applyAlignment="1">
      <alignment horizontal="center" vertical="center" wrapText="1"/>
    </xf>
    <xf numFmtId="0" fontId="2" fillId="0" borderId="36" xfId="12373" applyFill="1" applyBorder="1" applyAlignment="1">
      <alignment horizontal="center" vertical="center"/>
    </xf>
    <xf numFmtId="0" fontId="2" fillId="0" borderId="188" xfId="12373" applyFill="1" applyBorder="1" applyAlignment="1">
      <alignment horizontal="center" vertical="center"/>
    </xf>
    <xf numFmtId="0" fontId="2" fillId="0" borderId="206" xfId="12373" applyFill="1" applyBorder="1" applyAlignment="1">
      <alignment horizontal="center" vertical="center"/>
    </xf>
    <xf numFmtId="0" fontId="2" fillId="0" borderId="221" xfId="12373" applyFill="1" applyBorder="1" applyAlignment="1">
      <alignment horizontal="center" vertical="center"/>
    </xf>
    <xf numFmtId="0" fontId="2" fillId="0" borderId="206" xfId="12373" applyFill="1" applyBorder="1" applyAlignment="1">
      <alignment horizontal="center" vertical="center" wrapText="1"/>
    </xf>
    <xf numFmtId="0" fontId="2" fillId="0" borderId="221" xfId="12373" applyFill="1" applyBorder="1" applyAlignment="1">
      <alignment horizontal="center" vertical="center" wrapText="1"/>
    </xf>
    <xf numFmtId="0" fontId="300" fillId="0" borderId="0" xfId="12373" applyFont="1" applyFill="1" applyAlignment="1">
      <alignment horizontal="center"/>
    </xf>
    <xf numFmtId="0" fontId="301" fillId="0" borderId="0" xfId="12373" applyFont="1" applyFill="1" applyAlignment="1">
      <alignment horizontal="center"/>
    </xf>
    <xf numFmtId="0" fontId="2" fillId="0" borderId="208" xfId="12373" applyFont="1" applyFill="1" applyBorder="1" applyAlignment="1">
      <alignment horizontal="center"/>
    </xf>
    <xf numFmtId="0" fontId="2" fillId="0" borderId="210" xfId="12373" applyFill="1" applyBorder="1" applyAlignment="1">
      <alignment horizontal="center"/>
    </xf>
    <xf numFmtId="0" fontId="2" fillId="0" borderId="206" xfId="12373" applyFill="1" applyBorder="1" applyAlignment="1">
      <alignment horizontal="center"/>
    </xf>
    <xf numFmtId="0" fontId="2" fillId="0" borderId="221" xfId="12373" applyFill="1" applyBorder="1" applyAlignment="1">
      <alignment horizontal="center"/>
    </xf>
    <xf numFmtId="0" fontId="2" fillId="0" borderId="209" xfId="12373" applyFill="1" applyBorder="1" applyAlignment="1">
      <alignment horizontal="center"/>
    </xf>
    <xf numFmtId="0" fontId="2" fillId="0" borderId="222" xfId="12373" applyFill="1" applyBorder="1" applyAlignment="1">
      <alignment horizontal="center"/>
    </xf>
    <xf numFmtId="0" fontId="2" fillId="0" borderId="37" xfId="12373" applyFill="1" applyBorder="1" applyAlignment="1">
      <alignment horizontal="center" vertical="center"/>
    </xf>
    <xf numFmtId="0" fontId="2" fillId="0" borderId="38" xfId="12373" applyFill="1" applyBorder="1" applyAlignment="1">
      <alignment horizontal="center" vertical="center"/>
    </xf>
    <xf numFmtId="0" fontId="2" fillId="0" borderId="94" xfId="12373" applyFill="1" applyBorder="1" applyAlignment="1">
      <alignment horizontal="center" vertical="center"/>
    </xf>
    <xf numFmtId="0" fontId="301" fillId="0" borderId="0" xfId="12373" applyFont="1" applyFill="1" applyAlignment="1">
      <alignment horizontal="center" vertical="center"/>
    </xf>
    <xf numFmtId="3" fontId="2" fillId="0" borderId="188" xfId="12373" applyNumberFormat="1" applyFill="1" applyBorder="1" applyAlignment="1">
      <alignment horizontal="center"/>
    </xf>
    <xf numFmtId="0" fontId="2" fillId="0" borderId="188" xfId="12373" applyFill="1" applyBorder="1" applyAlignment="1">
      <alignment horizontal="center"/>
    </xf>
    <xf numFmtId="0" fontId="2" fillId="0" borderId="188" xfId="12373" applyFont="1" applyFill="1" applyBorder="1" applyAlignment="1">
      <alignment horizontal="center"/>
    </xf>
    <xf numFmtId="0" fontId="304" fillId="0" borderId="207" xfId="12373" applyFont="1" applyFill="1" applyBorder="1" applyAlignment="1">
      <alignment horizontal="center" vertical="center"/>
    </xf>
    <xf numFmtId="0" fontId="304" fillId="0" borderId="84" xfId="12373" applyFont="1" applyFill="1" applyBorder="1" applyAlignment="1">
      <alignment horizontal="center" vertical="center"/>
    </xf>
    <xf numFmtId="0" fontId="304" fillId="0" borderId="206" xfId="12373" applyFont="1" applyFill="1" applyBorder="1" applyAlignment="1">
      <alignment horizontal="left" vertical="center" wrapText="1"/>
    </xf>
    <xf numFmtId="0" fontId="304" fillId="0" borderId="221" xfId="12373" applyFont="1" applyFill="1" applyBorder="1" applyAlignment="1">
      <alignment horizontal="left" vertical="center" wrapText="1"/>
    </xf>
    <xf numFmtId="0" fontId="2" fillId="0" borderId="89" xfId="12373" applyFill="1" applyBorder="1" applyAlignment="1">
      <alignment horizontal="center" vertical="center"/>
    </xf>
    <xf numFmtId="0" fontId="2" fillId="0" borderId="14" xfId="12373" applyFill="1" applyBorder="1" applyAlignment="1">
      <alignment horizontal="center" vertical="center"/>
    </xf>
    <xf numFmtId="3" fontId="2" fillId="0" borderId="0" xfId="12373" applyNumberFormat="1" applyFill="1" applyBorder="1" applyAlignment="1">
      <alignment horizontal="center"/>
    </xf>
    <xf numFmtId="0" fontId="2" fillId="0" borderId="0" xfId="12373" applyFill="1" applyBorder="1" applyAlignment="1">
      <alignment horizontal="center"/>
    </xf>
    <xf numFmtId="0" fontId="2" fillId="0" borderId="0" xfId="12373" applyFont="1" applyFill="1" applyBorder="1" applyAlignment="1">
      <alignment horizontal="center"/>
    </xf>
    <xf numFmtId="0" fontId="2" fillId="0" borderId="208" xfId="12373" applyFont="1" applyFill="1" applyBorder="1" applyAlignment="1">
      <alignment horizontal="left"/>
    </xf>
    <xf numFmtId="0" fontId="2" fillId="0" borderId="210" xfId="12373" applyFill="1" applyBorder="1" applyAlignment="1">
      <alignment horizontal="left"/>
    </xf>
    <xf numFmtId="0" fontId="2" fillId="0" borderId="188" xfId="12373" applyFont="1" applyFill="1" applyBorder="1" applyAlignment="1">
      <alignment horizontal="left"/>
    </xf>
    <xf numFmtId="0" fontId="2" fillId="0" borderId="188" xfId="12373" applyFill="1" applyBorder="1" applyAlignment="1">
      <alignment horizontal="left"/>
    </xf>
    <xf numFmtId="0" fontId="2" fillId="0" borderId="188" xfId="12373" applyFill="1" applyBorder="1" applyAlignment="1">
      <alignment horizontal="right"/>
    </xf>
    <xf numFmtId="1" fontId="2" fillId="0" borderId="188" xfId="12373" applyNumberFormat="1" applyFill="1" applyBorder="1" applyAlignment="1">
      <alignment horizontal="right"/>
    </xf>
    <xf numFmtId="4" fontId="2" fillId="0" borderId="208" xfId="12373" applyNumberFormat="1" applyFill="1" applyBorder="1" applyAlignment="1">
      <alignment horizontal="right"/>
    </xf>
    <xf numFmtId="4" fontId="2" fillId="0" borderId="210" xfId="12373" applyNumberFormat="1" applyFill="1" applyBorder="1" applyAlignment="1">
      <alignment horizontal="right"/>
    </xf>
    <xf numFmtId="0" fontId="2" fillId="0" borderId="210" xfId="12373" applyFill="1" applyBorder="1" applyAlignment="1">
      <alignment horizontal="right"/>
    </xf>
    <xf numFmtId="0" fontId="299" fillId="0" borderId="95" xfId="12373" applyFont="1" applyFill="1" applyBorder="1" applyAlignment="1">
      <alignment horizontal="center" vertical="center"/>
    </xf>
    <xf numFmtId="0" fontId="299" fillId="0" borderId="39" xfId="12373" applyFont="1" applyFill="1" applyBorder="1" applyAlignment="1">
      <alignment horizontal="center" vertical="center"/>
    </xf>
    <xf numFmtId="0" fontId="299" fillId="0" borderId="40" xfId="12373" applyFont="1" applyFill="1" applyBorder="1" applyAlignment="1">
      <alignment horizontal="center" vertical="center"/>
    </xf>
    <xf numFmtId="0" fontId="2" fillId="0" borderId="212" xfId="12373" applyFont="1" applyFill="1" applyBorder="1" applyAlignment="1">
      <alignment horizontal="center"/>
    </xf>
    <xf numFmtId="0" fontId="2" fillId="0" borderId="210" xfId="12373" applyFont="1" applyFill="1" applyBorder="1" applyAlignment="1">
      <alignment horizontal="center"/>
    </xf>
    <xf numFmtId="4" fontId="2" fillId="0" borderId="188" xfId="12373" applyNumberFormat="1" applyFill="1" applyBorder="1" applyAlignment="1">
      <alignment horizontal="right"/>
    </xf>
    <xf numFmtId="0" fontId="2" fillId="0" borderId="208" xfId="12373" applyFill="1" applyBorder="1" applyAlignment="1">
      <alignment horizontal="right"/>
    </xf>
    <xf numFmtId="0" fontId="65" fillId="0" borderId="0" xfId="11097" applyFont="1" applyFill="1" applyBorder="1" applyAlignment="1">
      <alignment horizontal="left"/>
    </xf>
    <xf numFmtId="0" fontId="68" fillId="0" borderId="0" xfId="26359" applyFont="1" applyFill="1" applyBorder="1" applyAlignment="1">
      <alignment horizontal="left"/>
    </xf>
    <xf numFmtId="43" fontId="65" fillId="0" borderId="200" xfId="17620" applyFont="1" applyFill="1" applyBorder="1" applyAlignment="1" applyProtection="1">
      <alignment horizontal="center"/>
    </xf>
    <xf numFmtId="43" fontId="65" fillId="0" borderId="201" xfId="17620" applyFont="1" applyFill="1" applyBorder="1" applyAlignment="1" applyProtection="1">
      <alignment horizontal="center"/>
    </xf>
    <xf numFmtId="0" fontId="65" fillId="0" borderId="190" xfId="11097" applyFont="1" applyFill="1" applyBorder="1" applyAlignment="1" applyProtection="1">
      <alignment horizontal="center" vertical="center"/>
    </xf>
    <xf numFmtId="0" fontId="65" fillId="0" borderId="51" xfId="11097" applyFont="1" applyFill="1" applyBorder="1" applyAlignment="1" applyProtection="1">
      <alignment horizontal="center" vertical="center"/>
    </xf>
    <xf numFmtId="0" fontId="65" fillId="0" borderId="191" xfId="11097" applyFont="1" applyFill="1" applyBorder="1" applyAlignment="1" applyProtection="1">
      <alignment horizontal="center" vertical="center"/>
    </xf>
    <xf numFmtId="0" fontId="65" fillId="0" borderId="0" xfId="11097" applyFont="1" applyFill="1" applyBorder="1" applyAlignment="1">
      <alignment horizontal="center"/>
    </xf>
    <xf numFmtId="0" fontId="295" fillId="0" borderId="245" xfId="26362" applyFont="1" applyFill="1" applyBorder="1" applyAlignment="1" applyProtection="1">
      <alignment horizontal="center" vertical="center" wrapText="1"/>
    </xf>
    <xf numFmtId="0" fontId="295" fillId="0" borderId="246" xfId="26362" applyFont="1" applyFill="1" applyBorder="1" applyAlignment="1" applyProtection="1">
      <alignment horizontal="center" vertical="center" wrapText="1"/>
    </xf>
    <xf numFmtId="0" fontId="176" fillId="0" borderId="0" xfId="26362" applyFont="1" applyFill="1" applyBorder="1" applyAlignment="1">
      <alignment horizontal="center" vertical="center"/>
    </xf>
    <xf numFmtId="0" fontId="295" fillId="0" borderId="247" xfId="26362" applyFont="1" applyFill="1" applyBorder="1" applyAlignment="1" applyProtection="1">
      <alignment horizontal="center" vertical="center" wrapText="1"/>
    </xf>
    <xf numFmtId="0" fontId="295" fillId="0" borderId="0" xfId="26362" applyFont="1" applyFill="1" applyBorder="1" applyAlignment="1" applyProtection="1">
      <alignment horizontal="center" vertical="center" wrapText="1"/>
    </xf>
    <xf numFmtId="0" fontId="295" fillId="0" borderId="247" xfId="26362" applyFont="1" applyFill="1" applyBorder="1" applyAlignment="1" applyProtection="1">
      <alignment horizontal="center" vertical="center"/>
    </xf>
    <xf numFmtId="0" fontId="295" fillId="0" borderId="0" xfId="26362" applyFont="1" applyFill="1" applyBorder="1" applyAlignment="1" applyProtection="1">
      <alignment horizontal="center" vertical="center"/>
    </xf>
    <xf numFmtId="0" fontId="295" fillId="0" borderId="247" xfId="11097" applyFont="1" applyFill="1" applyBorder="1" applyAlignment="1" applyProtection="1">
      <alignment horizontal="center" vertical="center"/>
    </xf>
    <xf numFmtId="0" fontId="295" fillId="0" borderId="0" xfId="11097" applyFont="1" applyFill="1" applyBorder="1" applyAlignment="1" applyProtection="1">
      <alignment horizontal="center" vertical="center"/>
    </xf>
    <xf numFmtId="3" fontId="68" fillId="0" borderId="0" xfId="17625" applyNumberFormat="1" applyFont="1" applyFill="1" applyBorder="1" applyAlignment="1">
      <alignment horizontal="left"/>
    </xf>
    <xf numFmtId="3" fontId="65" fillId="0" borderId="223" xfId="18270" applyNumberFormat="1" applyFont="1" applyFill="1" applyBorder="1" applyAlignment="1" applyProtection="1">
      <alignment horizontal="center"/>
    </xf>
    <xf numFmtId="3" fontId="65" fillId="0" borderId="228" xfId="18270" applyNumberFormat="1" applyFont="1" applyFill="1" applyBorder="1" applyAlignment="1" applyProtection="1">
      <alignment horizontal="center"/>
    </xf>
    <xf numFmtId="3" fontId="65" fillId="0" borderId="229" xfId="18270" applyNumberFormat="1" applyFont="1" applyFill="1" applyBorder="1" applyAlignment="1" applyProtection="1">
      <alignment horizontal="center"/>
    </xf>
    <xf numFmtId="3" fontId="65" fillId="0" borderId="230" xfId="18270" applyNumberFormat="1" applyFont="1" applyFill="1" applyBorder="1" applyAlignment="1" applyProtection="1">
      <alignment horizontal="center"/>
    </xf>
    <xf numFmtId="3" fontId="65" fillId="0" borderId="231" xfId="18270" applyNumberFormat="1" applyFont="1" applyFill="1" applyBorder="1" applyAlignment="1" applyProtection="1">
      <alignment horizontal="center"/>
    </xf>
    <xf numFmtId="3" fontId="65" fillId="0" borderId="232" xfId="18270" applyNumberFormat="1" applyFont="1" applyFill="1" applyBorder="1" applyAlignment="1" applyProtection="1">
      <alignment horizontal="center"/>
    </xf>
    <xf numFmtId="0" fontId="71" fillId="0" borderId="0" xfId="26359" applyFont="1" applyFill="1" applyBorder="1" applyAlignment="1">
      <alignment horizontal="left" vertical="center"/>
    </xf>
    <xf numFmtId="0" fontId="65" fillId="0" borderId="104" xfId="11097" applyFont="1" applyFill="1" applyBorder="1" applyAlignment="1" applyProtection="1">
      <alignment horizontal="center"/>
    </xf>
    <xf numFmtId="0" fontId="65" fillId="0" borderId="105" xfId="11097" applyFont="1" applyFill="1" applyBorder="1" applyAlignment="1" applyProtection="1">
      <alignment horizontal="center"/>
    </xf>
    <xf numFmtId="0" fontId="65" fillId="0" borderId="106" xfId="11097" applyFont="1" applyFill="1" applyBorder="1" applyAlignment="1" applyProtection="1">
      <alignment horizontal="center"/>
    </xf>
    <xf numFmtId="0" fontId="71" fillId="0" borderId="0" xfId="26359" applyFont="1" applyFill="1" applyBorder="1" applyAlignment="1">
      <alignment horizontal="left"/>
    </xf>
    <xf numFmtId="0" fontId="10" fillId="0" borderId="204" xfId="11097" applyFont="1" applyFill="1" applyBorder="1" applyAlignment="1">
      <alignment horizontal="left" wrapText="1"/>
    </xf>
    <xf numFmtId="0" fontId="10" fillId="0" borderId="205" xfId="11097" applyFont="1" applyFill="1" applyBorder="1" applyAlignment="1">
      <alignment horizontal="left" wrapText="1"/>
    </xf>
    <xf numFmtId="0" fontId="10" fillId="0" borderId="8" xfId="11097" applyFont="1" applyFill="1" applyBorder="1" applyAlignment="1">
      <alignment horizontal="left" wrapText="1"/>
    </xf>
    <xf numFmtId="0" fontId="10" fillId="0" borderId="13" xfId="11097" applyFont="1" applyFill="1" applyBorder="1" applyAlignment="1">
      <alignment horizontal="left" wrapText="1"/>
    </xf>
    <xf numFmtId="3" fontId="65" fillId="0" borderId="233" xfId="18270" applyNumberFormat="1" applyFont="1" applyFill="1" applyBorder="1" applyAlignment="1" applyProtection="1">
      <alignment horizontal="center"/>
    </xf>
    <xf numFmtId="3" fontId="65" fillId="0" borderId="234" xfId="18270" applyNumberFormat="1" applyFont="1" applyFill="1" applyBorder="1" applyAlignment="1" applyProtection="1">
      <alignment horizontal="center"/>
    </xf>
    <xf numFmtId="3" fontId="65" fillId="0" borderId="235" xfId="18270" applyNumberFormat="1" applyFont="1" applyFill="1" applyBorder="1" applyAlignment="1" applyProtection="1">
      <alignment horizontal="center"/>
    </xf>
    <xf numFmtId="3" fontId="65" fillId="0" borderId="238" xfId="18270" applyNumberFormat="1" applyFont="1" applyFill="1" applyBorder="1" applyAlignment="1" applyProtection="1">
      <alignment horizontal="center"/>
    </xf>
    <xf numFmtId="3" fontId="65" fillId="0" borderId="239" xfId="18270" applyNumberFormat="1" applyFont="1" applyFill="1" applyBorder="1" applyAlignment="1" applyProtection="1">
      <alignment horizontal="center"/>
    </xf>
    <xf numFmtId="3" fontId="65" fillId="0" borderId="240" xfId="18270" applyNumberFormat="1" applyFont="1" applyFill="1" applyBorder="1" applyAlignment="1" applyProtection="1">
      <alignment horizontal="center"/>
    </xf>
    <xf numFmtId="0" fontId="65" fillId="0" borderId="241" xfId="11097" applyFont="1" applyFill="1" applyBorder="1" applyAlignment="1" applyProtection="1">
      <alignment horizontal="center"/>
    </xf>
    <xf numFmtId="0" fontId="65" fillId="0" borderId="120" xfId="11097" applyFont="1" applyFill="1" applyBorder="1" applyAlignment="1" applyProtection="1">
      <alignment horizontal="center"/>
    </xf>
    <xf numFmtId="0" fontId="65" fillId="0" borderId="224" xfId="11097" applyFont="1" applyFill="1" applyBorder="1" applyAlignment="1" applyProtection="1">
      <alignment horizontal="center"/>
    </xf>
    <xf numFmtId="0" fontId="65" fillId="0" borderId="117" xfId="11097" applyFont="1" applyFill="1" applyBorder="1" applyAlignment="1" applyProtection="1">
      <alignment horizontal="center"/>
    </xf>
    <xf numFmtId="0" fontId="65" fillId="0" borderId="223" xfId="11097" applyFont="1" applyFill="1" applyBorder="1" applyAlignment="1" applyProtection="1">
      <alignment horizontal="center"/>
    </xf>
    <xf numFmtId="0" fontId="65" fillId="0" borderId="225" xfId="11097" applyFont="1" applyFill="1" applyBorder="1" applyAlignment="1" applyProtection="1">
      <alignment horizontal="center"/>
    </xf>
    <xf numFmtId="0" fontId="65" fillId="0" borderId="226" xfId="11097" applyFont="1" applyFill="1" applyBorder="1" applyAlignment="1" applyProtection="1">
      <alignment horizontal="center"/>
    </xf>
    <xf numFmtId="0" fontId="65" fillId="0" borderId="227" xfId="11097" applyFont="1" applyFill="1" applyBorder="1" applyAlignment="1" applyProtection="1">
      <alignment horizontal="center"/>
    </xf>
    <xf numFmtId="165" fontId="2" fillId="0" borderId="139" xfId="26364" applyFont="1" applyFill="1" applyBorder="1" applyAlignment="1">
      <alignment horizontal="center"/>
    </xf>
    <xf numFmtId="165" fontId="2" fillId="0" borderId="7" xfId="26364" applyFont="1" applyFill="1" applyBorder="1" applyAlignment="1">
      <alignment horizontal="center"/>
    </xf>
    <xf numFmtId="165" fontId="2" fillId="0" borderId="128" xfId="26364" applyFont="1" applyFill="1" applyBorder="1" applyAlignment="1">
      <alignment horizontal="center"/>
    </xf>
    <xf numFmtId="165" fontId="2" fillId="0" borderId="8" xfId="26364" applyFont="1" applyFill="1" applyBorder="1" applyAlignment="1">
      <alignment horizontal="center"/>
    </xf>
    <xf numFmtId="0" fontId="305" fillId="0" borderId="96" xfId="12373" applyFont="1" applyFill="1" applyBorder="1" applyAlignment="1">
      <alignment horizontal="left" vertical="center" wrapText="1"/>
    </xf>
    <xf numFmtId="0" fontId="305" fillId="0" borderId="133" xfId="12373" applyFont="1" applyFill="1" applyBorder="1" applyAlignment="1">
      <alignment horizontal="left" vertical="center" wrapText="1"/>
    </xf>
    <xf numFmtId="0" fontId="305" fillId="0" borderId="82" xfId="12373" applyFont="1" applyFill="1" applyBorder="1" applyAlignment="1">
      <alignment horizontal="left" vertical="center" wrapText="1"/>
    </xf>
    <xf numFmtId="0" fontId="305" fillId="0" borderId="97" xfId="12373" applyFont="1" applyFill="1" applyBorder="1" applyAlignment="1">
      <alignment horizontal="left" vertical="center" wrapText="1"/>
    </xf>
    <xf numFmtId="0" fontId="305" fillId="0" borderId="33" xfId="12373" applyFont="1" applyFill="1" applyBorder="1" applyAlignment="1">
      <alignment horizontal="left" vertical="center" wrapText="1"/>
    </xf>
    <xf numFmtId="0" fontId="305" fillId="0" borderId="249" xfId="12373" applyFont="1" applyFill="1" applyBorder="1" applyAlignment="1">
      <alignment horizontal="left" vertical="center" wrapText="1"/>
    </xf>
    <xf numFmtId="0" fontId="2" fillId="0" borderId="139" xfId="12373" applyFill="1" applyBorder="1" applyAlignment="1">
      <alignment horizontal="center" vertical="center"/>
    </xf>
    <xf numFmtId="0" fontId="2" fillId="0" borderId="7" xfId="12373" applyFill="1" applyBorder="1" applyAlignment="1">
      <alignment horizontal="center" vertical="center"/>
    </xf>
    <xf numFmtId="0" fontId="2" fillId="0" borderId="139" xfId="12373" applyFill="1" applyBorder="1" applyAlignment="1">
      <alignment horizontal="center" vertical="center" wrapText="1"/>
    </xf>
    <xf numFmtId="0" fontId="2" fillId="0" borderId="7" xfId="12373" applyFill="1" applyBorder="1" applyAlignment="1">
      <alignment horizontal="center" vertical="center" wrapText="1"/>
    </xf>
    <xf numFmtId="0" fontId="304" fillId="0" borderId="252" xfId="12373" applyFont="1" applyFill="1" applyBorder="1" applyAlignment="1">
      <alignment horizontal="center" vertical="center"/>
    </xf>
    <xf numFmtId="0" fontId="304" fillId="0" borderId="139" xfId="12373" applyFont="1" applyFill="1" applyBorder="1" applyAlignment="1">
      <alignment horizontal="left" vertical="center" wrapText="1"/>
    </xf>
    <xf numFmtId="0" fontId="304" fillId="0" borderId="7" xfId="12373" applyFont="1" applyFill="1" applyBorder="1" applyAlignment="1">
      <alignment horizontal="left" vertical="center" wrapText="1"/>
    </xf>
    <xf numFmtId="0" fontId="2" fillId="0" borderId="139" xfId="12373" applyFill="1" applyBorder="1" applyAlignment="1">
      <alignment horizontal="center"/>
    </xf>
    <xf numFmtId="0" fontId="2" fillId="0" borderId="7" xfId="12373" applyFill="1" applyBorder="1" applyAlignment="1">
      <alignment horizontal="center"/>
    </xf>
    <xf numFmtId="165" fontId="2" fillId="0" borderId="251" xfId="26364" applyFont="1" applyFill="1" applyBorder="1" applyAlignment="1">
      <alignment horizontal="center"/>
    </xf>
    <xf numFmtId="165" fontId="2" fillId="0" borderId="91" xfId="26364" applyFont="1" applyFill="1" applyBorder="1" applyAlignment="1">
      <alignment horizontal="center"/>
    </xf>
    <xf numFmtId="0" fontId="2" fillId="0" borderId="84" xfId="12373" applyFill="1" applyBorder="1" applyAlignment="1">
      <alignment horizontal="center" vertical="center"/>
    </xf>
    <xf numFmtId="0" fontId="2" fillId="0" borderId="8" xfId="12373" applyFill="1" applyBorder="1" applyAlignment="1">
      <alignment horizontal="center"/>
    </xf>
    <xf numFmtId="0" fontId="2" fillId="0" borderId="256" xfId="12373" applyFill="1" applyBorder="1" applyAlignment="1">
      <alignment horizontal="center"/>
    </xf>
    <xf numFmtId="0" fontId="2" fillId="0" borderId="176" xfId="12373" applyFill="1" applyBorder="1" applyAlignment="1">
      <alignment horizontal="center"/>
    </xf>
    <xf numFmtId="0" fontId="2" fillId="0" borderId="255" xfId="12373" applyFill="1" applyBorder="1" applyAlignment="1">
      <alignment horizontal="center"/>
    </xf>
    <xf numFmtId="0" fontId="2" fillId="0" borderId="37" xfId="12373" applyFill="1" applyBorder="1" applyAlignment="1">
      <alignment horizontal="center"/>
    </xf>
    <xf numFmtId="0" fontId="2" fillId="0" borderId="38" xfId="12373" applyFill="1" applyBorder="1" applyAlignment="1">
      <alignment horizontal="center"/>
    </xf>
    <xf numFmtId="0" fontId="2" fillId="0" borderId="94" xfId="12373" applyFill="1" applyBorder="1" applyAlignment="1">
      <alignment horizontal="center"/>
    </xf>
    <xf numFmtId="0" fontId="2" fillId="0" borderId="254" xfId="12373" applyFill="1" applyBorder="1" applyAlignment="1">
      <alignment horizontal="center" vertical="center"/>
    </xf>
    <xf numFmtId="0" fontId="2" fillId="0" borderId="36" xfId="12373" applyFill="1" applyBorder="1" applyAlignment="1">
      <alignment horizontal="center"/>
    </xf>
    <xf numFmtId="0" fontId="2" fillId="0" borderId="90" xfId="12373" applyFill="1" applyBorder="1" applyAlignment="1">
      <alignment horizontal="center"/>
    </xf>
    <xf numFmtId="0" fontId="2" fillId="0" borderId="127" xfId="12373" applyFill="1" applyBorder="1" applyAlignment="1">
      <alignment horizontal="center" vertical="center"/>
    </xf>
    <xf numFmtId="0" fontId="2" fillId="0" borderId="81" xfId="12373" applyFill="1" applyBorder="1" applyAlignment="1">
      <alignment horizontal="center" vertical="center"/>
    </xf>
    <xf numFmtId="0" fontId="2" fillId="0" borderId="130" xfId="12373" applyFill="1" applyBorder="1" applyAlignment="1">
      <alignment horizontal="center" vertical="center"/>
    </xf>
    <xf numFmtId="43" fontId="0" fillId="0" borderId="130" xfId="17466" applyFont="1" applyFill="1" applyBorder="1" applyAlignment="1">
      <alignment horizontal="center" vertical="center" wrapText="1"/>
    </xf>
    <xf numFmtId="43" fontId="11" fillId="0" borderId="7" xfId="17466" applyFont="1" applyFill="1" applyBorder="1" applyAlignment="1">
      <alignment horizontal="center" vertical="center" wrapText="1"/>
    </xf>
    <xf numFmtId="0" fontId="295" fillId="2" borderId="0" xfId="26362" applyFont="1" applyFill="1" applyAlignment="1">
      <alignment horizontal="center"/>
    </xf>
    <xf numFmtId="0" fontId="64" fillId="2" borderId="0" xfId="26362" applyFont="1" applyFill="1" applyAlignment="1">
      <alignment horizontal="center"/>
    </xf>
    <xf numFmtId="0" fontId="0" fillId="2" borderId="0" xfId="0" applyFill="1"/>
    <xf numFmtId="0" fontId="64" fillId="2" borderId="0" xfId="26362" applyFont="1" applyFill="1" applyBorder="1" applyAlignment="1">
      <alignment horizontal="left"/>
    </xf>
    <xf numFmtId="0" fontId="297" fillId="2" borderId="170" xfId="26362" applyFont="1" applyFill="1" applyBorder="1" applyAlignment="1">
      <alignment horizontal="center"/>
    </xf>
    <xf numFmtId="0" fontId="297" fillId="2" borderId="171" xfId="26362" applyFont="1" applyFill="1" applyBorder="1" applyAlignment="1">
      <alignment horizontal="center"/>
    </xf>
    <xf numFmtId="0" fontId="297" fillId="2" borderId="172" xfId="26362" applyFont="1" applyFill="1" applyBorder="1" applyAlignment="1">
      <alignment horizontal="center"/>
    </xf>
    <xf numFmtId="0" fontId="297" fillId="0" borderId="170" xfId="26362" applyFont="1" applyFill="1" applyBorder="1" applyAlignment="1">
      <alignment horizontal="center"/>
    </xf>
    <xf numFmtId="0" fontId="297" fillId="0" borderId="171" xfId="26362" applyFont="1" applyFill="1" applyBorder="1" applyAlignment="1">
      <alignment horizontal="center"/>
    </xf>
    <xf numFmtId="0" fontId="297" fillId="0" borderId="172" xfId="26362" applyFont="1" applyFill="1" applyBorder="1" applyAlignment="1">
      <alignment horizontal="center"/>
    </xf>
    <xf numFmtId="0" fontId="66" fillId="0" borderId="0" xfId="0" applyFont="1"/>
    <xf numFmtId="0" fontId="66" fillId="0" borderId="0" xfId="0" applyFont="1" applyAlignment="1">
      <alignment horizontal="center"/>
    </xf>
    <xf numFmtId="0" fontId="318" fillId="0" borderId="0" xfId="0" applyFont="1" applyAlignment="1">
      <alignment horizontal="center"/>
    </xf>
    <xf numFmtId="0" fontId="318" fillId="0" borderId="0" xfId="0" applyFont="1" applyAlignment="1">
      <alignment horizontal="center" vertical="center"/>
    </xf>
    <xf numFmtId="0" fontId="318" fillId="55" borderId="141" xfId="0" applyFont="1" applyFill="1" applyBorder="1" applyAlignment="1">
      <alignment horizontal="center" vertical="center"/>
    </xf>
    <xf numFmtId="0" fontId="318" fillId="55" borderId="142" xfId="0" applyFont="1" applyFill="1" applyBorder="1" applyAlignment="1">
      <alignment horizontal="center" vertical="center"/>
    </xf>
    <xf numFmtId="0" fontId="318" fillId="55" borderId="143" xfId="0" applyFont="1" applyFill="1" applyBorder="1" applyAlignment="1">
      <alignment horizontal="center" vertical="center"/>
    </xf>
    <xf numFmtId="0" fontId="318" fillId="55" borderId="136" xfId="0" applyFont="1" applyFill="1" applyBorder="1" applyAlignment="1">
      <alignment horizontal="center" vertical="center"/>
    </xf>
    <xf numFmtId="0" fontId="318" fillId="55" borderId="80" xfId="0" applyFont="1" applyFill="1" applyBorder="1" applyAlignment="1">
      <alignment horizontal="center" vertical="center"/>
    </xf>
    <xf numFmtId="0" fontId="318" fillId="55" borderId="138" xfId="0" applyFont="1" applyFill="1" applyBorder="1" applyAlignment="1">
      <alignment horizontal="center" vertical="center"/>
    </xf>
    <xf numFmtId="0" fontId="318" fillId="3" borderId="60" xfId="0" applyFont="1" applyFill="1" applyBorder="1"/>
    <xf numFmtId="0" fontId="318" fillId="3" borderId="25" xfId="0" applyFont="1" applyFill="1" applyBorder="1"/>
    <xf numFmtId="0" fontId="318" fillId="3" borderId="140" xfId="0" applyFont="1" applyFill="1" applyBorder="1"/>
    <xf numFmtId="0" fontId="318" fillId="3" borderId="34" xfId="0" applyFont="1" applyFill="1" applyBorder="1"/>
    <xf numFmtId="0" fontId="318" fillId="3" borderId="19" xfId="0" applyFont="1" applyFill="1" applyBorder="1"/>
    <xf numFmtId="0" fontId="318" fillId="3" borderId="35" xfId="0" applyFont="1" applyFill="1" applyBorder="1"/>
    <xf numFmtId="0" fontId="318" fillId="3" borderId="136" xfId="0" applyFont="1" applyFill="1" applyBorder="1" applyAlignment="1">
      <alignment horizontal="center" vertical="center"/>
    </xf>
    <xf numFmtId="196" fontId="318" fillId="3" borderId="136" xfId="0" applyNumberFormat="1" applyFont="1" applyFill="1" applyBorder="1" applyAlignment="1">
      <alignment horizontal="center" vertical="center"/>
    </xf>
    <xf numFmtId="165" fontId="318" fillId="3" borderId="34" xfId="26364" applyFont="1" applyFill="1" applyBorder="1" applyAlignment="1">
      <alignment horizontal="left"/>
    </xf>
    <xf numFmtId="165" fontId="318" fillId="3" borderId="19" xfId="26364" applyFont="1" applyFill="1" applyBorder="1" applyAlignment="1">
      <alignment horizontal="left"/>
    </xf>
    <xf numFmtId="165" fontId="318" fillId="3" borderId="35" xfId="26364" applyFont="1" applyFill="1" applyBorder="1" applyAlignment="1">
      <alignment horizontal="left"/>
    </xf>
    <xf numFmtId="0" fontId="318" fillId="55" borderId="136" xfId="0" applyFont="1" applyFill="1" applyBorder="1" applyAlignment="1">
      <alignment horizontal="center"/>
    </xf>
    <xf numFmtId="0" fontId="318" fillId="3" borderId="136" xfId="0" applyFont="1" applyFill="1" applyBorder="1" applyAlignment="1">
      <alignment horizontal="center" vertical="center" wrapText="1"/>
    </xf>
    <xf numFmtId="165" fontId="66" fillId="3" borderId="136" xfId="26364" applyFont="1" applyFill="1" applyBorder="1" applyAlignment="1">
      <alignment horizontal="center" vertical="center" wrapText="1"/>
    </xf>
    <xf numFmtId="9" fontId="66" fillId="3" borderId="136" xfId="26363" applyFont="1" applyFill="1" applyBorder="1" applyAlignment="1">
      <alignment horizontal="center" vertical="center" wrapText="1"/>
    </xf>
    <xf numFmtId="0" fontId="12" fillId="0" borderId="178" xfId="26362" applyFont="1" applyFill="1" applyBorder="1" applyAlignment="1" applyProtection="1">
      <alignment horizontal="center" vertical="center" wrapText="1"/>
    </xf>
    <xf numFmtId="0" fontId="12" fillId="0" borderId="179" xfId="26362" applyFont="1" applyFill="1" applyBorder="1" applyAlignment="1" applyProtection="1">
      <alignment horizontal="center" vertical="center" wrapText="1"/>
    </xf>
    <xf numFmtId="0" fontId="12" fillId="0" borderId="180" xfId="26362" applyFont="1" applyFill="1" applyBorder="1" applyAlignment="1" applyProtection="1">
      <alignment horizontal="center" vertical="center" wrapText="1"/>
    </xf>
    <xf numFmtId="0" fontId="12" fillId="0" borderId="66" xfId="26362" applyFont="1" applyFill="1" applyBorder="1" applyAlignment="1" applyProtection="1">
      <alignment horizontal="center" vertical="center" wrapText="1"/>
    </xf>
    <xf numFmtId="0" fontId="12" fillId="0" borderId="0" xfId="26362" applyFont="1" applyFill="1" applyBorder="1" applyAlignment="1" applyProtection="1">
      <alignment horizontal="center" vertical="center" wrapText="1"/>
    </xf>
    <xf numFmtId="0" fontId="12" fillId="0" borderId="56" xfId="26362" applyFont="1" applyFill="1" applyBorder="1" applyAlignment="1" applyProtection="1">
      <alignment horizontal="center" vertical="center" wrapText="1"/>
    </xf>
    <xf numFmtId="0" fontId="12" fillId="0" borderId="66" xfId="26362" applyFont="1" applyFill="1" applyBorder="1" applyAlignment="1" applyProtection="1">
      <alignment horizontal="center" vertical="center"/>
    </xf>
    <xf numFmtId="0" fontId="12" fillId="0" borderId="0" xfId="26362" applyFont="1" applyFill="1" applyBorder="1" applyAlignment="1" applyProtection="1">
      <alignment horizontal="center" vertical="center"/>
    </xf>
    <xf numFmtId="0" fontId="12" fillId="0" borderId="56" xfId="26362" applyFont="1" applyFill="1" applyBorder="1" applyAlignment="1" applyProtection="1">
      <alignment horizontal="center" vertical="center"/>
    </xf>
    <xf numFmtId="0" fontId="12" fillId="0" borderId="66" xfId="11097" applyFont="1" applyFill="1" applyBorder="1" applyAlignment="1" applyProtection="1">
      <alignment horizontal="center" vertical="center"/>
    </xf>
    <xf numFmtId="0" fontId="12" fillId="0" borderId="0" xfId="11097" applyFont="1" applyFill="1" applyBorder="1" applyAlignment="1" applyProtection="1">
      <alignment horizontal="center" vertical="center"/>
    </xf>
    <xf numFmtId="0" fontId="12" fillId="0" borderId="56" xfId="11097" applyFont="1" applyFill="1" applyBorder="1" applyAlignment="1" applyProtection="1">
      <alignment horizontal="center" vertical="center"/>
    </xf>
    <xf numFmtId="0" fontId="12" fillId="0" borderId="181" xfId="11097" applyFont="1" applyFill="1" applyBorder="1" applyAlignment="1" applyProtection="1">
      <alignment horizontal="center" vertical="center"/>
    </xf>
    <xf numFmtId="0" fontId="12" fillId="0" borderId="51" xfId="11097" applyFont="1" applyFill="1" applyBorder="1" applyAlignment="1" applyProtection="1">
      <alignment horizontal="center" vertical="center"/>
    </xf>
    <xf numFmtId="0" fontId="12" fillId="0" borderId="67" xfId="11097" applyFont="1" applyFill="1" applyBorder="1" applyAlignment="1" applyProtection="1">
      <alignment horizontal="center" vertical="center"/>
    </xf>
    <xf numFmtId="43" fontId="12" fillId="0" borderId="164" xfId="17620" applyFont="1" applyFill="1" applyBorder="1" applyAlignment="1" applyProtection="1">
      <alignment horizontal="center"/>
    </xf>
    <xf numFmtId="43" fontId="12" fillId="0" borderId="182" xfId="17620" applyFont="1" applyFill="1" applyBorder="1" applyAlignment="1" applyProtection="1">
      <alignment horizontal="center"/>
    </xf>
    <xf numFmtId="0" fontId="2" fillId="0" borderId="0" xfId="26359" applyFont="1" applyFill="1" applyBorder="1" applyAlignment="1">
      <alignment horizontal="left"/>
    </xf>
    <xf numFmtId="0" fontId="12" fillId="0" borderId="0" xfId="11097" applyFont="1" applyFill="1" applyBorder="1" applyAlignment="1">
      <alignment horizontal="left"/>
    </xf>
    <xf numFmtId="0" fontId="12" fillId="0" borderId="117" xfId="11097" applyFont="1" applyFill="1" applyBorder="1" applyAlignment="1" applyProtection="1">
      <alignment horizontal="center"/>
    </xf>
    <xf numFmtId="0" fontId="12" fillId="0" borderId="120" xfId="11097" applyFont="1" applyFill="1" applyBorder="1" applyAlignment="1" applyProtection="1">
      <alignment horizontal="center"/>
    </xf>
    <xf numFmtId="3" fontId="2" fillId="0" borderId="0" xfId="17625" applyNumberFormat="1" applyFont="1" applyFill="1" applyBorder="1" applyAlignment="1">
      <alignment horizontal="left"/>
    </xf>
    <xf numFmtId="0" fontId="12" fillId="0" borderId="184" xfId="11097" applyFont="1" applyFill="1" applyBorder="1" applyAlignment="1" applyProtection="1">
      <alignment horizontal="center"/>
    </xf>
    <xf numFmtId="0" fontId="12" fillId="0" borderId="185" xfId="11097" applyFont="1" applyFill="1" applyBorder="1" applyAlignment="1" applyProtection="1">
      <alignment horizontal="center"/>
    </xf>
  </cellXfs>
  <cellStyles count="26366">
    <cellStyle name="          _x000d__x000a_shell=progman.exe_x000d__x000a_m" xfId="26358"/>
    <cellStyle name="_x000c_ōᅺb0ōᆊbXōᆚbōᆪb¨ōᆺb섄ōᇊb섰ōᇚb셌ōᇪb셨ōᇺb손ōሊbÌōሚbôōሪbŀōሺbŨōቊbƀōቚb솴ōቪb쇌ōቺb쇬ōኊb숄ōኚb술ōኪbƜōኺbƸōዊbǜōዚbǸōዪbɄō" xfId="26357"/>
    <cellStyle name="_x000d__x000a_JournalTemplate=C:\COMFO\CTALK\JOURSTD.TPL_x000d__x000a_LbStateAddress=3 3 0 251 1 89 2 311_x000d__x000a_LbStateJou" xfId="26356"/>
    <cellStyle name="&quot;" xfId="26355"/>
    <cellStyle name="&quot; 2" xfId="26354"/>
    <cellStyle name="&quot; 2 2" xfId="26353"/>
    <cellStyle name="&quot; 2 2 2" xfId="26352"/>
    <cellStyle name="&quot; 2 2 2 2" xfId="26351"/>
    <cellStyle name="&quot; 2 2 3" xfId="26350"/>
    <cellStyle name="&quot; 2 3" xfId="26349"/>
    <cellStyle name="&quot; 2 3 2" xfId="26348"/>
    <cellStyle name="&quot; 2 4" xfId="26347"/>
    <cellStyle name="&quot; 3" xfId="26346"/>
    <cellStyle name="&quot; 3 2" xfId="26345"/>
    <cellStyle name="&quot; 3 2 2" xfId="26344"/>
    <cellStyle name="&quot; 3 2 2 2" xfId="26343"/>
    <cellStyle name="&quot; 3 2 3" xfId="26342"/>
    <cellStyle name="&quot; 3 3" xfId="26341"/>
    <cellStyle name="&quot; 3 3 2" xfId="26340"/>
    <cellStyle name="&quot; 3 4" xfId="26339"/>
    <cellStyle name="&quot; 4" xfId="26338"/>
    <cellStyle name="&quot; 4 2" xfId="26337"/>
    <cellStyle name="&quot; 4 2 2" xfId="26336"/>
    <cellStyle name="&quot; 4 2 2 2" xfId="26335"/>
    <cellStyle name="&quot; 4 2 3" xfId="26334"/>
    <cellStyle name="&quot; 4 3" xfId="26333"/>
    <cellStyle name="&quot; 4 3 2" xfId="26332"/>
    <cellStyle name="&quot; 4 4" xfId="26331"/>
    <cellStyle name="&quot; 5" xfId="26330"/>
    <cellStyle name="&quot; 5 2" xfId="26329"/>
    <cellStyle name="&quot; 5 2 2" xfId="26328"/>
    <cellStyle name="&quot; 5 3" xfId="26327"/>
    <cellStyle name="&quot; 6" xfId="26326"/>
    <cellStyle name="&quot; 6 2" xfId="26325"/>
    <cellStyle name="&quot; 7" xfId="26324"/>
    <cellStyle name="#,##0" xfId="26323"/>
    <cellStyle name="#,##0 10" xfId="26322"/>
    <cellStyle name="#,##0 10 2" xfId="26321"/>
    <cellStyle name="#,##0 11" xfId="26320"/>
    <cellStyle name="#,##0 2" xfId="26319"/>
    <cellStyle name="#,##0 2 2" xfId="26318"/>
    <cellStyle name="#,##0 2 2 2" xfId="26317"/>
    <cellStyle name="#,##0 2 2 2 2" xfId="26316"/>
    <cellStyle name="#,##0 2 2 3" xfId="26315"/>
    <cellStyle name="#,##0 2 3" xfId="26314"/>
    <cellStyle name="#,##0 2 3 2" xfId="26313"/>
    <cellStyle name="#,##0 2 4" xfId="26312"/>
    <cellStyle name="#,##0 3" xfId="26311"/>
    <cellStyle name="#,##0 3 2" xfId="26310"/>
    <cellStyle name="#,##0 3 2 2" xfId="26309"/>
    <cellStyle name="#,##0 3 2 2 2" xfId="26308"/>
    <cellStyle name="#,##0 3 2 3" xfId="26307"/>
    <cellStyle name="#,##0 3 3" xfId="26306"/>
    <cellStyle name="#,##0 3 3 2" xfId="26305"/>
    <cellStyle name="#,##0 3 4" xfId="26304"/>
    <cellStyle name="#,##0 4" xfId="26303"/>
    <cellStyle name="#,##0 4 2" xfId="26302"/>
    <cellStyle name="#,##0 4 2 2" xfId="26301"/>
    <cellStyle name="#,##0 4 2 2 2" xfId="26300"/>
    <cellStyle name="#,##0 4 2 3" xfId="26299"/>
    <cellStyle name="#,##0 4 3" xfId="26298"/>
    <cellStyle name="#,##0 4 3 2" xfId="26297"/>
    <cellStyle name="#,##0 4 4" xfId="26296"/>
    <cellStyle name="#,##0 5" xfId="26295"/>
    <cellStyle name="#,##0 5 2" xfId="26294"/>
    <cellStyle name="#,##0 5 2 2" xfId="26293"/>
    <cellStyle name="#,##0 5 2 2 2" xfId="26292"/>
    <cellStyle name="#,##0 5 2 3" xfId="26291"/>
    <cellStyle name="#,##0 5 3" xfId="26290"/>
    <cellStyle name="#,##0 5 3 2" xfId="26289"/>
    <cellStyle name="#,##0 5 4" xfId="26288"/>
    <cellStyle name="#,##0 6" xfId="26287"/>
    <cellStyle name="#,##0 6 2" xfId="26286"/>
    <cellStyle name="#,##0 6 2 2" xfId="26285"/>
    <cellStyle name="#,##0 6 2 2 2" xfId="26284"/>
    <cellStyle name="#,##0 6 2 3" xfId="26283"/>
    <cellStyle name="#,##0 6 3" xfId="26282"/>
    <cellStyle name="#,##0 6 3 2" xfId="26281"/>
    <cellStyle name="#,##0 6 4" xfId="26280"/>
    <cellStyle name="#,##0 7" xfId="26279"/>
    <cellStyle name="#,##0 7 2" xfId="26278"/>
    <cellStyle name="#,##0 7 2 2" xfId="26277"/>
    <cellStyle name="#,##0 7 2 2 2" xfId="26276"/>
    <cellStyle name="#,##0 7 2 3" xfId="26275"/>
    <cellStyle name="#,##0 7 3" xfId="26274"/>
    <cellStyle name="#,##0 7 3 2" xfId="26273"/>
    <cellStyle name="#,##0 7 4" xfId="26272"/>
    <cellStyle name="#,##0 8" xfId="26271"/>
    <cellStyle name="#,##0 8 2" xfId="26270"/>
    <cellStyle name="#,##0 8 2 2" xfId="26269"/>
    <cellStyle name="#,##0 8 2 2 2" xfId="26268"/>
    <cellStyle name="#,##0 8 2 3" xfId="26267"/>
    <cellStyle name="#,##0 8 3" xfId="26266"/>
    <cellStyle name="#,##0 8 3 2" xfId="26265"/>
    <cellStyle name="#,##0 8 4" xfId="26264"/>
    <cellStyle name="#,##0 9" xfId="26263"/>
    <cellStyle name="#,##0 9 2" xfId="26262"/>
    <cellStyle name="#,##0 9 2 2" xfId="26261"/>
    <cellStyle name="#,##0 9 3" xfId="26260"/>
    <cellStyle name=",." xfId="26259"/>
    <cellStyle name="､@ｯ・BQSUM" xfId="26258"/>
    <cellStyle name="､@ｯ・BQSUM 2" xfId="26257"/>
    <cellStyle name="､@ｯ・BQSUM(D)" xfId="26256"/>
    <cellStyle name="､@ｯ・BQSUM(D) 2" xfId="26255"/>
    <cellStyle name="､@ｯ・BQSUM_426-Bill Of Item VACorig" xfId="26254"/>
    <cellStyle name="､d､ﾀｦ・BQSUM" xfId="26253"/>
    <cellStyle name="､d､ﾀｦ・BQSUM 2" xfId="26252"/>
    <cellStyle name="､d､ﾀｦ・BQSUM(D)" xfId="26251"/>
    <cellStyle name="､d､ﾀｦ・BQSUM(D) 2" xfId="26250"/>
    <cellStyle name="､d､ﾀｦ・BQSUM_BQ ROHM-Genset (rev.1)" xfId="26249"/>
    <cellStyle name="?(2)" xfId="26248"/>
    <cellStyle name="??" xfId="26247"/>
    <cellStyle name="?? [0.00]_PERSONAL" xfId="26246"/>
    <cellStyle name="?? [0]" xfId="26245"/>
    <cellStyle name="?? [0] 2" xfId="26244"/>
    <cellStyle name="?? 2" xfId="26243"/>
    <cellStyle name="??&amp;O" xfId="26242"/>
    <cellStyle name="??&amp;O?" xfId="26241"/>
    <cellStyle name="??&amp;O?&amp;" xfId="26240"/>
    <cellStyle name="??&amp;O?&amp;H?_x0008__x000f__x0007_?_x0007_" xfId="26239"/>
    <cellStyle name="??&amp;O?&amp;H?_x0008__x000f__x0007_?_x0007__x0001__x0001_" xfId="26238"/>
    <cellStyle name="??&amp;O?&amp;H?_x0008_??_x0007__x0001_" xfId="26237"/>
    <cellStyle name="??&amp;O?&amp;H?_x0008_??_x0007__x0001__x0001_" xfId="26236"/>
    <cellStyle name="???" xfId="26235"/>
    <cellStyle name="???? [0.00]_PERSONAL" xfId="26234"/>
    <cellStyle name="????_PERSONAL" xfId="26233"/>
    <cellStyle name="???[0]_Book1" xfId="26232"/>
    <cellStyle name="???_??" xfId="26231"/>
    <cellStyle name="??_(????)??????" xfId="26230"/>
    <cellStyle name="?…?a唇?e [0.00]_?\拶?A?\氏・A?U・" xfId="26229"/>
    <cellStyle name="?…?a唇?e_?\拶?A?\氏・A?U・" xfId="26228"/>
    <cellStyle name="?W?_laroux" xfId="26227"/>
    <cellStyle name="?W準_?\拶?A?\氏・A?U・" xfId="26226"/>
    <cellStyle name="?曹%U?&amp;H?_x0008_?s_x000a__x0007__x0001__x0001_" xfId="26225"/>
    <cellStyle name="_1. Elec BoM for Erection (1)_20081125_rB" xfId="26224"/>
    <cellStyle name="_Al Taweelah(Elec. &amp; Inst.)" xfId="26223"/>
    <cellStyle name="_ALAT-BU-SPP-CIPUTARA" xfId="26222"/>
    <cellStyle name="_ALAT-BU-SPP-CIPUTARA_1" xfId="26221"/>
    <cellStyle name="_ALAT-BU-SPP-CIPUTARA-ok" xfId="26220"/>
    <cellStyle name="_ALAT-BU-SPP-CIPUTARA-ok_1" xfId="26219"/>
    <cellStyle name="_ALAT-BU-SPP-GRIYANIAGA" xfId="26218"/>
    <cellStyle name="_ALAT-BU-SPP-GRIYANIAGA_1" xfId="26217"/>
    <cellStyle name="_AL-Ezzel(Elect n I&amp;C)" xfId="26216"/>
    <cellStyle name="_AL-Ezzel(세종기업)" xfId="26215"/>
    <cellStyle name="_Analisa RAP awal N (version 2)r1" xfId="26214"/>
    <cellStyle name="_Analisa RAP awal N (version 2)r1_1" xfId="26213"/>
    <cellStyle name="_Analisa RAP awal N (version 2)r1_2" xfId="26212"/>
    <cellStyle name="_Analisa RAP awal N (version 2)r3" xfId="26211"/>
    <cellStyle name="_Analisa RAP awal N (version 2)r3_1" xfId="26210"/>
    <cellStyle name="_Analisa RAP awal N (version 2)r3_2" xfId="26209"/>
    <cellStyle name="_analisa RAP r1" xfId="26208"/>
    <cellStyle name="_analisa RAP r1_1" xfId="26207"/>
    <cellStyle name="_Analisa RAP r7" xfId="26206"/>
    <cellStyle name="_Analisa RAP r7_1" xfId="26205"/>
    <cellStyle name="_Annex 5-2_Erection BoM for Electrical_081202_rBs1전기 이동균차장)-수정장세명" xfId="26204"/>
    <cellStyle name="_Barrage-ELEC and INST-BM-0901_Rev_B(보관용)" xfId="26203"/>
    <cellStyle name="_Bidding-BQ-EI-Sejong" xfId="26202"/>
    <cellStyle name="_Book1" xfId="26201"/>
    <cellStyle name="_BOQ(JEBEL ALI L PHII-Elec. Rev.2)-보관용" xfId="26200"/>
    <cellStyle name="_BOQ+MEP palangkaraya-TATA" xfId="26199"/>
    <cellStyle name="_BQ HOTEL SUTAN RAJA TENDER" xfId="26198"/>
    <cellStyle name="_BQ+Hit. Lt 10, atap (Dago 27-06-2007 )" xfId="26197"/>
    <cellStyle name="_BQ+Hit. SDA (24072007)" xfId="26196"/>
    <cellStyle name="_BQ1 19 jan 08 FINAL" xfId="26195"/>
    <cellStyle name="_BQ-ARS- SDA2" xfId="26194"/>
    <cellStyle name="_BTIP 전기 계장 공사(신화이앤아이)최종제출(1차수정분)w.Crane2" xfId="26193"/>
    <cellStyle name="_C&amp;I-ErecBM-Bulk" xfId="26192"/>
    <cellStyle name="_cegins772.xls Chart 1" xfId="26191"/>
    <cellStyle name="_Copy of Analisa RAP R11ef" xfId="26190"/>
    <cellStyle name="_Copy of Analisa RAP R11ef_1" xfId="26189"/>
    <cellStyle name="_Copy of Analisa RAP R11ef_2" xfId="26188"/>
    <cellStyle name="_Daf- 05 PL+FF 19dec07-final (28Jan'08)" xfId="26187"/>
    <cellStyle name="_DED RUSUNAWA DAN PSU UDAYANA" xfId="26186"/>
    <cellStyle name="_EG2_Inst Erection Price Table(for Submission)" xfId="26185"/>
    <cellStyle name="_Elec and I &amp; C BOQ(견적)" xfId="26184"/>
    <cellStyle name="_Form of Tender(기계.전기)rev 1" xfId="26183"/>
    <cellStyle name="_Hit. Hotel Sutan Raja Minahasa (MYO)" xfId="26182"/>
    <cellStyle name="_Hit. Lantai - 1" xfId="26181"/>
    <cellStyle name="_Inq-BQ-EI-7,8000" xfId="26180"/>
    <cellStyle name="_Kuwait 전기-재견적(Rev.2)20050727" xfId="26179"/>
    <cellStyle name="_NERP-ELEC(INDIRECT)" xfId="26178"/>
    <cellStyle name="_PT. ISPATINDO NEW ( 0802'08 )" xfId="26177"/>
    <cellStyle name="_Qatar_Quotation_Elec_Inst(제출.3.11. Rev.5-송부용)" xfId="26176"/>
    <cellStyle name="_Quotation_Elec_Inst(Sejong.11,24)" xfId="26175"/>
    <cellStyle name="_RAB SDA4  24.07.07-Buat P' Agus" xfId="26174"/>
    <cellStyle name="_RAB_pertamina" xfId="26173"/>
    <cellStyle name="_RAP TAMBAHAN" xfId="26172"/>
    <cellStyle name="_RAP TAMBAHAN r6" xfId="26171"/>
    <cellStyle name="_RAP TAMBAHAN r6_1" xfId="26170"/>
    <cellStyle name="_RAP TAMBAHAN r6_2" xfId="26169"/>
    <cellStyle name="_RAP TAMBAHAN_1" xfId="26168"/>
    <cellStyle name="_Rc-1-aLT" xfId="26167"/>
    <cellStyle name="_RC-wismaIII-DISK" xfId="26166"/>
    <cellStyle name="_Shoaiba-III Elec and Inst- BOM(9MSF+RO)" xfId="26165"/>
    <cellStyle name="_Sohar-Elec&amp;Inst BOM(세종기업-1.13)" xfId="26164"/>
    <cellStyle name="_UAN 400KV Cable BOQ(Rev.1)" xfId="26163"/>
    <cellStyle name="_UIN (NEW)" xfId="26162"/>
    <cellStyle name="_Vol. Bapelkes blok C ( Myo 07.12.07)" xfId="26161"/>
    <cellStyle name="_Vol. Precast" xfId="26160"/>
    <cellStyle name="_Zawia-Elec." xfId="26159"/>
    <cellStyle name="_갑지(TC)" xfId="26158"/>
    <cellStyle name="_견적서(세종)" xfId="26157"/>
    <cellStyle name="_견적서-이란(Rev 3)" xfId="26156"/>
    <cellStyle name="_내역0928" xfId="26155"/>
    <cellStyle name="_세종" xfId="26154"/>
    <cellStyle name="_출면(한국인)" xfId="26153"/>
    <cellStyle name="’E‰Y [0.00]_?\拶?A?\氏・A?U・" xfId="26152"/>
    <cellStyle name="’Ê‰Ý [0.00]_ˆ¥A‚Æ•\†‚Æ–ÚŸ" xfId="26151"/>
    <cellStyle name="’E‰Y [0.00]_addhp (2)" xfId="26150"/>
    <cellStyle name="’Ê‰Ý [0.00]_addhp (2)" xfId="26149"/>
    <cellStyle name="’E‰Y [0.00]_addhp (2) 2" xfId="26148"/>
    <cellStyle name="’Ê‰Ý [0.00]_addhp (2) 2" xfId="26147"/>
    <cellStyle name="’E‰Y [0.00]_addhp (2)_BQ ROHM-Genset (rev.1)" xfId="26146"/>
    <cellStyle name="’Ê‰Ý [0.00]_addhp (2)_BQ ROHM-Genset (rev.1)" xfId="26145"/>
    <cellStyle name="’E‰Y [0.00]_Alternative NetBQ" xfId="26144"/>
    <cellStyle name="’Ê‰Ý [0.00]_Alternative NetBQ" xfId="26143"/>
    <cellStyle name="’E‰Y [0.00]_BQ" xfId="26142"/>
    <cellStyle name="’Ê‰Ý [0.00]_BQ" xfId="26141"/>
    <cellStyle name="’E‰Y [0.00]_BQ (2)" xfId="26140"/>
    <cellStyle name="’Ê‰Ý [0.00]_BQ (2)" xfId="26139"/>
    <cellStyle name="’E‰Y [0.00]_BQ (2) 2" xfId="26138"/>
    <cellStyle name="’Ê‰Ý [0.00]_BQ (2) 2" xfId="26137"/>
    <cellStyle name="’E‰Y [0.00]_BQ (2)_BQ ROHM-Genset (rev.1)" xfId="26136"/>
    <cellStyle name="’Ê‰Ý [0.00]_BQ (2)_BQ ROHM-Genset (rev.1)" xfId="26135"/>
    <cellStyle name="’E‰Y [0.00]_BQ 2" xfId="26134"/>
    <cellStyle name="’Ê‰Ý [0.00]_BQ 2" xfId="26133"/>
    <cellStyle name="’E‰Y [0.00]_BQ(2)" xfId="26132"/>
    <cellStyle name="’Ê‰Ý [0.00]_BQ(2)" xfId="26131"/>
    <cellStyle name="’E‰Y [0.00]_BQ(2) 2" xfId="26130"/>
    <cellStyle name="’Ê‰Ý [0.00]_BQ(2) 2" xfId="26129"/>
    <cellStyle name="’E‰Y [0.00]_BQ(2)_BQ ROHM-Genset (rev.1)" xfId="26128"/>
    <cellStyle name="’Ê‰Ý [0.00]_BQ(2)_BQ ROHM-Genset (rev.1)" xfId="26127"/>
    <cellStyle name="’E‰Y [0.00]_BQ_BQ ROHM-Genset (rev.1)" xfId="26126"/>
    <cellStyle name="’Ê‰Ý [0.00]_BQ_BQ ROHM-Genset (rev.1)" xfId="26125"/>
    <cellStyle name="’E‰Y [0.00]_BQ2" xfId="26124"/>
    <cellStyle name="’Ê‰Ý [0.00]_BQ2" xfId="26123"/>
    <cellStyle name="’E‰Y [0.00]_BQ2 2" xfId="26122"/>
    <cellStyle name="’Ê‰Ý [0.00]_BQ2 2" xfId="26121"/>
    <cellStyle name="’E‰Y [0.00]_BQ2_BQ ROHM-Genset (rev.1)" xfId="26120"/>
    <cellStyle name="’Ê‰Ý [0.00]_BQ2_BQ ROHM-Genset (rev.1)" xfId="26119"/>
    <cellStyle name="’E‰Y [0.00]_DRAFT(2)" xfId="26118"/>
    <cellStyle name="’Ê‰Ý [0.00]_DRAFT(2)" xfId="26117"/>
    <cellStyle name="’E‰Y [0.00]_DRAFT(2) 2" xfId="26116"/>
    <cellStyle name="’Ê‰Ý [0.00]_DRAFT(2) 2" xfId="26115"/>
    <cellStyle name="’E‰Y [0.00]_DRAFT(2)_BQ ROHM-Genset (rev.1)" xfId="26114"/>
    <cellStyle name="’Ê‰Ý [0.00]_DRAFT(2)_BQ ROHM-Genset (rev.1)" xfId="26113"/>
    <cellStyle name="’E‰Y [0.00]_external" xfId="26112"/>
    <cellStyle name="’Ê‰Ý [0.00]_external" xfId="26111"/>
    <cellStyle name="’E‰Y [0.00]_external 2" xfId="26110"/>
    <cellStyle name="’Ê‰Ý [0.00]_external 2" xfId="26109"/>
    <cellStyle name="’E‰Y [0.00]_external_BQ ROHM-Genset (rev.1)" xfId="26108"/>
    <cellStyle name="’Ê‰Ý [0.00]_external_BQ ROHM-Genset (rev.1)" xfId="26107"/>
    <cellStyle name="’E‰Y [0.00]_factory" xfId="26106"/>
    <cellStyle name="’Ê‰Ý [0.00]_factory" xfId="26105"/>
    <cellStyle name="’E‰Y [0.00]_factory (2)" xfId="26104"/>
    <cellStyle name="’Ê‰Ý [0.00]_factory (2)" xfId="26103"/>
    <cellStyle name="’E‰Y [0.00]_factory (2) 2" xfId="26102"/>
    <cellStyle name="’Ê‰Ý [0.00]_factory (2) 2" xfId="26101"/>
    <cellStyle name="’E‰Y [0.00]_factory (2)_BQ ROHM-Genset (rev.1)" xfId="26100"/>
    <cellStyle name="’Ê‰Ý [0.00]_factory (2)_BQ ROHM-Genset (rev.1)" xfId="26099"/>
    <cellStyle name="’E‰Y [0.00]_factory 2" xfId="26098"/>
    <cellStyle name="’Ê‰Ý [0.00]_factory 2" xfId="26097"/>
    <cellStyle name="’E‰Y [0.00]_factory_BQ ROHM-Genset (rev.1)" xfId="26096"/>
    <cellStyle name="’Ê‰Ý [0.00]_factory_BQ ROHM-Genset (rev.1)" xfId="26095"/>
    <cellStyle name="’E‰Y [0.00]_futaba" xfId="26094"/>
    <cellStyle name="’Ê‰Ý [0.00]_futaba" xfId="26093"/>
    <cellStyle name="’E‰Y [0.00]_futaba 2" xfId="26092"/>
    <cellStyle name="’Ê‰Ý [0.00]_futaba 2" xfId="26091"/>
    <cellStyle name="’E‰Y [0.00]_futaba_BQ ROHM-Genset (rev.1)" xfId="26090"/>
    <cellStyle name="’Ê‰Ý [0.00]_futaba_BQ ROHM-Genset (rev.1)" xfId="26089"/>
    <cellStyle name="’E‰Y [0.00]_GI WWT" xfId="26088"/>
    <cellStyle name="’Ê‰Ý [0.00]_GI WWT" xfId="26087"/>
    <cellStyle name="’E‰Y [0.00]_GI WWT 2" xfId="26086"/>
    <cellStyle name="’Ê‰Ý [0.00]_GI WWT 2" xfId="26085"/>
    <cellStyle name="’E‰Y [0.00]_GI WWT_BQ ROHM-Genset (rev.1)" xfId="26084"/>
    <cellStyle name="’Ê‰Ý [0.00]_GI WWT_BQ ROHM-Genset (rev.1)" xfId="26083"/>
    <cellStyle name="’E‰Y [0.00]_GI 香Z" xfId="26082"/>
    <cellStyle name="’Ê‰Ý [0.00]_guard house" xfId="26081"/>
    <cellStyle name="’E‰Y [0.00]_laroux" xfId="26080"/>
    <cellStyle name="’Ê‰Ý [0.00]_laroux" xfId="26079"/>
    <cellStyle name="’E‰Y [0.00]_laroux_?c蝕潤e" xfId="26078"/>
    <cellStyle name="’Ê‰Ý [0.00]_laroux_laroux" xfId="26077"/>
    <cellStyle name="’E‰Y [0.00]_laroux_MBQ (2)" xfId="26076"/>
    <cellStyle name="’Ê‰Ý [0.00]_laroux_MBQ (2)" xfId="26075"/>
    <cellStyle name="’E‰Y [0.00]_laroux_Sheet1" xfId="26074"/>
    <cellStyle name="’Ê‰Ý [0.00]_laroux_Sheet1" xfId="26073"/>
    <cellStyle name="’E‰Y [0.00]_laroux_Sheet1 2" xfId="26072"/>
    <cellStyle name="’Ê‰Ý [0.00]_laroux_Sheet1 2" xfId="26071"/>
    <cellStyle name="’E‰Y [0.00]_laroux_Sheet1_BQ ROHM-Genset (rev.1)" xfId="26070"/>
    <cellStyle name="’Ê‰Ý [0.00]_laroux_Sheet1_BQ ROHM-Genset (rev.1)" xfId="26069"/>
    <cellStyle name="’E‰Y [0.00]_M BQ" xfId="26068"/>
    <cellStyle name="’Ê‰Ý [0.00]_M BQ" xfId="26067"/>
    <cellStyle name="’E‰Y [0.00]_M BQ 2" xfId="26066"/>
    <cellStyle name="’Ê‰Ý [0.00]_M BQ 2" xfId="26065"/>
    <cellStyle name="’E‰Y [0.00]_M BQ_BQ ROHM-Genset (rev.1)" xfId="26064"/>
    <cellStyle name="’Ê‰Ý [0.00]_M BQ_BQ ROHM-Genset (rev.1)" xfId="26063"/>
    <cellStyle name="’E‰Y [0.00]_M summary" xfId="26062"/>
    <cellStyle name="’Ê‰Ý [0.00]_M summary" xfId="26061"/>
    <cellStyle name="’E‰Y [0.00]_M summary 2" xfId="26060"/>
    <cellStyle name="’Ê‰Ý [0.00]_M summary 2" xfId="26059"/>
    <cellStyle name="’E‰Y [0.00]_M summary_BQ ROHM-Genset (rev.1)" xfId="26058"/>
    <cellStyle name="’Ê‰Ý [0.00]_M summary_BQ ROHM-Genset (rev.1)" xfId="26057"/>
    <cellStyle name="’E‰Y [0.00]_NETSUMMARYDATA" xfId="26056"/>
    <cellStyle name="’Ê‰Ý [0.00]_NETSUMMARYDATA" xfId="26055"/>
    <cellStyle name="’E‰Y [0.00]_powerhouse" xfId="26054"/>
    <cellStyle name="’Ê‰Ý [0.00]_powerhouse" xfId="26053"/>
    <cellStyle name="’E‰Y [0.00]_powerhouse 2" xfId="26052"/>
    <cellStyle name="’Ê‰Ý [0.00]_powerhouse 2" xfId="26051"/>
    <cellStyle name="’E‰Y [0.00]_powerhouse_BQ ROHM-Genset (rev.1)" xfId="26050"/>
    <cellStyle name="’Ê‰Ý [0.00]_powerhouse_BQ ROHM-Genset (rev.1)" xfId="26049"/>
    <cellStyle name="’E‰Y [0.00]_RC1 " xfId="26048"/>
    <cellStyle name="’Ê‰Ý [0.00]_RC1 " xfId="26047"/>
    <cellStyle name="’E‰Y [0.00]_RC1  2" xfId="26046"/>
    <cellStyle name="’Ê‰Ý [0.00]_RC1  2" xfId="26045"/>
    <cellStyle name="’E‰Y [0.00]_RC1 _BQ ROHM-Genset (rev.1)" xfId="26044"/>
    <cellStyle name="’Ê‰Ý [0.00]_RC1 _BQ ROHM-Genset (rev.1)" xfId="26043"/>
    <cellStyle name="’E‰Y [0.00]_Sheet1" xfId="26042"/>
    <cellStyle name="’Ê‰Ý [0.00]_Sheet1" xfId="26041"/>
    <cellStyle name="’E‰Y [0.00]_Sheet1 2" xfId="26040"/>
    <cellStyle name="’Ê‰Ý [0.00]_Sheet1 2" xfId="26039"/>
    <cellStyle name="’E‰Y [0.00]_Sheet1_BQ ROHM-Genset (rev.1)" xfId="26038"/>
    <cellStyle name="’Ê‰Ý [0.00]_Sheet1_BQ ROHM-Genset (rev.1)" xfId="26037"/>
    <cellStyle name="’E‰Y [0.00]_SQG1" xfId="26036"/>
    <cellStyle name="’Ê‰Ý [0.00]_SQG1" xfId="26035"/>
    <cellStyle name="’E‰Y [0.00]_SQG1 (2)" xfId="26034"/>
    <cellStyle name="’Ê‰Ý [0.00]_SQG1 (2)" xfId="26033"/>
    <cellStyle name="’E‰Y [0.00]_SQG1 (2) 2" xfId="26032"/>
    <cellStyle name="’Ê‰Ý [0.00]_SQG1 (2) 2" xfId="26031"/>
    <cellStyle name="’E‰Y [0.00]_SQG1 (2)_BQ ROHM-Genset (rev.1)" xfId="26030"/>
    <cellStyle name="’Ê‰Ý [0.00]_SQG1 (2)_BQ ROHM-Genset (rev.1)" xfId="26029"/>
    <cellStyle name="’E‰Y [0.00]_SQG1 2" xfId="26028"/>
    <cellStyle name="’Ê‰Ý [0.00]_SQG1 2" xfId="26027"/>
    <cellStyle name="’E‰Y [0.00]_SQG1_BQ ROHM-Genset (rev.1)" xfId="26026"/>
    <cellStyle name="’Ê‰Ý [0.00]_SQG1_BQ ROHM-Genset (rev.1)" xfId="26025"/>
    <cellStyle name="’E‰Y [0.00]_summary" xfId="26024"/>
    <cellStyle name="’Ê‰Ý [0.00]_summary" xfId="26023"/>
    <cellStyle name="’E‰Y [0.00]_summary 2" xfId="26022"/>
    <cellStyle name="’Ê‰Ý [0.00]_summary 2" xfId="26021"/>
    <cellStyle name="’E‰Y [0.00]_Summary of Net alternative" xfId="26020"/>
    <cellStyle name="’Ê‰Ý [0.00]_Summary of Net alternative" xfId="26019"/>
    <cellStyle name="’E‰Y [0.00]_summary_BQ ROHM-Genset (rev.1)" xfId="26018"/>
    <cellStyle name="’Ê‰Ý [0.00]_summary_BQ ROHM-Genset (rev.1)" xfId="26017"/>
    <cellStyle name="’E‰Y [0.00]_集?v?\" xfId="26016"/>
    <cellStyle name="’E‰Y_?\拶?A?\氏・A?U・" xfId="26015"/>
    <cellStyle name="’Ê‰Ý_ˆ¥A‚Æ•\†‚Æ–ÚŸ" xfId="26014"/>
    <cellStyle name="’E‰Y_addhp (2)" xfId="26013"/>
    <cellStyle name="’Ê‰Ý_addhp (2)" xfId="26012"/>
    <cellStyle name="’E‰Y_addhp (2) 2" xfId="26011"/>
    <cellStyle name="’Ê‰Ý_addhp (2) 2" xfId="26010"/>
    <cellStyle name="’E‰Y_addhp (2)_BQ ROHM-Genset (rev.1)" xfId="26009"/>
    <cellStyle name="’Ê‰Ý_addhp (2)_BQ ROHM-Genset (rev.1)" xfId="26008"/>
    <cellStyle name="’E‰Y_Alternative NetBQ" xfId="26007"/>
    <cellStyle name="’Ê‰Ý_Alternative NetBQ" xfId="26006"/>
    <cellStyle name="’E‰Y_BQ" xfId="26005"/>
    <cellStyle name="’Ê‰Ý_BQ" xfId="26004"/>
    <cellStyle name="’E‰Y_BQ (2)" xfId="26003"/>
    <cellStyle name="’Ê‰Ý_BQ (2)" xfId="26002"/>
    <cellStyle name="’E‰Y_BQ (2) 2" xfId="26001"/>
    <cellStyle name="’Ê‰Ý_BQ (2) 2" xfId="26000"/>
    <cellStyle name="’E‰Y_BQ (2)_BQ ROHM-Genset (rev.1)" xfId="25999"/>
    <cellStyle name="’Ê‰Ý_BQ (2)_BQ ROHM-Genset (rev.1)" xfId="25998"/>
    <cellStyle name="’E‰Y_BQ 2" xfId="25997"/>
    <cellStyle name="’Ê‰Ý_BQ 2" xfId="25996"/>
    <cellStyle name="’E‰Y_BQ(2)" xfId="25995"/>
    <cellStyle name="’Ê‰Ý_BQ(2)" xfId="25994"/>
    <cellStyle name="’E‰Y_BQ(2) 2" xfId="25993"/>
    <cellStyle name="’Ê‰Ý_BQ(2) 2" xfId="25992"/>
    <cellStyle name="’E‰Y_BQ(2)_BQ ROHM-Genset (rev.1)" xfId="25991"/>
    <cellStyle name="’Ê‰Ý_BQ(2)_BQ ROHM-Genset (rev.1)" xfId="25990"/>
    <cellStyle name="’E‰Y_BQ_BQ ROHM-Genset (rev.1)" xfId="25989"/>
    <cellStyle name="’Ê‰Ý_BQ_BQ ROHM-Genset (rev.1)" xfId="25988"/>
    <cellStyle name="’E‰Y_BQ2" xfId="25987"/>
    <cellStyle name="’Ê‰Ý_BQ2" xfId="25986"/>
    <cellStyle name="’E‰Y_BQ2 2" xfId="25985"/>
    <cellStyle name="’Ê‰Ý_BQ2 2" xfId="25984"/>
    <cellStyle name="’E‰Y_BQ2_BQ ROHM-Genset (rev.1)" xfId="25983"/>
    <cellStyle name="’Ê‰Ý_BQ2_BQ ROHM-Genset (rev.1)" xfId="25982"/>
    <cellStyle name="’E‰Y_DRAFT(2)" xfId="25981"/>
    <cellStyle name="’Ê‰Ý_DRAFT(2)" xfId="25980"/>
    <cellStyle name="’E‰Y_DRAFT(2) 2" xfId="25979"/>
    <cellStyle name="’Ê‰Ý_DRAFT(2) 2" xfId="25978"/>
    <cellStyle name="’E‰Y_DRAFT(2)_BQ ROHM-Genset (rev.1)" xfId="25977"/>
    <cellStyle name="’Ê‰Ý_DRAFT(2)_BQ ROHM-Genset (rev.1)" xfId="25976"/>
    <cellStyle name="’E‰Y_external" xfId="25975"/>
    <cellStyle name="’Ê‰Ý_external" xfId="25974"/>
    <cellStyle name="’E‰Y_external 2" xfId="25973"/>
    <cellStyle name="’Ê‰Ý_external 2" xfId="25972"/>
    <cellStyle name="’E‰Y_external_BQ ROHM-Genset (rev.1)" xfId="25971"/>
    <cellStyle name="’Ê‰Ý_external_BQ ROHM-Genset (rev.1)" xfId="25970"/>
    <cellStyle name="’E‰Y_factory" xfId="25969"/>
    <cellStyle name="’Ê‰Ý_factory" xfId="25968"/>
    <cellStyle name="’E‰Y_factory (2)" xfId="25967"/>
    <cellStyle name="’Ê‰Ý_factory (2)" xfId="25966"/>
    <cellStyle name="’E‰Y_factory (2) 2" xfId="25965"/>
    <cellStyle name="’Ê‰Ý_factory (2) 2" xfId="25964"/>
    <cellStyle name="’E‰Y_factory (2)_BQ ROHM-Genset (rev.1)" xfId="25963"/>
    <cellStyle name="’Ê‰Ý_factory (2)_BQ ROHM-Genset (rev.1)" xfId="25962"/>
    <cellStyle name="’E‰Y_factory 2" xfId="25961"/>
    <cellStyle name="’Ê‰Ý_factory 2" xfId="25960"/>
    <cellStyle name="’E‰Y_factory_BQ ROHM-Genset (rev.1)" xfId="25959"/>
    <cellStyle name="’Ê‰Ý_factory_BQ ROHM-Genset (rev.1)" xfId="25958"/>
    <cellStyle name="’E‰Y_futaba" xfId="25957"/>
    <cellStyle name="’Ê‰Ý_futaba" xfId="25956"/>
    <cellStyle name="’E‰Y_futaba 2" xfId="25955"/>
    <cellStyle name="’Ê‰Ý_futaba 2" xfId="25954"/>
    <cellStyle name="’E‰Y_futaba_BQ ROHM-Genset (rev.1)" xfId="25953"/>
    <cellStyle name="’Ê‰Ý_futaba_BQ ROHM-Genset (rev.1)" xfId="25952"/>
    <cellStyle name="’E‰Y_GI WWT" xfId="25951"/>
    <cellStyle name="’Ê‰Ý_GI WWT" xfId="25950"/>
    <cellStyle name="’E‰Y_GI WWT 2" xfId="25949"/>
    <cellStyle name="’Ê‰Ý_GI WWT 2" xfId="25948"/>
    <cellStyle name="’E‰Y_GI WWT_BQ ROHM-Genset (rev.1)" xfId="25947"/>
    <cellStyle name="’Ê‰Ý_GI WWT_BQ ROHM-Genset (rev.1)" xfId="25946"/>
    <cellStyle name="’E‰Y_GI 香Z" xfId="25945"/>
    <cellStyle name="’Ê‰Ý_guard house" xfId="25944"/>
    <cellStyle name="’E‰Y_laroux" xfId="25943"/>
    <cellStyle name="’Ê‰Ý_laroux" xfId="25942"/>
    <cellStyle name="’E‰Y_laroux_?c蝕潤e" xfId="25941"/>
    <cellStyle name="’Ê‰Ý_laroux_laroux" xfId="25940"/>
    <cellStyle name="’E‰Y_laroux_MBQ (2)" xfId="25939"/>
    <cellStyle name="’Ê‰Ý_laroux_MBQ (2)" xfId="25938"/>
    <cellStyle name="’E‰Y_laroux_Sheet1" xfId="25937"/>
    <cellStyle name="’Ê‰Ý_laroux_Sheet1" xfId="25936"/>
    <cellStyle name="’E‰Y_laroux_Sheet1 2" xfId="25935"/>
    <cellStyle name="’Ê‰Ý_laroux_Sheet1 2" xfId="25934"/>
    <cellStyle name="’E‰Y_laroux_Sheet1_BQ ROHM-Genset (rev.1)" xfId="25933"/>
    <cellStyle name="’Ê‰Ý_laroux_Sheet1_BQ ROHM-Genset (rev.1)" xfId="25932"/>
    <cellStyle name="’E‰Y_M BQ" xfId="25931"/>
    <cellStyle name="’Ê‰Ý_M BQ" xfId="25930"/>
    <cellStyle name="’E‰Y_M BQ 2" xfId="25929"/>
    <cellStyle name="’Ê‰Ý_M BQ 2" xfId="25928"/>
    <cellStyle name="’E‰Y_M BQ_BQ ROHM-Genset (rev.1)" xfId="25927"/>
    <cellStyle name="’Ê‰Ý_M BQ_BQ ROHM-Genset (rev.1)" xfId="25926"/>
    <cellStyle name="’E‰Y_M summary" xfId="25925"/>
    <cellStyle name="’Ê‰Ý_M summary" xfId="25924"/>
    <cellStyle name="’E‰Y_M summary 2" xfId="25923"/>
    <cellStyle name="’Ê‰Ý_M summary 2" xfId="25922"/>
    <cellStyle name="’E‰Y_M summary_BQ ROHM-Genset (rev.1)" xfId="25921"/>
    <cellStyle name="’Ê‰Ý_M summary_BQ ROHM-Genset (rev.1)" xfId="25920"/>
    <cellStyle name="’E‰Y_NETSUMMARYDATA" xfId="25919"/>
    <cellStyle name="’Ê‰Ý_NETSUMMARYDATA" xfId="25918"/>
    <cellStyle name="’E‰Y_powerhouse" xfId="25917"/>
    <cellStyle name="’Ê‰Ý_powerhouse" xfId="25916"/>
    <cellStyle name="’E‰Y_powerhouse 2" xfId="25915"/>
    <cellStyle name="’Ê‰Ý_powerhouse 2" xfId="25914"/>
    <cellStyle name="’E‰Y_powerhouse_BQ ROHM-Genset (rev.1)" xfId="25913"/>
    <cellStyle name="’Ê‰Ý_powerhouse_BQ ROHM-Genset (rev.1)" xfId="25912"/>
    <cellStyle name="’E‰Y_RC1 " xfId="25911"/>
    <cellStyle name="’Ê‰Ý_RC1 " xfId="25910"/>
    <cellStyle name="’E‰Y_RC1  2" xfId="25909"/>
    <cellStyle name="’Ê‰Ý_RC1  2" xfId="25908"/>
    <cellStyle name="’E‰Y_RC1 _BQ ROHM-Genset (rev.1)" xfId="25907"/>
    <cellStyle name="’Ê‰Ý_RC1 _BQ ROHM-Genset (rev.1)" xfId="25906"/>
    <cellStyle name="’E‰Y_Sheet1" xfId="25905"/>
    <cellStyle name="’Ê‰Ý_Sheet1" xfId="25904"/>
    <cellStyle name="’E‰Y_Sheet1 2" xfId="25903"/>
    <cellStyle name="’Ê‰Ý_Sheet1 2" xfId="25902"/>
    <cellStyle name="’E‰Y_Sheet1_BQ ROHM-Genset (rev.1)" xfId="25901"/>
    <cellStyle name="’Ê‰Ý_Sheet1_BQ ROHM-Genset (rev.1)" xfId="25900"/>
    <cellStyle name="’E‰Y_SQG1" xfId="25899"/>
    <cellStyle name="’Ê‰Ý_SQG1" xfId="25898"/>
    <cellStyle name="’E‰Y_SQG1 (2)" xfId="25897"/>
    <cellStyle name="’Ê‰Ý_SQG1 (2)" xfId="25896"/>
    <cellStyle name="’E‰Y_SQG1 (2) 2" xfId="25895"/>
    <cellStyle name="’Ê‰Ý_SQG1 (2) 2" xfId="25894"/>
    <cellStyle name="’E‰Y_SQG1 (2)_BQ ROHM-Genset (rev.1)" xfId="25893"/>
    <cellStyle name="’Ê‰Ý_SQG1 (2)_BQ ROHM-Genset (rev.1)" xfId="25892"/>
    <cellStyle name="’E‰Y_SQG1 2" xfId="25891"/>
    <cellStyle name="’Ê‰Ý_SQG1 2" xfId="25890"/>
    <cellStyle name="’E‰Y_SQG1_BQ ROHM-Genset (rev.1)" xfId="25889"/>
    <cellStyle name="’Ê‰Ý_SQG1_BQ ROHM-Genset (rev.1)" xfId="25888"/>
    <cellStyle name="’E‰Y_summary" xfId="25887"/>
    <cellStyle name="’Ê‰Ý_summary" xfId="25886"/>
    <cellStyle name="’E‰Y_summary 2" xfId="25885"/>
    <cellStyle name="’Ê‰Ý_summary 2" xfId="25884"/>
    <cellStyle name="’E‰Y_Summary of Net alternative" xfId="25883"/>
    <cellStyle name="’Ê‰Ý_Summary of Net alternative" xfId="25882"/>
    <cellStyle name="’E‰Y_summary_BQ ROHM-Genset (rev.1)" xfId="25881"/>
    <cellStyle name="’Ê‰Ý_summary_BQ ROHM-Genset (rev.1)" xfId="25880"/>
    <cellStyle name="’E‰Y_集?v?\" xfId="25879"/>
    <cellStyle name="‚" xfId="25878"/>
    <cellStyle name="‚ 2" xfId="25877"/>
    <cellStyle name="‚_0.Bidakara RAP" xfId="25876"/>
    <cellStyle name="‚_1.Cost Plan Bapelkes Depkes Batam 2008. xls" xfId="25875"/>
    <cellStyle name="‚_3.BU - Alat Pakai (Merah)" xfId="25874"/>
    <cellStyle name="‚_ALAT-BU-SPP-CIPUTARA-ok" xfId="25873"/>
    <cellStyle name="‚_ALAT-SPP-BU-BPK" xfId="25872"/>
    <cellStyle name="‚_ALTERNATIF - I KBI (Kyoraku Blow molding)" xfId="25871"/>
    <cellStyle name="‚_ALTERNATIF - I KBI (Kyoraku Blow molding) 2" xfId="25870"/>
    <cellStyle name="‚_Alternatif#1_Semua Alexindo_Opt_123" xfId="25869"/>
    <cellStyle name="‚_Alternatif#1_Semua Alexindo_Opt_123_rc kantor dinas tanjung pinang 5 lantai" xfId="25868"/>
    <cellStyle name="‚_Analisa Bapelkes Full" xfId="25867"/>
    <cellStyle name="‚_ANALISA BPK DG" xfId="25866"/>
    <cellStyle name="‚_ANALISA BPK DG_Analisa Bapelkes Full" xfId="25865"/>
    <cellStyle name="‚_ANALISA BPK DG_SKBDN Batam" xfId="25864"/>
    <cellStyle name="‚_ANALISA HARGA SATUAN RAB" xfId="25863"/>
    <cellStyle name="‚_analisa rab" xfId="25862"/>
    <cellStyle name="‚_ANALISA RAB_SKBDN Batam" xfId="25861"/>
    <cellStyle name="‚_Bill of Quantity BPK 03082007" xfId="25860"/>
    <cellStyle name="‚_Bill of Quantity BPK 03082007_Analisa Bapelkes Full" xfId="25859"/>
    <cellStyle name="‚_BQ ACP ALUCOBOND ECO_OPT_RAPP_1" xfId="25858"/>
    <cellStyle name="‚_BQ ACP ALUCOBOND ECO_OPT_RAPP_1_rc kantor dinas tanjung pinang 5 lantai" xfId="25857"/>
    <cellStyle name="‚_BQ ACP ALUCOBOND ECO_OPT_RAPP_1_Realisasi Kontrak Kampar 31 agustus 2009" xfId="25856"/>
    <cellStyle name="‚_BQ ALUM_ALT#1" xfId="25855"/>
    <cellStyle name="‚_BQ Alumn_BPK Bengkulu_3_Komplit" xfId="25854"/>
    <cellStyle name="‚_BQ Alumn_BPK Bengkulu_3_Komplit_rc kantor dinas tanjung pinang 5 lantai" xfId="25853"/>
    <cellStyle name="‚_BQ Facade Astra" xfId="25852"/>
    <cellStyle name="‚_BQ FACADE_Rev#2" xfId="25851"/>
    <cellStyle name="‚_BQ FACADE_Rev#2_rc kantor dinas tanjung pinang 5 lantai" xfId="25850"/>
    <cellStyle name="‚_BQ FACADE_Rev#2_Realisasi Kontrak Kampar 31 agustus 2009" xfId="25849"/>
    <cellStyle name="‚_bq gor bangkinang" xfId="25848"/>
    <cellStyle name="‚_BQ KISI-KISI" xfId="25847"/>
    <cellStyle name="‚_BQ KISI-KISI_rc kantor dinas tanjung pinang 5 lantai" xfId="25846"/>
    <cellStyle name="‚_BQ KUSEN SMA PINTAR" xfId="25845"/>
    <cellStyle name="‚_BQ KUSEN SMA PINTAR_Rev#1_Opt_Abiz_1_rapp" xfId="25844"/>
    <cellStyle name="‚_BQ ME Sebagian R2" xfId="25843"/>
    <cellStyle name="‚_BQ PINTU DAN JENDELA" xfId="25842"/>
    <cellStyle name="‚_BQ PINTU DAN JENDELA_rc kantor dinas tanjung pinang 5 lantai" xfId="25841"/>
    <cellStyle name="‚_BQ Realisasi Kontrak_RAPP" xfId="25840"/>
    <cellStyle name="‚_BQ Realisasi Kontrak_RAPP_rc kantor dinas tanjung pinang 5 lantai" xfId="25839"/>
    <cellStyle name="‚_BQ+Hit. Lt 10, atap (Dago 27-06-2007 )" xfId="25838"/>
    <cellStyle name="‚_BQ-E" xfId="25837"/>
    <cellStyle name="‚_BQ-E 2" xfId="25836"/>
    <cellStyle name="‚_BQ-E_Bq-M-23 August 2004" xfId="25835"/>
    <cellStyle name="‚_BQ-E_Bq-M-23 August 2004 2" xfId="25834"/>
    <cellStyle name="‚_BQ-elec-kiic4(D) " xfId="25833"/>
    <cellStyle name="‚_BQ-elec-kiic4(D)  2" xfId="25832"/>
    <cellStyle name="‚_Bq-Form Mech ( Baru ) 05" xfId="25831"/>
    <cellStyle name="‚_Bq-Form Mech ( Baru ) 05 2" xfId="25830"/>
    <cellStyle name="‚_BQ-Mech. Summitmas II" xfId="25829"/>
    <cellStyle name="‚_BQ-Mech. Summitmas II 2" xfId="25828"/>
    <cellStyle name="‚_BQ-Moric-Elec (A)" xfId="25827"/>
    <cellStyle name="‚_BQ-Moric-Elec (A) 2" xfId="25826"/>
    <cellStyle name="‚_BQ-SHIBAURA SHEARING" xfId="25825"/>
    <cellStyle name="‚_BQ-SHIBAURA SHEARING 2" xfId="25824"/>
    <cellStyle name="‚_BQ-SHIBAURA SHEARING(Cancel)" xfId="25823"/>
    <cellStyle name="‚_BQ-SHIBAURA SHEARING(Cancel) 2" xfId="25822"/>
    <cellStyle name="‚_BQ-YAMAHA FLAGSHIP-A" xfId="25821"/>
    <cellStyle name="‚_BQ-YAMAHA FLAGSHIP-A 2" xfId="25820"/>
    <cellStyle name="‚_BU-Alat-Spp Bapelkes Thp II" xfId="25819"/>
    <cellStyle name="‚_Dephan (YKPP)_Rev#31" xfId="25818"/>
    <cellStyle name="‚_EVALUASI HARGA_OPT" xfId="25817"/>
    <cellStyle name="‚_Expense" xfId="25816"/>
    <cellStyle name="‚_Expense 2" xfId="25815"/>
    <cellStyle name="‚_FORM MONITORING SUB" xfId="25814"/>
    <cellStyle name="‚_FORM MONITORING SUB_D0C. RECORD PROGRESS INDOKOMAS" xfId="25813"/>
    <cellStyle name="‚_Hit SKBDN" xfId="25812"/>
    <cellStyle name="‚_Hit. Hotel Sutan Raja Minahasa (MYO)" xfId="25811"/>
    <cellStyle name="‚_Hit. Hotel Sutan Raja Minahasa (MYO)_Analisa Bapelkes Full" xfId="25810"/>
    <cellStyle name="‚_Hit. Lantai - 1" xfId="25809"/>
    <cellStyle name="‚_KONTRAK KAMPAR" xfId="25808"/>
    <cellStyle name="‚_KURVA S (DETAIL TYPE 2)" xfId="25807"/>
    <cellStyle name="‚_MAKER LIST" xfId="25806"/>
    <cellStyle name="‚_MAKER LIST 2" xfId="25805"/>
    <cellStyle name="‚_pek yang di sub kan" xfId="25804"/>
    <cellStyle name="‚_Penawaran harga rumah DPR_Revisi#3_Opt" xfId="25803"/>
    <cellStyle name="‚_Penawaran harga rumah DPR_Revisi#3_Opt_rc kantor dinas tanjung pinang 5 lantai" xfId="25802"/>
    <cellStyle name="‚_Penawaran harga rumah DPR_Revisi#3_Opt_Realisasi Kontrak Kampar 31 agustus 2009" xfId="25801"/>
    <cellStyle name="‚_RAB 2007_2008 6,5 M R8" xfId="25800"/>
    <cellStyle name="‚_RAB EE-ELEK BI SMRD" xfId="25799"/>
    <cellStyle name="‚_RAB EE-ELEK BI SMRD 2" xfId="25798"/>
    <cellStyle name="‚_RAB gr PP setelah direvisi  31 okt 07l " xfId="25797"/>
    <cellStyle name="‚_RAB gr PP setelah direvisi  31 okt 07l _ANALISA HARGA SATUAN" xfId="25796"/>
    <cellStyle name="‚_RAB gr PP setelah direvisi  31 okt 07l _BQ ASITEKTUR BTN BATAM dan sipil" xfId="25795"/>
    <cellStyle name="‚_RAB gr PP setelah direvisi  31 okt 07l _c bpk batam 24,5 M" xfId="25794"/>
    <cellStyle name="‚_RAB gr PP setelah direvisi  31 okt 07l _rc bpk batamm" xfId="25793"/>
    <cellStyle name="‚_RAB gr PP setelah direvisi  31 okt 07l _rc bpk batamm_BQ ASITEKTUR BTN BATAM dan sipil" xfId="25792"/>
    <cellStyle name="‚_RAB gr PP setelah direvisi  31 okt 07l _rc bpk batamm_c bpk batam 24,5 M" xfId="25791"/>
    <cellStyle name="‚_RAB gr PP setelah direvisi  31 okt 07l _rc bpk batamm_rc gor dalam kota bangkinang" xfId="25790"/>
    <cellStyle name="‚_RAB gr PP setelah direvisi  31 okt 07l _rc bpk batamm_rc kantor dinas tanjung pinang 5 lantai" xfId="25789"/>
    <cellStyle name="‚_RAB gr PP setelah direvisi  31 okt 07l _rc bpk batamm_rc kantor dinas tanjung pinang 5 lantai R" xfId="25788"/>
    <cellStyle name="‚_RAB gr PP setelah direvisi  31 okt 07l _rc bpk batammm" xfId="25787"/>
    <cellStyle name="‚_RAB gr PP setelah direvisi  31 okt 07l _rc gor dalam kota bangkinang" xfId="25786"/>
    <cellStyle name="‚_RAB gr PP setelah direvisi  31 okt 07l _rc kantor dinas tanjung pinang 5 lantai" xfId="25785"/>
    <cellStyle name="‚_RAB gr PP setelah direvisi  31 okt 07l _rc kantor dinas tanjung pinang 5 lantai R" xfId="25784"/>
    <cellStyle name="‚_RAB gr PP setelah direvisi  31 okt 07l _Rc SIJUNJUNG" xfId="25783"/>
    <cellStyle name="‚_rab proyek bpk" xfId="25782"/>
    <cellStyle name="‚_rab proyek bpk_BQ ASITEKTUR BTN BATAM dan sipil" xfId="25781"/>
    <cellStyle name="‚_rab proyek bpk_c bpk batam 24,5 M" xfId="25780"/>
    <cellStyle name="‚_rab proyek bpk_rc bpk batamm" xfId="25779"/>
    <cellStyle name="‚_rab proyek bpk_rc bpk batamm_BQ ASITEKTUR BTN BATAM dan sipil" xfId="25778"/>
    <cellStyle name="‚_rab proyek bpk_rc bpk batamm_c bpk batam 24,5 M" xfId="25777"/>
    <cellStyle name="‚_rab proyek bpk_rc bpk batamm_rc gor dalam kota bangkinang" xfId="25776"/>
    <cellStyle name="‚_rab proyek bpk_rc bpk batamm_rc kantor dinas tanjung pinang 5 lantai" xfId="25775"/>
    <cellStyle name="‚_rab proyek bpk_rc bpk batamm_rc kantor dinas tanjung pinang 5 lantai R" xfId="25774"/>
    <cellStyle name="‚_rab proyek bpk_rc bpk batammm" xfId="25773"/>
    <cellStyle name="‚_rab proyek bpk_rc gor dalam kota bangkinang" xfId="25772"/>
    <cellStyle name="‚_rab proyek bpk_rc kantor dinas tanjung pinang 5 lantai" xfId="25771"/>
    <cellStyle name="‚_rab proyek bpk_rc kantor dinas tanjung pinang 5 lantai R" xfId="25770"/>
    <cellStyle name="‚_RAB_ELEKTRIKAL_SPORT CENTRE 2008" xfId="25769"/>
    <cellStyle name="‚_RAB_ELEKTRIKAL_SPORT CENTRE 2008 2" xfId="25768"/>
    <cellStyle name="‚_RAB_ELRKTRIKAL_KANTOR DINAS &amp; GUB._Final. R.II, BENAR KABEL TRAY.REV. JACON 30.04.2009xls" xfId="25767"/>
    <cellStyle name="‚_RAB_ELRKTRIKAL_KANTOR DINAS &amp; GUB._Final. R.II, BENAR KABEL TRAY.REV. JACON 30.04.2009xls 2" xfId="25766"/>
    <cellStyle name="‚_RAP_r1" xfId="25765"/>
    <cellStyle name="‚_rc 6 agus 081" xfId="25764"/>
    <cellStyle name="‚_sex" xfId="25763"/>
    <cellStyle name="‚_sex 2" xfId="25762"/>
    <cellStyle name="‚_sex_b1.57.1417.2004(B)" xfId="25761"/>
    <cellStyle name="‚_sex_b1.57.1417.2004(B) 2" xfId="25760"/>
    <cellStyle name="‚_sex_b1.57.1417.2004(B)_Bq-M-23 August 2004" xfId="25759"/>
    <cellStyle name="‚_sex_b1.57.1417.2004(B)_Bq-M-23 August 2004 2" xfId="25758"/>
    <cellStyle name="‚_sex_Bq-M-23 August 2004" xfId="25757"/>
    <cellStyle name="‚_sex_Bq-M-23 August 2004 2" xfId="25756"/>
    <cellStyle name="‚_SKBDN Batam" xfId="25755"/>
    <cellStyle name="‚_SPESIFIKASI TEKNIS GR" xfId="25754"/>
    <cellStyle name="‚_UIN (NEW)" xfId="25753"/>
    <cellStyle name="‚_Vol. Bapelkes blok C ( Myo 07.12.07)" xfId="25752"/>
    <cellStyle name="‚_Vol. Precast" xfId="25751"/>
    <cellStyle name="”n?\旨" xfId="25750"/>
    <cellStyle name="”n?\旨 10" xfId="25749"/>
    <cellStyle name="”n?\旨 10 2" xfId="25748"/>
    <cellStyle name="”n?\旨 10 2 2" xfId="25747"/>
    <cellStyle name="”n?\旨 10 3" xfId="25746"/>
    <cellStyle name="”n?\旨 11" xfId="25745"/>
    <cellStyle name="”n?\旨 11 2" xfId="25744"/>
    <cellStyle name="”n?\旨 11 2 2" xfId="25743"/>
    <cellStyle name="”n?\旨 11 3" xfId="25742"/>
    <cellStyle name="”n?\旨 12" xfId="25741"/>
    <cellStyle name="”n?\旨 12 2" xfId="25740"/>
    <cellStyle name="”n?\旨 12 2 2" xfId="25739"/>
    <cellStyle name="”n?\旨 12 3" xfId="25738"/>
    <cellStyle name="”n?\旨 13" xfId="25737"/>
    <cellStyle name="”n?\旨 13 2" xfId="25736"/>
    <cellStyle name="”n?\旨 14" xfId="25735"/>
    <cellStyle name="”n?\旨 2" xfId="25734"/>
    <cellStyle name="”n?\旨 2 10" xfId="25733"/>
    <cellStyle name="”n?\旨 2 10 2" xfId="25732"/>
    <cellStyle name="”n?\旨 2 10 2 2" xfId="25731"/>
    <cellStyle name="”n?\旨 2 10 3" xfId="25730"/>
    <cellStyle name="”n?\旨 2 11" xfId="25729"/>
    <cellStyle name="”n?\旨 2 11 2" xfId="25728"/>
    <cellStyle name="”n?\旨 2 12" xfId="25727"/>
    <cellStyle name="”n?\旨 2 2" xfId="25726"/>
    <cellStyle name="”n?\旨 2 2 10" xfId="25725"/>
    <cellStyle name="”n?\旨 2 2 2" xfId="25724"/>
    <cellStyle name="”n?\旨 2 2 2 2" xfId="25723"/>
    <cellStyle name="”n?\旨 2 2 2 2 2" xfId="25722"/>
    <cellStyle name="”n?\旨 2 2 2 3" xfId="25721"/>
    <cellStyle name="”n?\旨 2 2 3" xfId="25720"/>
    <cellStyle name="”n?\旨 2 2 3 2" xfId="25719"/>
    <cellStyle name="”n?\旨 2 2 3 2 2" xfId="25718"/>
    <cellStyle name="”n?\旨 2 2 3 3" xfId="25717"/>
    <cellStyle name="”n?\旨 2 2 4" xfId="25716"/>
    <cellStyle name="”n?\旨 2 2 4 2" xfId="25715"/>
    <cellStyle name="”n?\旨 2 2 4 2 2" xfId="25714"/>
    <cellStyle name="”n?\旨 2 2 4 3" xfId="25713"/>
    <cellStyle name="”n?\旨 2 2 5" xfId="25712"/>
    <cellStyle name="”n?\旨 2 2 5 2" xfId="25711"/>
    <cellStyle name="”n?\旨 2 2 5 2 2" xfId="25710"/>
    <cellStyle name="”n?\旨 2 2 5 3" xfId="25709"/>
    <cellStyle name="”n?\旨 2 2 6" xfId="25708"/>
    <cellStyle name="”n?\旨 2 2 6 2" xfId="25707"/>
    <cellStyle name="”n?\旨 2 2 6 2 2" xfId="25706"/>
    <cellStyle name="”n?\旨 2 2 6 3" xfId="25705"/>
    <cellStyle name="”n?\旨 2 2 7" xfId="25704"/>
    <cellStyle name="”n?\旨 2 2 7 2" xfId="25703"/>
    <cellStyle name="”n?\旨 2 2 7 2 2" xfId="25702"/>
    <cellStyle name="”n?\旨 2 2 7 3" xfId="25701"/>
    <cellStyle name="”n?\旨 2 2 8" xfId="25700"/>
    <cellStyle name="”n?\旨 2 2 8 2" xfId="25699"/>
    <cellStyle name="”n?\旨 2 2 8 2 2" xfId="25698"/>
    <cellStyle name="”n?\旨 2 2 8 3" xfId="25697"/>
    <cellStyle name="”n?\旨 2 2 9" xfId="25696"/>
    <cellStyle name="”n?\旨 2 2 9 2" xfId="25695"/>
    <cellStyle name="”n?\旨 2 3" xfId="25694"/>
    <cellStyle name="”n?\旨 2 3 2" xfId="25693"/>
    <cellStyle name="”n?\旨 2 3 2 2" xfId="25692"/>
    <cellStyle name="”n?\旨 2 3 3" xfId="25691"/>
    <cellStyle name="”n?\旨 2 4" xfId="25690"/>
    <cellStyle name="”n?\旨 2 4 2" xfId="25689"/>
    <cellStyle name="”n?\旨 2 4 2 2" xfId="25688"/>
    <cellStyle name="”n?\旨 2 4 3" xfId="25687"/>
    <cellStyle name="”n?\旨 2 5" xfId="25686"/>
    <cellStyle name="”n?\旨 2 5 2" xfId="25685"/>
    <cellStyle name="”n?\旨 2 5 2 2" xfId="25684"/>
    <cellStyle name="”n?\旨 2 5 3" xfId="25683"/>
    <cellStyle name="”n?\旨 2 6" xfId="25682"/>
    <cellStyle name="”n?\旨 2 6 2" xfId="25681"/>
    <cellStyle name="”n?\旨 2 6 2 2" xfId="25680"/>
    <cellStyle name="”n?\旨 2 6 3" xfId="25679"/>
    <cellStyle name="”n?\旨 2 7" xfId="25678"/>
    <cellStyle name="”n?\旨 2 7 2" xfId="25677"/>
    <cellStyle name="”n?\旨 2 7 2 2" xfId="25676"/>
    <cellStyle name="”n?\旨 2 7 3" xfId="25675"/>
    <cellStyle name="”n?\旨 2 8" xfId="25674"/>
    <cellStyle name="”n?\旨 2 8 2" xfId="25673"/>
    <cellStyle name="”n?\旨 2 8 2 2" xfId="25672"/>
    <cellStyle name="”n?\旨 2 8 3" xfId="25671"/>
    <cellStyle name="”n?\旨 2 9" xfId="25670"/>
    <cellStyle name="”n?\旨 2 9 2" xfId="25669"/>
    <cellStyle name="”n?\旨 2 9 2 2" xfId="25668"/>
    <cellStyle name="”n?\旨 2 9 3" xfId="25667"/>
    <cellStyle name="”n?\旨 3" xfId="25666"/>
    <cellStyle name="”n?\旨 3 10" xfId="25665"/>
    <cellStyle name="”n?\旨 3 10 2" xfId="25664"/>
    <cellStyle name="”n?\旨 3 10 2 2" xfId="25663"/>
    <cellStyle name="”n?\旨 3 10 3" xfId="25662"/>
    <cellStyle name="”n?\旨 3 11" xfId="25661"/>
    <cellStyle name="”n?\旨 3 11 2" xfId="25660"/>
    <cellStyle name="”n?\旨 3 12" xfId="25659"/>
    <cellStyle name="”n?\旨 3 2" xfId="25658"/>
    <cellStyle name="”n?\旨 3 2 10" xfId="25657"/>
    <cellStyle name="”n?\旨 3 2 2" xfId="25656"/>
    <cellStyle name="”n?\旨 3 2 2 2" xfId="25655"/>
    <cellStyle name="”n?\旨 3 2 2 2 2" xfId="25654"/>
    <cellStyle name="”n?\旨 3 2 2 3" xfId="25653"/>
    <cellStyle name="”n?\旨 3 2 3" xfId="25652"/>
    <cellStyle name="”n?\旨 3 2 3 2" xfId="25651"/>
    <cellStyle name="”n?\旨 3 2 3 2 2" xfId="25650"/>
    <cellStyle name="”n?\旨 3 2 3 3" xfId="25649"/>
    <cellStyle name="”n?\旨 3 2 4" xfId="25648"/>
    <cellStyle name="”n?\旨 3 2 4 2" xfId="25647"/>
    <cellStyle name="”n?\旨 3 2 4 2 2" xfId="25646"/>
    <cellStyle name="”n?\旨 3 2 4 3" xfId="25645"/>
    <cellStyle name="”n?\旨 3 2 5" xfId="25644"/>
    <cellStyle name="”n?\旨 3 2 5 2" xfId="25643"/>
    <cellStyle name="”n?\旨 3 2 5 2 2" xfId="25642"/>
    <cellStyle name="”n?\旨 3 2 5 3" xfId="25641"/>
    <cellStyle name="”n?\旨 3 2 6" xfId="25640"/>
    <cellStyle name="”n?\旨 3 2 6 2" xfId="25639"/>
    <cellStyle name="”n?\旨 3 2 6 2 2" xfId="25638"/>
    <cellStyle name="”n?\旨 3 2 6 3" xfId="25637"/>
    <cellStyle name="”n?\旨 3 2 7" xfId="25636"/>
    <cellStyle name="”n?\旨 3 2 7 2" xfId="25635"/>
    <cellStyle name="”n?\旨 3 2 7 2 2" xfId="25634"/>
    <cellStyle name="”n?\旨 3 2 7 3" xfId="25633"/>
    <cellStyle name="”n?\旨 3 2 8" xfId="25632"/>
    <cellStyle name="”n?\旨 3 2 8 2" xfId="25631"/>
    <cellStyle name="”n?\旨 3 2 8 2 2" xfId="25630"/>
    <cellStyle name="”n?\旨 3 2 8 3" xfId="25629"/>
    <cellStyle name="”n?\旨 3 2 9" xfId="25628"/>
    <cellStyle name="”n?\旨 3 2 9 2" xfId="25627"/>
    <cellStyle name="”n?\旨 3 3" xfId="25626"/>
    <cellStyle name="”n?\旨 3 3 2" xfId="25625"/>
    <cellStyle name="”n?\旨 3 3 2 2" xfId="25624"/>
    <cellStyle name="”n?\旨 3 3 3" xfId="25623"/>
    <cellStyle name="”n?\旨 3 4" xfId="25622"/>
    <cellStyle name="”n?\旨 3 4 2" xfId="25621"/>
    <cellStyle name="”n?\旨 3 4 2 2" xfId="25620"/>
    <cellStyle name="”n?\旨 3 4 3" xfId="25619"/>
    <cellStyle name="”n?\旨 3 5" xfId="25618"/>
    <cellStyle name="”n?\旨 3 5 2" xfId="25617"/>
    <cellStyle name="”n?\旨 3 5 2 2" xfId="25616"/>
    <cellStyle name="”n?\旨 3 5 3" xfId="25615"/>
    <cellStyle name="”n?\旨 3 6" xfId="25614"/>
    <cellStyle name="”n?\旨 3 6 2" xfId="25613"/>
    <cellStyle name="”n?\旨 3 6 2 2" xfId="25612"/>
    <cellStyle name="”n?\旨 3 6 3" xfId="25611"/>
    <cellStyle name="”n?\旨 3 7" xfId="25610"/>
    <cellStyle name="”n?\旨 3 7 2" xfId="25609"/>
    <cellStyle name="”n?\旨 3 7 2 2" xfId="25608"/>
    <cellStyle name="”n?\旨 3 7 3" xfId="25607"/>
    <cellStyle name="”n?\旨 3 8" xfId="25606"/>
    <cellStyle name="”n?\旨 3 8 2" xfId="25605"/>
    <cellStyle name="”n?\旨 3 8 2 2" xfId="25604"/>
    <cellStyle name="”n?\旨 3 8 3" xfId="25603"/>
    <cellStyle name="”n?\旨 3 9" xfId="25602"/>
    <cellStyle name="”n?\旨 3 9 2" xfId="25601"/>
    <cellStyle name="”n?\旨 3 9 2 2" xfId="25600"/>
    <cellStyle name="”n?\旨 3 9 3" xfId="25599"/>
    <cellStyle name="”n?\旨 4" xfId="25598"/>
    <cellStyle name="”n?\旨 4 10" xfId="25597"/>
    <cellStyle name="”n?\旨 4 2" xfId="25596"/>
    <cellStyle name="”n?\旨 4 2 2" xfId="25595"/>
    <cellStyle name="”n?\旨 4 2 2 2" xfId="25594"/>
    <cellStyle name="”n?\旨 4 2 3" xfId="25593"/>
    <cellStyle name="”n?\旨 4 3" xfId="25592"/>
    <cellStyle name="”n?\旨 4 3 2" xfId="25591"/>
    <cellStyle name="”n?\旨 4 3 2 2" xfId="25590"/>
    <cellStyle name="”n?\旨 4 3 3" xfId="25589"/>
    <cellStyle name="”n?\旨 4 4" xfId="25588"/>
    <cellStyle name="”n?\旨 4 4 2" xfId="25587"/>
    <cellStyle name="”n?\旨 4 4 2 2" xfId="25586"/>
    <cellStyle name="”n?\旨 4 4 3" xfId="25585"/>
    <cellStyle name="”n?\旨 4 5" xfId="25584"/>
    <cellStyle name="”n?\旨 4 5 2" xfId="25583"/>
    <cellStyle name="”n?\旨 4 5 2 2" xfId="25582"/>
    <cellStyle name="”n?\旨 4 5 3" xfId="25581"/>
    <cellStyle name="”n?\旨 4 6" xfId="25580"/>
    <cellStyle name="”n?\旨 4 6 2" xfId="25579"/>
    <cellStyle name="”n?\旨 4 6 2 2" xfId="25578"/>
    <cellStyle name="”n?\旨 4 6 3" xfId="25577"/>
    <cellStyle name="”n?\旨 4 7" xfId="25576"/>
    <cellStyle name="”n?\旨 4 7 2" xfId="25575"/>
    <cellStyle name="”n?\旨 4 7 2 2" xfId="25574"/>
    <cellStyle name="”n?\旨 4 7 3" xfId="25573"/>
    <cellStyle name="”n?\旨 4 8" xfId="25572"/>
    <cellStyle name="”n?\旨 4 8 2" xfId="25571"/>
    <cellStyle name="”n?\旨 4 8 2 2" xfId="25570"/>
    <cellStyle name="”n?\旨 4 8 3" xfId="25569"/>
    <cellStyle name="”n?\旨 4 9" xfId="25568"/>
    <cellStyle name="”n?\旨 4 9 2" xfId="25567"/>
    <cellStyle name="”n?\旨 5" xfId="25566"/>
    <cellStyle name="”n?\旨 5 2" xfId="25565"/>
    <cellStyle name="”n?\旨 5 2 2" xfId="25564"/>
    <cellStyle name="”n?\旨 5 3" xfId="25563"/>
    <cellStyle name="”n?\旨 6" xfId="25562"/>
    <cellStyle name="”n?\旨 6 2" xfId="25561"/>
    <cellStyle name="”n?\旨 6 2 2" xfId="25560"/>
    <cellStyle name="”n?\旨 6 3" xfId="25559"/>
    <cellStyle name="”n?\旨 7" xfId="25558"/>
    <cellStyle name="”n?\旨 7 2" xfId="25557"/>
    <cellStyle name="”n?\旨 7 2 2" xfId="25556"/>
    <cellStyle name="”n?\旨 7 3" xfId="25555"/>
    <cellStyle name="”n?\旨 8" xfId="25554"/>
    <cellStyle name="”n?\旨 8 2" xfId="25553"/>
    <cellStyle name="”n?\旨 8 2 2" xfId="25552"/>
    <cellStyle name="”n?\旨 8 3" xfId="25551"/>
    <cellStyle name="”n?\旨 9" xfId="25550"/>
    <cellStyle name="”n?\旨 9 2" xfId="25549"/>
    <cellStyle name="”n?\旨 9 2 2" xfId="25548"/>
    <cellStyle name="”n?\旨 9 3" xfId="25547"/>
    <cellStyle name="”ñ•\¦" xfId="25546"/>
    <cellStyle name="”ñ•\¦ 10" xfId="25545"/>
    <cellStyle name="”ñ•\¦ 10 2" xfId="25544"/>
    <cellStyle name="”ñ•\¦ 10 2 2" xfId="25543"/>
    <cellStyle name="”ñ•\¦ 10 3" xfId="25542"/>
    <cellStyle name="”ñ•\¦ 11" xfId="25541"/>
    <cellStyle name="”ñ•\¦ 11 2" xfId="25540"/>
    <cellStyle name="”ñ•\¦ 11 2 2" xfId="25539"/>
    <cellStyle name="”ñ•\¦ 11 3" xfId="25538"/>
    <cellStyle name="”ñ•\¦ 12" xfId="25537"/>
    <cellStyle name="”ñ•\¦ 12 2" xfId="25536"/>
    <cellStyle name="”ñ•\¦ 12 2 2" xfId="25535"/>
    <cellStyle name="”ñ•\¦ 12 3" xfId="25534"/>
    <cellStyle name="”ñ•\¦ 13" xfId="25533"/>
    <cellStyle name="”ñ•\¦ 13 2" xfId="25532"/>
    <cellStyle name="”ñ•\¦ 14" xfId="25531"/>
    <cellStyle name="”ñ•\¦ 2" xfId="25530"/>
    <cellStyle name="”ñ•\¦ 2 10" xfId="25529"/>
    <cellStyle name="”ñ•\¦ 2 10 2" xfId="25528"/>
    <cellStyle name="”ñ•\¦ 2 10 2 2" xfId="25527"/>
    <cellStyle name="”ñ•\¦ 2 10 3" xfId="25526"/>
    <cellStyle name="”ñ•\¦ 2 11" xfId="25525"/>
    <cellStyle name="”ñ•\¦ 2 11 2" xfId="25524"/>
    <cellStyle name="”ñ•\¦ 2 12" xfId="25523"/>
    <cellStyle name="”ñ•\¦ 2 2" xfId="25522"/>
    <cellStyle name="”ñ•\¦ 2 2 10" xfId="25521"/>
    <cellStyle name="”ñ•\¦ 2 2 2" xfId="25520"/>
    <cellStyle name="”ñ•\¦ 2 2 2 2" xfId="25519"/>
    <cellStyle name="”ñ•\¦ 2 2 2 2 2" xfId="25518"/>
    <cellStyle name="”ñ•\¦ 2 2 2 3" xfId="25517"/>
    <cellStyle name="”ñ•\¦ 2 2 3" xfId="25516"/>
    <cellStyle name="”ñ•\¦ 2 2 3 2" xfId="25515"/>
    <cellStyle name="”ñ•\¦ 2 2 3 2 2" xfId="25514"/>
    <cellStyle name="”ñ•\¦ 2 2 3 3" xfId="25513"/>
    <cellStyle name="”ñ•\¦ 2 2 4" xfId="25512"/>
    <cellStyle name="”ñ•\¦ 2 2 4 2" xfId="25511"/>
    <cellStyle name="”ñ•\¦ 2 2 4 2 2" xfId="25510"/>
    <cellStyle name="”ñ•\¦ 2 2 4 3" xfId="25509"/>
    <cellStyle name="”ñ•\¦ 2 2 5" xfId="25508"/>
    <cellStyle name="”ñ•\¦ 2 2 5 2" xfId="25507"/>
    <cellStyle name="”ñ•\¦ 2 2 5 2 2" xfId="25506"/>
    <cellStyle name="”ñ•\¦ 2 2 5 3" xfId="25505"/>
    <cellStyle name="”ñ•\¦ 2 2 6" xfId="25504"/>
    <cellStyle name="”ñ•\¦ 2 2 6 2" xfId="25503"/>
    <cellStyle name="”ñ•\¦ 2 2 6 2 2" xfId="25502"/>
    <cellStyle name="”ñ•\¦ 2 2 6 3" xfId="25501"/>
    <cellStyle name="”ñ•\¦ 2 2 7" xfId="25500"/>
    <cellStyle name="”ñ•\¦ 2 2 7 2" xfId="25499"/>
    <cellStyle name="”ñ•\¦ 2 2 7 2 2" xfId="25498"/>
    <cellStyle name="”ñ•\¦ 2 2 7 3" xfId="25497"/>
    <cellStyle name="”ñ•\¦ 2 2 8" xfId="25496"/>
    <cellStyle name="”ñ•\¦ 2 2 8 2" xfId="25495"/>
    <cellStyle name="”ñ•\¦ 2 2 8 2 2" xfId="25494"/>
    <cellStyle name="”ñ•\¦ 2 2 8 3" xfId="25493"/>
    <cellStyle name="”ñ•\¦ 2 2 9" xfId="25492"/>
    <cellStyle name="”ñ•\¦ 2 2 9 2" xfId="25491"/>
    <cellStyle name="”ñ•\¦ 2 3" xfId="25490"/>
    <cellStyle name="”ñ•\¦ 2 3 2" xfId="25489"/>
    <cellStyle name="”ñ•\¦ 2 3 2 2" xfId="25488"/>
    <cellStyle name="”ñ•\¦ 2 3 3" xfId="25487"/>
    <cellStyle name="”ñ•\¦ 2 4" xfId="25486"/>
    <cellStyle name="”ñ•\¦ 2 4 2" xfId="25485"/>
    <cellStyle name="”ñ•\¦ 2 4 2 2" xfId="25484"/>
    <cellStyle name="”ñ•\¦ 2 4 3" xfId="25483"/>
    <cellStyle name="”ñ•\¦ 2 5" xfId="25482"/>
    <cellStyle name="”ñ•\¦ 2 5 2" xfId="25481"/>
    <cellStyle name="”ñ•\¦ 2 5 2 2" xfId="25480"/>
    <cellStyle name="”ñ•\¦ 2 5 3" xfId="25479"/>
    <cellStyle name="”ñ•\¦ 2 6" xfId="25478"/>
    <cellStyle name="”ñ•\¦ 2 6 2" xfId="25477"/>
    <cellStyle name="”ñ•\¦ 2 6 2 2" xfId="25476"/>
    <cellStyle name="”ñ•\¦ 2 6 3" xfId="25475"/>
    <cellStyle name="”ñ•\¦ 2 7" xfId="25474"/>
    <cellStyle name="”ñ•\¦ 2 7 2" xfId="25473"/>
    <cellStyle name="”ñ•\¦ 2 7 2 2" xfId="25472"/>
    <cellStyle name="”ñ•\¦ 2 7 3" xfId="25471"/>
    <cellStyle name="”ñ•\¦ 2 8" xfId="25470"/>
    <cellStyle name="”ñ•\¦ 2 8 2" xfId="25469"/>
    <cellStyle name="”ñ•\¦ 2 8 2 2" xfId="25468"/>
    <cellStyle name="”ñ•\¦ 2 8 3" xfId="25467"/>
    <cellStyle name="”ñ•\¦ 2 9" xfId="25466"/>
    <cellStyle name="”ñ•\¦ 2 9 2" xfId="25465"/>
    <cellStyle name="”ñ•\¦ 2 9 2 2" xfId="25464"/>
    <cellStyle name="”ñ•\¦ 2 9 3" xfId="25463"/>
    <cellStyle name="”ñ•\¦ 3" xfId="25462"/>
    <cellStyle name="”ñ•\¦ 3 10" xfId="25461"/>
    <cellStyle name="”ñ•\¦ 3 10 2" xfId="25460"/>
    <cellStyle name="”ñ•\¦ 3 10 2 2" xfId="25459"/>
    <cellStyle name="”ñ•\¦ 3 10 3" xfId="25458"/>
    <cellStyle name="”ñ•\¦ 3 11" xfId="25457"/>
    <cellStyle name="”ñ•\¦ 3 11 2" xfId="25456"/>
    <cellStyle name="”ñ•\¦ 3 12" xfId="25455"/>
    <cellStyle name="”ñ•\¦ 3 2" xfId="25454"/>
    <cellStyle name="”ñ•\¦ 3 2 10" xfId="25453"/>
    <cellStyle name="”ñ•\¦ 3 2 2" xfId="25452"/>
    <cellStyle name="”ñ•\¦ 3 2 2 2" xfId="25451"/>
    <cellStyle name="”ñ•\¦ 3 2 2 2 2" xfId="25450"/>
    <cellStyle name="”ñ•\¦ 3 2 2 3" xfId="25449"/>
    <cellStyle name="”ñ•\¦ 3 2 3" xfId="25448"/>
    <cellStyle name="”ñ•\¦ 3 2 3 2" xfId="25447"/>
    <cellStyle name="”ñ•\¦ 3 2 3 2 2" xfId="25446"/>
    <cellStyle name="”ñ•\¦ 3 2 3 3" xfId="25445"/>
    <cellStyle name="”ñ•\¦ 3 2 4" xfId="25444"/>
    <cellStyle name="”ñ•\¦ 3 2 4 2" xfId="25443"/>
    <cellStyle name="”ñ•\¦ 3 2 4 2 2" xfId="25442"/>
    <cellStyle name="”ñ•\¦ 3 2 4 3" xfId="25441"/>
    <cellStyle name="”ñ•\¦ 3 2 5" xfId="25440"/>
    <cellStyle name="”ñ•\¦ 3 2 5 2" xfId="25439"/>
    <cellStyle name="”ñ•\¦ 3 2 5 2 2" xfId="25438"/>
    <cellStyle name="”ñ•\¦ 3 2 5 3" xfId="25437"/>
    <cellStyle name="”ñ•\¦ 3 2 6" xfId="25436"/>
    <cellStyle name="”ñ•\¦ 3 2 6 2" xfId="25435"/>
    <cellStyle name="”ñ•\¦ 3 2 6 2 2" xfId="25434"/>
    <cellStyle name="”ñ•\¦ 3 2 6 3" xfId="25433"/>
    <cellStyle name="”ñ•\¦ 3 2 7" xfId="25432"/>
    <cellStyle name="”ñ•\¦ 3 2 7 2" xfId="25431"/>
    <cellStyle name="”ñ•\¦ 3 2 7 2 2" xfId="25430"/>
    <cellStyle name="”ñ•\¦ 3 2 7 3" xfId="25429"/>
    <cellStyle name="”ñ•\¦ 3 2 8" xfId="25428"/>
    <cellStyle name="”ñ•\¦ 3 2 8 2" xfId="25427"/>
    <cellStyle name="”ñ•\¦ 3 2 8 2 2" xfId="25426"/>
    <cellStyle name="”ñ•\¦ 3 2 8 3" xfId="25425"/>
    <cellStyle name="”ñ•\¦ 3 2 9" xfId="25424"/>
    <cellStyle name="”ñ•\¦ 3 2 9 2" xfId="25423"/>
    <cellStyle name="”ñ•\¦ 3 3" xfId="25422"/>
    <cellStyle name="”ñ•\¦ 3 3 2" xfId="25421"/>
    <cellStyle name="”ñ•\¦ 3 3 2 2" xfId="25420"/>
    <cellStyle name="”ñ•\¦ 3 3 3" xfId="25419"/>
    <cellStyle name="”ñ•\¦ 3 4" xfId="25418"/>
    <cellStyle name="”ñ•\¦ 3 4 2" xfId="25417"/>
    <cellStyle name="”ñ•\¦ 3 4 2 2" xfId="25416"/>
    <cellStyle name="”ñ•\¦ 3 4 3" xfId="25415"/>
    <cellStyle name="”ñ•\¦ 3 5" xfId="25414"/>
    <cellStyle name="”ñ•\¦ 3 5 2" xfId="25413"/>
    <cellStyle name="”ñ•\¦ 3 5 2 2" xfId="25412"/>
    <cellStyle name="”ñ•\¦ 3 5 3" xfId="25411"/>
    <cellStyle name="”ñ•\¦ 3 6" xfId="25410"/>
    <cellStyle name="”ñ•\¦ 3 6 2" xfId="25409"/>
    <cellStyle name="”ñ•\¦ 3 6 2 2" xfId="25408"/>
    <cellStyle name="”ñ•\¦ 3 6 3" xfId="25407"/>
    <cellStyle name="”ñ•\¦ 3 7" xfId="25406"/>
    <cellStyle name="”ñ•\¦ 3 7 2" xfId="25405"/>
    <cellStyle name="”ñ•\¦ 3 7 2 2" xfId="25404"/>
    <cellStyle name="”ñ•\¦ 3 7 3" xfId="25403"/>
    <cellStyle name="”ñ•\¦ 3 8" xfId="25402"/>
    <cellStyle name="”ñ•\¦ 3 8 2" xfId="25401"/>
    <cellStyle name="”ñ•\¦ 3 8 2 2" xfId="25400"/>
    <cellStyle name="”ñ•\¦ 3 8 3" xfId="25399"/>
    <cellStyle name="”ñ•\¦ 3 9" xfId="25398"/>
    <cellStyle name="”ñ•\¦ 3 9 2" xfId="25397"/>
    <cellStyle name="”ñ•\¦ 3 9 2 2" xfId="25396"/>
    <cellStyle name="”ñ•\¦ 3 9 3" xfId="25395"/>
    <cellStyle name="”ñ•\¦ 4" xfId="25394"/>
    <cellStyle name="”ñ•\¦ 4 10" xfId="25393"/>
    <cellStyle name="”ñ•\¦ 4 2" xfId="25392"/>
    <cellStyle name="”ñ•\¦ 4 2 2" xfId="25391"/>
    <cellStyle name="”ñ•\¦ 4 2 2 2" xfId="25390"/>
    <cellStyle name="”ñ•\¦ 4 2 3" xfId="25389"/>
    <cellStyle name="”ñ•\¦ 4 3" xfId="25388"/>
    <cellStyle name="”ñ•\¦ 4 3 2" xfId="25387"/>
    <cellStyle name="”ñ•\¦ 4 3 2 2" xfId="25386"/>
    <cellStyle name="”ñ•\¦ 4 3 3" xfId="25385"/>
    <cellStyle name="”ñ•\¦ 4 4" xfId="25384"/>
    <cellStyle name="”ñ•\¦ 4 4 2" xfId="25383"/>
    <cellStyle name="”ñ•\¦ 4 4 2 2" xfId="25382"/>
    <cellStyle name="”ñ•\¦ 4 4 3" xfId="25381"/>
    <cellStyle name="”ñ•\¦ 4 5" xfId="25380"/>
    <cellStyle name="”ñ•\¦ 4 5 2" xfId="25379"/>
    <cellStyle name="”ñ•\¦ 4 5 2 2" xfId="25378"/>
    <cellStyle name="”ñ•\¦ 4 5 3" xfId="25377"/>
    <cellStyle name="”ñ•\¦ 4 6" xfId="25376"/>
    <cellStyle name="”ñ•\¦ 4 6 2" xfId="25375"/>
    <cellStyle name="”ñ•\¦ 4 6 2 2" xfId="25374"/>
    <cellStyle name="”ñ•\¦ 4 6 3" xfId="25373"/>
    <cellStyle name="”ñ•\¦ 4 7" xfId="25372"/>
    <cellStyle name="”ñ•\¦ 4 7 2" xfId="25371"/>
    <cellStyle name="”ñ•\¦ 4 7 2 2" xfId="25370"/>
    <cellStyle name="”ñ•\¦ 4 7 3" xfId="25369"/>
    <cellStyle name="”ñ•\¦ 4 8" xfId="25368"/>
    <cellStyle name="”ñ•\¦ 4 8 2" xfId="25367"/>
    <cellStyle name="”ñ•\¦ 4 8 2 2" xfId="25366"/>
    <cellStyle name="”ñ•\¦ 4 8 3" xfId="25365"/>
    <cellStyle name="”ñ•\¦ 4 9" xfId="25364"/>
    <cellStyle name="”ñ•\¦ 4 9 2" xfId="25363"/>
    <cellStyle name="”ñ•\¦ 5" xfId="25362"/>
    <cellStyle name="”ñ•\¦ 5 2" xfId="25361"/>
    <cellStyle name="”ñ•\¦ 5 2 2" xfId="25360"/>
    <cellStyle name="”ñ•\¦ 5 3" xfId="25359"/>
    <cellStyle name="”ñ•\¦ 6" xfId="25358"/>
    <cellStyle name="”ñ•\¦ 6 2" xfId="25357"/>
    <cellStyle name="”ñ•\¦ 6 2 2" xfId="25356"/>
    <cellStyle name="”ñ•\¦ 6 3" xfId="25355"/>
    <cellStyle name="”ñ•\¦ 7" xfId="25354"/>
    <cellStyle name="”ñ•\¦ 7 2" xfId="25353"/>
    <cellStyle name="”ñ•\¦ 7 2 2" xfId="25352"/>
    <cellStyle name="”ñ•\¦ 7 3" xfId="25351"/>
    <cellStyle name="”ñ•\¦ 8" xfId="25350"/>
    <cellStyle name="”ñ•\¦ 8 2" xfId="25349"/>
    <cellStyle name="”ñ•\¦ 8 2 2" xfId="25348"/>
    <cellStyle name="”ñ•\¦ 8 3" xfId="25347"/>
    <cellStyle name="”ñ•\¦ 9" xfId="25346"/>
    <cellStyle name="”ñ•\¦ 9 2" xfId="25345"/>
    <cellStyle name="”ñ•\¦ 9 2 2" xfId="25344"/>
    <cellStyle name="”ñ•\¦ 9 3" xfId="25343"/>
    <cellStyle name="„" xfId="25342"/>
    <cellStyle name="„ 2" xfId="25341"/>
    <cellStyle name="„_0.Bidakara RAP" xfId="25340"/>
    <cellStyle name="„_1.Cost Plan Bapelkes Depkes Batam 2008. xls" xfId="25339"/>
    <cellStyle name="„_3.BU - Alat Pakai (Merah)" xfId="25338"/>
    <cellStyle name="„_ALAT-BU-SPP-CIPUTARA-ok" xfId="25337"/>
    <cellStyle name="„_ALAT-SPP-BU-BPK" xfId="25336"/>
    <cellStyle name="„_ALTERNATIF - I KBI (Kyoraku Blow molding)" xfId="25335"/>
    <cellStyle name="„_ALTERNATIF - I KBI (Kyoraku Blow molding) 2" xfId="25334"/>
    <cellStyle name="„_Alternatif#1_Semua Alexindo_Opt_123" xfId="25333"/>
    <cellStyle name="„_Alternatif#1_Semua Alexindo_Opt_123_rc kantor dinas tanjung pinang 5 lantai" xfId="25332"/>
    <cellStyle name="„_Analisa Bapelkes Full" xfId="25331"/>
    <cellStyle name="„_ANALISA BPK DG" xfId="25330"/>
    <cellStyle name="„_ANALISA BPK DG_Analisa Bapelkes Full" xfId="25329"/>
    <cellStyle name="„_ANALISA BPK DG_SKBDN Batam" xfId="25328"/>
    <cellStyle name="„_ANALISA HARGA SATUAN RAB" xfId="25327"/>
    <cellStyle name="„_analisa rab" xfId="25326"/>
    <cellStyle name="„_ANALISA RAB_SKBDN Batam" xfId="25325"/>
    <cellStyle name="„_Bill of Quantity BPK 03082007" xfId="25324"/>
    <cellStyle name="„_Bill of Quantity BPK 03082007_Analisa Bapelkes Full" xfId="25323"/>
    <cellStyle name="„_BQ ACP ALUCOBOND ECO_OPT_RAPP_1" xfId="25322"/>
    <cellStyle name="„_BQ ACP ALUCOBOND ECO_OPT_RAPP_1_rc kantor dinas tanjung pinang 5 lantai" xfId="25321"/>
    <cellStyle name="„_BQ ACP ALUCOBOND ECO_OPT_RAPP_1_Realisasi Kontrak Kampar 31 agustus 2009" xfId="25320"/>
    <cellStyle name="„_BQ ALUM_ALT#1" xfId="25319"/>
    <cellStyle name="„_BQ Alumn_BPK Bengkulu_3_Komplit" xfId="25318"/>
    <cellStyle name="„_BQ Alumn_BPK Bengkulu_3_Komplit_rc kantor dinas tanjung pinang 5 lantai" xfId="25317"/>
    <cellStyle name="„_BQ Facade Astra" xfId="25316"/>
    <cellStyle name="„_BQ FACADE_Rev#2" xfId="25315"/>
    <cellStyle name="„_BQ FACADE_Rev#2_rc kantor dinas tanjung pinang 5 lantai" xfId="25314"/>
    <cellStyle name="„_BQ FACADE_Rev#2_Realisasi Kontrak Kampar 31 agustus 2009" xfId="25313"/>
    <cellStyle name="„_bq gor bangkinang" xfId="25312"/>
    <cellStyle name="„_BQ KISI-KISI" xfId="25311"/>
    <cellStyle name="„_BQ KISI-KISI_rc kantor dinas tanjung pinang 5 lantai" xfId="25310"/>
    <cellStyle name="„_BQ KUSEN SMA PINTAR" xfId="25309"/>
    <cellStyle name="„_BQ KUSEN SMA PINTAR_Rev#1_Opt_Abiz_1_rapp" xfId="25308"/>
    <cellStyle name="„_BQ ME Sebagian R2" xfId="25307"/>
    <cellStyle name="„_BQ PINTU DAN JENDELA" xfId="25306"/>
    <cellStyle name="„_BQ PINTU DAN JENDELA_rc kantor dinas tanjung pinang 5 lantai" xfId="25305"/>
    <cellStyle name="„_BQ Realisasi Kontrak_RAPP" xfId="25304"/>
    <cellStyle name="„_BQ Realisasi Kontrak_RAPP_rc kantor dinas tanjung pinang 5 lantai" xfId="25303"/>
    <cellStyle name="„_BQ+Hit. Lt 10, atap (Dago 27-06-2007 )" xfId="25302"/>
    <cellStyle name="„_BQ-E" xfId="25301"/>
    <cellStyle name="„_BQ-E 2" xfId="25300"/>
    <cellStyle name="„_BQ-E_Bq-M-23 August 2004" xfId="25299"/>
    <cellStyle name="„_BQ-E_Bq-M-23 August 2004 2" xfId="25298"/>
    <cellStyle name="„_BQ-elec-kiic4(D) " xfId="25297"/>
    <cellStyle name="„_BQ-elec-kiic4(D)  2" xfId="25296"/>
    <cellStyle name="„_Bq-Form Mech ( Baru ) 05" xfId="25295"/>
    <cellStyle name="„_Bq-Form Mech ( Baru ) 05 2" xfId="25294"/>
    <cellStyle name="„_BQ-Mech. Summitmas II" xfId="25293"/>
    <cellStyle name="„_BQ-Mech. Summitmas II 2" xfId="25292"/>
    <cellStyle name="„_BQ-Moric-Elec (A)" xfId="25291"/>
    <cellStyle name="„_BQ-Moric-Elec (A) 2" xfId="25290"/>
    <cellStyle name="„_BQ-SHIBAURA SHEARING" xfId="25289"/>
    <cellStyle name="„_BQ-SHIBAURA SHEARING 2" xfId="25288"/>
    <cellStyle name="„_BQ-SHIBAURA SHEARING(Cancel)" xfId="25287"/>
    <cellStyle name="„_BQ-SHIBAURA SHEARING(Cancel) 2" xfId="25286"/>
    <cellStyle name="„_BQ-YAMAHA FLAGSHIP-A" xfId="25285"/>
    <cellStyle name="„_BQ-YAMAHA FLAGSHIP-A 2" xfId="25284"/>
    <cellStyle name="„_BU-Alat-Spp Bapelkes Thp II" xfId="25283"/>
    <cellStyle name="„_Dephan (YKPP)_Rev#31" xfId="25282"/>
    <cellStyle name="„_EVALUASI HARGA_OPT" xfId="25281"/>
    <cellStyle name="„_Expense" xfId="25280"/>
    <cellStyle name="„_Expense 2" xfId="25279"/>
    <cellStyle name="„_FORM MONITORING SUB" xfId="25278"/>
    <cellStyle name="„_FORM MONITORING SUB_D0C. RECORD PROGRESS INDOKOMAS" xfId="25277"/>
    <cellStyle name="„_Hit SKBDN" xfId="25276"/>
    <cellStyle name="„_Hit. Hotel Sutan Raja Minahasa (MYO)" xfId="25275"/>
    <cellStyle name="„_Hit. Hotel Sutan Raja Minahasa (MYO)_Analisa Bapelkes Full" xfId="25274"/>
    <cellStyle name="„_Hit. Lantai - 1" xfId="25273"/>
    <cellStyle name="„_KONTRAK KAMPAR" xfId="25272"/>
    <cellStyle name="„_KURVA S (DETAIL TYPE 2)" xfId="25271"/>
    <cellStyle name="„_MAKER LIST" xfId="25270"/>
    <cellStyle name="„_MAKER LIST 2" xfId="25269"/>
    <cellStyle name="„_pek yang di sub kan" xfId="25268"/>
    <cellStyle name="„_Penawaran harga rumah DPR_Revisi#3_Opt" xfId="25267"/>
    <cellStyle name="„_Penawaran harga rumah DPR_Revisi#3_Opt_rc kantor dinas tanjung pinang 5 lantai" xfId="25266"/>
    <cellStyle name="„_Penawaran harga rumah DPR_Revisi#3_Opt_Realisasi Kontrak Kampar 31 agustus 2009" xfId="25265"/>
    <cellStyle name="„_RAB 2007_2008 6,5 M R8" xfId="25264"/>
    <cellStyle name="„_RAB EE-ELEK BI SMRD" xfId="25263"/>
    <cellStyle name="„_RAB EE-ELEK BI SMRD 2" xfId="25262"/>
    <cellStyle name="„_RAB gr PP setelah direvisi  31 okt 07l " xfId="25261"/>
    <cellStyle name="„_RAB gr PP setelah direvisi  31 okt 07l _ANALISA HARGA SATUAN" xfId="25260"/>
    <cellStyle name="„_RAB gr PP setelah direvisi  31 okt 07l _BQ ASITEKTUR BTN BATAM dan sipil" xfId="25259"/>
    <cellStyle name="„_RAB gr PP setelah direvisi  31 okt 07l _c bpk batam 24,5 M" xfId="25258"/>
    <cellStyle name="„_RAB gr PP setelah direvisi  31 okt 07l _rc bpk batamm" xfId="25257"/>
    <cellStyle name="„_RAB gr PP setelah direvisi  31 okt 07l _rc bpk batamm_BQ ASITEKTUR BTN BATAM dan sipil" xfId="25256"/>
    <cellStyle name="„_RAB gr PP setelah direvisi  31 okt 07l _rc bpk batamm_c bpk batam 24,5 M" xfId="25255"/>
    <cellStyle name="„_RAB gr PP setelah direvisi  31 okt 07l _rc bpk batamm_rc gor dalam kota bangkinang" xfId="25254"/>
    <cellStyle name="„_RAB gr PP setelah direvisi  31 okt 07l _rc bpk batamm_rc kantor dinas tanjung pinang 5 lantai" xfId="25253"/>
    <cellStyle name="„_RAB gr PP setelah direvisi  31 okt 07l _rc bpk batamm_rc kantor dinas tanjung pinang 5 lantai R" xfId="25252"/>
    <cellStyle name="„_RAB gr PP setelah direvisi  31 okt 07l _rc bpk batammm" xfId="25251"/>
    <cellStyle name="„_RAB gr PP setelah direvisi  31 okt 07l _rc gor dalam kota bangkinang" xfId="25250"/>
    <cellStyle name="„_RAB gr PP setelah direvisi  31 okt 07l _rc kantor dinas tanjung pinang 5 lantai" xfId="25249"/>
    <cellStyle name="„_RAB gr PP setelah direvisi  31 okt 07l _rc kantor dinas tanjung pinang 5 lantai R" xfId="25248"/>
    <cellStyle name="„_RAB gr PP setelah direvisi  31 okt 07l _Rc SIJUNJUNG" xfId="25247"/>
    <cellStyle name="„_rab proyek bpk" xfId="25246"/>
    <cellStyle name="„_rab proyek bpk_BQ ASITEKTUR BTN BATAM dan sipil" xfId="25245"/>
    <cellStyle name="„_rab proyek bpk_c bpk batam 24,5 M" xfId="25244"/>
    <cellStyle name="„_rab proyek bpk_rc bpk batamm" xfId="25243"/>
    <cellStyle name="„_rab proyek bpk_rc bpk batamm_BQ ASITEKTUR BTN BATAM dan sipil" xfId="25242"/>
    <cellStyle name="„_rab proyek bpk_rc bpk batamm_c bpk batam 24,5 M" xfId="25241"/>
    <cellStyle name="„_rab proyek bpk_rc bpk batamm_rc gor dalam kota bangkinang" xfId="25240"/>
    <cellStyle name="„_rab proyek bpk_rc bpk batamm_rc kantor dinas tanjung pinang 5 lantai" xfId="25239"/>
    <cellStyle name="„_rab proyek bpk_rc bpk batamm_rc kantor dinas tanjung pinang 5 lantai R" xfId="25238"/>
    <cellStyle name="„_rab proyek bpk_rc bpk batammm" xfId="25237"/>
    <cellStyle name="„_rab proyek bpk_rc gor dalam kota bangkinang" xfId="25236"/>
    <cellStyle name="„_rab proyek bpk_rc kantor dinas tanjung pinang 5 lantai" xfId="25235"/>
    <cellStyle name="„_rab proyek bpk_rc kantor dinas tanjung pinang 5 lantai R" xfId="25234"/>
    <cellStyle name="„_RAB_ELEKTRIKAL_SPORT CENTRE 2008" xfId="25233"/>
    <cellStyle name="„_RAB_ELEKTRIKAL_SPORT CENTRE 2008 2" xfId="25232"/>
    <cellStyle name="„_RAB_ELRKTRIKAL_KANTOR DINAS &amp; GUB._Final. R.II, BENAR KABEL TRAY.REV. JACON 30.04.2009xls" xfId="25231"/>
    <cellStyle name="„_RAB_ELRKTRIKAL_KANTOR DINAS &amp; GUB._Final. R.II, BENAR KABEL TRAY.REV. JACON 30.04.2009xls 2" xfId="25230"/>
    <cellStyle name="„_RAP_r1" xfId="25229"/>
    <cellStyle name="„_rc 6 agus 081" xfId="25228"/>
    <cellStyle name="„_sex" xfId="25227"/>
    <cellStyle name="„_sex 2" xfId="25226"/>
    <cellStyle name="„_sex_b1.57.1417.2004(B)" xfId="25225"/>
    <cellStyle name="„_sex_b1.57.1417.2004(B) 2" xfId="25224"/>
    <cellStyle name="„_sex_b1.57.1417.2004(B)_Bq-M-23 August 2004" xfId="25223"/>
    <cellStyle name="„_sex_b1.57.1417.2004(B)_Bq-M-23 August 2004 2" xfId="25222"/>
    <cellStyle name="„_sex_Bq-M-23 August 2004" xfId="25221"/>
    <cellStyle name="„_sex_Bq-M-23 August 2004 2" xfId="25220"/>
    <cellStyle name="„_SKBDN Batam" xfId="25219"/>
    <cellStyle name="„_SPESIFIKASI TEKNIS GR" xfId="25218"/>
    <cellStyle name="„_UIN (NEW)" xfId="25217"/>
    <cellStyle name="„_Vol. Bapelkes blok C ( Myo 07.12.07)" xfId="25216"/>
    <cellStyle name="„_Vol. Precast" xfId="25215"/>
    <cellStyle name="–¢’è‹`" xfId="25214"/>
    <cellStyle name="–¢’è‹` 2" xfId="25213"/>
    <cellStyle name="–¢’è‹` 3" xfId="25212"/>
    <cellStyle name="¤@?e_TEST-1 " xfId="25211"/>
    <cellStyle name="…" xfId="25210"/>
    <cellStyle name="… 2" xfId="25209"/>
    <cellStyle name="…_0.Bidakara RAP" xfId="25208"/>
    <cellStyle name="…_1.Cost Plan Bapelkes Depkes Batam 2008. xls" xfId="25207"/>
    <cellStyle name="…_3.BU - Alat Pakai (Merah)" xfId="25206"/>
    <cellStyle name="…_ALAT-BU-SPP-CIPUTARA-ok" xfId="25205"/>
    <cellStyle name="…_ALAT-SPP-BU-BPK" xfId="25204"/>
    <cellStyle name="…_ALTERNATIF - I KBI (Kyoraku Blow molding)" xfId="25203"/>
    <cellStyle name="…_ALTERNATIF - I KBI (Kyoraku Blow molding) 2" xfId="25202"/>
    <cellStyle name="…_Alternatif#1_Semua Alexindo_Opt_123" xfId="25201"/>
    <cellStyle name="…_Alternatif#1_Semua Alexindo_Opt_123_rc kantor dinas tanjung pinang 5 lantai" xfId="25200"/>
    <cellStyle name="…_Analisa Bapelkes Full" xfId="25199"/>
    <cellStyle name="…_ANALISA BPK DG" xfId="25198"/>
    <cellStyle name="…_ANALISA BPK DG_Analisa Bapelkes Full" xfId="25197"/>
    <cellStyle name="…_ANALISA BPK DG_SKBDN Batam" xfId="25196"/>
    <cellStyle name="…_ANALISA HARGA SATUAN RAB" xfId="25195"/>
    <cellStyle name="…_analisa rab" xfId="25194"/>
    <cellStyle name="…_ANALISA RAB_SKBDN Batam" xfId="25193"/>
    <cellStyle name="…_Bill of Quantity BPK 03082007" xfId="25192"/>
    <cellStyle name="…_Bill of Quantity BPK 03082007_Analisa Bapelkes Full" xfId="25191"/>
    <cellStyle name="…_BQ ACP ALUCOBOND ECO_OPT_RAPP_1" xfId="25190"/>
    <cellStyle name="…_BQ ACP ALUCOBOND ECO_OPT_RAPP_1_rc kantor dinas tanjung pinang 5 lantai" xfId="25189"/>
    <cellStyle name="…_BQ ACP ALUCOBOND ECO_OPT_RAPP_1_Realisasi Kontrak Kampar 31 agustus 2009" xfId="25188"/>
    <cellStyle name="…_BQ ALUM_ALT#1" xfId="25187"/>
    <cellStyle name="…_BQ Alumn_BPK Bengkulu_3_Komplit" xfId="25186"/>
    <cellStyle name="…_BQ Alumn_BPK Bengkulu_3_Komplit_rc kantor dinas tanjung pinang 5 lantai" xfId="25185"/>
    <cellStyle name="…_BQ Facade Astra" xfId="25184"/>
    <cellStyle name="…_BQ FACADE_Rev#2" xfId="25183"/>
    <cellStyle name="…_BQ FACADE_Rev#2_rc kantor dinas tanjung pinang 5 lantai" xfId="25182"/>
    <cellStyle name="…_BQ FACADE_Rev#2_Realisasi Kontrak Kampar 31 agustus 2009" xfId="25181"/>
    <cellStyle name="…_bq gor bangkinang" xfId="25180"/>
    <cellStyle name="…_BQ KISI-KISI" xfId="25179"/>
    <cellStyle name="…_BQ KISI-KISI_rc kantor dinas tanjung pinang 5 lantai" xfId="25178"/>
    <cellStyle name="…_BQ KUSEN SMA PINTAR" xfId="25177"/>
    <cellStyle name="…_BQ KUSEN SMA PINTAR_Rev#1_Opt_Abiz_1_rapp" xfId="25176"/>
    <cellStyle name="…_BQ ME Sebagian R2" xfId="25175"/>
    <cellStyle name="…_BQ PINTU DAN JENDELA" xfId="25174"/>
    <cellStyle name="…_BQ PINTU DAN JENDELA_rc kantor dinas tanjung pinang 5 lantai" xfId="25173"/>
    <cellStyle name="…_BQ Realisasi Kontrak_RAPP" xfId="25172"/>
    <cellStyle name="…_BQ Realisasi Kontrak_RAPP_rc kantor dinas tanjung pinang 5 lantai" xfId="25171"/>
    <cellStyle name="…_BQ+Hit. Lt 10, atap (Dago 27-06-2007 )" xfId="25170"/>
    <cellStyle name="…_BQ-E" xfId="25169"/>
    <cellStyle name="…_BQ-E 2" xfId="25168"/>
    <cellStyle name="…_BQ-E_Bq-M-23 August 2004" xfId="25167"/>
    <cellStyle name="…_BQ-E_Bq-M-23 August 2004 2" xfId="25166"/>
    <cellStyle name="…_BQ-elec-kiic4(D) " xfId="25165"/>
    <cellStyle name="…_BQ-elec-kiic4(D)  2" xfId="25164"/>
    <cellStyle name="…_Bq-Form Mech ( Baru ) 05" xfId="25163"/>
    <cellStyle name="…_Bq-Form Mech ( Baru ) 05 2" xfId="25162"/>
    <cellStyle name="…_BQ-Mech. Summitmas II" xfId="25161"/>
    <cellStyle name="…_BQ-Mech. Summitmas II 2" xfId="25160"/>
    <cellStyle name="…_BQ-Moric-Elec (A)" xfId="25159"/>
    <cellStyle name="…_BQ-Moric-Elec (A) 2" xfId="25158"/>
    <cellStyle name="…_BQ-SHIBAURA SHEARING" xfId="25157"/>
    <cellStyle name="…_BQ-SHIBAURA SHEARING 2" xfId="25156"/>
    <cellStyle name="…_BQ-SHIBAURA SHEARING(Cancel)" xfId="25155"/>
    <cellStyle name="…_BQ-SHIBAURA SHEARING(Cancel) 2" xfId="25154"/>
    <cellStyle name="…_BQ-YAMAHA FLAGSHIP-A" xfId="25153"/>
    <cellStyle name="…_BQ-YAMAHA FLAGSHIP-A 2" xfId="25152"/>
    <cellStyle name="…_BU-Alat-Spp Bapelkes Thp II" xfId="25151"/>
    <cellStyle name="…_Dephan (YKPP)_Rev#31" xfId="25150"/>
    <cellStyle name="…_EVALUASI HARGA_OPT" xfId="25149"/>
    <cellStyle name="…_Expense" xfId="25148"/>
    <cellStyle name="…_Expense 2" xfId="25147"/>
    <cellStyle name="…_FORM MONITORING SUB" xfId="25146"/>
    <cellStyle name="…_FORM MONITORING SUB_D0C. RECORD PROGRESS INDOKOMAS" xfId="25145"/>
    <cellStyle name="…_Hit SKBDN" xfId="25144"/>
    <cellStyle name="…_Hit. Hotel Sutan Raja Minahasa (MYO)" xfId="25143"/>
    <cellStyle name="…_Hit. Hotel Sutan Raja Minahasa (MYO)_Analisa Bapelkes Full" xfId="25142"/>
    <cellStyle name="…_Hit. Lantai - 1" xfId="25141"/>
    <cellStyle name="…_KONTRAK KAMPAR" xfId="25140"/>
    <cellStyle name="…_KURVA S (DETAIL TYPE 2)" xfId="25139"/>
    <cellStyle name="…_MAKER LIST" xfId="25138"/>
    <cellStyle name="…_MAKER LIST 2" xfId="25137"/>
    <cellStyle name="…_pek yang di sub kan" xfId="25136"/>
    <cellStyle name="…_Penawaran harga rumah DPR_Revisi#3_Opt" xfId="25135"/>
    <cellStyle name="…_Penawaran harga rumah DPR_Revisi#3_Opt_rc kantor dinas tanjung pinang 5 lantai" xfId="25134"/>
    <cellStyle name="…_Penawaran harga rumah DPR_Revisi#3_Opt_Realisasi Kontrak Kampar 31 agustus 2009" xfId="25133"/>
    <cellStyle name="…_RAB 2007_2008 6,5 M R8" xfId="25132"/>
    <cellStyle name="…_RAB EE-ELEK BI SMRD" xfId="25131"/>
    <cellStyle name="…_RAB EE-ELEK BI SMRD 2" xfId="25130"/>
    <cellStyle name="…_RAB gr PP setelah direvisi  31 okt 07l " xfId="25129"/>
    <cellStyle name="…_RAB gr PP setelah direvisi  31 okt 07l _ANALISA HARGA SATUAN" xfId="25128"/>
    <cellStyle name="…_RAB gr PP setelah direvisi  31 okt 07l _BQ ASITEKTUR BTN BATAM dan sipil" xfId="25127"/>
    <cellStyle name="…_RAB gr PP setelah direvisi  31 okt 07l _c bpk batam 24,5 M" xfId="25126"/>
    <cellStyle name="…_RAB gr PP setelah direvisi  31 okt 07l _rc bpk batamm" xfId="25125"/>
    <cellStyle name="…_RAB gr PP setelah direvisi  31 okt 07l _rc bpk batamm_BQ ASITEKTUR BTN BATAM dan sipil" xfId="25124"/>
    <cellStyle name="…_RAB gr PP setelah direvisi  31 okt 07l _rc bpk batamm_c bpk batam 24,5 M" xfId="25123"/>
    <cellStyle name="…_RAB gr PP setelah direvisi  31 okt 07l _rc bpk batamm_rc gor dalam kota bangkinang" xfId="25122"/>
    <cellStyle name="…_RAB gr PP setelah direvisi  31 okt 07l _rc bpk batamm_rc kantor dinas tanjung pinang 5 lantai" xfId="25121"/>
    <cellStyle name="…_RAB gr PP setelah direvisi  31 okt 07l _rc bpk batamm_rc kantor dinas tanjung pinang 5 lantai R" xfId="25120"/>
    <cellStyle name="…_RAB gr PP setelah direvisi  31 okt 07l _rc bpk batammm" xfId="25119"/>
    <cellStyle name="…_RAB gr PP setelah direvisi  31 okt 07l _rc gor dalam kota bangkinang" xfId="25118"/>
    <cellStyle name="…_RAB gr PP setelah direvisi  31 okt 07l _rc kantor dinas tanjung pinang 5 lantai" xfId="25117"/>
    <cellStyle name="…_RAB gr PP setelah direvisi  31 okt 07l _rc kantor dinas tanjung pinang 5 lantai R" xfId="25116"/>
    <cellStyle name="…_RAB gr PP setelah direvisi  31 okt 07l _Rc SIJUNJUNG" xfId="25115"/>
    <cellStyle name="…_rab proyek bpk" xfId="25114"/>
    <cellStyle name="…_rab proyek bpk_BQ ASITEKTUR BTN BATAM dan sipil" xfId="25113"/>
    <cellStyle name="…_rab proyek bpk_c bpk batam 24,5 M" xfId="25112"/>
    <cellStyle name="…_rab proyek bpk_rc bpk batamm" xfId="25111"/>
    <cellStyle name="…_rab proyek bpk_rc bpk batamm_BQ ASITEKTUR BTN BATAM dan sipil" xfId="25110"/>
    <cellStyle name="…_rab proyek bpk_rc bpk batamm_c bpk batam 24,5 M" xfId="25109"/>
    <cellStyle name="…_rab proyek bpk_rc bpk batamm_rc gor dalam kota bangkinang" xfId="25108"/>
    <cellStyle name="…_rab proyek bpk_rc bpk batamm_rc kantor dinas tanjung pinang 5 lantai" xfId="25107"/>
    <cellStyle name="…_rab proyek bpk_rc bpk batamm_rc kantor dinas tanjung pinang 5 lantai R" xfId="25106"/>
    <cellStyle name="…_rab proyek bpk_rc bpk batammm" xfId="25105"/>
    <cellStyle name="…_rab proyek bpk_rc gor dalam kota bangkinang" xfId="25104"/>
    <cellStyle name="…_rab proyek bpk_rc kantor dinas tanjung pinang 5 lantai" xfId="25103"/>
    <cellStyle name="…_rab proyek bpk_rc kantor dinas tanjung pinang 5 lantai R" xfId="25102"/>
    <cellStyle name="…_RAB_ELEKTRIKAL_SPORT CENTRE 2008" xfId="25101"/>
    <cellStyle name="…_RAB_ELEKTRIKAL_SPORT CENTRE 2008 2" xfId="25100"/>
    <cellStyle name="…_RAB_ELRKTRIKAL_KANTOR DINAS &amp; GUB._Final. R.II, BENAR KABEL TRAY.REV. JACON 30.04.2009xls" xfId="25099"/>
    <cellStyle name="…_RAB_ELRKTRIKAL_KANTOR DINAS &amp; GUB._Final. R.II, BENAR KABEL TRAY.REV. JACON 30.04.2009xls 2" xfId="25098"/>
    <cellStyle name="…_RAP_r1" xfId="25097"/>
    <cellStyle name="…_rc 6 agus 081" xfId="25096"/>
    <cellStyle name="…_sex" xfId="25095"/>
    <cellStyle name="…_sex 2" xfId="25094"/>
    <cellStyle name="…_sex_b1.57.1417.2004(B)" xfId="25093"/>
    <cellStyle name="…_sex_b1.57.1417.2004(B) 2" xfId="25092"/>
    <cellStyle name="…_sex_b1.57.1417.2004(B)_Bq-M-23 August 2004" xfId="25091"/>
    <cellStyle name="…_sex_b1.57.1417.2004(B)_Bq-M-23 August 2004 2" xfId="25090"/>
    <cellStyle name="…_sex_Bq-M-23 August 2004" xfId="25089"/>
    <cellStyle name="…_sex_Bq-M-23 August 2004 2" xfId="25088"/>
    <cellStyle name="…_SKBDN Batam" xfId="25087"/>
    <cellStyle name="…_SPESIFIKASI TEKNIS GR" xfId="25086"/>
    <cellStyle name="…_UIN (NEW)" xfId="25085"/>
    <cellStyle name="…_Vol. Bapelkes blok C ( Myo 07.12.07)" xfId="25084"/>
    <cellStyle name="…_Vol. Precast" xfId="25083"/>
    <cellStyle name="†" xfId="25082"/>
    <cellStyle name="† 2" xfId="25081"/>
    <cellStyle name="†_0.Bidakara RAP" xfId="25080"/>
    <cellStyle name="†_1.Cost Plan Bapelkes Depkes Batam 2008. xls" xfId="25079"/>
    <cellStyle name="†_3.BU - Alat Pakai (Merah)" xfId="25078"/>
    <cellStyle name="†_ALAT-SPP-BU-BPK" xfId="25077"/>
    <cellStyle name="†_ALTERNATIF - I KBI (Kyoraku Blow molding)" xfId="25076"/>
    <cellStyle name="†_ALTERNATIF - I KBI (Kyoraku Blow molding) 2" xfId="25075"/>
    <cellStyle name="†_Alternatif#1_Semua Alexindo_Opt_123" xfId="25074"/>
    <cellStyle name="†_Alternatif#1_Semua Alexindo_Opt_123_rc kantor dinas tanjung pinang 5 lantai" xfId="25073"/>
    <cellStyle name="†_Analisa Bapelkes Full" xfId="25072"/>
    <cellStyle name="†_ANALISA BPK DG" xfId="25071"/>
    <cellStyle name="†_ANALISA BPK DG_Analisa Bapelkes Full" xfId="25070"/>
    <cellStyle name="†_ANALISA BPK DG_SKBDN Batam" xfId="25069"/>
    <cellStyle name="†_ANALISA HARGA SATUAN RAB" xfId="25068"/>
    <cellStyle name="†_analisa rab" xfId="25067"/>
    <cellStyle name="†_ANALISA RAB_SKBDN Batam" xfId="25066"/>
    <cellStyle name="†_Bill of Quantity BPK 03082007" xfId="25065"/>
    <cellStyle name="†_Bill of Quantity BPK 03082007_Analisa Bapelkes Full" xfId="25064"/>
    <cellStyle name="†_BQ ACP ALUCOBOND ECO_OPT_RAPP_1" xfId="25063"/>
    <cellStyle name="†_BQ ACP ALUCOBOND ECO_OPT_RAPP_1_rc kantor dinas tanjung pinang 5 lantai" xfId="25062"/>
    <cellStyle name="†_BQ ACP ALUCOBOND ECO_OPT_RAPP_1_Realisasi Kontrak Kampar 31 agustus 2009" xfId="25061"/>
    <cellStyle name="†_BQ ALUM_ALT#1" xfId="25060"/>
    <cellStyle name="†_BQ Alumn_BPK Bengkulu_3_Komplit" xfId="25059"/>
    <cellStyle name="†_BQ Alumn_BPK Bengkulu_3_Komplit_rc kantor dinas tanjung pinang 5 lantai" xfId="25058"/>
    <cellStyle name="†_BQ Facade Astra" xfId="25057"/>
    <cellStyle name="†_BQ FACADE_Rev#2" xfId="25056"/>
    <cellStyle name="†_BQ FACADE_Rev#2_rc kantor dinas tanjung pinang 5 lantai" xfId="25055"/>
    <cellStyle name="†_BQ FACADE_Rev#2_Realisasi Kontrak Kampar 31 agustus 2009" xfId="25054"/>
    <cellStyle name="†_bq gor bangkinang" xfId="25053"/>
    <cellStyle name="†_BQ KISI-KISI" xfId="25052"/>
    <cellStyle name="†_BQ KISI-KISI_rc kantor dinas tanjung pinang 5 lantai" xfId="25051"/>
    <cellStyle name="†_BQ KUSEN SMA PINTAR" xfId="25050"/>
    <cellStyle name="†_BQ KUSEN SMA PINTAR_Rev#1_Opt_Abiz_1_rapp" xfId="25049"/>
    <cellStyle name="†_BQ ME Sebagian R2" xfId="25048"/>
    <cellStyle name="†_BQ PINTU DAN JENDELA" xfId="25047"/>
    <cellStyle name="†_BQ PINTU DAN JENDELA_rc kantor dinas tanjung pinang 5 lantai" xfId="25046"/>
    <cellStyle name="†_BQ Realisasi Kontrak_RAPP" xfId="25045"/>
    <cellStyle name="†_BQ Realisasi Kontrak_RAPP_rc kantor dinas tanjung pinang 5 lantai" xfId="25044"/>
    <cellStyle name="†_BQ+Hit. Lt 10, atap (Dago 27-06-2007 )" xfId="25043"/>
    <cellStyle name="†_BQ-E" xfId="25042"/>
    <cellStyle name="†_BQ-E 2" xfId="25041"/>
    <cellStyle name="†_BQ-E_Bq-M-23 August 2004" xfId="25040"/>
    <cellStyle name="†_BQ-E_Bq-M-23 August 2004 2" xfId="25039"/>
    <cellStyle name="†_BQ-elec-kiic4(D) " xfId="25038"/>
    <cellStyle name="†_BQ-elec-kiic4(D)  2" xfId="25037"/>
    <cellStyle name="†_Bq-Form Mech ( Baru ) 05" xfId="25036"/>
    <cellStyle name="†_Bq-Form Mech ( Baru ) 05 2" xfId="25035"/>
    <cellStyle name="†_BQ-Mech. Summitmas II" xfId="25034"/>
    <cellStyle name="†_BQ-Mech. Summitmas II 2" xfId="25033"/>
    <cellStyle name="†_BQ-Moric-Elec (A)" xfId="25032"/>
    <cellStyle name="†_BQ-Moric-Elec (A) 2" xfId="25031"/>
    <cellStyle name="†_BQ-SHIBAURA SHEARING" xfId="25030"/>
    <cellStyle name="†_BQ-SHIBAURA SHEARING 2" xfId="25029"/>
    <cellStyle name="†_BQ-SHIBAURA SHEARING(Cancel)" xfId="25028"/>
    <cellStyle name="†_BQ-SHIBAURA SHEARING(Cancel) 2" xfId="25027"/>
    <cellStyle name="†_BQ-YAMAHA FLAGSHIP-A" xfId="25026"/>
    <cellStyle name="†_BQ-YAMAHA FLAGSHIP-A 2" xfId="25025"/>
    <cellStyle name="†_BU-Alat-Spp Bapelkes Thp II" xfId="25024"/>
    <cellStyle name="†_Dephan (YKPP)_Rev#31" xfId="25023"/>
    <cellStyle name="†_EVALUASI HARGA_OPT" xfId="25022"/>
    <cellStyle name="†_Expense" xfId="25021"/>
    <cellStyle name="†_Expense 2" xfId="25020"/>
    <cellStyle name="†_FORM MONITORING SUB" xfId="25019"/>
    <cellStyle name="†_FORM MONITORING SUB_D0C. RECORD PROGRESS INDOKOMAS" xfId="25018"/>
    <cellStyle name="†_Hit SKBDN" xfId="25017"/>
    <cellStyle name="†_Hit. Hotel Sutan Raja Minahasa (MYO)" xfId="25016"/>
    <cellStyle name="†_Hit. Hotel Sutan Raja Minahasa (MYO)_Analisa Bapelkes Full" xfId="25015"/>
    <cellStyle name="†_Hit. Lantai - 1" xfId="25014"/>
    <cellStyle name="†_KONTRAK KAMPAR" xfId="25013"/>
    <cellStyle name="†_KURVA S (DETAIL TYPE 2)" xfId="25012"/>
    <cellStyle name="†_MAKER LIST" xfId="25011"/>
    <cellStyle name="†_MAKER LIST 2" xfId="25010"/>
    <cellStyle name="†_pek yang di sub kan" xfId="25009"/>
    <cellStyle name="†_Penawaran harga rumah DPR_Revisi#3_Opt" xfId="25008"/>
    <cellStyle name="†_Penawaran harga rumah DPR_Revisi#3_Opt_rc kantor dinas tanjung pinang 5 lantai" xfId="25007"/>
    <cellStyle name="†_Penawaran harga rumah DPR_Revisi#3_Opt_Realisasi Kontrak Kampar 31 agustus 2009" xfId="25006"/>
    <cellStyle name="†_RAB 2007_2008 6,5 M R8" xfId="25005"/>
    <cellStyle name="†_RAB EE-ELEK BI SMRD" xfId="25004"/>
    <cellStyle name="†_RAB EE-ELEK BI SMRD 2" xfId="25003"/>
    <cellStyle name="†_RAB gr PP setelah direvisi  31 okt 07l " xfId="25002"/>
    <cellStyle name="†_RAB gr PP setelah direvisi  31 okt 07l _ANALISA HARGA SATUAN" xfId="25001"/>
    <cellStyle name="†_RAB gr PP setelah direvisi  31 okt 07l _BQ ASITEKTUR BTN BATAM dan sipil" xfId="25000"/>
    <cellStyle name="†_RAB gr PP setelah direvisi  31 okt 07l _c bpk batam 24,5 M" xfId="24999"/>
    <cellStyle name="†_RAB gr PP setelah direvisi  31 okt 07l _rc bpk batamm" xfId="24998"/>
    <cellStyle name="†_RAB gr PP setelah direvisi  31 okt 07l _rc bpk batamm_BQ ASITEKTUR BTN BATAM dan sipil" xfId="24997"/>
    <cellStyle name="†_RAB gr PP setelah direvisi  31 okt 07l _rc bpk batamm_c bpk batam 24,5 M" xfId="24996"/>
    <cellStyle name="†_RAB gr PP setelah direvisi  31 okt 07l _rc bpk batamm_rc gor dalam kota bangkinang" xfId="24995"/>
    <cellStyle name="†_RAB gr PP setelah direvisi  31 okt 07l _rc bpk batamm_rc kantor dinas tanjung pinang 5 lantai" xfId="24994"/>
    <cellStyle name="†_RAB gr PP setelah direvisi  31 okt 07l _rc bpk batamm_rc kantor dinas tanjung pinang 5 lantai R" xfId="24993"/>
    <cellStyle name="†_RAB gr PP setelah direvisi  31 okt 07l _rc bpk batammm" xfId="24992"/>
    <cellStyle name="†_RAB gr PP setelah direvisi  31 okt 07l _rc gor dalam kota bangkinang" xfId="24991"/>
    <cellStyle name="†_RAB gr PP setelah direvisi  31 okt 07l _rc kantor dinas tanjung pinang 5 lantai" xfId="24990"/>
    <cellStyle name="†_RAB gr PP setelah direvisi  31 okt 07l _rc kantor dinas tanjung pinang 5 lantai R" xfId="24989"/>
    <cellStyle name="†_RAB gr PP setelah direvisi  31 okt 07l _Rc SIJUNJUNG" xfId="24988"/>
    <cellStyle name="†_rab proyek bpk" xfId="24987"/>
    <cellStyle name="†_rab proyek bpk_BQ ASITEKTUR BTN BATAM dan sipil" xfId="24986"/>
    <cellStyle name="†_rab proyek bpk_c bpk batam 24,5 M" xfId="24985"/>
    <cellStyle name="†_rab proyek bpk_rc bpk batamm" xfId="24984"/>
    <cellStyle name="†_rab proyek bpk_rc bpk batamm_BQ ASITEKTUR BTN BATAM dan sipil" xfId="24983"/>
    <cellStyle name="†_rab proyek bpk_rc bpk batamm_c bpk batam 24,5 M" xfId="24982"/>
    <cellStyle name="†_rab proyek bpk_rc bpk batamm_rc gor dalam kota bangkinang" xfId="24981"/>
    <cellStyle name="†_rab proyek bpk_rc bpk batamm_rc kantor dinas tanjung pinang 5 lantai" xfId="24980"/>
    <cellStyle name="†_rab proyek bpk_rc bpk batamm_rc kantor dinas tanjung pinang 5 lantai R" xfId="24979"/>
    <cellStyle name="†_rab proyek bpk_rc bpk batammm" xfId="24978"/>
    <cellStyle name="†_rab proyek bpk_rc gor dalam kota bangkinang" xfId="24977"/>
    <cellStyle name="†_rab proyek bpk_rc kantor dinas tanjung pinang 5 lantai" xfId="24976"/>
    <cellStyle name="†_rab proyek bpk_rc kantor dinas tanjung pinang 5 lantai R" xfId="24975"/>
    <cellStyle name="†_RAB_ELEKTRIKAL_SPORT CENTRE 2008" xfId="24974"/>
    <cellStyle name="†_RAB_ELEKTRIKAL_SPORT CENTRE 2008 2" xfId="24973"/>
    <cellStyle name="†_RAB_ELRKTRIKAL_KANTOR DINAS &amp; GUB._Final. R.II, BENAR KABEL TRAY.REV. JACON 30.04.2009xls" xfId="24972"/>
    <cellStyle name="†_RAB_ELRKTRIKAL_KANTOR DINAS &amp; GUB._Final. R.II, BENAR KABEL TRAY.REV. JACON 30.04.2009xls 2" xfId="24971"/>
    <cellStyle name="†_RAP_r1" xfId="24970"/>
    <cellStyle name="†_rc 6 agus 081" xfId="24969"/>
    <cellStyle name="†_sex" xfId="24968"/>
    <cellStyle name="†_sex 2" xfId="24967"/>
    <cellStyle name="†_sex_b1.57.1417.2004(B)" xfId="24966"/>
    <cellStyle name="†_sex_b1.57.1417.2004(B) 2" xfId="24965"/>
    <cellStyle name="†_sex_b1.57.1417.2004(B)_Bq-M-23 August 2004" xfId="24964"/>
    <cellStyle name="†_sex_b1.57.1417.2004(B)_Bq-M-23 August 2004 2" xfId="24963"/>
    <cellStyle name="†_sex_Bq-M-23 August 2004" xfId="24962"/>
    <cellStyle name="†_sex_Bq-M-23 August 2004 2" xfId="24961"/>
    <cellStyle name="†_SKBDN Batam" xfId="24960"/>
    <cellStyle name="†_SPESIFIKASI TEKNIS GR" xfId="24959"/>
    <cellStyle name="†_UIN (NEW)" xfId="24958"/>
    <cellStyle name="†_Vol. Bapelkes blok C ( Myo 07.12.07)" xfId="24957"/>
    <cellStyle name="†_Vol. Precast" xfId="24956"/>
    <cellStyle name="‡" xfId="24955"/>
    <cellStyle name="‡ 2" xfId="24954"/>
    <cellStyle name="‡ 2 2" xfId="24953"/>
    <cellStyle name="‡ 3" xfId="24952"/>
    <cellStyle name="‡ 3 2" xfId="24951"/>
    <cellStyle name="‡ 4" xfId="24950"/>
    <cellStyle name="‡ 4 2" xfId="24949"/>
    <cellStyle name="‡ 5" xfId="24948"/>
    <cellStyle name="‡ 6" xfId="24947"/>
    <cellStyle name="‡ 7" xfId="24946"/>
    <cellStyle name="‡ 8" xfId="24945"/>
    <cellStyle name="‡ 9" xfId="24944"/>
    <cellStyle name="‡_0.Bidakara RAP" xfId="24943"/>
    <cellStyle name="‡_1.Cost Plan Bapelkes Depkes Batam 2008. xls" xfId="24942"/>
    <cellStyle name="‡_3.BU - Alat Pakai (Merah)" xfId="24941"/>
    <cellStyle name="‡_ALAT-BU-SPP-CIPUTARA-ok" xfId="24940"/>
    <cellStyle name="‡_ALAT-SPP-BU-BPK" xfId="24939"/>
    <cellStyle name="‡_ALTERNATIF - I KBI (Kyoraku Blow molding)" xfId="24938"/>
    <cellStyle name="‡_Alternatif#1_Semua Alexindo_Opt_123" xfId="24937"/>
    <cellStyle name="‡_Alternatif#1_Semua Alexindo_Opt_123_rc kantor dinas tanjung pinang 5 lantai" xfId="24936"/>
    <cellStyle name="‡_Analisa Bapelkes Full" xfId="24935"/>
    <cellStyle name="‡_ANALISA BPK DG" xfId="24934"/>
    <cellStyle name="‡_ANALISA BPK DG_Analisa Bapelkes Full" xfId="24933"/>
    <cellStyle name="‡_ANALISA BPK DG_SKBDN Batam" xfId="24932"/>
    <cellStyle name="‡_ANALISA HARGA SATUAN RAB" xfId="24931"/>
    <cellStyle name="‡_analisa rab" xfId="24930"/>
    <cellStyle name="‡_ANALISA RAB_SKBDN Batam" xfId="24929"/>
    <cellStyle name="‡_AUTO2000" xfId="24928"/>
    <cellStyle name="‡_AUTO2000 2" xfId="24927"/>
    <cellStyle name="‡_AUTO2000 2 2" xfId="24926"/>
    <cellStyle name="‡_AUTO2000 3" xfId="24925"/>
    <cellStyle name="‡_AUTO2000 3 2" xfId="24924"/>
    <cellStyle name="‡_AUTO2000 4" xfId="24923"/>
    <cellStyle name="‡_AUTO2000 4 2" xfId="24922"/>
    <cellStyle name="‡_AUTO2000 5" xfId="24921"/>
    <cellStyle name="‡_AUTO2000 6" xfId="24920"/>
    <cellStyle name="‡_AUTO2000 7" xfId="24919"/>
    <cellStyle name="‡_AUTO2000 8" xfId="24918"/>
    <cellStyle name="‡_AUTO2000 9" xfId="24917"/>
    <cellStyle name="‡_AUTO2000_BQ &amp; An Pds Gdg - KIM I" xfId="24916"/>
    <cellStyle name="‡_AUTO2000_BQ &amp; An Pds Gdg - KIM I_GALIAN C" xfId="24915"/>
    <cellStyle name="‡_AUTO2000_BQ &amp; An Pds Gdg - KIM I_Pen- Kodja Revisi 02 November 2009 (Rev 11-11-09)" xfId="24914"/>
    <cellStyle name="‡_AUTO2000_BQ &amp; An Pds Gdg - KIM I_Pen- Kodja Revisi 27 JAN 2010" xfId="24913"/>
    <cellStyle name="‡_AUTO2000_BQ &amp; An Pds Gdg - KIM I_RAB Kodja Revisi 22 feb 2010" xfId="24912"/>
    <cellStyle name="‡_AUTO2000_BQ &amp; An Pds Gdg - KIM I_RAB Kodja Revisi 23 feb 2010, revisi analisa" xfId="24911"/>
    <cellStyle name="‡_AUTO2000_BQ &amp; An Pondasi SEP &amp; WAREHOUSE-KIM I (R-0)" xfId="24910"/>
    <cellStyle name="‡_AUTO2000_BQ &amp; An Pondasi SEP &amp; WAREHOUSE-KIM I (R-0)_GALIAN C" xfId="24909"/>
    <cellStyle name="‡_AUTO2000_BQ &amp; An Pondasi SEP &amp; WAREHOUSE-KIM I (R-0)_Pen- Kodja Revisi 02 November 2009 (Rev 11-11-09)" xfId="24908"/>
    <cellStyle name="‡_AUTO2000_BQ &amp; An Pondasi SEP &amp; WAREHOUSE-KIM I (R-0)_Pen- Kodja Revisi 27 JAN 2010" xfId="24907"/>
    <cellStyle name="‡_AUTO2000_BQ &amp; An Pondasi SEP &amp; WAREHOUSE-KIM I (R-0)_RAB Kodja Revisi 22 feb 2010" xfId="24906"/>
    <cellStyle name="‡_AUTO2000_BQ &amp; An Pondasi SEP &amp; WAREHOUSE-KIM I (R-0)_RAB Kodja Revisi 23 feb 2010, revisi analisa" xfId="24905"/>
    <cellStyle name="‡_AUTO2000_BQ Pabrik Biodiesel MM-Btm" xfId="24904"/>
    <cellStyle name="‡_AUTO2000_BQ Pabrik Biodiesel MM-Btm_GALIAN C" xfId="24903"/>
    <cellStyle name="‡_AUTO2000_BQ Pabrik Biodiesel MM-Btm_Pen- Kodja Revisi 02 November 2009 (Rev 11-11-09)" xfId="24902"/>
    <cellStyle name="‡_AUTO2000_BQ Pabrik Biodiesel MM-Btm_Pen- Kodja Revisi 27 JAN 2010" xfId="24901"/>
    <cellStyle name="‡_AUTO2000_BQ Pabrik Biodiesel MM-Btm_RAB Kodja Revisi 22 feb 2010" xfId="24900"/>
    <cellStyle name="‡_AUTO2000_BQ Pabrik Biodiesel MM-Btm_RAB Kodja Revisi 23 feb 2010, revisi analisa" xfId="24899"/>
    <cellStyle name="‡_AUTO2000_EXERCISE PRICE-2x10 W70-1050-PO-KENDARI" xfId="24898"/>
    <cellStyle name="‡_AUTO2000_EXERCISE PRICE-2x10 W70-1050-PO-KENDARI 2" xfId="24897"/>
    <cellStyle name="‡_AUTO2000_EXERCISE PRICE-2x10 W70-1050-PO-KENDARI 3" xfId="24896"/>
    <cellStyle name="‡_AUTO2000_EXERCISE PRICE-2x10 W70-1050-PO-KENDARI 4" xfId="24895"/>
    <cellStyle name="‡_AUTO2000_EXERCISE PRICE-2x10 W70-1050-PO-KENDARI 5" xfId="24894"/>
    <cellStyle name="‡_AUTO2000_EXERCISE PRICE-2x10 W70-1050-PO-KENDARI 6" xfId="24893"/>
    <cellStyle name="‡_AUTO2000_EXERCISE PRICE-2x10 W70-1050-PO-KENDARI 7" xfId="24892"/>
    <cellStyle name="‡_AUTO2000_EXERCISE PRICE-2x10 W70-1050-PO-KENDARI 8" xfId="24891"/>
    <cellStyle name="‡_AUTO2000_EXERCISE PRICE-2X7 WO70-1100-PO-Riau" xfId="24890"/>
    <cellStyle name="‡_AUTO2000_EXERCISE PRICE-2X7 WO70-1100-PO-Riau 2" xfId="24889"/>
    <cellStyle name="‡_AUTO2000_EXERCISE PRICE-2X7 WO70-1100-PO-Riau 3" xfId="24888"/>
    <cellStyle name="‡_AUTO2000_EXERCISE PRICE-2X7 WO70-1100-PO-Riau 4" xfId="24887"/>
    <cellStyle name="‡_AUTO2000_EXERCISE PRICE-2X7 WO70-1100-PO-Riau 5" xfId="24886"/>
    <cellStyle name="‡_AUTO2000_EXERCISE PRICE-2X7 WO70-1100-PO-Riau 6" xfId="24885"/>
    <cellStyle name="‡_AUTO2000_EXERCISE PRICE-2X7 WO70-1100-PO-Riau 7" xfId="24884"/>
    <cellStyle name="‡_AUTO2000_EXERCISE PRICE-2X7 WO70-1100-PO-Riau 8" xfId="24883"/>
    <cellStyle name="‡_AUTO2000_FORM SUMMARY OF PRICE" xfId="24882"/>
    <cellStyle name="‡_AUTO2000_GALIAN C" xfId="24881"/>
    <cellStyle name="‡_AUTO2000_Inquiry Plan-KEPULAUAN RIAU 2X7 MW-GABUNGAN" xfId="24880"/>
    <cellStyle name="‡_AUTO2000_Inquiry Plan-KEPULAUAN RIAU 2X7 MW-GABUNGAN 2" xfId="24879"/>
    <cellStyle name="‡_AUTO2000_Inquiry Plan-KEPULAUAN RIAU 2X7 MW-GABUNGAN 2 2" xfId="24878"/>
    <cellStyle name="‡_AUTO2000_Inquiry Plan-KEPULAUAN RIAU 2X7 MW-GABUNGAN 3" xfId="24877"/>
    <cellStyle name="‡_AUTO2000_Inquiry Plan-KEPULAUAN RIAU 2X7 MW-GABUNGAN 3 2" xfId="24876"/>
    <cellStyle name="‡_AUTO2000_Inquiry Plan-KEPULAUAN RIAU 2X7 MW-GABUNGAN 4" xfId="24875"/>
    <cellStyle name="‡_AUTO2000_Inquiry Plan-KEPULAUAN RIAU 2X7 MW-GABUNGAN 4 2" xfId="24874"/>
    <cellStyle name="‡_AUTO2000_Inquiry Plan-KEPULAUAN RIAU 2X7 MW-GABUNGAN 5" xfId="24873"/>
    <cellStyle name="‡_AUTO2000_Pen- Kodja Revisi 02 November 2009 (Rev 11-11-09)" xfId="24872"/>
    <cellStyle name="‡_AUTO2000_Pen- Kodja Revisi 27 JAN 2010" xfId="24871"/>
    <cellStyle name="‡_AUTO2000_RAB Kodja Revisi 22 feb 2010" xfId="24870"/>
    <cellStyle name="‡_AUTO2000_RAB Kodja Revisi 23 feb 2010, revisi analisa" xfId="24869"/>
    <cellStyle name="‡_AUTO2000_SCHEME PACKAGES &amp; BUDGET 2 X 7 MW NTT-REV01" xfId="24868"/>
    <cellStyle name="‡_AUTO2000_SCHEME PACKAGES &amp; BUDGET 2 X 7 MW NTT-REV01 2" xfId="24867"/>
    <cellStyle name="‡_AUTO2000_SCHEME PACKAGES &amp; BUDGET 2 X 7 MW NTT-REV01 2 2" xfId="24866"/>
    <cellStyle name="‡_AUTO2000_SCHEME PACKAGES &amp; BUDGET 2 X 7 MW NTT-REV01 3" xfId="24865"/>
    <cellStyle name="‡_AUTO2000_SCHEME PACKAGES &amp; BUDGET 2 X 7 MW NTT-REV01 3 2" xfId="24864"/>
    <cellStyle name="‡_AUTO2000_SCHEME PACKAGES &amp; BUDGET 2 X 7 MW NTT-REV01 4" xfId="24863"/>
    <cellStyle name="‡_AUTO2000_SCHEME PACKAGES &amp; BUDGET 2 X 7 MW NTT-REV01 4 2" xfId="24862"/>
    <cellStyle name="‡_AUTO2000_SCHEME PACKAGES &amp; BUDGET 2 X 7 MW NTT-REV01 5" xfId="24861"/>
    <cellStyle name="‡_AUTO2000_SCHEME PACKAGES &amp; BUDGET 2 X 7 MW TBK-REV01" xfId="24860"/>
    <cellStyle name="‡_AUTO2000_SCHEME PACKAGES &amp; BUDGET 2 X 7 MW TBK-REV01 2" xfId="24859"/>
    <cellStyle name="‡_AUTO2000_SCHEME PACKAGES &amp; BUDGET 2 X 7 MW TBK-REV01 2 2" xfId="24858"/>
    <cellStyle name="‡_AUTO2000_SCHEME PACKAGES &amp; BUDGET 2 X 7 MW TBK-REV01 3" xfId="24857"/>
    <cellStyle name="‡_AUTO2000_SCHEME PACKAGES &amp; BUDGET 2 X 7 MW TBK-REV01 3 2" xfId="24856"/>
    <cellStyle name="‡_AUTO2000_SCHEME PACKAGES &amp; BUDGET 2 X 7 MW TBK-REV01 4" xfId="24855"/>
    <cellStyle name="‡_AUTO2000_SCHEME PACKAGES &amp; BUDGET 2 X 7 MW TBK-REV01 4 2" xfId="24854"/>
    <cellStyle name="‡_AUTO2000_SCHEME PACKAGES &amp; BUDGET 2 X 7 MW TBK-REV01 5" xfId="24853"/>
    <cellStyle name="‡_Bill of Quantity BPK 03082007" xfId="24852"/>
    <cellStyle name="‡_Bill of Quantity BPK 03082007_Analisa Bapelkes Full" xfId="24851"/>
    <cellStyle name="‡_Blue sky Piping tie-in-Package-comb-R1" xfId="24850"/>
    <cellStyle name="‡_Blue sky Piping tie-in-Package-comb-R1 2" xfId="24849"/>
    <cellStyle name="‡_Blue sky Piping tie-in-Package-comb-R1 2 2" xfId="24848"/>
    <cellStyle name="‡_Blue sky Piping tie-in-Package-comb-R1 3" xfId="24847"/>
    <cellStyle name="‡_Blue sky Piping tie-in-Package-comb-R1 3 2" xfId="24846"/>
    <cellStyle name="‡_Blue sky Piping tie-in-Package-comb-R1 4" xfId="24845"/>
    <cellStyle name="‡_Blue sky Piping tie-in-Package-comb-R1 4 2" xfId="24844"/>
    <cellStyle name="‡_Blue sky Piping tie-in-Package-comb-R1 5" xfId="24843"/>
    <cellStyle name="‡_Blue sky Piping tie-in-Package-comb-R1 6" xfId="24842"/>
    <cellStyle name="‡_Blue sky Piping tie-in-Package-comb-R1 7" xfId="24841"/>
    <cellStyle name="‡_Blue sky Piping tie-in-Package-comb-R1 8" xfId="24840"/>
    <cellStyle name="‡_Blue sky Piping tie-in-Package-comb-R1 9" xfId="24839"/>
    <cellStyle name="‡_Blue sky Piping tie-in-Package-comb-R1_BQ &amp; An Pds Gdg - KIM I" xfId="24838"/>
    <cellStyle name="‡_Blue sky Piping tie-in-Package-comb-R1_BQ &amp; An Pds Gdg - KIM I_GALIAN C" xfId="24837"/>
    <cellStyle name="‡_Blue sky Piping tie-in-Package-comb-R1_BQ &amp; An Pds Gdg - KIM I_Pen- Kodja Revisi 02 November 2009 (Rev 11-11-09)" xfId="24836"/>
    <cellStyle name="‡_Blue sky Piping tie-in-Package-comb-R1_BQ &amp; An Pds Gdg - KIM I_Pen- Kodja Revisi 27 JAN 2010" xfId="24835"/>
    <cellStyle name="‡_Blue sky Piping tie-in-Package-comb-R1_BQ &amp; An Pds Gdg - KIM I_RAB Kodja Revisi 22 feb 2010" xfId="24834"/>
    <cellStyle name="‡_Blue sky Piping tie-in-Package-comb-R1_BQ &amp; An Pds Gdg - KIM I_RAB Kodja Revisi 23 feb 2010, revisi analisa" xfId="24833"/>
    <cellStyle name="‡_Blue sky Piping tie-in-Package-comb-R1_BQ &amp; An Pondasi SEP &amp; WAREHOUSE-KIM I (R-0)" xfId="24832"/>
    <cellStyle name="‡_Blue sky Piping tie-in-Package-comb-R1_BQ &amp; An Pondasi SEP &amp; WAREHOUSE-KIM I (R-0)_GALIAN C" xfId="24831"/>
    <cellStyle name="‡_Blue sky Piping tie-in-Package-comb-R1_BQ &amp; An Pondasi SEP &amp; WAREHOUSE-KIM I (R-0)_Pen- Kodja Revisi 02 November 2009 (Rev 11-11-09)" xfId="24830"/>
    <cellStyle name="‡_Blue sky Piping tie-in-Package-comb-R1_BQ &amp; An Pondasi SEP &amp; WAREHOUSE-KIM I (R-0)_Pen- Kodja Revisi 27 JAN 2010" xfId="24829"/>
    <cellStyle name="‡_Blue sky Piping tie-in-Package-comb-R1_BQ &amp; An Pondasi SEP &amp; WAREHOUSE-KIM I (R-0)_RAB Kodja Revisi 22 feb 2010" xfId="24828"/>
    <cellStyle name="‡_Blue sky Piping tie-in-Package-comb-R1_BQ &amp; An Pondasi SEP &amp; WAREHOUSE-KIM I (R-0)_RAB Kodja Revisi 23 feb 2010, revisi analisa" xfId="24827"/>
    <cellStyle name="‡_Blue sky Piping tie-in-Package-comb-R1_BQ Pabrik Biodiesel MM-Btm" xfId="24826"/>
    <cellStyle name="‡_Blue sky Piping tie-in-Package-comb-R1_BQ Pabrik Biodiesel MM-Btm_GALIAN C" xfId="24825"/>
    <cellStyle name="‡_Blue sky Piping tie-in-Package-comb-R1_BQ Pabrik Biodiesel MM-Btm_Pen- Kodja Revisi 02 November 2009 (Rev 11-11-09)" xfId="24824"/>
    <cellStyle name="‡_Blue sky Piping tie-in-Package-comb-R1_BQ Pabrik Biodiesel MM-Btm_Pen- Kodja Revisi 27 JAN 2010" xfId="24823"/>
    <cellStyle name="‡_Blue sky Piping tie-in-Package-comb-R1_BQ Pabrik Biodiesel MM-Btm_RAB Kodja Revisi 22 feb 2010" xfId="24822"/>
    <cellStyle name="‡_Blue sky Piping tie-in-Package-comb-R1_BQ Pabrik Biodiesel MM-Btm_RAB Kodja Revisi 23 feb 2010, revisi analisa" xfId="24821"/>
    <cellStyle name="‡_Blue sky Piping tie-in-Package-comb-R1_EXERCISE PRICE-2x10 W70-1050-PO-KENDARI" xfId="24820"/>
    <cellStyle name="‡_Blue sky Piping tie-in-Package-comb-R1_EXERCISE PRICE-2x10 W70-1050-PO-KENDARI 2" xfId="24819"/>
    <cellStyle name="‡_Blue sky Piping tie-in-Package-comb-R1_EXERCISE PRICE-2x10 W70-1050-PO-KENDARI 3" xfId="24818"/>
    <cellStyle name="‡_Blue sky Piping tie-in-Package-comb-R1_EXERCISE PRICE-2x10 W70-1050-PO-KENDARI 4" xfId="24817"/>
    <cellStyle name="‡_Blue sky Piping tie-in-Package-comb-R1_EXERCISE PRICE-2x10 W70-1050-PO-KENDARI 5" xfId="24816"/>
    <cellStyle name="‡_Blue sky Piping tie-in-Package-comb-R1_EXERCISE PRICE-2x10 W70-1050-PO-KENDARI 6" xfId="24815"/>
    <cellStyle name="‡_Blue sky Piping tie-in-Package-comb-R1_EXERCISE PRICE-2x10 W70-1050-PO-KENDARI 7" xfId="24814"/>
    <cellStyle name="‡_Blue sky Piping tie-in-Package-comb-R1_EXERCISE PRICE-2x10 W70-1050-PO-KENDARI 8" xfId="24813"/>
    <cellStyle name="‡_Blue sky Piping tie-in-Package-comb-R1_EXERCISE PRICE-2X7 WO70-1100-PO-Riau" xfId="24812"/>
    <cellStyle name="‡_Blue sky Piping tie-in-Package-comb-R1_EXERCISE PRICE-2X7 WO70-1100-PO-Riau 2" xfId="24811"/>
    <cellStyle name="‡_Blue sky Piping tie-in-Package-comb-R1_EXERCISE PRICE-2X7 WO70-1100-PO-Riau 3" xfId="24810"/>
    <cellStyle name="‡_Blue sky Piping tie-in-Package-comb-R1_EXERCISE PRICE-2X7 WO70-1100-PO-Riau 4" xfId="24809"/>
    <cellStyle name="‡_Blue sky Piping tie-in-Package-comb-R1_EXERCISE PRICE-2X7 WO70-1100-PO-Riau 5" xfId="24808"/>
    <cellStyle name="‡_Blue sky Piping tie-in-Package-comb-R1_EXERCISE PRICE-2X7 WO70-1100-PO-Riau 6" xfId="24807"/>
    <cellStyle name="‡_Blue sky Piping tie-in-Package-comb-R1_EXERCISE PRICE-2X7 WO70-1100-PO-Riau 7" xfId="24806"/>
    <cellStyle name="‡_Blue sky Piping tie-in-Package-comb-R1_EXERCISE PRICE-2X7 WO70-1100-PO-Riau 8" xfId="24805"/>
    <cellStyle name="‡_Blue sky Piping tie-in-Package-comb-R1_FORM SUMMARY OF PRICE" xfId="24804"/>
    <cellStyle name="‡_Blue sky Piping tie-in-Package-comb-R1_GALIAN C" xfId="24803"/>
    <cellStyle name="‡_Blue sky Piping tie-in-Package-comb-R1_Inquiry Plan-KEPULAUAN RIAU 2X7 MW-GABUNGAN" xfId="24802"/>
    <cellStyle name="‡_Blue sky Piping tie-in-Package-comb-R1_Inquiry Plan-KEPULAUAN RIAU 2X7 MW-GABUNGAN 2" xfId="24801"/>
    <cellStyle name="‡_Blue sky Piping tie-in-Package-comb-R1_Inquiry Plan-KEPULAUAN RIAU 2X7 MW-GABUNGAN 2 2" xfId="24800"/>
    <cellStyle name="‡_Blue sky Piping tie-in-Package-comb-R1_Inquiry Plan-KEPULAUAN RIAU 2X7 MW-GABUNGAN 3" xfId="24799"/>
    <cellStyle name="‡_Blue sky Piping tie-in-Package-comb-R1_Inquiry Plan-KEPULAUAN RIAU 2X7 MW-GABUNGAN 3 2" xfId="24798"/>
    <cellStyle name="‡_Blue sky Piping tie-in-Package-comb-R1_Inquiry Plan-KEPULAUAN RIAU 2X7 MW-GABUNGAN 4" xfId="24797"/>
    <cellStyle name="‡_Blue sky Piping tie-in-Package-comb-R1_Inquiry Plan-KEPULAUAN RIAU 2X7 MW-GABUNGAN 4 2" xfId="24796"/>
    <cellStyle name="‡_Blue sky Piping tie-in-Package-comb-R1_Inquiry Plan-KEPULAUAN RIAU 2X7 MW-GABUNGAN 5" xfId="24795"/>
    <cellStyle name="‡_Blue sky Piping tie-in-Package-comb-R1_Pen- Kodja Revisi 02 November 2009 (Rev 11-11-09)" xfId="24794"/>
    <cellStyle name="‡_Blue sky Piping tie-in-Package-comb-R1_Pen- Kodja Revisi 27 JAN 2010" xfId="24793"/>
    <cellStyle name="‡_Blue sky Piping tie-in-Package-comb-R1_RAB Kodja Revisi 22 feb 2010" xfId="24792"/>
    <cellStyle name="‡_Blue sky Piping tie-in-Package-comb-R1_RAB Kodja Revisi 23 feb 2010, revisi analisa" xfId="24791"/>
    <cellStyle name="‡_Blue sky Piping tie-in-Package-comb-R1_SCHEME PACKAGES &amp; BUDGET 2 X 7 MW NTT-REV01" xfId="24790"/>
    <cellStyle name="‡_Blue sky Piping tie-in-Package-comb-R1_SCHEME PACKAGES &amp; BUDGET 2 X 7 MW NTT-REV01 2" xfId="24789"/>
    <cellStyle name="‡_Blue sky Piping tie-in-Package-comb-R1_SCHEME PACKAGES &amp; BUDGET 2 X 7 MW NTT-REV01 2 2" xfId="24788"/>
    <cellStyle name="‡_Blue sky Piping tie-in-Package-comb-R1_SCHEME PACKAGES &amp; BUDGET 2 X 7 MW NTT-REV01 3" xfId="24787"/>
    <cellStyle name="‡_Blue sky Piping tie-in-Package-comb-R1_SCHEME PACKAGES &amp; BUDGET 2 X 7 MW NTT-REV01 3 2" xfId="24786"/>
    <cellStyle name="‡_Blue sky Piping tie-in-Package-comb-R1_SCHEME PACKAGES &amp; BUDGET 2 X 7 MW NTT-REV01 4" xfId="24785"/>
    <cellStyle name="‡_Blue sky Piping tie-in-Package-comb-R1_SCHEME PACKAGES &amp; BUDGET 2 X 7 MW NTT-REV01 4 2" xfId="24784"/>
    <cellStyle name="‡_Blue sky Piping tie-in-Package-comb-R1_SCHEME PACKAGES &amp; BUDGET 2 X 7 MW NTT-REV01 5" xfId="24783"/>
    <cellStyle name="‡_Blue sky Piping tie-in-Package-comb-R1_SCHEME PACKAGES &amp; BUDGET 2 X 7 MW TBK-REV01" xfId="24782"/>
    <cellStyle name="‡_Blue sky Piping tie-in-Package-comb-R1_SCHEME PACKAGES &amp; BUDGET 2 X 7 MW TBK-REV01 2" xfId="24781"/>
    <cellStyle name="‡_Blue sky Piping tie-in-Package-comb-R1_SCHEME PACKAGES &amp; BUDGET 2 X 7 MW TBK-REV01 2 2" xfId="24780"/>
    <cellStyle name="‡_Blue sky Piping tie-in-Package-comb-R1_SCHEME PACKAGES &amp; BUDGET 2 X 7 MW TBK-REV01 3" xfId="24779"/>
    <cellStyle name="‡_Blue sky Piping tie-in-Package-comb-R1_SCHEME PACKAGES &amp; BUDGET 2 X 7 MW TBK-REV01 3 2" xfId="24778"/>
    <cellStyle name="‡_Blue sky Piping tie-in-Package-comb-R1_SCHEME PACKAGES &amp; BUDGET 2 X 7 MW TBK-REV01 4" xfId="24777"/>
    <cellStyle name="‡_Blue sky Piping tie-in-Package-comb-R1_SCHEME PACKAGES &amp; BUDGET 2 X 7 MW TBK-REV01 4 2" xfId="24776"/>
    <cellStyle name="‡_Blue sky Piping tie-in-Package-comb-R1_SCHEME PACKAGES &amp; BUDGET 2 X 7 MW TBK-REV01 5" xfId="24775"/>
    <cellStyle name="‡_BOOK1" xfId="24774"/>
    <cellStyle name="‡_BOOK1 2" xfId="24773"/>
    <cellStyle name="‡_BOOK1_0.Bidakara RAP" xfId="24772"/>
    <cellStyle name="‡_BOOK1_1.Cost Plan Bapelkes Depkes Batam 2008. xls" xfId="24771"/>
    <cellStyle name="‡_BOOK1_2. KANTOR WILAYAH" xfId="24770"/>
    <cellStyle name="‡_BOOK1_2. KANTOR WILAYAH_RAB EE-ELEK BI SMRD" xfId="24769"/>
    <cellStyle name="‡_BOOK1_3.BU - Alat Pakai (Merah)" xfId="24768"/>
    <cellStyle name="‡_BOOK1_ALAT-BU-SPP-CIPUTARA-ok" xfId="24767"/>
    <cellStyle name="‡_BOOK1_ALAT-SPP-BU-BPK" xfId="24766"/>
    <cellStyle name="‡_BOOK1_ALTERNATIF - I KBI (Kyoraku Blow molding)" xfId="24765"/>
    <cellStyle name="‡_BOOK1_Alternatif#1_Semua Alexindo_Opt_123" xfId="24764"/>
    <cellStyle name="‡_BOOK1_Analisa Bapelkes Full" xfId="24763"/>
    <cellStyle name="‡_BOOK1_ANALISA BPK DG" xfId="24762"/>
    <cellStyle name="‡_BOOK1_ANALISA HARGA SATUAN RAB" xfId="24761"/>
    <cellStyle name="‡_BOOK1_analisa rab" xfId="24760"/>
    <cellStyle name="‡_BOOK1_ANALISA RAB_SKBDN Batam" xfId="24759"/>
    <cellStyle name="‡_BOOK1_Bill of Quantity BPK 03082007" xfId="24758"/>
    <cellStyle name="‡_BOOK1_BQ ACP ALUCOBOND ECO_OPT_RAPP_1" xfId="24757"/>
    <cellStyle name="‡_BOOK1_BQ ACP ALUCOBOND ECO_OPT_RAPP_1_Realisasi Kontrak Kampar 31 agustus 2009" xfId="24756"/>
    <cellStyle name="‡_BOOK1_BQ ALUM_ALT#1" xfId="24755"/>
    <cellStyle name="‡_BOOK1_BQ Alumn_BPK Bengkulu_3_Komplit" xfId="24754"/>
    <cellStyle name="‡_BOOK1_BQ Facade Astra" xfId="24753"/>
    <cellStyle name="‡_BOOK1_BQ FACADE_Rev#2" xfId="24752"/>
    <cellStyle name="‡_BOOK1_BQ FACADE_Rev#2_Realisasi Kontrak Kampar 31 agustus 2009" xfId="24751"/>
    <cellStyle name="‡_BOOK1_bq gor bangkinang" xfId="24750"/>
    <cellStyle name="‡_BOOK1_BQ Kantor-Kalbe OTC, Jakarta.xls" xfId="24749"/>
    <cellStyle name="‡_BOOK1_BQ KISI-KISI" xfId="24748"/>
    <cellStyle name="‡_BOOK1_BQ KUSEN SMA PINTAR" xfId="24747"/>
    <cellStyle name="‡_BOOK1_BQ KUSEN SMA PINTAR_Rev#1_Opt_Abiz_1_rapp" xfId="24746"/>
    <cellStyle name="‡_BOOK1_BQ KUSEN TANJUNG PIANNG_EMAIL(2)" xfId="24745"/>
    <cellStyle name="‡_BOOK1_BQ ME Sebagian R2" xfId="24744"/>
    <cellStyle name="‡_BOOK1_BQ PINTU DAN JENDELA" xfId="24743"/>
    <cellStyle name="‡_BOOK1_BQ Realisasi Kontrak_RAPP" xfId="24742"/>
    <cellStyle name="‡_BOOK1_BQ+Hit. Lt 10, atap (Dago 27-06-2007 )" xfId="24741"/>
    <cellStyle name="‡_BOOK1_BQ-E" xfId="24740"/>
    <cellStyle name="‡_BOOK1_BQ-elec-kiic4(D) " xfId="24739"/>
    <cellStyle name="‡_BOOK1_Bq-Form Mech ( Baru ) 05" xfId="24738"/>
    <cellStyle name="‡_BOOK1_BQ-Kalbefarma OTC 29Juni2010.xls" xfId="24737"/>
    <cellStyle name="‡_BOOK1_Bq-M-23 August 2004" xfId="24736"/>
    <cellStyle name="‡_BOOK1_BQ-Mech. Summitmas II" xfId="24735"/>
    <cellStyle name="‡_BOOK1_BQ-Moric-Elec (A)" xfId="24734"/>
    <cellStyle name="‡_BOOK1_BQ-PermataBank Batam25Jan11.xls" xfId="24733"/>
    <cellStyle name="‡_BOOK1_BQ-SHIBAURA SHEARING" xfId="24732"/>
    <cellStyle name="‡_BOOK1_BQ-SHIBAURA SHEARING(Cancel)" xfId="24731"/>
    <cellStyle name="‡_BOOK1_BQ-YAMAHA FLAGSHIP-A" xfId="24730"/>
    <cellStyle name="‡_BOOK1_BU-Alat-Spp Bapelkes Thp II" xfId="24729"/>
    <cellStyle name="‡_BOOK1_Dephan (YKPP)_Rev#31" xfId="24728"/>
    <cellStyle name="‡_BOOK1_EE_MEKANIKAL_2007 ~ xx" xfId="24727"/>
    <cellStyle name="‡_BOOK1_EVALUASI HARGA_OPT" xfId="24726"/>
    <cellStyle name="‡_BOOK1_Expense" xfId="24725"/>
    <cellStyle name="‡_BOOK1_FORM MONITORING SUB" xfId="24724"/>
    <cellStyle name="‡_BOOK1_FORM MONITORING SUB_D0C. RECORD PROGRESS INDOKOMAS" xfId="24723"/>
    <cellStyle name="‡_BOOK1_Hit SKBDN" xfId="24722"/>
    <cellStyle name="‡_BOOK1_Hit. Hotel Sutan Raja Minahasa (MYO)" xfId="24721"/>
    <cellStyle name="‡_BOOK1_Hit. Lantai - 1" xfId="24720"/>
    <cellStyle name="‡_BOOK1_KONTRAK KAMPAR" xfId="24719"/>
    <cellStyle name="‡_BOOK1_KURVA S (DETAIL TYPE 2)" xfId="24718"/>
    <cellStyle name="‡_BOOK1_MAKER LIST" xfId="24717"/>
    <cellStyle name="‡_BOOK1_pek yang di sub kan" xfId="24716"/>
    <cellStyle name="‡_BOOK1_Penawaran harga rumah DPR_Revisi#3_Opt" xfId="24715"/>
    <cellStyle name="‡_BOOK1_Penawaran harga rumah DPR_Revisi#3_Opt_Realisasi Kontrak Kampar 31 agustus 2009" xfId="24714"/>
    <cellStyle name="‡_BOOK1_RAB 2007_2008 6,5 M R8" xfId="24713"/>
    <cellStyle name="‡_BOOK1_RAB EE-ELEK BI SMRD" xfId="24712"/>
    <cellStyle name="‡_BOOK1_RAB gr PP setelah direvisi  31 okt 07l " xfId="24711"/>
    <cellStyle name="‡_BOOK1_RAB gr PP setelah direvisi  31 okt 07l _ANALISA HARGA SATUAN" xfId="24710"/>
    <cellStyle name="‡_BOOK1_RAB gr PP setelah direvisi  31 okt 07l _rc bpk batamm" xfId="24709"/>
    <cellStyle name="‡_BOOK1_RAB gr PP setelah direvisi  31 okt 07l _rc bpk batamm_BQ ASITEKTUR BTN BATAM dan sipil" xfId="24708"/>
    <cellStyle name="‡_BOOK1_RAB gr PP setelah direvisi  31 okt 07l _rc bpk batamm_c bpk batam 24,5 M" xfId="24707"/>
    <cellStyle name="‡_BOOK1_RAB gr PP setelah direvisi  31 okt 07l _rc bpk batamm_rc gor dalam kota bangkinang" xfId="24706"/>
    <cellStyle name="‡_BOOK1_RAB gr PP setelah direvisi  31 okt 07l _rc bpk batamm_rc kantor dinas tanjung pinang 5 lantai R" xfId="24705"/>
    <cellStyle name="‡_BOOK1_RAB gr PP setelah direvisi  31 okt 07l _Rc SIJUNJUNG" xfId="24704"/>
    <cellStyle name="‡_BOOK1_rab proyek bpk" xfId="24703"/>
    <cellStyle name="‡_BOOK1_rab proyek bpk_rc bpk batamm" xfId="24702"/>
    <cellStyle name="‡_BOOK1_rab proyek bpk_rc bpk batamm_BQ ASITEKTUR BTN BATAM dan sipil" xfId="24701"/>
    <cellStyle name="‡_BOOK1_rab proyek bpk_rc bpk batamm_c bpk batam 24,5 M" xfId="24700"/>
    <cellStyle name="‡_BOOK1_rab proyek bpk_rc bpk batamm_rc gor dalam kota bangkinang" xfId="24699"/>
    <cellStyle name="‡_BOOK1_rab proyek bpk_rc bpk batamm_rc kantor dinas tanjung pinang 5 lantai R" xfId="24698"/>
    <cellStyle name="‡_BOOK1_RAB RUANG SERBAGUNA" xfId="24697"/>
    <cellStyle name="‡_BOOK1_RAB_DUCT_SRBGN_SETJEN_DEPKEU_020707" xfId="24696"/>
    <cellStyle name="‡_BOOK1_RAB_ELEKTRIKAL_2007" xfId="24695"/>
    <cellStyle name="‡_BOOK1_RAB_ELEKTRIKAL_SPORT CENTRE 2008" xfId="24694"/>
    <cellStyle name="‡_BOOK1_RAB_ELRKTRIKAL_KANTOR DINAS &amp; GUB._Final. R.II, BENAR KABEL TRAY.REV. JACON 30.04.2009xls" xfId="24693"/>
    <cellStyle name="‡_BOOK1_RAB_MEKANIKAL_2007" xfId="24692"/>
    <cellStyle name="‡_BOOK1_RAB_MEKANIKAL_2007_2" xfId="24691"/>
    <cellStyle name="‡_BOOK1_RAP_r1" xfId="24690"/>
    <cellStyle name="‡_BOOK1_Revisi-Kalbefarma OTC 5Jul2010 (2)-3.xls" xfId="24689"/>
    <cellStyle name="‡_BOOK1_Revisi-Kalbefarma OTC 6Jul2010-ME8%.xls" xfId="24688"/>
    <cellStyle name="‡_BOOK1_sex" xfId="24687"/>
    <cellStyle name="‡_BOOK1_sex_b1.57.1417.2004(B)" xfId="24686"/>
    <cellStyle name="‡_BOOK1_SKBDN Batam" xfId="24685"/>
    <cellStyle name="‡_BOOK1_SPESIFIKASI TEKNIS GR" xfId="24684"/>
    <cellStyle name="‡_BOOK1_UIN (NEW)" xfId="24683"/>
    <cellStyle name="‡_BOOK1_Vol. Bapelkes blok C ( Myo 07.12.07)" xfId="24682"/>
    <cellStyle name="‡_BOOK1_Vol. Precast" xfId="24681"/>
    <cellStyle name="‡_BQ &amp; An Pds Gdg - KIM I" xfId="24680"/>
    <cellStyle name="‡_BQ &amp; An Pds Gdg - KIM I_GALIAN C" xfId="24679"/>
    <cellStyle name="‡_BQ &amp; An Pds Gdg - KIM I_Pen- Kodja Revisi 02 November 2009 (Rev 11-11-09)" xfId="24678"/>
    <cellStyle name="‡_BQ &amp; An Pds Gdg - KIM I_Pen- Kodja Revisi 27 JAN 2010" xfId="24677"/>
    <cellStyle name="‡_BQ &amp; An Pds Gdg - KIM I_RAB Kodja Revisi 22 feb 2010" xfId="24676"/>
    <cellStyle name="‡_BQ &amp; An Pds Gdg - KIM I_RAB Kodja Revisi 23 feb 2010, revisi analisa" xfId="24675"/>
    <cellStyle name="‡_BQ &amp; An Pondasi SEP &amp; WAREHOUSE-KIM I (R-0)" xfId="24674"/>
    <cellStyle name="‡_BQ &amp; An Pondasi SEP &amp; WAREHOUSE-KIM I (R-0)_GALIAN C" xfId="24673"/>
    <cellStyle name="‡_BQ &amp; An Pondasi SEP &amp; WAREHOUSE-KIM I (R-0)_Pen- Kodja Revisi 02 November 2009 (Rev 11-11-09)" xfId="24672"/>
    <cellStyle name="‡_BQ &amp; An Pondasi SEP &amp; WAREHOUSE-KIM I (R-0)_Pen- Kodja Revisi 27 JAN 2010" xfId="24671"/>
    <cellStyle name="‡_BQ &amp; An Pondasi SEP &amp; WAREHOUSE-KIM I (R-0)_RAB Kodja Revisi 22 feb 2010" xfId="24670"/>
    <cellStyle name="‡_BQ &amp; An Pondasi SEP &amp; WAREHOUSE-KIM I (R-0)_RAB Kodja Revisi 23 feb 2010, revisi analisa" xfId="24669"/>
    <cellStyle name="‡_BQ ACP ALUCOBOND ECO_OPT_RAPP_1" xfId="24668"/>
    <cellStyle name="‡_BQ ACP ALUCOBOND ECO_OPT_RAPP_1_rc kantor dinas tanjung pinang 5 lantai" xfId="24667"/>
    <cellStyle name="‡_BQ ACP ALUCOBOND ECO_OPT_RAPP_1_Realisasi Kontrak Kampar 31 agustus 2009" xfId="24666"/>
    <cellStyle name="‡_BQ ALUM_ALT#1" xfId="24665"/>
    <cellStyle name="‡_BQ Alumn_BPK Bengkulu_3_Komplit" xfId="24664"/>
    <cellStyle name="‡_BQ Alumn_BPK Bengkulu_3_Komplit_rc kantor dinas tanjung pinang 5 lantai" xfId="24663"/>
    <cellStyle name="‡_BQ Facade Astra" xfId="24662"/>
    <cellStyle name="‡_BQ FACADE_Rev#2" xfId="24661"/>
    <cellStyle name="‡_BQ FACADE_Rev#2_rc kantor dinas tanjung pinang 5 lantai" xfId="24660"/>
    <cellStyle name="‡_BQ FACADE_Rev#2_Realisasi Kontrak Kampar 31 agustus 2009" xfId="24659"/>
    <cellStyle name="‡_bq gor bangkinang" xfId="24658"/>
    <cellStyle name="‡_BQ KISI-KISI" xfId="24657"/>
    <cellStyle name="‡_BQ KISI-KISI_rc kantor dinas tanjung pinang 5 lantai" xfId="24656"/>
    <cellStyle name="‡_BQ KUSEN SMA PINTAR" xfId="24655"/>
    <cellStyle name="‡_BQ KUSEN SMA PINTAR_Rev#1_Opt_Abiz_1_rapp" xfId="24654"/>
    <cellStyle name="‡_BQ ME Sebagian R2" xfId="24653"/>
    <cellStyle name="‡_BQ Pabrik Biodiesel MM-Btm" xfId="24652"/>
    <cellStyle name="‡_BQ Pabrik Biodiesel MM-Btm_GALIAN C" xfId="24651"/>
    <cellStyle name="‡_BQ Pabrik Biodiesel MM-Btm_Pen- Kodja Revisi 02 November 2009 (Rev 11-11-09)" xfId="24650"/>
    <cellStyle name="‡_BQ Pabrik Biodiesel MM-Btm_Pen- Kodja Revisi 27 JAN 2010" xfId="24649"/>
    <cellStyle name="‡_BQ Pabrik Biodiesel MM-Btm_RAB Kodja Revisi 22 feb 2010" xfId="24648"/>
    <cellStyle name="‡_BQ Pabrik Biodiesel MM-Btm_RAB Kodja Revisi 23 feb 2010, revisi analisa" xfId="24647"/>
    <cellStyle name="‡_BQ PINTU DAN JENDELA" xfId="24646"/>
    <cellStyle name="‡_BQ PINTU DAN JENDELA_rc kantor dinas tanjung pinang 5 lantai" xfId="24645"/>
    <cellStyle name="‡_BQ Realisasi Kontrak_RAPP" xfId="24644"/>
    <cellStyle name="‡_BQ Realisasi Kontrak_RAPP_rc kantor dinas tanjung pinang 5 lantai" xfId="24643"/>
    <cellStyle name="‡_BQ+Hit. Lt 10, atap (Dago 27-06-2007 )" xfId="24642"/>
    <cellStyle name="‡_BQ-E" xfId="24641"/>
    <cellStyle name="‡_BQ-E_Bq-M-23 August 2004" xfId="24640"/>
    <cellStyle name="‡_BQ-elec-kiic4(D) " xfId="24639"/>
    <cellStyle name="‡_Bq-Form Mech ( Baru ) 05" xfId="24638"/>
    <cellStyle name="‡_BQ-Mech. Summitmas II" xfId="24637"/>
    <cellStyle name="‡_BQ-Moric-Elec (A)" xfId="24636"/>
    <cellStyle name="‡_BQ-SHIBAURA SHEARING" xfId="24635"/>
    <cellStyle name="‡_BQ-SHIBAURA SHEARING(Cancel)" xfId="24634"/>
    <cellStyle name="‡_BQ-YAMAHA FLAGSHIP-A" xfId="24633"/>
    <cellStyle name="‡_BU-Alat-Spp Bapelkes Thp II" xfId="24632"/>
    <cellStyle name="‡_C4X" xfId="24631"/>
    <cellStyle name="‡_C4X 2" xfId="24630"/>
    <cellStyle name="‡_C4X 2 2" xfId="24629"/>
    <cellStyle name="‡_C4X 3" xfId="24628"/>
    <cellStyle name="‡_C4X 3 2" xfId="24627"/>
    <cellStyle name="‡_C4X 4" xfId="24626"/>
    <cellStyle name="‡_C4X 4 2" xfId="24625"/>
    <cellStyle name="‡_C4X 5" xfId="24624"/>
    <cellStyle name="‡_C4X 6" xfId="24623"/>
    <cellStyle name="‡_C4X 7" xfId="24622"/>
    <cellStyle name="‡_C4X 8" xfId="24621"/>
    <cellStyle name="‡_C4X 9" xfId="24620"/>
    <cellStyle name="‡_C4X_AUTO2000" xfId="24619"/>
    <cellStyle name="‡_C4X_AUTO2000 2" xfId="24618"/>
    <cellStyle name="‡_C4X_AUTO2000 2 2" xfId="24617"/>
    <cellStyle name="‡_C4X_AUTO2000 3" xfId="24616"/>
    <cellStyle name="‡_C4X_AUTO2000 3 2" xfId="24615"/>
    <cellStyle name="‡_C4X_AUTO2000 4" xfId="24614"/>
    <cellStyle name="‡_C4X_AUTO2000 4 2" xfId="24613"/>
    <cellStyle name="‡_C4X_AUTO2000 5" xfId="24612"/>
    <cellStyle name="‡_C4X_AUTO2000 6" xfId="24611"/>
    <cellStyle name="‡_C4X_AUTO2000 7" xfId="24610"/>
    <cellStyle name="‡_C4X_AUTO2000 8" xfId="24609"/>
    <cellStyle name="‡_C4X_AUTO2000 9" xfId="24608"/>
    <cellStyle name="‡_C4X_AUTO2000_BQ &amp; An Pds Gdg - KIM I" xfId="24607"/>
    <cellStyle name="‡_C4X_AUTO2000_BQ &amp; An Pds Gdg - KIM I_GALIAN C" xfId="24606"/>
    <cellStyle name="‡_C4X_AUTO2000_BQ &amp; An Pds Gdg - KIM I_Pen- Kodja Revisi 02 November 2009 (Rev 11-11-09)" xfId="24605"/>
    <cellStyle name="‡_C4X_AUTO2000_BQ &amp; An Pds Gdg - KIM I_Pen- Kodja Revisi 27 JAN 2010" xfId="24604"/>
    <cellStyle name="‡_C4X_AUTO2000_BQ &amp; An Pds Gdg - KIM I_RAB Kodja Revisi 22 feb 2010" xfId="24603"/>
    <cellStyle name="‡_C4X_AUTO2000_BQ &amp; An Pds Gdg - KIM I_RAB Kodja Revisi 23 feb 2010, revisi analisa" xfId="24602"/>
    <cellStyle name="‡_C4X_AUTO2000_BQ &amp; An Pondasi SEP &amp; WAREHOUSE-KIM I (R-0)" xfId="24601"/>
    <cellStyle name="‡_C4X_AUTO2000_BQ &amp; An Pondasi SEP &amp; WAREHOUSE-KIM I (R-0)_GALIAN C" xfId="24600"/>
    <cellStyle name="‡_C4X_AUTO2000_BQ &amp; An Pondasi SEP &amp; WAREHOUSE-KIM I (R-0)_Pen- Kodja Revisi 02 November 2009 (Rev 11-11-09)" xfId="24599"/>
    <cellStyle name="‡_C4X_AUTO2000_BQ &amp; An Pondasi SEP &amp; WAREHOUSE-KIM I (R-0)_Pen- Kodja Revisi 27 JAN 2010" xfId="24598"/>
    <cellStyle name="‡_C4X_AUTO2000_BQ &amp; An Pondasi SEP &amp; WAREHOUSE-KIM I (R-0)_RAB Kodja Revisi 22 feb 2010" xfId="24597"/>
    <cellStyle name="‡_C4X_AUTO2000_BQ &amp; An Pondasi SEP &amp; WAREHOUSE-KIM I (R-0)_RAB Kodja Revisi 23 feb 2010, revisi analisa" xfId="24596"/>
    <cellStyle name="‡_C4X_AUTO2000_BQ Pabrik Biodiesel MM-Btm" xfId="24595"/>
    <cellStyle name="‡_C4X_AUTO2000_BQ Pabrik Biodiesel MM-Btm_GALIAN C" xfId="24594"/>
    <cellStyle name="‡_C4X_AUTO2000_BQ Pabrik Biodiesel MM-Btm_Pen- Kodja Revisi 02 November 2009 (Rev 11-11-09)" xfId="24593"/>
    <cellStyle name="‡_C4X_AUTO2000_BQ Pabrik Biodiesel MM-Btm_Pen- Kodja Revisi 27 JAN 2010" xfId="24592"/>
    <cellStyle name="‡_C4X_AUTO2000_BQ Pabrik Biodiesel MM-Btm_RAB Kodja Revisi 22 feb 2010" xfId="24591"/>
    <cellStyle name="‡_C4X_AUTO2000_BQ Pabrik Biodiesel MM-Btm_RAB Kodja Revisi 23 feb 2010, revisi analisa" xfId="24590"/>
    <cellStyle name="‡_C4X_AUTO2000_EXERCISE PRICE-2x10 W70-1050-PO-KENDARI" xfId="24589"/>
    <cellStyle name="‡_C4X_AUTO2000_EXERCISE PRICE-2x10 W70-1050-PO-KENDARI 2" xfId="24588"/>
    <cellStyle name="‡_C4X_AUTO2000_EXERCISE PRICE-2x10 W70-1050-PO-KENDARI 3" xfId="24587"/>
    <cellStyle name="‡_C4X_AUTO2000_EXERCISE PRICE-2x10 W70-1050-PO-KENDARI 4" xfId="24586"/>
    <cellStyle name="‡_C4X_AUTO2000_EXERCISE PRICE-2x10 W70-1050-PO-KENDARI 5" xfId="24585"/>
    <cellStyle name="‡_C4X_AUTO2000_EXERCISE PRICE-2x10 W70-1050-PO-KENDARI 6" xfId="24584"/>
    <cellStyle name="‡_C4X_AUTO2000_EXERCISE PRICE-2x10 W70-1050-PO-KENDARI 7" xfId="24583"/>
    <cellStyle name="‡_C4X_AUTO2000_EXERCISE PRICE-2x10 W70-1050-PO-KENDARI 8" xfId="24582"/>
    <cellStyle name="‡_C4X_AUTO2000_EXERCISE PRICE-2X7 WO70-1100-PO-Riau" xfId="24581"/>
    <cellStyle name="‡_C4X_AUTO2000_EXERCISE PRICE-2X7 WO70-1100-PO-Riau 2" xfId="24580"/>
    <cellStyle name="‡_C4X_AUTO2000_EXERCISE PRICE-2X7 WO70-1100-PO-Riau 3" xfId="24579"/>
    <cellStyle name="‡_C4X_AUTO2000_EXERCISE PRICE-2X7 WO70-1100-PO-Riau 4" xfId="24578"/>
    <cellStyle name="‡_C4X_AUTO2000_EXERCISE PRICE-2X7 WO70-1100-PO-Riau 5" xfId="24577"/>
    <cellStyle name="‡_C4X_AUTO2000_EXERCISE PRICE-2X7 WO70-1100-PO-Riau 6" xfId="24576"/>
    <cellStyle name="‡_C4X_AUTO2000_EXERCISE PRICE-2X7 WO70-1100-PO-Riau 7" xfId="24575"/>
    <cellStyle name="‡_C4X_AUTO2000_EXERCISE PRICE-2X7 WO70-1100-PO-Riau 8" xfId="24574"/>
    <cellStyle name="‡_C4X_AUTO2000_FORM SUMMARY OF PRICE" xfId="24573"/>
    <cellStyle name="‡_C4X_AUTO2000_GALIAN C" xfId="24572"/>
    <cellStyle name="‡_C4X_AUTO2000_Inquiry Plan-KEPULAUAN RIAU 2X7 MW-GABUNGAN" xfId="24571"/>
    <cellStyle name="‡_C4X_AUTO2000_Inquiry Plan-KEPULAUAN RIAU 2X7 MW-GABUNGAN 2" xfId="24570"/>
    <cellStyle name="‡_C4X_AUTO2000_Inquiry Plan-KEPULAUAN RIAU 2X7 MW-GABUNGAN 2 2" xfId="24569"/>
    <cellStyle name="‡_C4X_AUTO2000_Inquiry Plan-KEPULAUAN RIAU 2X7 MW-GABUNGAN 3" xfId="24568"/>
    <cellStyle name="‡_C4X_AUTO2000_Inquiry Plan-KEPULAUAN RIAU 2X7 MW-GABUNGAN 3 2" xfId="24567"/>
    <cellStyle name="‡_C4X_AUTO2000_Inquiry Plan-KEPULAUAN RIAU 2X7 MW-GABUNGAN 4" xfId="24566"/>
    <cellStyle name="‡_C4X_AUTO2000_Inquiry Plan-KEPULAUAN RIAU 2X7 MW-GABUNGAN 4 2" xfId="24565"/>
    <cellStyle name="‡_C4X_AUTO2000_Inquiry Plan-KEPULAUAN RIAU 2X7 MW-GABUNGAN 5" xfId="24564"/>
    <cellStyle name="‡_C4X_AUTO2000_Pen- Kodja Revisi 02 November 2009 (Rev 11-11-09)" xfId="24563"/>
    <cellStyle name="‡_C4X_AUTO2000_Pen- Kodja Revisi 27 JAN 2010" xfId="24562"/>
    <cellStyle name="‡_C4X_AUTO2000_RAB Kodja Revisi 22 feb 2010" xfId="24561"/>
    <cellStyle name="‡_C4X_AUTO2000_RAB Kodja Revisi 23 feb 2010, revisi analisa" xfId="24560"/>
    <cellStyle name="‡_C4X_AUTO2000_SCHEME PACKAGES &amp; BUDGET 2 X 7 MW NTT-REV01" xfId="24559"/>
    <cellStyle name="‡_C4X_AUTO2000_SCHEME PACKAGES &amp; BUDGET 2 X 7 MW NTT-REV01 2" xfId="24558"/>
    <cellStyle name="‡_C4X_AUTO2000_SCHEME PACKAGES &amp; BUDGET 2 X 7 MW NTT-REV01 2 2" xfId="24557"/>
    <cellStyle name="‡_C4X_AUTO2000_SCHEME PACKAGES &amp; BUDGET 2 X 7 MW NTT-REV01 3" xfId="24556"/>
    <cellStyle name="‡_C4X_AUTO2000_SCHEME PACKAGES &amp; BUDGET 2 X 7 MW NTT-REV01 3 2" xfId="24555"/>
    <cellStyle name="‡_C4X_AUTO2000_SCHEME PACKAGES &amp; BUDGET 2 X 7 MW NTT-REV01 4" xfId="24554"/>
    <cellStyle name="‡_C4X_AUTO2000_SCHEME PACKAGES &amp; BUDGET 2 X 7 MW NTT-REV01 4 2" xfId="24553"/>
    <cellStyle name="‡_C4X_AUTO2000_SCHEME PACKAGES &amp; BUDGET 2 X 7 MW NTT-REV01 5" xfId="24552"/>
    <cellStyle name="‡_C4X_AUTO2000_SCHEME PACKAGES &amp; BUDGET 2 X 7 MW TBK-REV01" xfId="24551"/>
    <cellStyle name="‡_C4X_AUTO2000_SCHEME PACKAGES &amp; BUDGET 2 X 7 MW TBK-REV01 2" xfId="24550"/>
    <cellStyle name="‡_C4X_AUTO2000_SCHEME PACKAGES &amp; BUDGET 2 X 7 MW TBK-REV01 2 2" xfId="24549"/>
    <cellStyle name="‡_C4X_AUTO2000_SCHEME PACKAGES &amp; BUDGET 2 X 7 MW TBK-REV01 3" xfId="24548"/>
    <cellStyle name="‡_C4X_AUTO2000_SCHEME PACKAGES &amp; BUDGET 2 X 7 MW TBK-REV01 3 2" xfId="24547"/>
    <cellStyle name="‡_C4X_AUTO2000_SCHEME PACKAGES &amp; BUDGET 2 X 7 MW TBK-REV01 4" xfId="24546"/>
    <cellStyle name="‡_C4X_AUTO2000_SCHEME PACKAGES &amp; BUDGET 2 X 7 MW TBK-REV01 4 2" xfId="24545"/>
    <cellStyle name="‡_C4X_AUTO2000_SCHEME PACKAGES &amp; BUDGET 2 X 7 MW TBK-REV01 5" xfId="24544"/>
    <cellStyle name="‡_C4X_BQ &amp; An Pds Gdg - KIM I" xfId="24543"/>
    <cellStyle name="‡_C4X_BQ &amp; An Pds Gdg - KIM I_GALIAN C" xfId="24542"/>
    <cellStyle name="‡_C4X_BQ &amp; An Pds Gdg - KIM I_Pen- Kodja Revisi 02 November 2009 (Rev 11-11-09)" xfId="24541"/>
    <cellStyle name="‡_C4X_BQ &amp; An Pds Gdg - KIM I_Pen- Kodja Revisi 27 JAN 2010" xfId="24540"/>
    <cellStyle name="‡_C4X_BQ &amp; An Pds Gdg - KIM I_RAB Kodja Revisi 22 feb 2010" xfId="24539"/>
    <cellStyle name="‡_C4X_BQ &amp; An Pds Gdg - KIM I_RAB Kodja Revisi 23 feb 2010, revisi analisa" xfId="24538"/>
    <cellStyle name="‡_C4X_BQ &amp; An Pondasi SEP &amp; WAREHOUSE-KIM I (R-0)" xfId="24537"/>
    <cellStyle name="‡_C4X_BQ &amp; An Pondasi SEP &amp; WAREHOUSE-KIM I (R-0)_GALIAN C" xfId="24536"/>
    <cellStyle name="‡_C4X_BQ &amp; An Pondasi SEP &amp; WAREHOUSE-KIM I (R-0)_Pen- Kodja Revisi 02 November 2009 (Rev 11-11-09)" xfId="24535"/>
    <cellStyle name="‡_C4X_BQ &amp; An Pondasi SEP &amp; WAREHOUSE-KIM I (R-0)_Pen- Kodja Revisi 27 JAN 2010" xfId="24534"/>
    <cellStyle name="‡_C4X_BQ &amp; An Pondasi SEP &amp; WAREHOUSE-KIM I (R-0)_RAB Kodja Revisi 22 feb 2010" xfId="24533"/>
    <cellStyle name="‡_C4X_BQ &amp; An Pondasi SEP &amp; WAREHOUSE-KIM I (R-0)_RAB Kodja Revisi 23 feb 2010, revisi analisa" xfId="24532"/>
    <cellStyle name="‡_C4X_BQ Pabrik Biodiesel MM-Btm" xfId="24531"/>
    <cellStyle name="‡_C4X_BQ Pabrik Biodiesel MM-Btm_GALIAN C" xfId="24530"/>
    <cellStyle name="‡_C4X_BQ Pabrik Biodiesel MM-Btm_Pen- Kodja Revisi 02 November 2009 (Rev 11-11-09)" xfId="24529"/>
    <cellStyle name="‡_C4X_BQ Pabrik Biodiesel MM-Btm_Pen- Kodja Revisi 27 JAN 2010" xfId="24528"/>
    <cellStyle name="‡_C4X_BQ Pabrik Biodiesel MM-Btm_RAB Kodja Revisi 22 feb 2010" xfId="24527"/>
    <cellStyle name="‡_C4X_BQ Pabrik Biodiesel MM-Btm_RAB Kodja Revisi 23 feb 2010, revisi analisa" xfId="24526"/>
    <cellStyle name="‡_C4X_Cost Piping AG Install" xfId="24525"/>
    <cellStyle name="‡_C4X_Cost Piping AG Install 2" xfId="24524"/>
    <cellStyle name="‡_C4X_Cost Piping AG Install 2 2" xfId="24523"/>
    <cellStyle name="‡_C4X_Cost Piping AG Install 3" xfId="24522"/>
    <cellStyle name="‡_C4X_Cost Piping AG Install 3 2" xfId="24521"/>
    <cellStyle name="‡_C4X_Cost Piping AG Install 4" xfId="24520"/>
    <cellStyle name="‡_C4X_Cost Piping AG Install 4 2" xfId="24519"/>
    <cellStyle name="‡_C4X_Cost Piping AG Install 5" xfId="24518"/>
    <cellStyle name="‡_C4X_Cost Piping AG Install 6" xfId="24517"/>
    <cellStyle name="‡_C4X_Cost Piping AG Install 7" xfId="24516"/>
    <cellStyle name="‡_C4X_Cost Piping AG Install 8" xfId="24515"/>
    <cellStyle name="‡_C4X_Cost Piping AG Install 9" xfId="24514"/>
    <cellStyle name="‡_C4X_Cost Piping AG Install_BQ &amp; An Pds Gdg - KIM I" xfId="24513"/>
    <cellStyle name="‡_C4X_Cost Piping AG Install_BQ &amp; An Pds Gdg - KIM I_GALIAN C" xfId="24512"/>
    <cellStyle name="‡_C4X_Cost Piping AG Install_BQ &amp; An Pds Gdg - KIM I_Pen- Kodja Revisi 02 November 2009 (Rev 11-11-09)" xfId="24511"/>
    <cellStyle name="‡_C4X_Cost Piping AG Install_BQ &amp; An Pds Gdg - KIM I_Pen- Kodja Revisi 27 JAN 2010" xfId="24510"/>
    <cellStyle name="‡_C4X_Cost Piping AG Install_BQ &amp; An Pds Gdg - KIM I_RAB Kodja Revisi 22 feb 2010" xfId="24509"/>
    <cellStyle name="‡_C4X_Cost Piping AG Install_BQ &amp; An Pds Gdg - KIM I_RAB Kodja Revisi 23 feb 2010, revisi analisa" xfId="24508"/>
    <cellStyle name="‡_C4X_Cost Piping AG Install_BQ &amp; An Pondasi SEP &amp; WAREHOUSE-KIM I (R-0)" xfId="24507"/>
    <cellStyle name="‡_C4X_Cost Piping AG Install_BQ &amp; An Pondasi SEP &amp; WAREHOUSE-KIM I (R-0)_GALIAN C" xfId="24506"/>
    <cellStyle name="‡_C4X_Cost Piping AG Install_BQ &amp; An Pondasi SEP &amp; WAREHOUSE-KIM I (R-0)_Pen- Kodja Revisi 02 November 2009 (Rev 11-11-09)" xfId="24505"/>
    <cellStyle name="‡_C4X_Cost Piping AG Install_BQ &amp; An Pondasi SEP &amp; WAREHOUSE-KIM I (R-0)_Pen- Kodja Revisi 27 JAN 2010" xfId="24504"/>
    <cellStyle name="‡_C4X_Cost Piping AG Install_BQ &amp; An Pondasi SEP &amp; WAREHOUSE-KIM I (R-0)_RAB Kodja Revisi 22 feb 2010" xfId="24503"/>
    <cellStyle name="‡_C4X_Cost Piping AG Install_BQ &amp; An Pondasi SEP &amp; WAREHOUSE-KIM I (R-0)_RAB Kodja Revisi 23 feb 2010, revisi analisa" xfId="24502"/>
    <cellStyle name="‡_C4X_Cost Piping AG Install_BQ Pabrik Biodiesel MM-Btm" xfId="24501"/>
    <cellStyle name="‡_C4X_Cost Piping AG Install_BQ Pabrik Biodiesel MM-Btm_GALIAN C" xfId="24500"/>
    <cellStyle name="‡_C4X_Cost Piping AG Install_BQ Pabrik Biodiesel MM-Btm_Pen- Kodja Revisi 02 November 2009 (Rev 11-11-09)" xfId="24499"/>
    <cellStyle name="‡_C4X_Cost Piping AG Install_BQ Pabrik Biodiesel MM-Btm_Pen- Kodja Revisi 27 JAN 2010" xfId="24498"/>
    <cellStyle name="‡_C4X_Cost Piping AG Install_BQ Pabrik Biodiesel MM-Btm_RAB Kodja Revisi 22 feb 2010" xfId="24497"/>
    <cellStyle name="‡_C4X_Cost Piping AG Install_BQ Pabrik Biodiesel MM-Btm_RAB Kodja Revisi 23 feb 2010, revisi analisa" xfId="24496"/>
    <cellStyle name="‡_C4X_Cost Piping AG Install_EXERCISE PRICE-2x10 W70-1050-PO-KENDARI" xfId="24495"/>
    <cellStyle name="‡_C4X_Cost Piping AG Install_EXERCISE PRICE-2x10 W70-1050-PO-KENDARI 2" xfId="24494"/>
    <cellStyle name="‡_C4X_Cost Piping AG Install_EXERCISE PRICE-2x10 W70-1050-PO-KENDARI 3" xfId="24493"/>
    <cellStyle name="‡_C4X_Cost Piping AG Install_EXERCISE PRICE-2x10 W70-1050-PO-KENDARI 4" xfId="24492"/>
    <cellStyle name="‡_C4X_Cost Piping AG Install_EXERCISE PRICE-2x10 W70-1050-PO-KENDARI 5" xfId="24491"/>
    <cellStyle name="‡_C4X_Cost Piping AG Install_EXERCISE PRICE-2x10 W70-1050-PO-KENDARI 6" xfId="24490"/>
    <cellStyle name="‡_C4X_Cost Piping AG Install_EXERCISE PRICE-2x10 W70-1050-PO-KENDARI 7" xfId="24489"/>
    <cellStyle name="‡_C4X_Cost Piping AG Install_EXERCISE PRICE-2x10 W70-1050-PO-KENDARI 8" xfId="24488"/>
    <cellStyle name="‡_C4X_Cost Piping AG Install_EXERCISE PRICE-2X7 WO70-1100-PO-Riau" xfId="24487"/>
    <cellStyle name="‡_C4X_Cost Piping AG Install_EXERCISE PRICE-2X7 WO70-1100-PO-Riau 2" xfId="24486"/>
    <cellStyle name="‡_C4X_Cost Piping AG Install_EXERCISE PRICE-2X7 WO70-1100-PO-Riau 3" xfId="24485"/>
    <cellStyle name="‡_C4X_Cost Piping AG Install_EXERCISE PRICE-2X7 WO70-1100-PO-Riau 4" xfId="24484"/>
    <cellStyle name="‡_C4X_Cost Piping AG Install_EXERCISE PRICE-2X7 WO70-1100-PO-Riau 5" xfId="24483"/>
    <cellStyle name="‡_C4X_Cost Piping AG Install_EXERCISE PRICE-2X7 WO70-1100-PO-Riau 6" xfId="24482"/>
    <cellStyle name="‡_C4X_Cost Piping AG Install_EXERCISE PRICE-2X7 WO70-1100-PO-Riau 7" xfId="24481"/>
    <cellStyle name="‡_C4X_Cost Piping AG Install_EXERCISE PRICE-2X7 WO70-1100-PO-Riau 8" xfId="24480"/>
    <cellStyle name="‡_C4X_Cost Piping AG Install_FORM SUMMARY OF PRICE" xfId="24479"/>
    <cellStyle name="‡_C4X_Cost Piping AG Install_GALIAN C" xfId="24478"/>
    <cellStyle name="‡_C4X_Cost Piping AG Install_Inquiry Plan-KEPULAUAN RIAU 2X7 MW-GABUNGAN" xfId="24477"/>
    <cellStyle name="‡_C4X_Cost Piping AG Install_Inquiry Plan-KEPULAUAN RIAU 2X7 MW-GABUNGAN 2" xfId="24476"/>
    <cellStyle name="‡_C4X_Cost Piping AG Install_Inquiry Plan-KEPULAUAN RIAU 2X7 MW-GABUNGAN 2 2" xfId="24475"/>
    <cellStyle name="‡_C4X_Cost Piping AG Install_Inquiry Plan-KEPULAUAN RIAU 2X7 MW-GABUNGAN 3" xfId="24474"/>
    <cellStyle name="‡_C4X_Cost Piping AG Install_Inquiry Plan-KEPULAUAN RIAU 2X7 MW-GABUNGAN 3 2" xfId="24473"/>
    <cellStyle name="‡_C4X_Cost Piping AG Install_Inquiry Plan-KEPULAUAN RIAU 2X7 MW-GABUNGAN 4" xfId="24472"/>
    <cellStyle name="‡_C4X_Cost Piping AG Install_Inquiry Plan-KEPULAUAN RIAU 2X7 MW-GABUNGAN 4 2" xfId="24471"/>
    <cellStyle name="‡_C4X_Cost Piping AG Install_Inquiry Plan-KEPULAUAN RIAU 2X7 MW-GABUNGAN 5" xfId="24470"/>
    <cellStyle name="‡_C4X_Cost Piping AG Install_Pen- Kodja Revisi 02 November 2009 (Rev 11-11-09)" xfId="24469"/>
    <cellStyle name="‡_C4X_Cost Piping AG Install_Pen- Kodja Revisi 27 JAN 2010" xfId="24468"/>
    <cellStyle name="‡_C4X_Cost Piping AG Install_RAB Kodja Revisi 22 feb 2010" xfId="24467"/>
    <cellStyle name="‡_C4X_Cost Piping AG Install_RAB Kodja Revisi 23 feb 2010, revisi analisa" xfId="24466"/>
    <cellStyle name="‡_C4X_Cost Piping AG Install_SCHEME PACKAGES &amp; BUDGET 2 X 7 MW NTT-REV01" xfId="24465"/>
    <cellStyle name="‡_C4X_Cost Piping AG Install_SCHEME PACKAGES &amp; BUDGET 2 X 7 MW NTT-REV01 2" xfId="24464"/>
    <cellStyle name="‡_C4X_Cost Piping AG Install_SCHEME PACKAGES &amp; BUDGET 2 X 7 MW NTT-REV01 2 2" xfId="24463"/>
    <cellStyle name="‡_C4X_Cost Piping AG Install_SCHEME PACKAGES &amp; BUDGET 2 X 7 MW NTT-REV01 3" xfId="24462"/>
    <cellStyle name="‡_C4X_Cost Piping AG Install_SCHEME PACKAGES &amp; BUDGET 2 X 7 MW NTT-REV01 3 2" xfId="24461"/>
    <cellStyle name="‡_C4X_Cost Piping AG Install_SCHEME PACKAGES &amp; BUDGET 2 X 7 MW NTT-REV01 4" xfId="24460"/>
    <cellStyle name="‡_C4X_Cost Piping AG Install_SCHEME PACKAGES &amp; BUDGET 2 X 7 MW NTT-REV01 4 2" xfId="24459"/>
    <cellStyle name="‡_C4X_Cost Piping AG Install_SCHEME PACKAGES &amp; BUDGET 2 X 7 MW NTT-REV01 5" xfId="24458"/>
    <cellStyle name="‡_C4X_Cost Piping AG Install_SCHEME PACKAGES &amp; BUDGET 2 X 7 MW TBK-REV01" xfId="24457"/>
    <cellStyle name="‡_C4X_Cost Piping AG Install_SCHEME PACKAGES &amp; BUDGET 2 X 7 MW TBK-REV01 2" xfId="24456"/>
    <cellStyle name="‡_C4X_Cost Piping AG Install_SCHEME PACKAGES &amp; BUDGET 2 X 7 MW TBK-REV01 2 2" xfId="24455"/>
    <cellStyle name="‡_C4X_Cost Piping AG Install_SCHEME PACKAGES &amp; BUDGET 2 X 7 MW TBK-REV01 3" xfId="24454"/>
    <cellStyle name="‡_C4X_Cost Piping AG Install_SCHEME PACKAGES &amp; BUDGET 2 X 7 MW TBK-REV01 3 2" xfId="24453"/>
    <cellStyle name="‡_C4X_Cost Piping AG Install_SCHEME PACKAGES &amp; BUDGET 2 X 7 MW TBK-REV01 4" xfId="24452"/>
    <cellStyle name="‡_C4X_Cost Piping AG Install_SCHEME PACKAGES &amp; BUDGET 2 X 7 MW TBK-REV01 4 2" xfId="24451"/>
    <cellStyle name="‡_C4X_Cost Piping AG Install_SCHEME PACKAGES &amp; BUDGET 2 X 7 MW TBK-REV01 5" xfId="24450"/>
    <cellStyle name="‡_C4X_Cost Piping PIM2revf" xfId="24449"/>
    <cellStyle name="‡_C4X_Cost Piping PIM2revf_BQ &amp; An Pds Gdg - KIM I" xfId="24448"/>
    <cellStyle name="‡_C4X_Cost Piping PIM2revf_BQ &amp; An Pds Gdg - KIM I_GALIAN C" xfId="24447"/>
    <cellStyle name="‡_C4X_Cost Piping PIM2revf_BQ &amp; An Pds Gdg - KIM I_Pen- Kodja Revisi 02 November 2009 (Rev 11-11-09)" xfId="24446"/>
    <cellStyle name="‡_C4X_Cost Piping PIM2revf_BQ &amp; An Pds Gdg - KIM I_Pen- Kodja Revisi 27 JAN 2010" xfId="24445"/>
    <cellStyle name="‡_C4X_Cost Piping PIM2revf_BQ &amp; An Pds Gdg - KIM I_RAB Kodja Revisi 22 feb 2010" xfId="24444"/>
    <cellStyle name="‡_C4X_Cost Piping PIM2revf_BQ &amp; An Pds Gdg - KIM I_RAB Kodja Revisi 23 feb 2010, revisi analisa" xfId="24443"/>
    <cellStyle name="‡_C4X_Cost Piping PIM2revf_BQ &amp; An Pondasi SEP &amp; WAREHOUSE-KIM I (R-0)" xfId="24442"/>
    <cellStyle name="‡_C4X_Cost Piping PIM2revf_BQ &amp; An Pondasi SEP &amp; WAREHOUSE-KIM I (R-0)_GALIAN C" xfId="24441"/>
    <cellStyle name="‡_C4X_Cost Piping PIM2revf_BQ &amp; An Pondasi SEP &amp; WAREHOUSE-KIM I (R-0)_Pen- Kodja Revisi 02 November 2009 (Rev 11-11-09)" xfId="24440"/>
    <cellStyle name="‡_C4X_Cost Piping PIM2revf_BQ &amp; An Pondasi SEP &amp; WAREHOUSE-KIM I (R-0)_Pen- Kodja Revisi 27 JAN 2010" xfId="24439"/>
    <cellStyle name="‡_C4X_Cost Piping PIM2revf_BQ &amp; An Pondasi SEP &amp; WAREHOUSE-KIM I (R-0)_RAB Kodja Revisi 22 feb 2010" xfId="24438"/>
    <cellStyle name="‡_C4X_Cost Piping PIM2revf_BQ &amp; An Pondasi SEP &amp; WAREHOUSE-KIM I (R-0)_RAB Kodja Revisi 23 feb 2010, revisi analisa" xfId="24437"/>
    <cellStyle name="‡_C4X_Cost Piping PIM2revf_BQ Pabrik Biodiesel MM-Btm" xfId="24436"/>
    <cellStyle name="‡_C4X_Cost Piping PIM2revf_BQ Pabrik Biodiesel MM-Btm_GALIAN C" xfId="24435"/>
    <cellStyle name="‡_C4X_Cost Piping PIM2revf_BQ Pabrik Biodiesel MM-Btm_Pen- Kodja Revisi 02 November 2009 (Rev 11-11-09)" xfId="24434"/>
    <cellStyle name="‡_C4X_Cost Piping PIM2revf_BQ Pabrik Biodiesel MM-Btm_Pen- Kodja Revisi 27 JAN 2010" xfId="24433"/>
    <cellStyle name="‡_C4X_Cost Piping PIM2revf_BQ Pabrik Biodiesel MM-Btm_RAB Kodja Revisi 22 feb 2010" xfId="24432"/>
    <cellStyle name="‡_C4X_Cost Piping PIM2revf_BQ Pabrik Biodiesel MM-Btm_RAB Kodja Revisi 23 feb 2010, revisi analisa" xfId="24431"/>
    <cellStyle name="‡_C4X_Cost Piping PIM2revf_GALIAN C" xfId="24430"/>
    <cellStyle name="‡_C4X_Cost Piping PIM2revf_Pen- Kodja Revisi 02 November 2009 (Rev 11-11-09)" xfId="24429"/>
    <cellStyle name="‡_C4X_Cost Piping PIM2revf_Pen- Kodja Revisi 27 JAN 2010" xfId="24428"/>
    <cellStyle name="‡_C4X_Cost Piping PIM2revf_RAB Kodja Revisi 22 feb 2010" xfId="24427"/>
    <cellStyle name="‡_C4X_Cost Piping PIM2revf_RAB Kodja Revisi 23 feb 2010, revisi analisa" xfId="24426"/>
    <cellStyle name="‡_C4X_EXERCISE PRICE-2x10 W70-1050-PO-KENDARI" xfId="24425"/>
    <cellStyle name="‡_C4X_EXERCISE PRICE-2x10 W70-1050-PO-KENDARI 2" xfId="24424"/>
    <cellStyle name="‡_C4X_EXERCISE PRICE-2x10 W70-1050-PO-KENDARI 3" xfId="24423"/>
    <cellStyle name="‡_C4X_EXERCISE PRICE-2x10 W70-1050-PO-KENDARI 4" xfId="24422"/>
    <cellStyle name="‡_C4X_EXERCISE PRICE-2x10 W70-1050-PO-KENDARI 5" xfId="24421"/>
    <cellStyle name="‡_C4X_EXERCISE PRICE-2x10 W70-1050-PO-KENDARI 6" xfId="24420"/>
    <cellStyle name="‡_C4X_EXERCISE PRICE-2x10 W70-1050-PO-KENDARI 7" xfId="24419"/>
    <cellStyle name="‡_C4X_EXERCISE PRICE-2x10 W70-1050-PO-KENDARI 8" xfId="24418"/>
    <cellStyle name="‡_C4X_EXERCISE PRICE-2X7 WO70-1100-PO-Riau" xfId="24417"/>
    <cellStyle name="‡_C4X_EXERCISE PRICE-2X7 WO70-1100-PO-Riau 2" xfId="24416"/>
    <cellStyle name="‡_C4X_EXERCISE PRICE-2X7 WO70-1100-PO-Riau 3" xfId="24415"/>
    <cellStyle name="‡_C4X_EXERCISE PRICE-2X7 WO70-1100-PO-Riau 4" xfId="24414"/>
    <cellStyle name="‡_C4X_EXERCISE PRICE-2X7 WO70-1100-PO-Riau 5" xfId="24413"/>
    <cellStyle name="‡_C4X_EXERCISE PRICE-2X7 WO70-1100-PO-Riau 6" xfId="24412"/>
    <cellStyle name="‡_C4X_EXERCISE PRICE-2X7 WO70-1100-PO-Riau 7" xfId="24411"/>
    <cellStyle name="‡_C4X_EXERCISE PRICE-2X7 WO70-1100-PO-Riau 8" xfId="24410"/>
    <cellStyle name="‡_C4X_FORM SUMMARY OF PRICE" xfId="24409"/>
    <cellStyle name="‡_C4X_GALIAN C" xfId="24408"/>
    <cellStyle name="‡_C4X_Granulation Rev1 Costdirect Pim2" xfId="24407"/>
    <cellStyle name="‡_C4X_Granulation Rev1 Costdirect Pim2_BQ &amp; An Pds Gdg - KIM I" xfId="24406"/>
    <cellStyle name="‡_C4X_Granulation Rev1 Costdirect Pim2_BQ &amp; An Pds Gdg - KIM I_GALIAN C" xfId="24405"/>
    <cellStyle name="‡_C4X_Granulation Rev1 Costdirect Pim2_BQ &amp; An Pds Gdg - KIM I_Pen- Kodja Revisi 02 November 2009 (Rev 11-11-09)" xfId="24404"/>
    <cellStyle name="‡_C4X_Granulation Rev1 Costdirect Pim2_BQ &amp; An Pds Gdg - KIM I_Pen- Kodja Revisi 27 JAN 2010" xfId="24403"/>
    <cellStyle name="‡_C4X_Granulation Rev1 Costdirect Pim2_BQ &amp; An Pds Gdg - KIM I_RAB Kodja Revisi 22 feb 2010" xfId="24402"/>
    <cellStyle name="‡_C4X_Granulation Rev1 Costdirect Pim2_BQ &amp; An Pds Gdg - KIM I_RAB Kodja Revisi 23 feb 2010, revisi analisa" xfId="24401"/>
    <cellStyle name="‡_C4X_Granulation Rev1 Costdirect Pim2_BQ &amp; An Pondasi SEP &amp; WAREHOUSE-KIM I (R-0)" xfId="24400"/>
    <cellStyle name="‡_C4X_Granulation Rev1 Costdirect Pim2_BQ &amp; An Pondasi SEP &amp; WAREHOUSE-KIM I (R-0)_GALIAN C" xfId="24399"/>
    <cellStyle name="‡_C4X_Granulation Rev1 Costdirect Pim2_BQ &amp; An Pondasi SEP &amp; WAREHOUSE-KIM I (R-0)_Pen- Kodja Revisi 02 November 2009 (Rev 11-11-09)" xfId="24398"/>
    <cellStyle name="‡_C4X_Granulation Rev1 Costdirect Pim2_BQ &amp; An Pondasi SEP &amp; WAREHOUSE-KIM I (R-0)_Pen- Kodja Revisi 27 JAN 2010" xfId="24397"/>
    <cellStyle name="‡_C4X_Granulation Rev1 Costdirect Pim2_BQ &amp; An Pondasi SEP &amp; WAREHOUSE-KIM I (R-0)_RAB Kodja Revisi 22 feb 2010" xfId="24396"/>
    <cellStyle name="‡_C4X_Granulation Rev1 Costdirect Pim2_BQ &amp; An Pondasi SEP &amp; WAREHOUSE-KIM I (R-0)_RAB Kodja Revisi 23 feb 2010, revisi analisa" xfId="24395"/>
    <cellStyle name="‡_C4X_Granulation Rev1 Costdirect Pim2_BQ Pabrik Biodiesel MM-Btm" xfId="24394"/>
    <cellStyle name="‡_C4X_Granulation Rev1 Costdirect Pim2_BQ Pabrik Biodiesel MM-Btm_GALIAN C" xfId="24393"/>
    <cellStyle name="‡_C4X_Granulation Rev1 Costdirect Pim2_BQ Pabrik Biodiesel MM-Btm_Pen- Kodja Revisi 02 November 2009 (Rev 11-11-09)" xfId="24392"/>
    <cellStyle name="‡_C4X_Granulation Rev1 Costdirect Pim2_BQ Pabrik Biodiesel MM-Btm_Pen- Kodja Revisi 27 JAN 2010" xfId="24391"/>
    <cellStyle name="‡_C4X_Granulation Rev1 Costdirect Pim2_BQ Pabrik Biodiesel MM-Btm_RAB Kodja Revisi 22 feb 2010" xfId="24390"/>
    <cellStyle name="‡_C4X_Granulation Rev1 Costdirect Pim2_BQ Pabrik Biodiesel MM-Btm_RAB Kodja Revisi 23 feb 2010, revisi analisa" xfId="24389"/>
    <cellStyle name="‡_C4X_Granulation Rev1 Costdirect Pim2_GALIAN C" xfId="24388"/>
    <cellStyle name="‡_C4X_Granulation Rev1 Costdirect Pim2_Pen- Kodja Revisi 02 November 2009 (Rev 11-11-09)" xfId="24387"/>
    <cellStyle name="‡_C4X_Granulation Rev1 Costdirect Pim2_Pen- Kodja Revisi 27 JAN 2010" xfId="24386"/>
    <cellStyle name="‡_C4X_Granulation Rev1 Costdirect Pim2_RAB Kodja Revisi 22 feb 2010" xfId="24385"/>
    <cellStyle name="‡_C4X_Granulation Rev1 Costdirect Pim2_RAB Kodja Revisi 23 feb 2010, revisi analisa" xfId="24384"/>
    <cellStyle name="‡_C4X_Inquiry Plan-KEPULAUAN RIAU 2X7 MW-GABUNGAN" xfId="24383"/>
    <cellStyle name="‡_C4X_Inquiry Plan-KEPULAUAN RIAU 2X7 MW-GABUNGAN 2" xfId="24382"/>
    <cellStyle name="‡_C4X_Inquiry Plan-KEPULAUAN RIAU 2X7 MW-GABUNGAN 2 2" xfId="24381"/>
    <cellStyle name="‡_C4X_Inquiry Plan-KEPULAUAN RIAU 2X7 MW-GABUNGAN 3" xfId="24380"/>
    <cellStyle name="‡_C4X_Inquiry Plan-KEPULAUAN RIAU 2X7 MW-GABUNGAN 3 2" xfId="24379"/>
    <cellStyle name="‡_C4X_Inquiry Plan-KEPULAUAN RIAU 2X7 MW-GABUNGAN 4" xfId="24378"/>
    <cellStyle name="‡_C4X_Inquiry Plan-KEPULAUAN RIAU 2X7 MW-GABUNGAN 4 2" xfId="24377"/>
    <cellStyle name="‡_C4X_Inquiry Plan-KEPULAUAN RIAU 2X7 MW-GABUNGAN 5" xfId="24376"/>
    <cellStyle name="‡_C4X_Pen- Kodja Revisi 02 November 2009 (Rev 11-11-09)" xfId="24375"/>
    <cellStyle name="‡_C4X_Pen- Kodja Revisi 27 JAN 2010" xfId="24374"/>
    <cellStyle name="‡_C4X_price toolrev1" xfId="24373"/>
    <cellStyle name="‡_C4X_price toolrev1_BQ &amp; An Pds Gdg - KIM I" xfId="24372"/>
    <cellStyle name="‡_C4X_price toolrev1_BQ &amp; An Pds Gdg - KIM I_GALIAN C" xfId="24371"/>
    <cellStyle name="‡_C4X_price toolrev1_BQ &amp; An Pds Gdg - KIM I_Pen- Kodja Revisi 02 November 2009 (Rev 11-11-09)" xfId="24370"/>
    <cellStyle name="‡_C4X_price toolrev1_BQ &amp; An Pds Gdg - KIM I_Pen- Kodja Revisi 27 JAN 2010" xfId="24369"/>
    <cellStyle name="‡_C4X_price toolrev1_BQ &amp; An Pds Gdg - KIM I_RAB Kodja Revisi 22 feb 2010" xfId="24368"/>
    <cellStyle name="‡_C4X_price toolrev1_BQ &amp; An Pds Gdg - KIM I_RAB Kodja Revisi 23 feb 2010, revisi analisa" xfId="24367"/>
    <cellStyle name="‡_C4X_price toolrev1_BQ &amp; An Pondasi SEP &amp; WAREHOUSE-KIM I (R-0)" xfId="24366"/>
    <cellStyle name="‡_C4X_price toolrev1_BQ &amp; An Pondasi SEP &amp; WAREHOUSE-KIM I (R-0)_GALIAN C" xfId="24365"/>
    <cellStyle name="‡_C4X_price toolrev1_BQ &amp; An Pondasi SEP &amp; WAREHOUSE-KIM I (R-0)_Pen- Kodja Revisi 02 November 2009 (Rev 11-11-09)" xfId="24364"/>
    <cellStyle name="‡_C4X_price toolrev1_BQ &amp; An Pondasi SEP &amp; WAREHOUSE-KIM I (R-0)_Pen- Kodja Revisi 27 JAN 2010" xfId="24363"/>
    <cellStyle name="‡_C4X_price toolrev1_BQ &amp; An Pondasi SEP &amp; WAREHOUSE-KIM I (R-0)_RAB Kodja Revisi 22 feb 2010" xfId="24362"/>
    <cellStyle name="‡_C4X_price toolrev1_BQ &amp; An Pondasi SEP &amp; WAREHOUSE-KIM I (R-0)_RAB Kodja Revisi 23 feb 2010, revisi analisa" xfId="24361"/>
    <cellStyle name="‡_C4X_price toolrev1_BQ Pabrik Biodiesel MM-Btm" xfId="24360"/>
    <cellStyle name="‡_C4X_price toolrev1_BQ Pabrik Biodiesel MM-Btm_GALIAN C" xfId="24359"/>
    <cellStyle name="‡_C4X_price toolrev1_BQ Pabrik Biodiesel MM-Btm_Pen- Kodja Revisi 02 November 2009 (Rev 11-11-09)" xfId="24358"/>
    <cellStyle name="‡_C4X_price toolrev1_BQ Pabrik Biodiesel MM-Btm_Pen- Kodja Revisi 27 JAN 2010" xfId="24357"/>
    <cellStyle name="‡_C4X_price toolrev1_BQ Pabrik Biodiesel MM-Btm_RAB Kodja Revisi 22 feb 2010" xfId="24356"/>
    <cellStyle name="‡_C4X_price toolrev1_BQ Pabrik Biodiesel MM-Btm_RAB Kodja Revisi 23 feb 2010, revisi analisa" xfId="24355"/>
    <cellStyle name="‡_C4X_price toolrev1_GALIAN C" xfId="24354"/>
    <cellStyle name="‡_C4X_price toolrev1_Pen- Kodja Revisi 02 November 2009 (Rev 11-11-09)" xfId="24353"/>
    <cellStyle name="‡_C4X_price toolrev1_Pen- Kodja Revisi 27 JAN 2010" xfId="24352"/>
    <cellStyle name="‡_C4X_price toolrev1_RAB Kodja Revisi 22 feb 2010" xfId="24351"/>
    <cellStyle name="‡_C4X_price toolrev1_RAB Kodja Revisi 23 feb 2010, revisi analisa" xfId="24350"/>
    <cellStyle name="‡_C4X_RAB Kodja Revisi 22 feb 2010" xfId="24349"/>
    <cellStyle name="‡_C4X_RAB Kodja Revisi 23 feb 2010, revisi analisa" xfId="24348"/>
    <cellStyle name="‡_C4X_SCHEME PACKAGES &amp; BUDGET 2 X 7 MW NTT-REV01" xfId="24347"/>
    <cellStyle name="‡_C4X_SCHEME PACKAGES &amp; BUDGET 2 X 7 MW NTT-REV01 2" xfId="24346"/>
    <cellStyle name="‡_C4X_SCHEME PACKAGES &amp; BUDGET 2 X 7 MW NTT-REV01 2 2" xfId="24345"/>
    <cellStyle name="‡_C4X_SCHEME PACKAGES &amp; BUDGET 2 X 7 MW NTT-REV01 3" xfId="24344"/>
    <cellStyle name="‡_C4X_SCHEME PACKAGES &amp; BUDGET 2 X 7 MW NTT-REV01 3 2" xfId="24343"/>
    <cellStyle name="‡_C4X_SCHEME PACKAGES &amp; BUDGET 2 X 7 MW NTT-REV01 4" xfId="24342"/>
    <cellStyle name="‡_C4X_SCHEME PACKAGES &amp; BUDGET 2 X 7 MW NTT-REV01 4 2" xfId="24341"/>
    <cellStyle name="‡_C4X_SCHEME PACKAGES &amp; BUDGET 2 X 7 MW NTT-REV01 5" xfId="24340"/>
    <cellStyle name="‡_C4X_SCHEME PACKAGES &amp; BUDGET 2 X 7 MW TBK-REV01" xfId="24339"/>
    <cellStyle name="‡_C4X_SCHEME PACKAGES &amp; BUDGET 2 X 7 MW TBK-REV01 2" xfId="24338"/>
    <cellStyle name="‡_C4X_SCHEME PACKAGES &amp; BUDGET 2 X 7 MW TBK-REV01 2 2" xfId="24337"/>
    <cellStyle name="‡_C4X_SCHEME PACKAGES &amp; BUDGET 2 X 7 MW TBK-REV01 3" xfId="24336"/>
    <cellStyle name="‡_C4X_SCHEME PACKAGES &amp; BUDGET 2 X 7 MW TBK-REV01 3 2" xfId="24335"/>
    <cellStyle name="‡_C4X_SCHEME PACKAGES &amp; BUDGET 2 X 7 MW TBK-REV01 4" xfId="24334"/>
    <cellStyle name="‡_C4X_SCHEME PACKAGES &amp; BUDGET 2 X 7 MW TBK-REV01 4 2" xfId="24333"/>
    <cellStyle name="‡_C4X_SCHEME PACKAGES &amp; BUDGET 2 X 7 MW TBK-REV01 5" xfId="24332"/>
    <cellStyle name="‡_C4X_std" xfId="24331"/>
    <cellStyle name="‡_C4X_std 2" xfId="24330"/>
    <cellStyle name="‡_C4X_std 2 2" xfId="24329"/>
    <cellStyle name="‡_C4X_std 3" xfId="24328"/>
    <cellStyle name="‡_C4X_std 3 2" xfId="24327"/>
    <cellStyle name="‡_C4X_std 4" xfId="24326"/>
    <cellStyle name="‡_C4X_std 4 2" xfId="24325"/>
    <cellStyle name="‡_C4X_std 5" xfId="24324"/>
    <cellStyle name="‡_C4X_std 6" xfId="24323"/>
    <cellStyle name="‡_C4X_std 7" xfId="24322"/>
    <cellStyle name="‡_C4X_std 8" xfId="24321"/>
    <cellStyle name="‡_C4X_std 9" xfId="24320"/>
    <cellStyle name="‡_C4X_std_BQ &amp; An Pds Gdg - KIM I" xfId="24319"/>
    <cellStyle name="‡_C4X_std_BQ &amp; An Pds Gdg - KIM I_GALIAN C" xfId="24318"/>
    <cellStyle name="‡_C4X_std_BQ &amp; An Pds Gdg - KIM I_Pen- Kodja Revisi 02 November 2009 (Rev 11-11-09)" xfId="24317"/>
    <cellStyle name="‡_C4X_std_BQ &amp; An Pds Gdg - KIM I_Pen- Kodja Revisi 27 JAN 2010" xfId="24316"/>
    <cellStyle name="‡_C4X_std_BQ &amp; An Pds Gdg - KIM I_RAB Kodja Revisi 22 feb 2010" xfId="24315"/>
    <cellStyle name="‡_C4X_std_BQ &amp; An Pds Gdg - KIM I_RAB Kodja Revisi 23 feb 2010, revisi analisa" xfId="24314"/>
    <cellStyle name="‡_C4X_std_BQ &amp; An Pondasi SEP &amp; WAREHOUSE-KIM I (R-0)" xfId="24313"/>
    <cellStyle name="‡_C4X_std_BQ &amp; An Pondasi SEP &amp; WAREHOUSE-KIM I (R-0)_GALIAN C" xfId="24312"/>
    <cellStyle name="‡_C4X_std_BQ &amp; An Pondasi SEP &amp; WAREHOUSE-KIM I (R-0)_Pen- Kodja Revisi 02 November 2009 (Rev 11-11-09)" xfId="24311"/>
    <cellStyle name="‡_C4X_std_BQ &amp; An Pondasi SEP &amp; WAREHOUSE-KIM I (R-0)_Pen- Kodja Revisi 27 JAN 2010" xfId="24310"/>
    <cellStyle name="‡_C4X_std_BQ &amp; An Pondasi SEP &amp; WAREHOUSE-KIM I (R-0)_RAB Kodja Revisi 22 feb 2010" xfId="24309"/>
    <cellStyle name="‡_C4X_std_BQ &amp; An Pondasi SEP &amp; WAREHOUSE-KIM I (R-0)_RAB Kodja Revisi 23 feb 2010, revisi analisa" xfId="24308"/>
    <cellStyle name="‡_C4X_std_BQ Pabrik Biodiesel MM-Btm" xfId="24307"/>
    <cellStyle name="‡_C4X_std_BQ Pabrik Biodiesel MM-Btm_GALIAN C" xfId="24306"/>
    <cellStyle name="‡_C4X_std_BQ Pabrik Biodiesel MM-Btm_Pen- Kodja Revisi 02 November 2009 (Rev 11-11-09)" xfId="24305"/>
    <cellStyle name="‡_C4X_std_BQ Pabrik Biodiesel MM-Btm_Pen- Kodja Revisi 27 JAN 2010" xfId="24304"/>
    <cellStyle name="‡_C4X_std_BQ Pabrik Biodiesel MM-Btm_RAB Kodja Revisi 22 feb 2010" xfId="24303"/>
    <cellStyle name="‡_C4X_std_BQ Pabrik Biodiesel MM-Btm_RAB Kodja Revisi 23 feb 2010, revisi analisa" xfId="24302"/>
    <cellStyle name="‡_C4X_std_EXERCISE PRICE-2x10 W70-1050-PO-KENDARI" xfId="24301"/>
    <cellStyle name="‡_C4X_std_EXERCISE PRICE-2x10 W70-1050-PO-KENDARI 2" xfId="24300"/>
    <cellStyle name="‡_C4X_std_EXERCISE PRICE-2x10 W70-1050-PO-KENDARI 3" xfId="24299"/>
    <cellStyle name="‡_C4X_std_EXERCISE PRICE-2x10 W70-1050-PO-KENDARI 4" xfId="24298"/>
    <cellStyle name="‡_C4X_std_EXERCISE PRICE-2x10 W70-1050-PO-KENDARI 5" xfId="24297"/>
    <cellStyle name="‡_C4X_std_EXERCISE PRICE-2x10 W70-1050-PO-KENDARI 6" xfId="24296"/>
    <cellStyle name="‡_C4X_std_EXERCISE PRICE-2x10 W70-1050-PO-KENDARI 7" xfId="24295"/>
    <cellStyle name="‡_C4X_std_EXERCISE PRICE-2x10 W70-1050-PO-KENDARI 8" xfId="24294"/>
    <cellStyle name="‡_C4X_std_EXERCISE PRICE-2X7 WO70-1100-PO-Riau" xfId="24293"/>
    <cellStyle name="‡_C4X_std_EXERCISE PRICE-2X7 WO70-1100-PO-Riau 2" xfId="24292"/>
    <cellStyle name="‡_C4X_std_EXERCISE PRICE-2X7 WO70-1100-PO-Riau 3" xfId="24291"/>
    <cellStyle name="‡_C4X_std_EXERCISE PRICE-2X7 WO70-1100-PO-Riau 4" xfId="24290"/>
    <cellStyle name="‡_C4X_std_EXERCISE PRICE-2X7 WO70-1100-PO-Riau 5" xfId="24289"/>
    <cellStyle name="‡_C4X_std_EXERCISE PRICE-2X7 WO70-1100-PO-Riau 6" xfId="24288"/>
    <cellStyle name="‡_C4X_std_EXERCISE PRICE-2X7 WO70-1100-PO-Riau 7" xfId="24287"/>
    <cellStyle name="‡_C4X_std_EXERCISE PRICE-2X7 WO70-1100-PO-Riau 8" xfId="24286"/>
    <cellStyle name="‡_C4X_std_FORM SUMMARY OF PRICE" xfId="24285"/>
    <cellStyle name="‡_C4X_std_GALIAN C" xfId="24284"/>
    <cellStyle name="‡_C4X_std_Inquiry Plan-KEPULAUAN RIAU 2X7 MW-GABUNGAN" xfId="24283"/>
    <cellStyle name="‡_C4X_std_Inquiry Plan-KEPULAUAN RIAU 2X7 MW-GABUNGAN 2" xfId="24282"/>
    <cellStyle name="‡_C4X_std_Inquiry Plan-KEPULAUAN RIAU 2X7 MW-GABUNGAN 2 2" xfId="24281"/>
    <cellStyle name="‡_C4X_std_Inquiry Plan-KEPULAUAN RIAU 2X7 MW-GABUNGAN 3" xfId="24280"/>
    <cellStyle name="‡_C4X_std_Inquiry Plan-KEPULAUAN RIAU 2X7 MW-GABUNGAN 3 2" xfId="24279"/>
    <cellStyle name="‡_C4X_std_Inquiry Plan-KEPULAUAN RIAU 2X7 MW-GABUNGAN 4" xfId="24278"/>
    <cellStyle name="‡_C4X_std_Inquiry Plan-KEPULAUAN RIAU 2X7 MW-GABUNGAN 4 2" xfId="24277"/>
    <cellStyle name="‡_C4X_std_Inquiry Plan-KEPULAUAN RIAU 2X7 MW-GABUNGAN 5" xfId="24276"/>
    <cellStyle name="‡_C4X_std_Pen- Kodja Revisi 02 November 2009 (Rev 11-11-09)" xfId="24275"/>
    <cellStyle name="‡_C4X_std_Pen- Kodja Revisi 27 JAN 2010" xfId="24274"/>
    <cellStyle name="‡_C4X_std_RAB Kodja Revisi 22 feb 2010" xfId="24273"/>
    <cellStyle name="‡_C4X_std_RAB Kodja Revisi 23 feb 2010, revisi analisa" xfId="24272"/>
    <cellStyle name="‡_C4X_std_SCHEME PACKAGES &amp; BUDGET 2 X 7 MW NTT-REV01" xfId="24271"/>
    <cellStyle name="‡_C4X_std_SCHEME PACKAGES &amp; BUDGET 2 X 7 MW NTT-REV01 2" xfId="24270"/>
    <cellStyle name="‡_C4X_std_SCHEME PACKAGES &amp; BUDGET 2 X 7 MW NTT-REV01 2 2" xfId="24269"/>
    <cellStyle name="‡_C4X_std_SCHEME PACKAGES &amp; BUDGET 2 X 7 MW NTT-REV01 3" xfId="24268"/>
    <cellStyle name="‡_C4X_std_SCHEME PACKAGES &amp; BUDGET 2 X 7 MW NTT-REV01 3 2" xfId="24267"/>
    <cellStyle name="‡_C4X_std_SCHEME PACKAGES &amp; BUDGET 2 X 7 MW NTT-REV01 4" xfId="24266"/>
    <cellStyle name="‡_C4X_std_SCHEME PACKAGES &amp; BUDGET 2 X 7 MW NTT-REV01 4 2" xfId="24265"/>
    <cellStyle name="‡_C4X_std_SCHEME PACKAGES &amp; BUDGET 2 X 7 MW NTT-REV01 5" xfId="24264"/>
    <cellStyle name="‡_C4X_std_SCHEME PACKAGES &amp; BUDGET 2 X 7 MW TBK-REV01" xfId="24263"/>
    <cellStyle name="‡_C4X_std_SCHEME PACKAGES &amp; BUDGET 2 X 7 MW TBK-REV01 2" xfId="24262"/>
    <cellStyle name="‡_C4X_std_SCHEME PACKAGES &amp; BUDGET 2 X 7 MW TBK-REV01 2 2" xfId="24261"/>
    <cellStyle name="‡_C4X_std_SCHEME PACKAGES &amp; BUDGET 2 X 7 MW TBK-REV01 3" xfId="24260"/>
    <cellStyle name="‡_C4X_std_SCHEME PACKAGES &amp; BUDGET 2 X 7 MW TBK-REV01 3 2" xfId="24259"/>
    <cellStyle name="‡_C4X_std_SCHEME PACKAGES &amp; BUDGET 2 X 7 MW TBK-REV01 4" xfId="24258"/>
    <cellStyle name="‡_C4X_std_SCHEME PACKAGES &amp; BUDGET 2 X 7 MW TBK-REV01 4 2" xfId="24257"/>
    <cellStyle name="‡_C4X_std_SCHEME PACKAGES &amp; BUDGET 2 X 7 MW TBK-REV01 5" xfId="24256"/>
    <cellStyle name="‡_C4X_Tie-in-Budget-1" xfId="24255"/>
    <cellStyle name="‡_C4X_Tie-in-Budget-1_BQ &amp; An Pds Gdg - KIM I" xfId="24254"/>
    <cellStyle name="‡_C4X_Tie-in-Budget-1_BQ &amp; An Pds Gdg - KIM I_GALIAN C" xfId="24253"/>
    <cellStyle name="‡_C4X_Tie-in-Budget-1_BQ &amp; An Pds Gdg - KIM I_Pen- Kodja Revisi 02 November 2009 (Rev 11-11-09)" xfId="24252"/>
    <cellStyle name="‡_C4X_Tie-in-Budget-1_BQ &amp; An Pds Gdg - KIM I_Pen- Kodja Revisi 27 JAN 2010" xfId="24251"/>
    <cellStyle name="‡_C4X_Tie-in-Budget-1_BQ &amp; An Pds Gdg - KIM I_RAB Kodja Revisi 22 feb 2010" xfId="24250"/>
    <cellStyle name="‡_C4X_Tie-in-Budget-1_BQ &amp; An Pds Gdg - KIM I_RAB Kodja Revisi 23 feb 2010, revisi analisa" xfId="24249"/>
    <cellStyle name="‡_C4X_Tie-in-Budget-1_BQ &amp; An Pondasi SEP &amp; WAREHOUSE-KIM I (R-0)" xfId="24248"/>
    <cellStyle name="‡_C4X_Tie-in-Budget-1_BQ &amp; An Pondasi SEP &amp; WAREHOUSE-KIM I (R-0)_GALIAN C" xfId="24247"/>
    <cellStyle name="‡_C4X_Tie-in-Budget-1_BQ &amp; An Pondasi SEP &amp; WAREHOUSE-KIM I (R-0)_Pen- Kodja Revisi 02 November 2009 (Rev 11-11-09)" xfId="24246"/>
    <cellStyle name="‡_C4X_Tie-in-Budget-1_BQ &amp; An Pondasi SEP &amp; WAREHOUSE-KIM I (R-0)_Pen- Kodja Revisi 27 JAN 2010" xfId="24245"/>
    <cellStyle name="‡_C4X_Tie-in-Budget-1_BQ &amp; An Pondasi SEP &amp; WAREHOUSE-KIM I (R-0)_RAB Kodja Revisi 22 feb 2010" xfId="24244"/>
    <cellStyle name="‡_C4X_Tie-in-Budget-1_BQ &amp; An Pondasi SEP &amp; WAREHOUSE-KIM I (R-0)_RAB Kodja Revisi 23 feb 2010, revisi analisa" xfId="24243"/>
    <cellStyle name="‡_C4X_Tie-in-Budget-1_BQ Pabrik Biodiesel MM-Btm" xfId="24242"/>
    <cellStyle name="‡_C4X_Tie-in-Budget-1_BQ Pabrik Biodiesel MM-Btm_GALIAN C" xfId="24241"/>
    <cellStyle name="‡_C4X_Tie-in-Budget-1_BQ Pabrik Biodiesel MM-Btm_Pen- Kodja Revisi 02 November 2009 (Rev 11-11-09)" xfId="24240"/>
    <cellStyle name="‡_C4X_Tie-in-Budget-1_BQ Pabrik Biodiesel MM-Btm_Pen- Kodja Revisi 27 JAN 2010" xfId="24239"/>
    <cellStyle name="‡_C4X_Tie-in-Budget-1_BQ Pabrik Biodiesel MM-Btm_RAB Kodja Revisi 22 feb 2010" xfId="24238"/>
    <cellStyle name="‡_C4X_Tie-in-Budget-1_BQ Pabrik Biodiesel MM-Btm_RAB Kodja Revisi 23 feb 2010, revisi analisa" xfId="24237"/>
    <cellStyle name="‡_C4X_Tie-in-Budget-1_GALIAN C" xfId="24236"/>
    <cellStyle name="‡_C4X_Tie-in-Budget-1_Pen- Kodja Revisi 02 November 2009 (Rev 11-11-09)" xfId="24235"/>
    <cellStyle name="‡_C4X_Tie-in-Budget-1_Pen- Kodja Revisi 27 JAN 2010" xfId="24234"/>
    <cellStyle name="‡_C4X_Tie-in-Budget-1_RAB Kodja Revisi 22 feb 2010" xfId="24233"/>
    <cellStyle name="‡_C4X_Tie-in-Budget-1_RAB Kodja Revisi 23 feb 2010, revisi analisa" xfId="24232"/>
    <cellStyle name="‡_Construction Piping Cost-28-03-2001" xfId="24231"/>
    <cellStyle name="‡_Construction Piping Cost-28-03-2001 2" xfId="24230"/>
    <cellStyle name="‡_Construction Piping Cost-28-03-2001 2 2" xfId="24229"/>
    <cellStyle name="‡_Construction Piping Cost-28-03-2001 3" xfId="24228"/>
    <cellStyle name="‡_Construction Piping Cost-28-03-2001 3 2" xfId="24227"/>
    <cellStyle name="‡_Construction Piping Cost-28-03-2001 4" xfId="24226"/>
    <cellStyle name="‡_Construction Piping Cost-28-03-2001 4 2" xfId="24225"/>
    <cellStyle name="‡_Construction Piping Cost-28-03-2001 5" xfId="24224"/>
    <cellStyle name="‡_Construction Piping Cost-28-03-2001 6" xfId="24223"/>
    <cellStyle name="‡_Construction Piping Cost-28-03-2001 7" xfId="24222"/>
    <cellStyle name="‡_Construction Piping Cost-28-03-2001 8" xfId="24221"/>
    <cellStyle name="‡_Construction Piping Cost-28-03-2001 9" xfId="24220"/>
    <cellStyle name="‡_Construction Piping Cost-28-03-2001_BQ &amp; An Pds Gdg - KIM I" xfId="24219"/>
    <cellStyle name="‡_Construction Piping Cost-28-03-2001_BQ &amp; An Pds Gdg - KIM I_GALIAN C" xfId="24218"/>
    <cellStyle name="‡_Construction Piping Cost-28-03-2001_BQ &amp; An Pds Gdg - KIM I_Pen- Kodja Revisi 02 November 2009 (Rev 11-11-09)" xfId="24217"/>
    <cellStyle name="‡_Construction Piping Cost-28-03-2001_BQ &amp; An Pds Gdg - KIM I_Pen- Kodja Revisi 27 JAN 2010" xfId="24216"/>
    <cellStyle name="‡_Construction Piping Cost-28-03-2001_BQ &amp; An Pds Gdg - KIM I_RAB Kodja Revisi 22 feb 2010" xfId="24215"/>
    <cellStyle name="‡_Construction Piping Cost-28-03-2001_BQ &amp; An Pds Gdg - KIM I_RAB Kodja Revisi 23 feb 2010, revisi analisa" xfId="24214"/>
    <cellStyle name="‡_Construction Piping Cost-28-03-2001_BQ &amp; An Pondasi SEP &amp; WAREHOUSE-KIM I (R-0)" xfId="24213"/>
    <cellStyle name="‡_Construction Piping Cost-28-03-2001_BQ &amp; An Pondasi SEP &amp; WAREHOUSE-KIM I (R-0)_GALIAN C" xfId="24212"/>
    <cellStyle name="‡_Construction Piping Cost-28-03-2001_BQ &amp; An Pondasi SEP &amp; WAREHOUSE-KIM I (R-0)_Pen- Kodja Revisi 02 November 2009 (Rev 11-11-09)" xfId="24211"/>
    <cellStyle name="‡_Construction Piping Cost-28-03-2001_BQ &amp; An Pondasi SEP &amp; WAREHOUSE-KIM I (R-0)_Pen- Kodja Revisi 27 JAN 2010" xfId="24210"/>
    <cellStyle name="‡_Construction Piping Cost-28-03-2001_BQ &amp; An Pondasi SEP &amp; WAREHOUSE-KIM I (R-0)_RAB Kodja Revisi 22 feb 2010" xfId="24209"/>
    <cellStyle name="‡_Construction Piping Cost-28-03-2001_BQ &amp; An Pondasi SEP &amp; WAREHOUSE-KIM I (R-0)_RAB Kodja Revisi 23 feb 2010, revisi analisa" xfId="24208"/>
    <cellStyle name="‡_Construction Piping Cost-28-03-2001_BQ Pabrik Biodiesel MM-Btm" xfId="24207"/>
    <cellStyle name="‡_Construction Piping Cost-28-03-2001_BQ Pabrik Biodiesel MM-Btm_GALIAN C" xfId="24206"/>
    <cellStyle name="‡_Construction Piping Cost-28-03-2001_BQ Pabrik Biodiesel MM-Btm_Pen- Kodja Revisi 02 November 2009 (Rev 11-11-09)" xfId="24205"/>
    <cellStyle name="‡_Construction Piping Cost-28-03-2001_BQ Pabrik Biodiesel MM-Btm_Pen- Kodja Revisi 27 JAN 2010" xfId="24204"/>
    <cellStyle name="‡_Construction Piping Cost-28-03-2001_BQ Pabrik Biodiesel MM-Btm_RAB Kodja Revisi 22 feb 2010" xfId="24203"/>
    <cellStyle name="‡_Construction Piping Cost-28-03-2001_BQ Pabrik Biodiesel MM-Btm_RAB Kodja Revisi 23 feb 2010, revisi analisa" xfId="24202"/>
    <cellStyle name="‡_Construction Piping Cost-28-03-2001_EXERCISE PRICE-2x10 W70-1050-PO-KENDARI" xfId="24201"/>
    <cellStyle name="‡_Construction Piping Cost-28-03-2001_EXERCISE PRICE-2x10 W70-1050-PO-KENDARI 2" xfId="24200"/>
    <cellStyle name="‡_Construction Piping Cost-28-03-2001_EXERCISE PRICE-2x10 W70-1050-PO-KENDARI 3" xfId="24199"/>
    <cellStyle name="‡_Construction Piping Cost-28-03-2001_EXERCISE PRICE-2x10 W70-1050-PO-KENDARI 4" xfId="24198"/>
    <cellStyle name="‡_Construction Piping Cost-28-03-2001_EXERCISE PRICE-2x10 W70-1050-PO-KENDARI 5" xfId="24197"/>
    <cellStyle name="‡_Construction Piping Cost-28-03-2001_EXERCISE PRICE-2x10 W70-1050-PO-KENDARI 6" xfId="24196"/>
    <cellStyle name="‡_Construction Piping Cost-28-03-2001_EXERCISE PRICE-2x10 W70-1050-PO-KENDARI 7" xfId="24195"/>
    <cellStyle name="‡_Construction Piping Cost-28-03-2001_EXERCISE PRICE-2x10 W70-1050-PO-KENDARI 8" xfId="24194"/>
    <cellStyle name="‡_Construction Piping Cost-28-03-2001_EXERCISE PRICE-2X7 WO70-1100-PO-Riau" xfId="24193"/>
    <cellStyle name="‡_Construction Piping Cost-28-03-2001_EXERCISE PRICE-2X7 WO70-1100-PO-Riau 2" xfId="24192"/>
    <cellStyle name="‡_Construction Piping Cost-28-03-2001_EXERCISE PRICE-2X7 WO70-1100-PO-Riau 3" xfId="24191"/>
    <cellStyle name="‡_Construction Piping Cost-28-03-2001_EXERCISE PRICE-2X7 WO70-1100-PO-Riau 4" xfId="24190"/>
    <cellStyle name="‡_Construction Piping Cost-28-03-2001_EXERCISE PRICE-2X7 WO70-1100-PO-Riau 5" xfId="24189"/>
    <cellStyle name="‡_Construction Piping Cost-28-03-2001_EXERCISE PRICE-2X7 WO70-1100-PO-Riau 6" xfId="24188"/>
    <cellStyle name="‡_Construction Piping Cost-28-03-2001_EXERCISE PRICE-2X7 WO70-1100-PO-Riau 7" xfId="24187"/>
    <cellStyle name="‡_Construction Piping Cost-28-03-2001_EXERCISE PRICE-2X7 WO70-1100-PO-Riau 8" xfId="24186"/>
    <cellStyle name="‡_Construction Piping Cost-28-03-2001_FORM SUMMARY OF PRICE" xfId="24185"/>
    <cellStyle name="‡_Construction Piping Cost-28-03-2001_GALIAN C" xfId="24184"/>
    <cellStyle name="‡_Construction Piping Cost-28-03-2001_Inquiry Plan-KEPULAUAN RIAU 2X7 MW-GABUNGAN" xfId="24183"/>
    <cellStyle name="‡_Construction Piping Cost-28-03-2001_Inquiry Plan-KEPULAUAN RIAU 2X7 MW-GABUNGAN 2" xfId="24182"/>
    <cellStyle name="‡_Construction Piping Cost-28-03-2001_Inquiry Plan-KEPULAUAN RIAU 2X7 MW-GABUNGAN 2 2" xfId="24181"/>
    <cellStyle name="‡_Construction Piping Cost-28-03-2001_Inquiry Plan-KEPULAUAN RIAU 2X7 MW-GABUNGAN 3" xfId="24180"/>
    <cellStyle name="‡_Construction Piping Cost-28-03-2001_Inquiry Plan-KEPULAUAN RIAU 2X7 MW-GABUNGAN 3 2" xfId="24179"/>
    <cellStyle name="‡_Construction Piping Cost-28-03-2001_Inquiry Plan-KEPULAUAN RIAU 2X7 MW-GABUNGAN 4" xfId="24178"/>
    <cellStyle name="‡_Construction Piping Cost-28-03-2001_Inquiry Plan-KEPULAUAN RIAU 2X7 MW-GABUNGAN 4 2" xfId="24177"/>
    <cellStyle name="‡_Construction Piping Cost-28-03-2001_Inquiry Plan-KEPULAUAN RIAU 2X7 MW-GABUNGAN 5" xfId="24176"/>
    <cellStyle name="‡_Construction Piping Cost-28-03-2001_Pen- Kodja Revisi 02 November 2009 (Rev 11-11-09)" xfId="24175"/>
    <cellStyle name="‡_Construction Piping Cost-28-03-2001_Pen- Kodja Revisi 27 JAN 2010" xfId="24174"/>
    <cellStyle name="‡_Construction Piping Cost-28-03-2001_RAB Kodja Revisi 22 feb 2010" xfId="24173"/>
    <cellStyle name="‡_Construction Piping Cost-28-03-2001_RAB Kodja Revisi 23 feb 2010, revisi analisa" xfId="24172"/>
    <cellStyle name="‡_Construction Piping Cost-28-03-2001_SCHEME PACKAGES &amp; BUDGET 2 X 7 MW NTT-REV01" xfId="24171"/>
    <cellStyle name="‡_Construction Piping Cost-28-03-2001_SCHEME PACKAGES &amp; BUDGET 2 X 7 MW NTT-REV01 2" xfId="24170"/>
    <cellStyle name="‡_Construction Piping Cost-28-03-2001_SCHEME PACKAGES &amp; BUDGET 2 X 7 MW NTT-REV01 2 2" xfId="24169"/>
    <cellStyle name="‡_Construction Piping Cost-28-03-2001_SCHEME PACKAGES &amp; BUDGET 2 X 7 MW NTT-REV01 3" xfId="24168"/>
    <cellStyle name="‡_Construction Piping Cost-28-03-2001_SCHEME PACKAGES &amp; BUDGET 2 X 7 MW NTT-REV01 3 2" xfId="24167"/>
    <cellStyle name="‡_Construction Piping Cost-28-03-2001_SCHEME PACKAGES &amp; BUDGET 2 X 7 MW NTT-REV01 4" xfId="24166"/>
    <cellStyle name="‡_Construction Piping Cost-28-03-2001_SCHEME PACKAGES &amp; BUDGET 2 X 7 MW NTT-REV01 4 2" xfId="24165"/>
    <cellStyle name="‡_Construction Piping Cost-28-03-2001_SCHEME PACKAGES &amp; BUDGET 2 X 7 MW NTT-REV01 5" xfId="24164"/>
    <cellStyle name="‡_Construction Piping Cost-28-03-2001_SCHEME PACKAGES &amp; BUDGET 2 X 7 MW TBK-REV01" xfId="24163"/>
    <cellStyle name="‡_Construction Piping Cost-28-03-2001_SCHEME PACKAGES &amp; BUDGET 2 X 7 MW TBK-REV01 2" xfId="24162"/>
    <cellStyle name="‡_Construction Piping Cost-28-03-2001_SCHEME PACKAGES &amp; BUDGET 2 X 7 MW TBK-REV01 2 2" xfId="24161"/>
    <cellStyle name="‡_Construction Piping Cost-28-03-2001_SCHEME PACKAGES &amp; BUDGET 2 X 7 MW TBK-REV01 3" xfId="24160"/>
    <cellStyle name="‡_Construction Piping Cost-28-03-2001_SCHEME PACKAGES &amp; BUDGET 2 X 7 MW TBK-REV01 3 2" xfId="24159"/>
    <cellStyle name="‡_Construction Piping Cost-28-03-2001_SCHEME PACKAGES &amp; BUDGET 2 X 7 MW TBK-REV01 4" xfId="24158"/>
    <cellStyle name="‡_Construction Piping Cost-28-03-2001_SCHEME PACKAGES &amp; BUDGET 2 X 7 MW TBK-REV01 4 2" xfId="24157"/>
    <cellStyle name="‡_Construction Piping Cost-28-03-2001_SCHEME PACKAGES &amp; BUDGET 2 X 7 MW TBK-REV01 5" xfId="24156"/>
    <cellStyle name="‡_Cost Breakdown" xfId="24155"/>
    <cellStyle name="‡_Cost Breakdown WO 321105" xfId="24154"/>
    <cellStyle name="‡_Cost Breakdown WO 321105 2" xfId="24153"/>
    <cellStyle name="‡_Cost Breakdown WO 321105 2 2" xfId="24152"/>
    <cellStyle name="‡_Cost Breakdown WO 321105 3" xfId="24151"/>
    <cellStyle name="‡_Cost Breakdown WO 321105 3 2" xfId="24150"/>
    <cellStyle name="‡_Cost Breakdown WO 321105 4" xfId="24149"/>
    <cellStyle name="‡_Cost Breakdown WO 321105 4 2" xfId="24148"/>
    <cellStyle name="‡_Cost Breakdown WO 321105 5" xfId="24147"/>
    <cellStyle name="‡_Cost Breakdown WO 321105 6" xfId="24146"/>
    <cellStyle name="‡_Cost Breakdown WO 321105 7" xfId="24145"/>
    <cellStyle name="‡_Cost Breakdown WO 321105 8" xfId="24144"/>
    <cellStyle name="‡_Cost Breakdown WO 321105 9" xfId="24143"/>
    <cellStyle name="‡_Cost Breakdown WO 321105_BQ &amp; An Pds Gdg - KIM I" xfId="24142"/>
    <cellStyle name="‡_Cost Breakdown WO 321105_BQ &amp; An Pds Gdg - KIM I_GALIAN C" xfId="24141"/>
    <cellStyle name="‡_Cost Breakdown WO 321105_BQ &amp; An Pds Gdg - KIM I_Pen- Kodja Revisi 02 November 2009 (Rev 11-11-09)" xfId="24140"/>
    <cellStyle name="‡_Cost Breakdown WO 321105_BQ &amp; An Pds Gdg - KIM I_Pen- Kodja Revisi 27 JAN 2010" xfId="24139"/>
    <cellStyle name="‡_Cost Breakdown WO 321105_BQ &amp; An Pds Gdg - KIM I_RAB Kodja Revisi 22 feb 2010" xfId="24138"/>
    <cellStyle name="‡_Cost Breakdown WO 321105_BQ &amp; An Pds Gdg - KIM I_RAB Kodja Revisi 23 feb 2010, revisi analisa" xfId="24137"/>
    <cellStyle name="‡_Cost Breakdown WO 321105_BQ &amp; An Pondasi SEP &amp; WAREHOUSE-KIM I (R-0)" xfId="24136"/>
    <cellStyle name="‡_Cost Breakdown WO 321105_BQ &amp; An Pondasi SEP &amp; WAREHOUSE-KIM I (R-0)_GALIAN C" xfId="24135"/>
    <cellStyle name="‡_Cost Breakdown WO 321105_BQ &amp; An Pondasi SEP &amp; WAREHOUSE-KIM I (R-0)_Pen- Kodja Revisi 02 November 2009 (Rev 11-11-09)" xfId="24134"/>
    <cellStyle name="‡_Cost Breakdown WO 321105_BQ &amp; An Pondasi SEP &amp; WAREHOUSE-KIM I (R-0)_Pen- Kodja Revisi 27 JAN 2010" xfId="24133"/>
    <cellStyle name="‡_Cost Breakdown WO 321105_BQ &amp; An Pondasi SEP &amp; WAREHOUSE-KIM I (R-0)_RAB Kodja Revisi 22 feb 2010" xfId="24132"/>
    <cellStyle name="‡_Cost Breakdown WO 321105_BQ &amp; An Pondasi SEP &amp; WAREHOUSE-KIM I (R-0)_RAB Kodja Revisi 23 feb 2010, revisi analisa" xfId="24131"/>
    <cellStyle name="‡_Cost Breakdown WO 321105_BQ Pabrik Biodiesel MM-Btm" xfId="24130"/>
    <cellStyle name="‡_Cost Breakdown WO 321105_BQ Pabrik Biodiesel MM-Btm_GALIAN C" xfId="24129"/>
    <cellStyle name="‡_Cost Breakdown WO 321105_BQ Pabrik Biodiesel MM-Btm_Pen- Kodja Revisi 02 November 2009 (Rev 11-11-09)" xfId="24128"/>
    <cellStyle name="‡_Cost Breakdown WO 321105_BQ Pabrik Biodiesel MM-Btm_Pen- Kodja Revisi 27 JAN 2010" xfId="24127"/>
    <cellStyle name="‡_Cost Breakdown WO 321105_BQ Pabrik Biodiesel MM-Btm_RAB Kodja Revisi 22 feb 2010" xfId="24126"/>
    <cellStyle name="‡_Cost Breakdown WO 321105_BQ Pabrik Biodiesel MM-Btm_RAB Kodja Revisi 23 feb 2010, revisi analisa" xfId="24125"/>
    <cellStyle name="‡_Cost Breakdown WO 321105_EXERCISE PRICE-2x10 W70-1050-PO-KENDARI" xfId="24124"/>
    <cellStyle name="‡_Cost Breakdown WO 321105_EXERCISE PRICE-2x10 W70-1050-PO-KENDARI 2" xfId="24123"/>
    <cellStyle name="‡_Cost Breakdown WO 321105_EXERCISE PRICE-2x10 W70-1050-PO-KENDARI 3" xfId="24122"/>
    <cellStyle name="‡_Cost Breakdown WO 321105_EXERCISE PRICE-2x10 W70-1050-PO-KENDARI 4" xfId="24121"/>
    <cellStyle name="‡_Cost Breakdown WO 321105_EXERCISE PRICE-2x10 W70-1050-PO-KENDARI 5" xfId="24120"/>
    <cellStyle name="‡_Cost Breakdown WO 321105_EXERCISE PRICE-2x10 W70-1050-PO-KENDARI 6" xfId="24119"/>
    <cellStyle name="‡_Cost Breakdown WO 321105_EXERCISE PRICE-2x10 W70-1050-PO-KENDARI 7" xfId="24118"/>
    <cellStyle name="‡_Cost Breakdown WO 321105_EXERCISE PRICE-2x10 W70-1050-PO-KENDARI 8" xfId="24117"/>
    <cellStyle name="‡_Cost Breakdown WO 321105_EXERCISE PRICE-2X7 WO70-1100-PO-Riau" xfId="24116"/>
    <cellStyle name="‡_Cost Breakdown WO 321105_EXERCISE PRICE-2X7 WO70-1100-PO-Riau 2" xfId="24115"/>
    <cellStyle name="‡_Cost Breakdown WO 321105_EXERCISE PRICE-2X7 WO70-1100-PO-Riau 3" xfId="24114"/>
    <cellStyle name="‡_Cost Breakdown WO 321105_EXERCISE PRICE-2X7 WO70-1100-PO-Riau 4" xfId="24113"/>
    <cellStyle name="‡_Cost Breakdown WO 321105_EXERCISE PRICE-2X7 WO70-1100-PO-Riau 5" xfId="24112"/>
    <cellStyle name="‡_Cost Breakdown WO 321105_EXERCISE PRICE-2X7 WO70-1100-PO-Riau 6" xfId="24111"/>
    <cellStyle name="‡_Cost Breakdown WO 321105_EXERCISE PRICE-2X7 WO70-1100-PO-Riau 7" xfId="24110"/>
    <cellStyle name="‡_Cost Breakdown WO 321105_EXERCISE PRICE-2X7 WO70-1100-PO-Riau 8" xfId="24109"/>
    <cellStyle name="‡_Cost Breakdown WO 321105_FORM SUMMARY OF PRICE" xfId="24108"/>
    <cellStyle name="‡_Cost Breakdown WO 321105_GALIAN C" xfId="24107"/>
    <cellStyle name="‡_Cost Breakdown WO 321105_Inquiry Plan-KEPULAUAN RIAU 2X7 MW-GABUNGAN" xfId="24106"/>
    <cellStyle name="‡_Cost Breakdown WO 321105_Inquiry Plan-KEPULAUAN RIAU 2X7 MW-GABUNGAN 2" xfId="24105"/>
    <cellStyle name="‡_Cost Breakdown WO 321105_Inquiry Plan-KEPULAUAN RIAU 2X7 MW-GABUNGAN 2 2" xfId="24104"/>
    <cellStyle name="‡_Cost Breakdown WO 321105_Inquiry Plan-KEPULAUAN RIAU 2X7 MW-GABUNGAN 3" xfId="24103"/>
    <cellStyle name="‡_Cost Breakdown WO 321105_Inquiry Plan-KEPULAUAN RIAU 2X7 MW-GABUNGAN 3 2" xfId="24102"/>
    <cellStyle name="‡_Cost Breakdown WO 321105_Inquiry Plan-KEPULAUAN RIAU 2X7 MW-GABUNGAN 4" xfId="24101"/>
    <cellStyle name="‡_Cost Breakdown WO 321105_Inquiry Plan-KEPULAUAN RIAU 2X7 MW-GABUNGAN 4 2" xfId="24100"/>
    <cellStyle name="‡_Cost Breakdown WO 321105_Inquiry Plan-KEPULAUAN RIAU 2X7 MW-GABUNGAN 5" xfId="24099"/>
    <cellStyle name="‡_Cost Breakdown WO 321105_Pen- Kodja Revisi 02 November 2009 (Rev 11-11-09)" xfId="24098"/>
    <cellStyle name="‡_Cost Breakdown WO 321105_Pen- Kodja Revisi 27 JAN 2010" xfId="24097"/>
    <cellStyle name="‡_Cost Breakdown WO 321105_RAB Kodja Revisi 22 feb 2010" xfId="24096"/>
    <cellStyle name="‡_Cost Breakdown WO 321105_RAB Kodja Revisi 23 feb 2010, revisi analisa" xfId="24095"/>
    <cellStyle name="‡_Cost Breakdown WO 321105_SCHEME PACKAGES &amp; BUDGET 2 X 7 MW NTT-REV01" xfId="24094"/>
    <cellStyle name="‡_Cost Breakdown WO 321105_SCHEME PACKAGES &amp; BUDGET 2 X 7 MW NTT-REV01 2" xfId="24093"/>
    <cellStyle name="‡_Cost Breakdown WO 321105_SCHEME PACKAGES &amp; BUDGET 2 X 7 MW NTT-REV01 2 2" xfId="24092"/>
    <cellStyle name="‡_Cost Breakdown WO 321105_SCHEME PACKAGES &amp; BUDGET 2 X 7 MW NTT-REV01 3" xfId="24091"/>
    <cellStyle name="‡_Cost Breakdown WO 321105_SCHEME PACKAGES &amp; BUDGET 2 X 7 MW NTT-REV01 3 2" xfId="24090"/>
    <cellStyle name="‡_Cost Breakdown WO 321105_SCHEME PACKAGES &amp; BUDGET 2 X 7 MW NTT-REV01 4" xfId="24089"/>
    <cellStyle name="‡_Cost Breakdown WO 321105_SCHEME PACKAGES &amp; BUDGET 2 X 7 MW NTT-REV01 4 2" xfId="24088"/>
    <cellStyle name="‡_Cost Breakdown WO 321105_SCHEME PACKAGES &amp; BUDGET 2 X 7 MW NTT-REV01 5" xfId="24087"/>
    <cellStyle name="‡_Cost Breakdown WO 321105_SCHEME PACKAGES &amp; BUDGET 2 X 7 MW TBK-REV01" xfId="24086"/>
    <cellStyle name="‡_Cost Breakdown WO 321105_SCHEME PACKAGES &amp; BUDGET 2 X 7 MW TBK-REV01 2" xfId="24085"/>
    <cellStyle name="‡_Cost Breakdown WO 321105_SCHEME PACKAGES &amp; BUDGET 2 X 7 MW TBK-REV01 2 2" xfId="24084"/>
    <cellStyle name="‡_Cost Breakdown WO 321105_SCHEME PACKAGES &amp; BUDGET 2 X 7 MW TBK-REV01 3" xfId="24083"/>
    <cellStyle name="‡_Cost Breakdown WO 321105_SCHEME PACKAGES &amp; BUDGET 2 X 7 MW TBK-REV01 3 2" xfId="24082"/>
    <cellStyle name="‡_Cost Breakdown WO 321105_SCHEME PACKAGES &amp; BUDGET 2 X 7 MW TBK-REV01 4" xfId="24081"/>
    <cellStyle name="‡_Cost Breakdown WO 321105_SCHEME PACKAGES &amp; BUDGET 2 X 7 MW TBK-REV01 4 2" xfId="24080"/>
    <cellStyle name="‡_Cost Breakdown WO 321105_SCHEME PACKAGES &amp; BUDGET 2 X 7 MW TBK-REV01 5" xfId="24079"/>
    <cellStyle name="‡_Cost Breakdown_BQ &amp; An Pds Gdg - KIM I" xfId="24078"/>
    <cellStyle name="‡_Cost Breakdown_BQ &amp; An Pds Gdg - KIM I_GALIAN C" xfId="24077"/>
    <cellStyle name="‡_Cost Breakdown_BQ &amp; An Pds Gdg - KIM I_Pen- Kodja Revisi 02 November 2009 (Rev 11-11-09)" xfId="24076"/>
    <cellStyle name="‡_Cost Breakdown_BQ &amp; An Pds Gdg - KIM I_Pen- Kodja Revisi 27 JAN 2010" xfId="24075"/>
    <cellStyle name="‡_Cost Breakdown_BQ &amp; An Pds Gdg - KIM I_RAB Kodja Revisi 22 feb 2010" xfId="24074"/>
    <cellStyle name="‡_Cost Breakdown_BQ &amp; An Pds Gdg - KIM I_RAB Kodja Revisi 23 feb 2010, revisi analisa" xfId="24073"/>
    <cellStyle name="‡_Cost Breakdown_BQ &amp; An Pondasi SEP &amp; WAREHOUSE-KIM I (R-0)" xfId="24072"/>
    <cellStyle name="‡_Cost Breakdown_BQ &amp; An Pondasi SEP &amp; WAREHOUSE-KIM I (R-0)_GALIAN C" xfId="24071"/>
    <cellStyle name="‡_Cost Breakdown_BQ &amp; An Pondasi SEP &amp; WAREHOUSE-KIM I (R-0)_Pen- Kodja Revisi 02 November 2009 (Rev 11-11-09)" xfId="24070"/>
    <cellStyle name="‡_Cost Breakdown_BQ &amp; An Pondasi SEP &amp; WAREHOUSE-KIM I (R-0)_Pen- Kodja Revisi 27 JAN 2010" xfId="24069"/>
    <cellStyle name="‡_Cost Breakdown_BQ &amp; An Pondasi SEP &amp; WAREHOUSE-KIM I (R-0)_RAB Kodja Revisi 22 feb 2010" xfId="24068"/>
    <cellStyle name="‡_Cost Breakdown_BQ &amp; An Pondasi SEP &amp; WAREHOUSE-KIM I (R-0)_RAB Kodja Revisi 23 feb 2010, revisi analisa" xfId="24067"/>
    <cellStyle name="‡_Cost Breakdown_BQ Pabrik Biodiesel MM-Btm" xfId="24066"/>
    <cellStyle name="‡_Cost Breakdown_BQ Pabrik Biodiesel MM-Btm_GALIAN C" xfId="24065"/>
    <cellStyle name="‡_Cost Breakdown_BQ Pabrik Biodiesel MM-Btm_Pen- Kodja Revisi 02 November 2009 (Rev 11-11-09)" xfId="24064"/>
    <cellStyle name="‡_Cost Breakdown_BQ Pabrik Biodiesel MM-Btm_Pen- Kodja Revisi 27 JAN 2010" xfId="24063"/>
    <cellStyle name="‡_Cost Breakdown_BQ Pabrik Biodiesel MM-Btm_RAB Kodja Revisi 22 feb 2010" xfId="24062"/>
    <cellStyle name="‡_Cost Breakdown_BQ Pabrik Biodiesel MM-Btm_RAB Kodja Revisi 23 feb 2010, revisi analisa" xfId="24061"/>
    <cellStyle name="‡_Cost Breakdown_GALIAN C" xfId="24060"/>
    <cellStyle name="‡_Cost Breakdown_Pen- Kodja Revisi 02 November 2009 (Rev 11-11-09)" xfId="24059"/>
    <cellStyle name="‡_Cost Breakdown_Pen- Kodja Revisi 27 JAN 2010" xfId="24058"/>
    <cellStyle name="‡_Cost Breakdown_RAB Kodja Revisi 22 feb 2010" xfId="24057"/>
    <cellStyle name="‡_Cost Breakdown_RAB Kodja Revisi 23 feb 2010, revisi analisa" xfId="24056"/>
    <cellStyle name="‡_Cost Breakdown-REV2" xfId="24055"/>
    <cellStyle name="‡_Cost Breakdown-REV2 2" xfId="24054"/>
    <cellStyle name="‡_Cost Breakdown-REV2 2 2" xfId="24053"/>
    <cellStyle name="‡_Cost Breakdown-REV2 3" xfId="24052"/>
    <cellStyle name="‡_Cost Breakdown-REV2 3 2" xfId="24051"/>
    <cellStyle name="‡_Cost Breakdown-REV2 4" xfId="24050"/>
    <cellStyle name="‡_Cost Breakdown-REV2 4 2" xfId="24049"/>
    <cellStyle name="‡_Cost Breakdown-REV2 5" xfId="24048"/>
    <cellStyle name="‡_Cost Breakdown-REV2 6" xfId="24047"/>
    <cellStyle name="‡_Cost Breakdown-REV2 7" xfId="24046"/>
    <cellStyle name="‡_Cost Breakdown-REV2 8" xfId="24045"/>
    <cellStyle name="‡_Cost Breakdown-REV2 9" xfId="24044"/>
    <cellStyle name="‡_Cost Breakdown-REV2_BQ &amp; An Pds Gdg - KIM I" xfId="24043"/>
    <cellStyle name="‡_Cost Breakdown-REV2_BQ &amp; An Pds Gdg - KIM I_GALIAN C" xfId="24042"/>
    <cellStyle name="‡_Cost Breakdown-REV2_BQ &amp; An Pds Gdg - KIM I_Pen- Kodja Revisi 02 November 2009 (Rev 11-11-09)" xfId="24041"/>
    <cellStyle name="‡_Cost Breakdown-REV2_BQ &amp; An Pds Gdg - KIM I_Pen- Kodja Revisi 27 JAN 2010" xfId="24040"/>
    <cellStyle name="‡_Cost Breakdown-REV2_BQ &amp; An Pds Gdg - KIM I_RAB Kodja Revisi 22 feb 2010" xfId="24039"/>
    <cellStyle name="‡_Cost Breakdown-REV2_BQ &amp; An Pds Gdg - KIM I_RAB Kodja Revisi 23 feb 2010, revisi analisa" xfId="24038"/>
    <cellStyle name="‡_Cost Breakdown-REV2_BQ &amp; An Pondasi SEP &amp; WAREHOUSE-KIM I (R-0)" xfId="24037"/>
    <cellStyle name="‡_Cost Breakdown-REV2_BQ &amp; An Pondasi SEP &amp; WAREHOUSE-KIM I (R-0)_GALIAN C" xfId="24036"/>
    <cellStyle name="‡_Cost Breakdown-REV2_BQ &amp; An Pondasi SEP &amp; WAREHOUSE-KIM I (R-0)_Pen- Kodja Revisi 02 November 2009 (Rev 11-11-09)" xfId="24035"/>
    <cellStyle name="‡_Cost Breakdown-REV2_BQ &amp; An Pondasi SEP &amp; WAREHOUSE-KIM I (R-0)_Pen- Kodja Revisi 27 JAN 2010" xfId="24034"/>
    <cellStyle name="‡_Cost Breakdown-REV2_BQ &amp; An Pondasi SEP &amp; WAREHOUSE-KIM I (R-0)_RAB Kodja Revisi 22 feb 2010" xfId="24033"/>
    <cellStyle name="‡_Cost Breakdown-REV2_BQ &amp; An Pondasi SEP &amp; WAREHOUSE-KIM I (R-0)_RAB Kodja Revisi 23 feb 2010, revisi analisa" xfId="24032"/>
    <cellStyle name="‡_Cost Breakdown-REV2_BQ Pabrik Biodiesel MM-Btm" xfId="24031"/>
    <cellStyle name="‡_Cost Breakdown-REV2_BQ Pabrik Biodiesel MM-Btm_GALIAN C" xfId="24030"/>
    <cellStyle name="‡_Cost Breakdown-REV2_BQ Pabrik Biodiesel MM-Btm_Pen- Kodja Revisi 02 November 2009 (Rev 11-11-09)" xfId="24029"/>
    <cellStyle name="‡_Cost Breakdown-REV2_BQ Pabrik Biodiesel MM-Btm_Pen- Kodja Revisi 27 JAN 2010" xfId="24028"/>
    <cellStyle name="‡_Cost Breakdown-REV2_BQ Pabrik Biodiesel MM-Btm_RAB Kodja Revisi 22 feb 2010" xfId="24027"/>
    <cellStyle name="‡_Cost Breakdown-REV2_BQ Pabrik Biodiesel MM-Btm_RAB Kodja Revisi 23 feb 2010, revisi analisa" xfId="24026"/>
    <cellStyle name="‡_Cost Breakdown-REV2_EXERCISE PRICE-2x10 W70-1050-PO-KENDARI" xfId="24025"/>
    <cellStyle name="‡_Cost Breakdown-REV2_EXERCISE PRICE-2x10 W70-1050-PO-KENDARI 2" xfId="24024"/>
    <cellStyle name="‡_Cost Breakdown-REV2_EXERCISE PRICE-2x10 W70-1050-PO-KENDARI 3" xfId="24023"/>
    <cellStyle name="‡_Cost Breakdown-REV2_EXERCISE PRICE-2x10 W70-1050-PO-KENDARI 4" xfId="24022"/>
    <cellStyle name="‡_Cost Breakdown-REV2_EXERCISE PRICE-2x10 W70-1050-PO-KENDARI 5" xfId="24021"/>
    <cellStyle name="‡_Cost Breakdown-REV2_EXERCISE PRICE-2x10 W70-1050-PO-KENDARI 6" xfId="24020"/>
    <cellStyle name="‡_Cost Breakdown-REV2_EXERCISE PRICE-2x10 W70-1050-PO-KENDARI 7" xfId="24019"/>
    <cellStyle name="‡_Cost Breakdown-REV2_EXERCISE PRICE-2x10 W70-1050-PO-KENDARI 8" xfId="24018"/>
    <cellStyle name="‡_Cost Breakdown-REV2_EXERCISE PRICE-2X7 WO70-1100-PO-Riau" xfId="24017"/>
    <cellStyle name="‡_Cost Breakdown-REV2_EXERCISE PRICE-2X7 WO70-1100-PO-Riau 2" xfId="24016"/>
    <cellStyle name="‡_Cost Breakdown-REV2_EXERCISE PRICE-2X7 WO70-1100-PO-Riau 3" xfId="24015"/>
    <cellStyle name="‡_Cost Breakdown-REV2_EXERCISE PRICE-2X7 WO70-1100-PO-Riau 4" xfId="24014"/>
    <cellStyle name="‡_Cost Breakdown-REV2_EXERCISE PRICE-2X7 WO70-1100-PO-Riau 5" xfId="24013"/>
    <cellStyle name="‡_Cost Breakdown-REV2_EXERCISE PRICE-2X7 WO70-1100-PO-Riau 6" xfId="24012"/>
    <cellStyle name="‡_Cost Breakdown-REV2_EXERCISE PRICE-2X7 WO70-1100-PO-Riau 7" xfId="24011"/>
    <cellStyle name="‡_Cost Breakdown-REV2_EXERCISE PRICE-2X7 WO70-1100-PO-Riau 8" xfId="24010"/>
    <cellStyle name="‡_Cost Breakdown-REV2_FORM SUMMARY OF PRICE" xfId="24009"/>
    <cellStyle name="‡_Cost Breakdown-REV2_GALIAN C" xfId="24008"/>
    <cellStyle name="‡_Cost Breakdown-REV2_Inquiry Plan-KEPULAUAN RIAU 2X7 MW-GABUNGAN" xfId="24007"/>
    <cellStyle name="‡_Cost Breakdown-REV2_Inquiry Plan-KEPULAUAN RIAU 2X7 MW-GABUNGAN 2" xfId="24006"/>
    <cellStyle name="‡_Cost Breakdown-REV2_Inquiry Plan-KEPULAUAN RIAU 2X7 MW-GABUNGAN 2 2" xfId="24005"/>
    <cellStyle name="‡_Cost Breakdown-REV2_Inquiry Plan-KEPULAUAN RIAU 2X7 MW-GABUNGAN 3" xfId="24004"/>
    <cellStyle name="‡_Cost Breakdown-REV2_Inquiry Plan-KEPULAUAN RIAU 2X7 MW-GABUNGAN 3 2" xfId="24003"/>
    <cellStyle name="‡_Cost Breakdown-REV2_Inquiry Plan-KEPULAUAN RIAU 2X7 MW-GABUNGAN 4" xfId="24002"/>
    <cellStyle name="‡_Cost Breakdown-REV2_Inquiry Plan-KEPULAUAN RIAU 2X7 MW-GABUNGAN 4 2" xfId="24001"/>
    <cellStyle name="‡_Cost Breakdown-REV2_Inquiry Plan-KEPULAUAN RIAU 2X7 MW-GABUNGAN 5" xfId="24000"/>
    <cellStyle name="‡_Cost Breakdown-REV2_Pen- Kodja Revisi 02 November 2009 (Rev 11-11-09)" xfId="23999"/>
    <cellStyle name="‡_Cost Breakdown-REV2_Pen- Kodja Revisi 27 JAN 2010" xfId="23998"/>
    <cellStyle name="‡_Cost Breakdown-REV2_RAB Kodja Revisi 22 feb 2010" xfId="23997"/>
    <cellStyle name="‡_Cost Breakdown-REV2_RAB Kodja Revisi 23 feb 2010, revisi analisa" xfId="23996"/>
    <cellStyle name="‡_Cost Breakdown-REV2_SCHEME PACKAGES &amp; BUDGET 2 X 7 MW NTT-REV01" xfId="23995"/>
    <cellStyle name="‡_Cost Breakdown-REV2_SCHEME PACKAGES &amp; BUDGET 2 X 7 MW NTT-REV01 2" xfId="23994"/>
    <cellStyle name="‡_Cost Breakdown-REV2_SCHEME PACKAGES &amp; BUDGET 2 X 7 MW NTT-REV01 2 2" xfId="23993"/>
    <cellStyle name="‡_Cost Breakdown-REV2_SCHEME PACKAGES &amp; BUDGET 2 X 7 MW NTT-REV01 3" xfId="23992"/>
    <cellStyle name="‡_Cost Breakdown-REV2_SCHEME PACKAGES &amp; BUDGET 2 X 7 MW NTT-REV01 3 2" xfId="23991"/>
    <cellStyle name="‡_Cost Breakdown-REV2_SCHEME PACKAGES &amp; BUDGET 2 X 7 MW NTT-REV01 4" xfId="23990"/>
    <cellStyle name="‡_Cost Breakdown-REV2_SCHEME PACKAGES &amp; BUDGET 2 X 7 MW NTT-REV01 4 2" xfId="23989"/>
    <cellStyle name="‡_Cost Breakdown-REV2_SCHEME PACKAGES &amp; BUDGET 2 X 7 MW NTT-REV01 5" xfId="23988"/>
    <cellStyle name="‡_Cost Breakdown-REV2_SCHEME PACKAGES &amp; BUDGET 2 X 7 MW TBK-REV01" xfId="23987"/>
    <cellStyle name="‡_Cost Breakdown-REV2_SCHEME PACKAGES &amp; BUDGET 2 X 7 MW TBK-REV01 2" xfId="23986"/>
    <cellStyle name="‡_Cost Breakdown-REV2_SCHEME PACKAGES &amp; BUDGET 2 X 7 MW TBK-REV01 2 2" xfId="23985"/>
    <cellStyle name="‡_Cost Breakdown-REV2_SCHEME PACKAGES &amp; BUDGET 2 X 7 MW TBK-REV01 3" xfId="23984"/>
    <cellStyle name="‡_Cost Breakdown-REV2_SCHEME PACKAGES &amp; BUDGET 2 X 7 MW TBK-REV01 3 2" xfId="23983"/>
    <cellStyle name="‡_Cost Breakdown-REV2_SCHEME PACKAGES &amp; BUDGET 2 X 7 MW TBK-REV01 4" xfId="23982"/>
    <cellStyle name="‡_Cost Breakdown-REV2_SCHEME PACKAGES &amp; BUDGET 2 X 7 MW TBK-REV01 4 2" xfId="23981"/>
    <cellStyle name="‡_Cost Breakdown-REV2_SCHEME PACKAGES &amp; BUDGET 2 X 7 MW TBK-REV01 5" xfId="23980"/>
    <cellStyle name="‡_Cost Piping" xfId="23979"/>
    <cellStyle name="‡_Cost Piping 2" xfId="23978"/>
    <cellStyle name="‡_Cost Piping 2 2" xfId="23977"/>
    <cellStyle name="‡_Cost Piping 3" xfId="23976"/>
    <cellStyle name="‡_Cost Piping 3 2" xfId="23975"/>
    <cellStyle name="‡_Cost Piping 4" xfId="23974"/>
    <cellStyle name="‡_Cost Piping 4 2" xfId="23973"/>
    <cellStyle name="‡_Cost Piping 5" xfId="23972"/>
    <cellStyle name="‡_Cost Piping 6" xfId="23971"/>
    <cellStyle name="‡_Cost Piping 7" xfId="23970"/>
    <cellStyle name="‡_Cost Piping 8" xfId="23969"/>
    <cellStyle name="‡_Cost Piping 9" xfId="23968"/>
    <cellStyle name="‡_Cost Piping_BQ &amp; An Pds Gdg - KIM I" xfId="23967"/>
    <cellStyle name="‡_Cost Piping_BQ &amp; An Pds Gdg - KIM I_GALIAN C" xfId="23966"/>
    <cellStyle name="‡_Cost Piping_BQ &amp; An Pds Gdg - KIM I_Pen- Kodja Revisi 02 November 2009 (Rev 11-11-09)" xfId="23965"/>
    <cellStyle name="‡_Cost Piping_BQ &amp; An Pds Gdg - KIM I_Pen- Kodja Revisi 27 JAN 2010" xfId="23964"/>
    <cellStyle name="‡_Cost Piping_BQ &amp; An Pds Gdg - KIM I_RAB Kodja Revisi 22 feb 2010" xfId="23963"/>
    <cellStyle name="‡_Cost Piping_BQ &amp; An Pds Gdg - KIM I_RAB Kodja Revisi 23 feb 2010, revisi analisa" xfId="23962"/>
    <cellStyle name="‡_Cost Piping_BQ &amp; An Pondasi SEP &amp; WAREHOUSE-KIM I (R-0)" xfId="23961"/>
    <cellStyle name="‡_Cost Piping_BQ &amp; An Pondasi SEP &amp; WAREHOUSE-KIM I (R-0)_GALIAN C" xfId="23960"/>
    <cellStyle name="‡_Cost Piping_BQ &amp; An Pondasi SEP &amp; WAREHOUSE-KIM I (R-0)_Pen- Kodja Revisi 02 November 2009 (Rev 11-11-09)" xfId="23959"/>
    <cellStyle name="‡_Cost Piping_BQ &amp; An Pondasi SEP &amp; WAREHOUSE-KIM I (R-0)_Pen- Kodja Revisi 27 JAN 2010" xfId="23958"/>
    <cellStyle name="‡_Cost Piping_BQ &amp; An Pondasi SEP &amp; WAREHOUSE-KIM I (R-0)_RAB Kodja Revisi 22 feb 2010" xfId="23957"/>
    <cellStyle name="‡_Cost Piping_BQ &amp; An Pondasi SEP &amp; WAREHOUSE-KIM I (R-0)_RAB Kodja Revisi 23 feb 2010, revisi analisa" xfId="23956"/>
    <cellStyle name="‡_Cost Piping_BQ Pabrik Biodiesel MM-Btm" xfId="23955"/>
    <cellStyle name="‡_Cost Piping_BQ Pabrik Biodiesel MM-Btm_GALIAN C" xfId="23954"/>
    <cellStyle name="‡_Cost Piping_BQ Pabrik Biodiesel MM-Btm_Pen- Kodja Revisi 02 November 2009 (Rev 11-11-09)" xfId="23953"/>
    <cellStyle name="‡_Cost Piping_BQ Pabrik Biodiesel MM-Btm_Pen- Kodja Revisi 27 JAN 2010" xfId="23952"/>
    <cellStyle name="‡_Cost Piping_BQ Pabrik Biodiesel MM-Btm_RAB Kodja Revisi 22 feb 2010" xfId="23951"/>
    <cellStyle name="‡_Cost Piping_BQ Pabrik Biodiesel MM-Btm_RAB Kodja Revisi 23 feb 2010, revisi analisa" xfId="23950"/>
    <cellStyle name="‡_Cost Piping_EXERCISE PRICE-2x10 W70-1050-PO-KENDARI" xfId="23949"/>
    <cellStyle name="‡_Cost Piping_EXERCISE PRICE-2x10 W70-1050-PO-KENDARI 2" xfId="23948"/>
    <cellStyle name="‡_Cost Piping_EXERCISE PRICE-2x10 W70-1050-PO-KENDARI 3" xfId="23947"/>
    <cellStyle name="‡_Cost Piping_EXERCISE PRICE-2x10 W70-1050-PO-KENDARI 4" xfId="23946"/>
    <cellStyle name="‡_Cost Piping_EXERCISE PRICE-2x10 W70-1050-PO-KENDARI 5" xfId="23945"/>
    <cellStyle name="‡_Cost Piping_EXERCISE PRICE-2x10 W70-1050-PO-KENDARI 6" xfId="23944"/>
    <cellStyle name="‡_Cost Piping_EXERCISE PRICE-2x10 W70-1050-PO-KENDARI 7" xfId="23943"/>
    <cellStyle name="‡_Cost Piping_EXERCISE PRICE-2x10 W70-1050-PO-KENDARI 8" xfId="23942"/>
    <cellStyle name="‡_Cost Piping_EXERCISE PRICE-2X7 WO70-1100-PO-Riau" xfId="23941"/>
    <cellStyle name="‡_Cost Piping_EXERCISE PRICE-2X7 WO70-1100-PO-Riau 2" xfId="23940"/>
    <cellStyle name="‡_Cost Piping_EXERCISE PRICE-2X7 WO70-1100-PO-Riau 3" xfId="23939"/>
    <cellStyle name="‡_Cost Piping_EXERCISE PRICE-2X7 WO70-1100-PO-Riau 4" xfId="23938"/>
    <cellStyle name="‡_Cost Piping_EXERCISE PRICE-2X7 WO70-1100-PO-Riau 5" xfId="23937"/>
    <cellStyle name="‡_Cost Piping_EXERCISE PRICE-2X7 WO70-1100-PO-Riau 6" xfId="23936"/>
    <cellStyle name="‡_Cost Piping_EXERCISE PRICE-2X7 WO70-1100-PO-Riau 7" xfId="23935"/>
    <cellStyle name="‡_Cost Piping_EXERCISE PRICE-2X7 WO70-1100-PO-Riau 8" xfId="23934"/>
    <cellStyle name="‡_Cost Piping_FORM SUMMARY OF PRICE" xfId="23933"/>
    <cellStyle name="‡_Cost Piping_GALIAN C" xfId="23932"/>
    <cellStyle name="‡_Cost Piping_Inquiry Plan-KEPULAUAN RIAU 2X7 MW-GABUNGAN" xfId="23931"/>
    <cellStyle name="‡_Cost Piping_Inquiry Plan-KEPULAUAN RIAU 2X7 MW-GABUNGAN 2" xfId="23930"/>
    <cellStyle name="‡_Cost Piping_Inquiry Plan-KEPULAUAN RIAU 2X7 MW-GABUNGAN 2 2" xfId="23929"/>
    <cellStyle name="‡_Cost Piping_Inquiry Plan-KEPULAUAN RIAU 2X7 MW-GABUNGAN 3" xfId="23928"/>
    <cellStyle name="‡_Cost Piping_Inquiry Plan-KEPULAUAN RIAU 2X7 MW-GABUNGAN 3 2" xfId="23927"/>
    <cellStyle name="‡_Cost Piping_Inquiry Plan-KEPULAUAN RIAU 2X7 MW-GABUNGAN 4" xfId="23926"/>
    <cellStyle name="‡_Cost Piping_Inquiry Plan-KEPULAUAN RIAU 2X7 MW-GABUNGAN 4 2" xfId="23925"/>
    <cellStyle name="‡_Cost Piping_Inquiry Plan-KEPULAUAN RIAU 2X7 MW-GABUNGAN 5" xfId="23924"/>
    <cellStyle name="‡_Cost Piping_Pen- Kodja Revisi 02 November 2009 (Rev 11-11-09)" xfId="23923"/>
    <cellStyle name="‡_Cost Piping_Pen- Kodja Revisi 27 JAN 2010" xfId="23922"/>
    <cellStyle name="‡_Cost Piping_RAB Kodja Revisi 22 feb 2010" xfId="23921"/>
    <cellStyle name="‡_Cost Piping_RAB Kodja Revisi 23 feb 2010, revisi analisa" xfId="23920"/>
    <cellStyle name="‡_Cost Piping_SCHEME PACKAGES &amp; BUDGET 2 X 7 MW NTT-REV01" xfId="23919"/>
    <cellStyle name="‡_Cost Piping_SCHEME PACKAGES &amp; BUDGET 2 X 7 MW NTT-REV01 2" xfId="23918"/>
    <cellStyle name="‡_Cost Piping_SCHEME PACKAGES &amp; BUDGET 2 X 7 MW NTT-REV01 2 2" xfId="23917"/>
    <cellStyle name="‡_Cost Piping_SCHEME PACKAGES &amp; BUDGET 2 X 7 MW NTT-REV01 3" xfId="23916"/>
    <cellStyle name="‡_Cost Piping_SCHEME PACKAGES &amp; BUDGET 2 X 7 MW NTT-REV01 3 2" xfId="23915"/>
    <cellStyle name="‡_Cost Piping_SCHEME PACKAGES &amp; BUDGET 2 X 7 MW NTT-REV01 4" xfId="23914"/>
    <cellStyle name="‡_Cost Piping_SCHEME PACKAGES &amp; BUDGET 2 X 7 MW NTT-REV01 4 2" xfId="23913"/>
    <cellStyle name="‡_Cost Piping_SCHEME PACKAGES &amp; BUDGET 2 X 7 MW NTT-REV01 5" xfId="23912"/>
    <cellStyle name="‡_Cost Piping_SCHEME PACKAGES &amp; BUDGET 2 X 7 MW TBK-REV01" xfId="23911"/>
    <cellStyle name="‡_Cost Piping_SCHEME PACKAGES &amp; BUDGET 2 X 7 MW TBK-REV01 2" xfId="23910"/>
    <cellStyle name="‡_Cost Piping_SCHEME PACKAGES &amp; BUDGET 2 X 7 MW TBK-REV01 2 2" xfId="23909"/>
    <cellStyle name="‡_Cost Piping_SCHEME PACKAGES &amp; BUDGET 2 X 7 MW TBK-REV01 3" xfId="23908"/>
    <cellStyle name="‡_Cost Piping_SCHEME PACKAGES &amp; BUDGET 2 X 7 MW TBK-REV01 3 2" xfId="23907"/>
    <cellStyle name="‡_Cost Piping_SCHEME PACKAGES &amp; BUDGET 2 X 7 MW TBK-REV01 4" xfId="23906"/>
    <cellStyle name="‡_Cost Piping_SCHEME PACKAGES &amp; BUDGET 2 X 7 MW TBK-REV01 4 2" xfId="23905"/>
    <cellStyle name="‡_Cost Piping_SCHEME PACKAGES &amp; BUDGET 2 X 7 MW TBK-REV01 5" xfId="23904"/>
    <cellStyle name="‡_data tie-n balongan" xfId="23903"/>
    <cellStyle name="‡_data tie-n balongan_BQ &amp; An Pds Gdg - KIM I" xfId="23902"/>
    <cellStyle name="‡_data tie-n balongan_BQ &amp; An Pds Gdg - KIM I_GALIAN C" xfId="23901"/>
    <cellStyle name="‡_data tie-n balongan_BQ &amp; An Pds Gdg - KIM I_Pen- Kodja Revisi 02 November 2009 (Rev 11-11-09)" xfId="23900"/>
    <cellStyle name="‡_data tie-n balongan_BQ &amp; An Pds Gdg - KIM I_Pen- Kodja Revisi 27 JAN 2010" xfId="23899"/>
    <cellStyle name="‡_data tie-n balongan_BQ &amp; An Pds Gdg - KIM I_RAB Kodja Revisi 22 feb 2010" xfId="23898"/>
    <cellStyle name="‡_data tie-n balongan_BQ &amp; An Pds Gdg - KIM I_RAB Kodja Revisi 23 feb 2010, revisi analisa" xfId="23897"/>
    <cellStyle name="‡_data tie-n balongan_BQ &amp; An Pondasi SEP &amp; WAREHOUSE-KIM I (R-0)" xfId="23896"/>
    <cellStyle name="‡_data tie-n balongan_BQ &amp; An Pondasi SEP &amp; WAREHOUSE-KIM I (R-0)_GALIAN C" xfId="23895"/>
    <cellStyle name="‡_data tie-n balongan_BQ &amp; An Pondasi SEP &amp; WAREHOUSE-KIM I (R-0)_Pen- Kodja Revisi 02 November 2009 (Rev 11-11-09)" xfId="23894"/>
    <cellStyle name="‡_data tie-n balongan_BQ &amp; An Pondasi SEP &amp; WAREHOUSE-KIM I (R-0)_Pen- Kodja Revisi 27 JAN 2010" xfId="23893"/>
    <cellStyle name="‡_data tie-n balongan_BQ &amp; An Pondasi SEP &amp; WAREHOUSE-KIM I (R-0)_RAB Kodja Revisi 22 feb 2010" xfId="23892"/>
    <cellStyle name="‡_data tie-n balongan_BQ &amp; An Pondasi SEP &amp; WAREHOUSE-KIM I (R-0)_RAB Kodja Revisi 23 feb 2010, revisi analisa" xfId="23891"/>
    <cellStyle name="‡_data tie-n balongan_BQ Pabrik Biodiesel MM-Btm" xfId="23890"/>
    <cellStyle name="‡_data tie-n balongan_BQ Pabrik Biodiesel MM-Btm_GALIAN C" xfId="23889"/>
    <cellStyle name="‡_data tie-n balongan_BQ Pabrik Biodiesel MM-Btm_Pen- Kodja Revisi 02 November 2009 (Rev 11-11-09)" xfId="23888"/>
    <cellStyle name="‡_data tie-n balongan_BQ Pabrik Biodiesel MM-Btm_Pen- Kodja Revisi 27 JAN 2010" xfId="23887"/>
    <cellStyle name="‡_data tie-n balongan_BQ Pabrik Biodiesel MM-Btm_RAB Kodja Revisi 22 feb 2010" xfId="23886"/>
    <cellStyle name="‡_data tie-n balongan_BQ Pabrik Biodiesel MM-Btm_RAB Kodja Revisi 23 feb 2010, revisi analisa" xfId="23885"/>
    <cellStyle name="‡_data tie-n balongan_GALIAN C" xfId="23884"/>
    <cellStyle name="‡_data tie-n balongan_Pen- Kodja Revisi 02 November 2009 (Rev 11-11-09)" xfId="23883"/>
    <cellStyle name="‡_data tie-n balongan_Pen- Kodja Revisi 27 JAN 2010" xfId="23882"/>
    <cellStyle name="‡_data tie-n balongan_RAB Kodja Revisi 22 feb 2010" xfId="23881"/>
    <cellStyle name="‡_data tie-n balongan_RAB Kodja Revisi 23 feb 2010, revisi analisa" xfId="23880"/>
    <cellStyle name="‡_Dephan (YKPP)_Rev#31" xfId="23879"/>
    <cellStyle name="‡_Erection Steel Structure &amp; Mechanical-4" xfId="23878"/>
    <cellStyle name="‡_Erection Steel Structure &amp; Mechanical-4 2" xfId="23877"/>
    <cellStyle name="‡_Erection Steel Structure &amp; Mechanical-4 2 2" xfId="23876"/>
    <cellStyle name="‡_Erection Steel Structure &amp; Mechanical-4 3" xfId="23875"/>
    <cellStyle name="‡_Erection Steel Structure &amp; Mechanical-4 3 2" xfId="23874"/>
    <cellStyle name="‡_Erection Steel Structure &amp; Mechanical-4 4" xfId="23873"/>
    <cellStyle name="‡_Erection Steel Structure &amp; Mechanical-4 4 2" xfId="23872"/>
    <cellStyle name="‡_Erection Steel Structure &amp; Mechanical-4 5" xfId="23871"/>
    <cellStyle name="‡_Erection Steel Structure &amp; Mechanical-4 6" xfId="23870"/>
    <cellStyle name="‡_Erection Steel Structure &amp; Mechanical-4 7" xfId="23869"/>
    <cellStyle name="‡_Erection Steel Structure &amp; Mechanical-4 8" xfId="23868"/>
    <cellStyle name="‡_Erection Steel Structure &amp; Mechanical-4 9" xfId="23867"/>
    <cellStyle name="‡_Erection Steel Structure &amp; Mechanical-4_BQ &amp; An Pds Gdg - KIM I" xfId="23866"/>
    <cellStyle name="‡_Erection Steel Structure &amp; Mechanical-4_BQ &amp; An Pds Gdg - KIM I_GALIAN C" xfId="23865"/>
    <cellStyle name="‡_Erection Steel Structure &amp; Mechanical-4_BQ &amp; An Pds Gdg - KIM I_Pen- Kodja Revisi 02 November 2009 (Rev 11-11-09)" xfId="23864"/>
    <cellStyle name="‡_Erection Steel Structure &amp; Mechanical-4_BQ &amp; An Pds Gdg - KIM I_Pen- Kodja Revisi 27 JAN 2010" xfId="23863"/>
    <cellStyle name="‡_Erection Steel Structure &amp; Mechanical-4_BQ &amp; An Pds Gdg - KIM I_RAB Kodja Revisi 22 feb 2010" xfId="23862"/>
    <cellStyle name="‡_Erection Steel Structure &amp; Mechanical-4_BQ &amp; An Pds Gdg - KIM I_RAB Kodja Revisi 23 feb 2010, revisi analisa" xfId="23861"/>
    <cellStyle name="‡_Erection Steel Structure &amp; Mechanical-4_BQ &amp; An Pondasi SEP &amp; WAREHOUSE-KIM I (R-0)" xfId="23860"/>
    <cellStyle name="‡_Erection Steel Structure &amp; Mechanical-4_BQ &amp; An Pondasi SEP &amp; WAREHOUSE-KIM I (R-0)_GALIAN C" xfId="23859"/>
    <cellStyle name="‡_Erection Steel Structure &amp; Mechanical-4_BQ &amp; An Pondasi SEP &amp; WAREHOUSE-KIM I (R-0)_Pen- Kodja Revisi 02 November 2009 (Rev 11-11-09)" xfId="23858"/>
    <cellStyle name="‡_Erection Steel Structure &amp; Mechanical-4_BQ &amp; An Pondasi SEP &amp; WAREHOUSE-KIM I (R-0)_Pen- Kodja Revisi 27 JAN 2010" xfId="23857"/>
    <cellStyle name="‡_Erection Steel Structure &amp; Mechanical-4_BQ &amp; An Pondasi SEP &amp; WAREHOUSE-KIM I (R-0)_RAB Kodja Revisi 22 feb 2010" xfId="23856"/>
    <cellStyle name="‡_Erection Steel Structure &amp; Mechanical-4_BQ &amp; An Pondasi SEP &amp; WAREHOUSE-KIM I (R-0)_RAB Kodja Revisi 23 feb 2010, revisi analisa" xfId="23855"/>
    <cellStyle name="‡_Erection Steel Structure &amp; Mechanical-4_BQ Pabrik Biodiesel MM-Btm" xfId="23854"/>
    <cellStyle name="‡_Erection Steel Structure &amp; Mechanical-4_BQ Pabrik Biodiesel MM-Btm_GALIAN C" xfId="23853"/>
    <cellStyle name="‡_Erection Steel Structure &amp; Mechanical-4_BQ Pabrik Biodiesel MM-Btm_Pen- Kodja Revisi 02 November 2009 (Rev 11-11-09)" xfId="23852"/>
    <cellStyle name="‡_Erection Steel Structure &amp; Mechanical-4_BQ Pabrik Biodiesel MM-Btm_Pen- Kodja Revisi 27 JAN 2010" xfId="23851"/>
    <cellStyle name="‡_Erection Steel Structure &amp; Mechanical-4_BQ Pabrik Biodiesel MM-Btm_RAB Kodja Revisi 22 feb 2010" xfId="23850"/>
    <cellStyle name="‡_Erection Steel Structure &amp; Mechanical-4_BQ Pabrik Biodiesel MM-Btm_RAB Kodja Revisi 23 feb 2010, revisi analisa" xfId="23849"/>
    <cellStyle name="‡_Erection Steel Structure &amp; Mechanical-4_EXERCISE PRICE-2x10 W70-1050-PO-KENDARI" xfId="23848"/>
    <cellStyle name="‡_Erection Steel Structure &amp; Mechanical-4_EXERCISE PRICE-2x10 W70-1050-PO-KENDARI 2" xfId="23847"/>
    <cellStyle name="‡_Erection Steel Structure &amp; Mechanical-4_EXERCISE PRICE-2x10 W70-1050-PO-KENDARI 3" xfId="23846"/>
    <cellStyle name="‡_Erection Steel Structure &amp; Mechanical-4_EXERCISE PRICE-2x10 W70-1050-PO-KENDARI 4" xfId="23845"/>
    <cellStyle name="‡_Erection Steel Structure &amp; Mechanical-4_EXERCISE PRICE-2x10 W70-1050-PO-KENDARI 5" xfId="23844"/>
    <cellStyle name="‡_Erection Steel Structure &amp; Mechanical-4_EXERCISE PRICE-2x10 W70-1050-PO-KENDARI 6" xfId="23843"/>
    <cellStyle name="‡_Erection Steel Structure &amp; Mechanical-4_EXERCISE PRICE-2x10 W70-1050-PO-KENDARI 7" xfId="23842"/>
    <cellStyle name="‡_Erection Steel Structure &amp; Mechanical-4_EXERCISE PRICE-2x10 W70-1050-PO-KENDARI 8" xfId="23841"/>
    <cellStyle name="‡_Erection Steel Structure &amp; Mechanical-4_EXERCISE PRICE-2X7 WO70-1100-PO-Riau" xfId="23840"/>
    <cellStyle name="‡_Erection Steel Structure &amp; Mechanical-4_EXERCISE PRICE-2X7 WO70-1100-PO-Riau 2" xfId="23839"/>
    <cellStyle name="‡_Erection Steel Structure &amp; Mechanical-4_EXERCISE PRICE-2X7 WO70-1100-PO-Riau 3" xfId="23838"/>
    <cellStyle name="‡_Erection Steel Structure &amp; Mechanical-4_EXERCISE PRICE-2X7 WO70-1100-PO-Riau 4" xfId="23837"/>
    <cellStyle name="‡_Erection Steel Structure &amp; Mechanical-4_EXERCISE PRICE-2X7 WO70-1100-PO-Riau 5" xfId="23836"/>
    <cellStyle name="‡_Erection Steel Structure &amp; Mechanical-4_EXERCISE PRICE-2X7 WO70-1100-PO-Riau 6" xfId="23835"/>
    <cellStyle name="‡_Erection Steel Structure &amp; Mechanical-4_EXERCISE PRICE-2X7 WO70-1100-PO-Riau 7" xfId="23834"/>
    <cellStyle name="‡_Erection Steel Structure &amp; Mechanical-4_EXERCISE PRICE-2X7 WO70-1100-PO-Riau 8" xfId="23833"/>
    <cellStyle name="‡_Erection Steel Structure &amp; Mechanical-4_FORM SUMMARY OF PRICE" xfId="23832"/>
    <cellStyle name="‡_Erection Steel Structure &amp; Mechanical-4_GALIAN C" xfId="23831"/>
    <cellStyle name="‡_Erection Steel Structure &amp; Mechanical-4_Inquiry Plan-KEPULAUAN RIAU 2X7 MW-GABUNGAN" xfId="23830"/>
    <cellStyle name="‡_Erection Steel Structure &amp; Mechanical-4_Inquiry Plan-KEPULAUAN RIAU 2X7 MW-GABUNGAN 2" xfId="23829"/>
    <cellStyle name="‡_Erection Steel Structure &amp; Mechanical-4_Inquiry Plan-KEPULAUAN RIAU 2X7 MW-GABUNGAN 2 2" xfId="23828"/>
    <cellStyle name="‡_Erection Steel Structure &amp; Mechanical-4_Inquiry Plan-KEPULAUAN RIAU 2X7 MW-GABUNGAN 3" xfId="23827"/>
    <cellStyle name="‡_Erection Steel Structure &amp; Mechanical-4_Inquiry Plan-KEPULAUAN RIAU 2X7 MW-GABUNGAN 3 2" xfId="23826"/>
    <cellStyle name="‡_Erection Steel Structure &amp; Mechanical-4_Inquiry Plan-KEPULAUAN RIAU 2X7 MW-GABUNGAN 4" xfId="23825"/>
    <cellStyle name="‡_Erection Steel Structure &amp; Mechanical-4_Inquiry Plan-KEPULAUAN RIAU 2X7 MW-GABUNGAN 4 2" xfId="23824"/>
    <cellStyle name="‡_Erection Steel Structure &amp; Mechanical-4_Inquiry Plan-KEPULAUAN RIAU 2X7 MW-GABUNGAN 5" xfId="23823"/>
    <cellStyle name="‡_Erection Steel Structure &amp; Mechanical-4_Pen- Kodja Revisi 02 November 2009 (Rev 11-11-09)" xfId="23822"/>
    <cellStyle name="‡_Erection Steel Structure &amp; Mechanical-4_Pen- Kodja Revisi 27 JAN 2010" xfId="23821"/>
    <cellStyle name="‡_Erection Steel Structure &amp; Mechanical-4_RAB Kodja Revisi 22 feb 2010" xfId="23820"/>
    <cellStyle name="‡_Erection Steel Structure &amp; Mechanical-4_RAB Kodja Revisi 23 feb 2010, revisi analisa" xfId="23819"/>
    <cellStyle name="‡_Erection Steel Structure &amp; Mechanical-4_SCHEME PACKAGES &amp; BUDGET 2 X 7 MW NTT-REV01" xfId="23818"/>
    <cellStyle name="‡_Erection Steel Structure &amp; Mechanical-4_SCHEME PACKAGES &amp; BUDGET 2 X 7 MW NTT-REV01 2" xfId="23817"/>
    <cellStyle name="‡_Erection Steel Structure &amp; Mechanical-4_SCHEME PACKAGES &amp; BUDGET 2 X 7 MW NTT-REV01 2 2" xfId="23816"/>
    <cellStyle name="‡_Erection Steel Structure &amp; Mechanical-4_SCHEME PACKAGES &amp; BUDGET 2 X 7 MW NTT-REV01 3" xfId="23815"/>
    <cellStyle name="‡_Erection Steel Structure &amp; Mechanical-4_SCHEME PACKAGES &amp; BUDGET 2 X 7 MW NTT-REV01 3 2" xfId="23814"/>
    <cellStyle name="‡_Erection Steel Structure &amp; Mechanical-4_SCHEME PACKAGES &amp; BUDGET 2 X 7 MW NTT-REV01 4" xfId="23813"/>
    <cellStyle name="‡_Erection Steel Structure &amp; Mechanical-4_SCHEME PACKAGES &amp; BUDGET 2 X 7 MW NTT-REV01 4 2" xfId="23812"/>
    <cellStyle name="‡_Erection Steel Structure &amp; Mechanical-4_SCHEME PACKAGES &amp; BUDGET 2 X 7 MW NTT-REV01 5" xfId="23811"/>
    <cellStyle name="‡_Erection Steel Structure &amp; Mechanical-4_SCHEME PACKAGES &amp; BUDGET 2 X 7 MW TBK-REV01" xfId="23810"/>
    <cellStyle name="‡_Erection Steel Structure &amp; Mechanical-4_SCHEME PACKAGES &amp; BUDGET 2 X 7 MW TBK-REV01 2" xfId="23809"/>
    <cellStyle name="‡_Erection Steel Structure &amp; Mechanical-4_SCHEME PACKAGES &amp; BUDGET 2 X 7 MW TBK-REV01 2 2" xfId="23808"/>
    <cellStyle name="‡_Erection Steel Structure &amp; Mechanical-4_SCHEME PACKAGES &amp; BUDGET 2 X 7 MW TBK-REV01 3" xfId="23807"/>
    <cellStyle name="‡_Erection Steel Structure &amp; Mechanical-4_SCHEME PACKAGES &amp; BUDGET 2 X 7 MW TBK-REV01 3 2" xfId="23806"/>
    <cellStyle name="‡_Erection Steel Structure &amp; Mechanical-4_SCHEME PACKAGES &amp; BUDGET 2 X 7 MW TBK-REV01 4" xfId="23805"/>
    <cellStyle name="‡_Erection Steel Structure &amp; Mechanical-4_SCHEME PACKAGES &amp; BUDGET 2 X 7 MW TBK-REV01 4 2" xfId="23804"/>
    <cellStyle name="‡_Erection Steel Structure &amp; Mechanical-4_SCHEME PACKAGES &amp; BUDGET 2 X 7 MW TBK-REV01 5" xfId="23803"/>
    <cellStyle name="‡_EVALUASI HARGA_OPT" xfId="23802"/>
    <cellStyle name="‡_EXERCISE PRICE-2x10 W70-1050-PO-KENDARI" xfId="23801"/>
    <cellStyle name="‡_EXERCISE PRICE-2x10 W70-1050-PO-KENDARI 2" xfId="23800"/>
    <cellStyle name="‡_EXERCISE PRICE-2x10 W70-1050-PO-KENDARI 3" xfId="23799"/>
    <cellStyle name="‡_EXERCISE PRICE-2x10 W70-1050-PO-KENDARI 4" xfId="23798"/>
    <cellStyle name="‡_EXERCISE PRICE-2x10 W70-1050-PO-KENDARI 5" xfId="23797"/>
    <cellStyle name="‡_EXERCISE PRICE-2x10 W70-1050-PO-KENDARI 6" xfId="23796"/>
    <cellStyle name="‡_EXERCISE PRICE-2x10 W70-1050-PO-KENDARI 7" xfId="23795"/>
    <cellStyle name="‡_EXERCISE PRICE-2x10 W70-1050-PO-KENDARI 8" xfId="23794"/>
    <cellStyle name="‡_EXERCISE PRICE-2X7 WO70-1100-PO-Riau" xfId="23793"/>
    <cellStyle name="‡_EXERCISE PRICE-2X7 WO70-1100-PO-Riau 2" xfId="23792"/>
    <cellStyle name="‡_EXERCISE PRICE-2X7 WO70-1100-PO-Riau 3" xfId="23791"/>
    <cellStyle name="‡_EXERCISE PRICE-2X7 WO70-1100-PO-Riau 4" xfId="23790"/>
    <cellStyle name="‡_EXERCISE PRICE-2X7 WO70-1100-PO-Riau 5" xfId="23789"/>
    <cellStyle name="‡_EXERCISE PRICE-2X7 WO70-1100-PO-Riau 6" xfId="23788"/>
    <cellStyle name="‡_EXERCISE PRICE-2X7 WO70-1100-PO-Riau 7" xfId="23787"/>
    <cellStyle name="‡_EXERCISE PRICE-2X7 WO70-1100-PO-Riau 8" xfId="23786"/>
    <cellStyle name="‡_Expense" xfId="23785"/>
    <cellStyle name="‡_f. RAB ME PUS 9 juni 08 GDZ" xfId="23784"/>
    <cellStyle name="‡_F5" xfId="23783"/>
    <cellStyle name="‡_F5 2" xfId="23782"/>
    <cellStyle name="‡_F5_BQ Pabrik Biodiesel MM-Btm" xfId="23781"/>
    <cellStyle name="‡_F5_BQ Pabrik Biodiesel MM-Btm 2" xfId="23780"/>
    <cellStyle name="‡_F5_EXERCISE PRICE-2x10 W70-1050-PO-KENDARI" xfId="23779"/>
    <cellStyle name="‡_F5_EXERCISE PRICE-2X7 WO70-1100-PO-Riau" xfId="23778"/>
    <cellStyle name="‡_F5_FORM SUMMARY OF PRICE" xfId="23777"/>
    <cellStyle name="‡_F5_Inquiry Plan-KEPULAUAN RIAU 2X7 MW-GABUNGAN" xfId="23776"/>
    <cellStyle name="‡_F5_Inquiry Plan-KEPULAUAN RIAU 2X7 MW-GABUNGAN 2" xfId="23775"/>
    <cellStyle name="‡_F5_SCHEME PACKAGES &amp; BUDGET 2 X 7 MW NTT-REV01" xfId="23774"/>
    <cellStyle name="‡_F5_SCHEME PACKAGES &amp; BUDGET 2 X 7 MW NTT-REV01 2" xfId="23773"/>
    <cellStyle name="‡_F5_SCHEME PACKAGES &amp; BUDGET 2 X 7 MW TBK-REV01" xfId="23772"/>
    <cellStyle name="‡_F5_SCHEME PACKAGES &amp; BUDGET 2 X 7 MW TBK-REV01 2" xfId="23771"/>
    <cellStyle name="‡_F6" xfId="23770"/>
    <cellStyle name="‡_F6 2" xfId="23769"/>
    <cellStyle name="‡_F6_BQ Pabrik Biodiesel MM-Btm" xfId="23768"/>
    <cellStyle name="‡_F6_BQ Pabrik Biodiesel MM-Btm 2" xfId="23767"/>
    <cellStyle name="‡_F6_EXERCISE PRICE-2x10 W70-1050-PO-KENDARI" xfId="23766"/>
    <cellStyle name="‡_F6_EXERCISE PRICE-2X7 WO70-1100-PO-Riau" xfId="23765"/>
    <cellStyle name="‡_F6_FORM SUMMARY OF PRICE" xfId="23764"/>
    <cellStyle name="‡_F6_Inquiry Plan-KEPULAUAN RIAU 2X7 MW-GABUNGAN" xfId="23763"/>
    <cellStyle name="‡_F6_Inquiry Plan-KEPULAUAN RIAU 2X7 MW-GABUNGAN 2" xfId="23762"/>
    <cellStyle name="‡_F6_SCHEME PACKAGES &amp; BUDGET 2 X 7 MW NTT-REV01" xfId="23761"/>
    <cellStyle name="‡_F6_SCHEME PACKAGES &amp; BUDGET 2 X 7 MW NTT-REV01 2" xfId="23760"/>
    <cellStyle name="‡_F6_SCHEME PACKAGES &amp; BUDGET 2 X 7 MW TBK-REV01" xfId="23759"/>
    <cellStyle name="‡_F6_SCHEME PACKAGES &amp; BUDGET 2 X 7 MW TBK-REV01 2" xfId="23758"/>
    <cellStyle name="‡_FORM MONITORING SUB" xfId="23757"/>
    <cellStyle name="‡_FORM MONITORING SUB_D0C. RECORD PROGRESS INDOKOMAS" xfId="23756"/>
    <cellStyle name="‡_FORM SUMMARY OF PRICE" xfId="23755"/>
    <cellStyle name="‡_Form-Reka-UG Pipe CO2 Removal" xfId="23754"/>
    <cellStyle name="‡_Form-Reka-UG Pipe CO2 Removal 2" xfId="23753"/>
    <cellStyle name="‡_Form-Reka-UG Pipe CO2 Removal 2 2" xfId="23752"/>
    <cellStyle name="‡_Form-Reka-UG Pipe CO2 Removal 3" xfId="23751"/>
    <cellStyle name="‡_Form-Reka-UG Pipe CO2 Removal 3 2" xfId="23750"/>
    <cellStyle name="‡_Form-Reka-UG Pipe CO2 Removal 4" xfId="23749"/>
    <cellStyle name="‡_Form-Reka-UG Pipe CO2 Removal 4 2" xfId="23748"/>
    <cellStyle name="‡_Form-Reka-UG Pipe CO2 Removal 5" xfId="23747"/>
    <cellStyle name="‡_Form-Reka-UG Pipe CO2 Removal 6" xfId="23746"/>
    <cellStyle name="‡_Form-Reka-UG Pipe CO2 Removal 7" xfId="23745"/>
    <cellStyle name="‡_Form-Reka-UG Pipe CO2 Removal 8" xfId="23744"/>
    <cellStyle name="‡_Form-Reka-UG Pipe CO2 Removal 9" xfId="23743"/>
    <cellStyle name="‡_Form-Reka-UG Pipe CO2 Removal_BQ &amp; An Pds Gdg - KIM I" xfId="23742"/>
    <cellStyle name="‡_Form-Reka-UG Pipe CO2 Removal_BQ &amp; An Pds Gdg - KIM I_GALIAN C" xfId="23741"/>
    <cellStyle name="‡_Form-Reka-UG Pipe CO2 Removal_BQ &amp; An Pds Gdg - KIM I_Pen- Kodja Revisi 02 November 2009 (Rev 11-11-09)" xfId="23740"/>
    <cellStyle name="‡_Form-Reka-UG Pipe CO2 Removal_BQ &amp; An Pds Gdg - KIM I_Pen- Kodja Revisi 27 JAN 2010" xfId="23739"/>
    <cellStyle name="‡_Form-Reka-UG Pipe CO2 Removal_BQ &amp; An Pds Gdg - KIM I_RAB Kodja Revisi 22 feb 2010" xfId="23738"/>
    <cellStyle name="‡_Form-Reka-UG Pipe CO2 Removal_BQ &amp; An Pds Gdg - KIM I_RAB Kodja Revisi 23 feb 2010, revisi analisa" xfId="23737"/>
    <cellStyle name="‡_Form-Reka-UG Pipe CO2 Removal_BQ &amp; An Pondasi SEP &amp; WAREHOUSE-KIM I (R-0)" xfId="23736"/>
    <cellStyle name="‡_Form-Reka-UG Pipe CO2 Removal_BQ &amp; An Pondasi SEP &amp; WAREHOUSE-KIM I (R-0)_GALIAN C" xfId="23735"/>
    <cellStyle name="‡_Form-Reka-UG Pipe CO2 Removal_BQ &amp; An Pondasi SEP &amp; WAREHOUSE-KIM I (R-0)_Pen- Kodja Revisi 02 November 2009 (Rev 11-11-09)" xfId="23734"/>
    <cellStyle name="‡_Form-Reka-UG Pipe CO2 Removal_BQ &amp; An Pondasi SEP &amp; WAREHOUSE-KIM I (R-0)_Pen- Kodja Revisi 27 JAN 2010" xfId="23733"/>
    <cellStyle name="‡_Form-Reka-UG Pipe CO2 Removal_BQ &amp; An Pondasi SEP &amp; WAREHOUSE-KIM I (R-0)_RAB Kodja Revisi 22 feb 2010" xfId="23732"/>
    <cellStyle name="‡_Form-Reka-UG Pipe CO2 Removal_BQ &amp; An Pondasi SEP &amp; WAREHOUSE-KIM I (R-0)_RAB Kodja Revisi 23 feb 2010, revisi analisa" xfId="23731"/>
    <cellStyle name="‡_Form-Reka-UG Pipe CO2 Removal_BQ Pabrik Biodiesel MM-Btm" xfId="23730"/>
    <cellStyle name="‡_Form-Reka-UG Pipe CO2 Removal_BQ Pabrik Biodiesel MM-Btm_GALIAN C" xfId="23729"/>
    <cellStyle name="‡_Form-Reka-UG Pipe CO2 Removal_BQ Pabrik Biodiesel MM-Btm_Pen- Kodja Revisi 02 November 2009 (Rev 11-11-09)" xfId="23728"/>
    <cellStyle name="‡_Form-Reka-UG Pipe CO2 Removal_BQ Pabrik Biodiesel MM-Btm_Pen- Kodja Revisi 27 JAN 2010" xfId="23727"/>
    <cellStyle name="‡_Form-Reka-UG Pipe CO2 Removal_BQ Pabrik Biodiesel MM-Btm_RAB Kodja Revisi 22 feb 2010" xfId="23726"/>
    <cellStyle name="‡_Form-Reka-UG Pipe CO2 Removal_BQ Pabrik Biodiesel MM-Btm_RAB Kodja Revisi 23 feb 2010, revisi analisa" xfId="23725"/>
    <cellStyle name="‡_Form-Reka-UG Pipe CO2 Removal_EXERCISE PRICE-2x10 W70-1050-PO-KENDARI" xfId="23724"/>
    <cellStyle name="‡_Form-Reka-UG Pipe CO2 Removal_EXERCISE PRICE-2x10 W70-1050-PO-KENDARI 2" xfId="23723"/>
    <cellStyle name="‡_Form-Reka-UG Pipe CO2 Removal_EXERCISE PRICE-2x10 W70-1050-PO-KENDARI 3" xfId="23722"/>
    <cellStyle name="‡_Form-Reka-UG Pipe CO2 Removal_EXERCISE PRICE-2x10 W70-1050-PO-KENDARI 4" xfId="23721"/>
    <cellStyle name="‡_Form-Reka-UG Pipe CO2 Removal_EXERCISE PRICE-2x10 W70-1050-PO-KENDARI 5" xfId="23720"/>
    <cellStyle name="‡_Form-Reka-UG Pipe CO2 Removal_EXERCISE PRICE-2x10 W70-1050-PO-KENDARI 6" xfId="23719"/>
    <cellStyle name="‡_Form-Reka-UG Pipe CO2 Removal_EXERCISE PRICE-2x10 W70-1050-PO-KENDARI 7" xfId="23718"/>
    <cellStyle name="‡_Form-Reka-UG Pipe CO2 Removal_EXERCISE PRICE-2x10 W70-1050-PO-KENDARI 8" xfId="23717"/>
    <cellStyle name="‡_Form-Reka-UG Pipe CO2 Removal_EXERCISE PRICE-2X7 WO70-1100-PO-Riau" xfId="23716"/>
    <cellStyle name="‡_Form-Reka-UG Pipe CO2 Removal_EXERCISE PRICE-2X7 WO70-1100-PO-Riau 2" xfId="23715"/>
    <cellStyle name="‡_Form-Reka-UG Pipe CO2 Removal_EXERCISE PRICE-2X7 WO70-1100-PO-Riau 3" xfId="23714"/>
    <cellStyle name="‡_Form-Reka-UG Pipe CO2 Removal_EXERCISE PRICE-2X7 WO70-1100-PO-Riau 4" xfId="23713"/>
    <cellStyle name="‡_Form-Reka-UG Pipe CO2 Removal_EXERCISE PRICE-2X7 WO70-1100-PO-Riau 5" xfId="23712"/>
    <cellStyle name="‡_Form-Reka-UG Pipe CO2 Removal_EXERCISE PRICE-2X7 WO70-1100-PO-Riau 6" xfId="23711"/>
    <cellStyle name="‡_Form-Reka-UG Pipe CO2 Removal_EXERCISE PRICE-2X7 WO70-1100-PO-Riau 7" xfId="23710"/>
    <cellStyle name="‡_Form-Reka-UG Pipe CO2 Removal_EXERCISE PRICE-2X7 WO70-1100-PO-Riau 8" xfId="23709"/>
    <cellStyle name="‡_Form-Reka-UG Pipe CO2 Removal_FORM SUMMARY OF PRICE" xfId="23708"/>
    <cellStyle name="‡_Form-Reka-UG Pipe CO2 Removal_GALIAN C" xfId="23707"/>
    <cellStyle name="‡_Form-Reka-UG Pipe CO2 Removal_Inquiry Plan-KEPULAUAN RIAU 2X7 MW-GABUNGAN" xfId="23706"/>
    <cellStyle name="‡_Form-Reka-UG Pipe CO2 Removal_Inquiry Plan-KEPULAUAN RIAU 2X7 MW-GABUNGAN 2" xfId="23705"/>
    <cellStyle name="‡_Form-Reka-UG Pipe CO2 Removal_Inquiry Plan-KEPULAUAN RIAU 2X7 MW-GABUNGAN 2 2" xfId="23704"/>
    <cellStyle name="‡_Form-Reka-UG Pipe CO2 Removal_Inquiry Plan-KEPULAUAN RIAU 2X7 MW-GABUNGAN 3" xfId="23703"/>
    <cellStyle name="‡_Form-Reka-UG Pipe CO2 Removal_Inquiry Plan-KEPULAUAN RIAU 2X7 MW-GABUNGAN 3 2" xfId="23702"/>
    <cellStyle name="‡_Form-Reka-UG Pipe CO2 Removal_Inquiry Plan-KEPULAUAN RIAU 2X7 MW-GABUNGAN 4" xfId="23701"/>
    <cellStyle name="‡_Form-Reka-UG Pipe CO2 Removal_Inquiry Plan-KEPULAUAN RIAU 2X7 MW-GABUNGAN 4 2" xfId="23700"/>
    <cellStyle name="‡_Form-Reka-UG Pipe CO2 Removal_Inquiry Plan-KEPULAUAN RIAU 2X7 MW-GABUNGAN 5" xfId="23699"/>
    <cellStyle name="‡_Form-Reka-UG Pipe CO2 Removal_Pen- Kodja Revisi 02 November 2009 (Rev 11-11-09)" xfId="23698"/>
    <cellStyle name="‡_Form-Reka-UG Pipe CO2 Removal_Pen- Kodja Revisi 27 JAN 2010" xfId="23697"/>
    <cellStyle name="‡_Form-Reka-UG Pipe CO2 Removal_RAB Kodja Revisi 22 feb 2010" xfId="23696"/>
    <cellStyle name="‡_Form-Reka-UG Pipe CO2 Removal_RAB Kodja Revisi 23 feb 2010, revisi analisa" xfId="23695"/>
    <cellStyle name="‡_Form-Reka-UG Pipe CO2 Removal_SCHEME PACKAGES &amp; BUDGET 2 X 7 MW NTT-REV01" xfId="23694"/>
    <cellStyle name="‡_Form-Reka-UG Pipe CO2 Removal_SCHEME PACKAGES &amp; BUDGET 2 X 7 MW NTT-REV01 2" xfId="23693"/>
    <cellStyle name="‡_Form-Reka-UG Pipe CO2 Removal_SCHEME PACKAGES &amp; BUDGET 2 X 7 MW NTT-REV01 2 2" xfId="23692"/>
    <cellStyle name="‡_Form-Reka-UG Pipe CO2 Removal_SCHEME PACKAGES &amp; BUDGET 2 X 7 MW NTT-REV01 3" xfId="23691"/>
    <cellStyle name="‡_Form-Reka-UG Pipe CO2 Removal_SCHEME PACKAGES &amp; BUDGET 2 X 7 MW NTT-REV01 3 2" xfId="23690"/>
    <cellStyle name="‡_Form-Reka-UG Pipe CO2 Removal_SCHEME PACKAGES &amp; BUDGET 2 X 7 MW NTT-REV01 4" xfId="23689"/>
    <cellStyle name="‡_Form-Reka-UG Pipe CO2 Removal_SCHEME PACKAGES &amp; BUDGET 2 X 7 MW NTT-REV01 4 2" xfId="23688"/>
    <cellStyle name="‡_Form-Reka-UG Pipe CO2 Removal_SCHEME PACKAGES &amp; BUDGET 2 X 7 MW NTT-REV01 5" xfId="23687"/>
    <cellStyle name="‡_Form-Reka-UG Pipe CO2 Removal_SCHEME PACKAGES &amp; BUDGET 2 X 7 MW TBK-REV01" xfId="23686"/>
    <cellStyle name="‡_Form-Reka-UG Pipe CO2 Removal_SCHEME PACKAGES &amp; BUDGET 2 X 7 MW TBK-REV01 2" xfId="23685"/>
    <cellStyle name="‡_Form-Reka-UG Pipe CO2 Removal_SCHEME PACKAGES &amp; BUDGET 2 X 7 MW TBK-REV01 2 2" xfId="23684"/>
    <cellStyle name="‡_Form-Reka-UG Pipe CO2 Removal_SCHEME PACKAGES &amp; BUDGET 2 X 7 MW TBK-REV01 3" xfId="23683"/>
    <cellStyle name="‡_Form-Reka-UG Pipe CO2 Removal_SCHEME PACKAGES &amp; BUDGET 2 X 7 MW TBK-REV01 3 2" xfId="23682"/>
    <cellStyle name="‡_Form-Reka-UG Pipe CO2 Removal_SCHEME PACKAGES &amp; BUDGET 2 X 7 MW TBK-REV01 4" xfId="23681"/>
    <cellStyle name="‡_Form-Reka-UG Pipe CO2 Removal_SCHEME PACKAGES &amp; BUDGET 2 X 7 MW TBK-REV01 4 2" xfId="23680"/>
    <cellStyle name="‡_Form-Reka-UG Pipe CO2 Removal_SCHEME PACKAGES &amp; BUDGET 2 X 7 MW TBK-REV01 5" xfId="23679"/>
    <cellStyle name="‡_g. RAB ME PUS 13 juni 08 GDZ" xfId="23678"/>
    <cellStyle name="‡_GALIAN C" xfId="23677"/>
    <cellStyle name="‡_Hit SKBDN" xfId="23676"/>
    <cellStyle name="‡_Hit. Hotel Sutan Raja Minahasa (MYO)" xfId="23675"/>
    <cellStyle name="‡_Hit. Hotel Sutan Raja Minahasa (MYO)_Analisa Bapelkes Full" xfId="23674"/>
    <cellStyle name="‡_Hit. Lantai - 1" xfId="23673"/>
    <cellStyle name="‡_Indirect Cost-LIRIK" xfId="23672"/>
    <cellStyle name="‡_Indirect Cost-LIRIK 2" xfId="23671"/>
    <cellStyle name="‡_Indirect Cost-LIRIK 2 2" xfId="23670"/>
    <cellStyle name="‡_Indirect Cost-LIRIK 3" xfId="23669"/>
    <cellStyle name="‡_Indirect Cost-LIRIK 3 2" xfId="23668"/>
    <cellStyle name="‡_Indirect Cost-LIRIK 4" xfId="23667"/>
    <cellStyle name="‡_Indirect Cost-LIRIK 4 2" xfId="23666"/>
    <cellStyle name="‡_Indirect Cost-LIRIK 5" xfId="23665"/>
    <cellStyle name="‡_Indirect Cost-LIRIK 6" xfId="23664"/>
    <cellStyle name="‡_Indirect Cost-LIRIK 7" xfId="23663"/>
    <cellStyle name="‡_Indirect Cost-LIRIK 8" xfId="23662"/>
    <cellStyle name="‡_Indirect Cost-LIRIK 9" xfId="23661"/>
    <cellStyle name="‡_Indirect Cost-LIRIK_BQ &amp; An Pds Gdg - KIM I" xfId="23660"/>
    <cellStyle name="‡_Indirect Cost-LIRIK_BQ &amp; An Pds Gdg - KIM I_GALIAN C" xfId="23659"/>
    <cellStyle name="‡_Indirect Cost-LIRIK_BQ &amp; An Pds Gdg - KIM I_Pen- Kodja Revisi 02 November 2009 (Rev 11-11-09)" xfId="23658"/>
    <cellStyle name="‡_Indirect Cost-LIRIK_BQ &amp; An Pds Gdg - KIM I_Pen- Kodja Revisi 27 JAN 2010" xfId="23657"/>
    <cellStyle name="‡_Indirect Cost-LIRIK_BQ &amp; An Pds Gdg - KIM I_RAB Kodja Revisi 22 feb 2010" xfId="23656"/>
    <cellStyle name="‡_Indirect Cost-LIRIK_BQ &amp; An Pds Gdg - KIM I_RAB Kodja Revisi 23 feb 2010, revisi analisa" xfId="23655"/>
    <cellStyle name="‡_Indirect Cost-LIRIK_BQ &amp; An Pondasi SEP &amp; WAREHOUSE-KIM I (R-0)" xfId="23654"/>
    <cellStyle name="‡_Indirect Cost-LIRIK_BQ &amp; An Pondasi SEP &amp; WAREHOUSE-KIM I (R-0)_GALIAN C" xfId="23653"/>
    <cellStyle name="‡_Indirect Cost-LIRIK_BQ &amp; An Pondasi SEP &amp; WAREHOUSE-KIM I (R-0)_Pen- Kodja Revisi 02 November 2009 (Rev 11-11-09)" xfId="23652"/>
    <cellStyle name="‡_Indirect Cost-LIRIK_BQ &amp; An Pondasi SEP &amp; WAREHOUSE-KIM I (R-0)_Pen- Kodja Revisi 27 JAN 2010" xfId="23651"/>
    <cellStyle name="‡_Indirect Cost-LIRIK_BQ &amp; An Pondasi SEP &amp; WAREHOUSE-KIM I (R-0)_RAB Kodja Revisi 22 feb 2010" xfId="23650"/>
    <cellStyle name="‡_Indirect Cost-LIRIK_BQ &amp; An Pondasi SEP &amp; WAREHOUSE-KIM I (R-0)_RAB Kodja Revisi 23 feb 2010, revisi analisa" xfId="23649"/>
    <cellStyle name="‡_Indirect Cost-LIRIK_BQ Pabrik Biodiesel MM-Btm" xfId="23648"/>
    <cellStyle name="‡_Indirect Cost-LIRIK_BQ Pabrik Biodiesel MM-Btm_GALIAN C" xfId="23647"/>
    <cellStyle name="‡_Indirect Cost-LIRIK_BQ Pabrik Biodiesel MM-Btm_Pen- Kodja Revisi 02 November 2009 (Rev 11-11-09)" xfId="23646"/>
    <cellStyle name="‡_Indirect Cost-LIRIK_BQ Pabrik Biodiesel MM-Btm_Pen- Kodja Revisi 27 JAN 2010" xfId="23645"/>
    <cellStyle name="‡_Indirect Cost-LIRIK_BQ Pabrik Biodiesel MM-Btm_RAB Kodja Revisi 22 feb 2010" xfId="23644"/>
    <cellStyle name="‡_Indirect Cost-LIRIK_BQ Pabrik Biodiesel MM-Btm_RAB Kodja Revisi 23 feb 2010, revisi analisa" xfId="23643"/>
    <cellStyle name="‡_Indirect Cost-LIRIK_EXERCISE PRICE-2x10 W70-1050-PO-KENDARI" xfId="23642"/>
    <cellStyle name="‡_Indirect Cost-LIRIK_EXERCISE PRICE-2x10 W70-1050-PO-KENDARI 2" xfId="23641"/>
    <cellStyle name="‡_Indirect Cost-LIRIK_EXERCISE PRICE-2x10 W70-1050-PO-KENDARI 3" xfId="23640"/>
    <cellStyle name="‡_Indirect Cost-LIRIK_EXERCISE PRICE-2x10 W70-1050-PO-KENDARI 4" xfId="23639"/>
    <cellStyle name="‡_Indirect Cost-LIRIK_EXERCISE PRICE-2x10 W70-1050-PO-KENDARI 5" xfId="23638"/>
    <cellStyle name="‡_Indirect Cost-LIRIK_EXERCISE PRICE-2x10 W70-1050-PO-KENDARI 6" xfId="23637"/>
    <cellStyle name="‡_Indirect Cost-LIRIK_EXERCISE PRICE-2x10 W70-1050-PO-KENDARI 7" xfId="23636"/>
    <cellStyle name="‡_Indirect Cost-LIRIK_EXERCISE PRICE-2x10 W70-1050-PO-KENDARI 8" xfId="23635"/>
    <cellStyle name="‡_Indirect Cost-LIRIK_EXERCISE PRICE-2X7 WO70-1100-PO-Riau" xfId="23634"/>
    <cellStyle name="‡_Indirect Cost-LIRIK_EXERCISE PRICE-2X7 WO70-1100-PO-Riau 2" xfId="23633"/>
    <cellStyle name="‡_Indirect Cost-LIRIK_EXERCISE PRICE-2X7 WO70-1100-PO-Riau 3" xfId="23632"/>
    <cellStyle name="‡_Indirect Cost-LIRIK_EXERCISE PRICE-2X7 WO70-1100-PO-Riau 4" xfId="23631"/>
    <cellStyle name="‡_Indirect Cost-LIRIK_EXERCISE PRICE-2X7 WO70-1100-PO-Riau 5" xfId="23630"/>
    <cellStyle name="‡_Indirect Cost-LIRIK_EXERCISE PRICE-2X7 WO70-1100-PO-Riau 6" xfId="23629"/>
    <cellStyle name="‡_Indirect Cost-LIRIK_EXERCISE PRICE-2X7 WO70-1100-PO-Riau 7" xfId="23628"/>
    <cellStyle name="‡_Indirect Cost-LIRIK_EXERCISE PRICE-2X7 WO70-1100-PO-Riau 8" xfId="23627"/>
    <cellStyle name="‡_Indirect Cost-LIRIK_FORM SUMMARY OF PRICE" xfId="23626"/>
    <cellStyle name="‡_Indirect Cost-LIRIK_GALIAN C" xfId="23625"/>
    <cellStyle name="‡_Indirect Cost-LIRIK_Inquiry Plan-KEPULAUAN RIAU 2X7 MW-GABUNGAN" xfId="23624"/>
    <cellStyle name="‡_Indirect Cost-LIRIK_Inquiry Plan-KEPULAUAN RIAU 2X7 MW-GABUNGAN 2" xfId="23623"/>
    <cellStyle name="‡_Indirect Cost-LIRIK_Inquiry Plan-KEPULAUAN RIAU 2X7 MW-GABUNGAN 2 2" xfId="23622"/>
    <cellStyle name="‡_Indirect Cost-LIRIK_Inquiry Plan-KEPULAUAN RIAU 2X7 MW-GABUNGAN 3" xfId="23621"/>
    <cellStyle name="‡_Indirect Cost-LIRIK_Inquiry Plan-KEPULAUAN RIAU 2X7 MW-GABUNGAN 3 2" xfId="23620"/>
    <cellStyle name="‡_Indirect Cost-LIRIK_Inquiry Plan-KEPULAUAN RIAU 2X7 MW-GABUNGAN 4" xfId="23619"/>
    <cellStyle name="‡_Indirect Cost-LIRIK_Inquiry Plan-KEPULAUAN RIAU 2X7 MW-GABUNGAN 4 2" xfId="23618"/>
    <cellStyle name="‡_Indirect Cost-LIRIK_Inquiry Plan-KEPULAUAN RIAU 2X7 MW-GABUNGAN 5" xfId="23617"/>
    <cellStyle name="‡_Indirect Cost-LIRIK_Pen- Kodja Revisi 02 November 2009 (Rev 11-11-09)" xfId="23616"/>
    <cellStyle name="‡_Indirect Cost-LIRIK_Pen- Kodja Revisi 27 JAN 2010" xfId="23615"/>
    <cellStyle name="‡_Indirect Cost-LIRIK_RAB Kodja Revisi 22 feb 2010" xfId="23614"/>
    <cellStyle name="‡_Indirect Cost-LIRIK_RAB Kodja Revisi 23 feb 2010, revisi analisa" xfId="23613"/>
    <cellStyle name="‡_Indirect Cost-LIRIK_SCHEME PACKAGES &amp; BUDGET 2 X 7 MW NTT-REV01" xfId="23612"/>
    <cellStyle name="‡_Indirect Cost-LIRIK_SCHEME PACKAGES &amp; BUDGET 2 X 7 MW NTT-REV01 2" xfId="23611"/>
    <cellStyle name="‡_Indirect Cost-LIRIK_SCHEME PACKAGES &amp; BUDGET 2 X 7 MW NTT-REV01 2 2" xfId="23610"/>
    <cellStyle name="‡_Indirect Cost-LIRIK_SCHEME PACKAGES &amp; BUDGET 2 X 7 MW NTT-REV01 3" xfId="23609"/>
    <cellStyle name="‡_Indirect Cost-LIRIK_SCHEME PACKAGES &amp; BUDGET 2 X 7 MW NTT-REV01 3 2" xfId="23608"/>
    <cellStyle name="‡_Indirect Cost-LIRIK_SCHEME PACKAGES &amp; BUDGET 2 X 7 MW NTT-REV01 4" xfId="23607"/>
    <cellStyle name="‡_Indirect Cost-LIRIK_SCHEME PACKAGES &amp; BUDGET 2 X 7 MW NTT-REV01 4 2" xfId="23606"/>
    <cellStyle name="‡_Indirect Cost-LIRIK_SCHEME PACKAGES &amp; BUDGET 2 X 7 MW NTT-REV01 5" xfId="23605"/>
    <cellStyle name="‡_Indirect Cost-LIRIK_SCHEME PACKAGES &amp; BUDGET 2 X 7 MW TBK-REV01" xfId="23604"/>
    <cellStyle name="‡_Indirect Cost-LIRIK_SCHEME PACKAGES &amp; BUDGET 2 X 7 MW TBK-REV01 2" xfId="23603"/>
    <cellStyle name="‡_Indirect Cost-LIRIK_SCHEME PACKAGES &amp; BUDGET 2 X 7 MW TBK-REV01 2 2" xfId="23602"/>
    <cellStyle name="‡_Indirect Cost-LIRIK_SCHEME PACKAGES &amp; BUDGET 2 X 7 MW TBK-REV01 3" xfId="23601"/>
    <cellStyle name="‡_Indirect Cost-LIRIK_SCHEME PACKAGES &amp; BUDGET 2 X 7 MW TBK-REV01 3 2" xfId="23600"/>
    <cellStyle name="‡_Indirect Cost-LIRIK_SCHEME PACKAGES &amp; BUDGET 2 X 7 MW TBK-REV01 4" xfId="23599"/>
    <cellStyle name="‡_Indirect Cost-LIRIK_SCHEME PACKAGES &amp; BUDGET 2 X 7 MW TBK-REV01 4 2" xfId="23598"/>
    <cellStyle name="‡_Indirect Cost-LIRIK_SCHEME PACKAGES &amp; BUDGET 2 X 7 MW TBK-REV01 5" xfId="23597"/>
    <cellStyle name="‡_Inquiry Plan-KEPULAUAN RIAU 2X7 MW-GABUNGAN" xfId="23596"/>
    <cellStyle name="‡_Inquiry Plan-KEPULAUAN RIAU 2X7 MW-GABUNGAN 2" xfId="23595"/>
    <cellStyle name="‡_Inquiry Plan-KEPULAUAN RIAU 2X7 MW-GABUNGAN 2 2" xfId="23594"/>
    <cellStyle name="‡_Inquiry Plan-KEPULAUAN RIAU 2X7 MW-GABUNGAN 3" xfId="23593"/>
    <cellStyle name="‡_Inquiry Plan-KEPULAUAN RIAU 2X7 MW-GABUNGAN 3 2" xfId="23592"/>
    <cellStyle name="‡_Inquiry Plan-KEPULAUAN RIAU 2X7 MW-GABUNGAN 4" xfId="23591"/>
    <cellStyle name="‡_Inquiry Plan-KEPULAUAN RIAU 2X7 MW-GABUNGAN 4 2" xfId="23590"/>
    <cellStyle name="‡_Inquiry Plan-KEPULAUAN RIAU 2X7 MW-GABUNGAN 5" xfId="23589"/>
    <cellStyle name="‡_j. RAB ME PUS 21 juni 08 GDZ" xfId="23588"/>
    <cellStyle name="‡_j. RAB ME PUS 21 juni 08 GDZ 2" xfId="23587"/>
    <cellStyle name="‡_KONTRAK KAMPAR" xfId="23586"/>
    <cellStyle name="‡_KURVA S (DETAIL TYPE 2)" xfId="23585"/>
    <cellStyle name="‡_MAKER LIST" xfId="23584"/>
    <cellStyle name="‡_Managerevdir2" xfId="23583"/>
    <cellStyle name="‡_Managerevdir2 2" xfId="23582"/>
    <cellStyle name="‡_Managerevdir2 2 2" xfId="23581"/>
    <cellStyle name="‡_Managerevdir2 3" xfId="23580"/>
    <cellStyle name="‡_Managerevdir2 3 2" xfId="23579"/>
    <cellStyle name="‡_Managerevdir2 4" xfId="23578"/>
    <cellStyle name="‡_Managerevdir2 4 2" xfId="23577"/>
    <cellStyle name="‡_Managerevdir2 5" xfId="23576"/>
    <cellStyle name="‡_Managerevdir2 6" xfId="23575"/>
    <cellStyle name="‡_Managerevdir2 7" xfId="23574"/>
    <cellStyle name="‡_Managerevdir2 8" xfId="23573"/>
    <cellStyle name="‡_Managerevdir2 9" xfId="23572"/>
    <cellStyle name="‡_Managerevdir2_AUTO2000" xfId="23571"/>
    <cellStyle name="‡_Managerevdir2_AUTO2000 2" xfId="23570"/>
    <cellStyle name="‡_Managerevdir2_AUTO2000 2 2" xfId="23569"/>
    <cellStyle name="‡_Managerevdir2_AUTO2000 3" xfId="23568"/>
    <cellStyle name="‡_Managerevdir2_AUTO2000 3 2" xfId="23567"/>
    <cellStyle name="‡_Managerevdir2_AUTO2000 4" xfId="23566"/>
    <cellStyle name="‡_Managerevdir2_AUTO2000 4 2" xfId="23565"/>
    <cellStyle name="‡_Managerevdir2_AUTO2000 5" xfId="23564"/>
    <cellStyle name="‡_Managerevdir2_AUTO2000 6" xfId="23563"/>
    <cellStyle name="‡_Managerevdir2_AUTO2000 7" xfId="23562"/>
    <cellStyle name="‡_Managerevdir2_AUTO2000 8" xfId="23561"/>
    <cellStyle name="‡_Managerevdir2_AUTO2000 9" xfId="23560"/>
    <cellStyle name="‡_Managerevdir2_AUTO2000_BQ &amp; An Pds Gdg - KIM I" xfId="23559"/>
    <cellStyle name="‡_Managerevdir2_AUTO2000_BQ &amp; An Pds Gdg - KIM I_GALIAN C" xfId="23558"/>
    <cellStyle name="‡_Managerevdir2_AUTO2000_BQ &amp; An Pds Gdg - KIM I_Pen- Kodja Revisi 02 November 2009 (Rev 11-11-09)" xfId="23557"/>
    <cellStyle name="‡_Managerevdir2_AUTO2000_BQ &amp; An Pds Gdg - KIM I_Pen- Kodja Revisi 27 JAN 2010" xfId="23556"/>
    <cellStyle name="‡_Managerevdir2_AUTO2000_BQ &amp; An Pds Gdg - KIM I_RAB Kodja Revisi 22 feb 2010" xfId="23555"/>
    <cellStyle name="‡_Managerevdir2_AUTO2000_BQ &amp; An Pds Gdg - KIM I_RAB Kodja Revisi 23 feb 2010, revisi analisa" xfId="23554"/>
    <cellStyle name="‡_Managerevdir2_AUTO2000_BQ &amp; An Pondasi SEP &amp; WAREHOUSE-KIM I (R-0)" xfId="23553"/>
    <cellStyle name="‡_Managerevdir2_AUTO2000_BQ &amp; An Pondasi SEP &amp; WAREHOUSE-KIM I (R-0)_GALIAN C" xfId="23552"/>
    <cellStyle name="‡_Managerevdir2_AUTO2000_BQ &amp; An Pondasi SEP &amp; WAREHOUSE-KIM I (R-0)_Pen- Kodja Revisi 02 November 2009 (Rev 11-11-09)" xfId="23551"/>
    <cellStyle name="‡_Managerevdir2_AUTO2000_BQ &amp; An Pondasi SEP &amp; WAREHOUSE-KIM I (R-0)_Pen- Kodja Revisi 27 JAN 2010" xfId="23550"/>
    <cellStyle name="‡_Managerevdir2_AUTO2000_BQ &amp; An Pondasi SEP &amp; WAREHOUSE-KIM I (R-0)_RAB Kodja Revisi 22 feb 2010" xfId="23549"/>
    <cellStyle name="‡_Managerevdir2_AUTO2000_BQ &amp; An Pondasi SEP &amp; WAREHOUSE-KIM I (R-0)_RAB Kodja Revisi 23 feb 2010, revisi analisa" xfId="23548"/>
    <cellStyle name="‡_Managerevdir2_AUTO2000_BQ Pabrik Biodiesel MM-Btm" xfId="23547"/>
    <cellStyle name="‡_Managerevdir2_AUTO2000_BQ Pabrik Biodiesel MM-Btm_GALIAN C" xfId="23546"/>
    <cellStyle name="‡_Managerevdir2_AUTO2000_BQ Pabrik Biodiesel MM-Btm_Pen- Kodja Revisi 02 November 2009 (Rev 11-11-09)" xfId="23545"/>
    <cellStyle name="‡_Managerevdir2_AUTO2000_BQ Pabrik Biodiesel MM-Btm_Pen- Kodja Revisi 27 JAN 2010" xfId="23544"/>
    <cellStyle name="‡_Managerevdir2_AUTO2000_BQ Pabrik Biodiesel MM-Btm_RAB Kodja Revisi 22 feb 2010" xfId="23543"/>
    <cellStyle name="‡_Managerevdir2_AUTO2000_BQ Pabrik Biodiesel MM-Btm_RAB Kodja Revisi 23 feb 2010, revisi analisa" xfId="23542"/>
    <cellStyle name="‡_Managerevdir2_AUTO2000_EXERCISE PRICE-2x10 W70-1050-PO-KENDARI" xfId="23541"/>
    <cellStyle name="‡_Managerevdir2_AUTO2000_EXERCISE PRICE-2x10 W70-1050-PO-KENDARI 2" xfId="23540"/>
    <cellStyle name="‡_Managerevdir2_AUTO2000_EXERCISE PRICE-2x10 W70-1050-PO-KENDARI 3" xfId="23539"/>
    <cellStyle name="‡_Managerevdir2_AUTO2000_EXERCISE PRICE-2x10 W70-1050-PO-KENDARI 4" xfId="23538"/>
    <cellStyle name="‡_Managerevdir2_AUTO2000_EXERCISE PRICE-2x10 W70-1050-PO-KENDARI 5" xfId="23537"/>
    <cellStyle name="‡_Managerevdir2_AUTO2000_EXERCISE PRICE-2x10 W70-1050-PO-KENDARI 6" xfId="23536"/>
    <cellStyle name="‡_Managerevdir2_AUTO2000_EXERCISE PRICE-2x10 W70-1050-PO-KENDARI 7" xfId="23535"/>
    <cellStyle name="‡_Managerevdir2_AUTO2000_EXERCISE PRICE-2x10 W70-1050-PO-KENDARI 8" xfId="23534"/>
    <cellStyle name="‡_Managerevdir2_AUTO2000_EXERCISE PRICE-2X7 WO70-1100-PO-Riau" xfId="23533"/>
    <cellStyle name="‡_Managerevdir2_AUTO2000_EXERCISE PRICE-2X7 WO70-1100-PO-Riau 2" xfId="23532"/>
    <cellStyle name="‡_Managerevdir2_AUTO2000_EXERCISE PRICE-2X7 WO70-1100-PO-Riau 3" xfId="23531"/>
    <cellStyle name="‡_Managerevdir2_AUTO2000_EXERCISE PRICE-2X7 WO70-1100-PO-Riau 4" xfId="23530"/>
    <cellStyle name="‡_Managerevdir2_AUTO2000_EXERCISE PRICE-2X7 WO70-1100-PO-Riau 5" xfId="23529"/>
    <cellStyle name="‡_Managerevdir2_AUTO2000_EXERCISE PRICE-2X7 WO70-1100-PO-Riau 6" xfId="23528"/>
    <cellStyle name="‡_Managerevdir2_AUTO2000_EXERCISE PRICE-2X7 WO70-1100-PO-Riau 7" xfId="23527"/>
    <cellStyle name="‡_Managerevdir2_AUTO2000_EXERCISE PRICE-2X7 WO70-1100-PO-Riau 8" xfId="23526"/>
    <cellStyle name="‡_Managerevdir2_AUTO2000_FORM SUMMARY OF PRICE" xfId="23525"/>
    <cellStyle name="‡_Managerevdir2_AUTO2000_GALIAN C" xfId="23524"/>
    <cellStyle name="‡_Managerevdir2_AUTO2000_Inquiry Plan-KEPULAUAN RIAU 2X7 MW-GABUNGAN" xfId="23523"/>
    <cellStyle name="‡_Managerevdir2_AUTO2000_Inquiry Plan-KEPULAUAN RIAU 2X7 MW-GABUNGAN 2" xfId="23522"/>
    <cellStyle name="‡_Managerevdir2_AUTO2000_Inquiry Plan-KEPULAUAN RIAU 2X7 MW-GABUNGAN 2 2" xfId="23521"/>
    <cellStyle name="‡_Managerevdir2_AUTO2000_Inquiry Plan-KEPULAUAN RIAU 2X7 MW-GABUNGAN 3" xfId="23520"/>
    <cellStyle name="‡_Managerevdir2_AUTO2000_Inquiry Plan-KEPULAUAN RIAU 2X7 MW-GABUNGAN 3 2" xfId="23519"/>
    <cellStyle name="‡_Managerevdir2_AUTO2000_Inquiry Plan-KEPULAUAN RIAU 2X7 MW-GABUNGAN 4" xfId="23518"/>
    <cellStyle name="‡_Managerevdir2_AUTO2000_Inquiry Plan-KEPULAUAN RIAU 2X7 MW-GABUNGAN 4 2" xfId="23517"/>
    <cellStyle name="‡_Managerevdir2_AUTO2000_Inquiry Plan-KEPULAUAN RIAU 2X7 MW-GABUNGAN 5" xfId="23516"/>
    <cellStyle name="‡_Managerevdir2_AUTO2000_Pen- Kodja Revisi 02 November 2009 (Rev 11-11-09)" xfId="23515"/>
    <cellStyle name="‡_Managerevdir2_AUTO2000_Pen- Kodja Revisi 27 JAN 2010" xfId="23514"/>
    <cellStyle name="‡_Managerevdir2_AUTO2000_RAB Kodja Revisi 22 feb 2010" xfId="23513"/>
    <cellStyle name="‡_Managerevdir2_AUTO2000_RAB Kodja Revisi 23 feb 2010, revisi analisa" xfId="23512"/>
    <cellStyle name="‡_Managerevdir2_AUTO2000_SCHEME PACKAGES &amp; BUDGET 2 X 7 MW NTT-REV01" xfId="23511"/>
    <cellStyle name="‡_Managerevdir2_AUTO2000_SCHEME PACKAGES &amp; BUDGET 2 X 7 MW NTT-REV01 2" xfId="23510"/>
    <cellStyle name="‡_Managerevdir2_AUTO2000_SCHEME PACKAGES &amp; BUDGET 2 X 7 MW NTT-REV01 2 2" xfId="23509"/>
    <cellStyle name="‡_Managerevdir2_AUTO2000_SCHEME PACKAGES &amp; BUDGET 2 X 7 MW NTT-REV01 3" xfId="23508"/>
    <cellStyle name="‡_Managerevdir2_AUTO2000_SCHEME PACKAGES &amp; BUDGET 2 X 7 MW NTT-REV01 3 2" xfId="23507"/>
    <cellStyle name="‡_Managerevdir2_AUTO2000_SCHEME PACKAGES &amp; BUDGET 2 X 7 MW NTT-REV01 4" xfId="23506"/>
    <cellStyle name="‡_Managerevdir2_AUTO2000_SCHEME PACKAGES &amp; BUDGET 2 X 7 MW NTT-REV01 4 2" xfId="23505"/>
    <cellStyle name="‡_Managerevdir2_AUTO2000_SCHEME PACKAGES &amp; BUDGET 2 X 7 MW NTT-REV01 5" xfId="23504"/>
    <cellStyle name="‡_Managerevdir2_AUTO2000_SCHEME PACKAGES &amp; BUDGET 2 X 7 MW TBK-REV01" xfId="23503"/>
    <cellStyle name="‡_Managerevdir2_AUTO2000_SCHEME PACKAGES &amp; BUDGET 2 X 7 MW TBK-REV01 2" xfId="23502"/>
    <cellStyle name="‡_Managerevdir2_AUTO2000_SCHEME PACKAGES &amp; BUDGET 2 X 7 MW TBK-REV01 2 2" xfId="23501"/>
    <cellStyle name="‡_Managerevdir2_AUTO2000_SCHEME PACKAGES &amp; BUDGET 2 X 7 MW TBK-REV01 3" xfId="23500"/>
    <cellStyle name="‡_Managerevdir2_AUTO2000_SCHEME PACKAGES &amp; BUDGET 2 X 7 MW TBK-REV01 3 2" xfId="23499"/>
    <cellStyle name="‡_Managerevdir2_AUTO2000_SCHEME PACKAGES &amp; BUDGET 2 X 7 MW TBK-REV01 4" xfId="23498"/>
    <cellStyle name="‡_Managerevdir2_AUTO2000_SCHEME PACKAGES &amp; BUDGET 2 X 7 MW TBK-REV01 4 2" xfId="23497"/>
    <cellStyle name="‡_Managerevdir2_AUTO2000_SCHEME PACKAGES &amp; BUDGET 2 X 7 MW TBK-REV01 5" xfId="23496"/>
    <cellStyle name="‡_Managerevdir2_BQ &amp; An Pds Gdg - KIM I" xfId="23495"/>
    <cellStyle name="‡_Managerevdir2_BQ &amp; An Pds Gdg - KIM I_GALIAN C" xfId="23494"/>
    <cellStyle name="‡_Managerevdir2_BQ &amp; An Pds Gdg - KIM I_Pen- Kodja Revisi 02 November 2009 (Rev 11-11-09)" xfId="23493"/>
    <cellStyle name="‡_Managerevdir2_BQ &amp; An Pds Gdg - KIM I_Pen- Kodja Revisi 27 JAN 2010" xfId="23492"/>
    <cellStyle name="‡_Managerevdir2_BQ &amp; An Pds Gdg - KIM I_RAB Kodja Revisi 22 feb 2010" xfId="23491"/>
    <cellStyle name="‡_Managerevdir2_BQ &amp; An Pds Gdg - KIM I_RAB Kodja Revisi 23 feb 2010, revisi analisa" xfId="23490"/>
    <cellStyle name="‡_Managerevdir2_BQ &amp; An Pondasi SEP &amp; WAREHOUSE-KIM I (R-0)" xfId="23489"/>
    <cellStyle name="‡_Managerevdir2_BQ &amp; An Pondasi SEP &amp; WAREHOUSE-KIM I (R-0)_GALIAN C" xfId="23488"/>
    <cellStyle name="‡_Managerevdir2_BQ &amp; An Pondasi SEP &amp; WAREHOUSE-KIM I (R-0)_Pen- Kodja Revisi 02 November 2009 (Rev 11-11-09)" xfId="23487"/>
    <cellStyle name="‡_Managerevdir2_BQ &amp; An Pondasi SEP &amp; WAREHOUSE-KIM I (R-0)_Pen- Kodja Revisi 27 JAN 2010" xfId="23486"/>
    <cellStyle name="‡_Managerevdir2_BQ &amp; An Pondasi SEP &amp; WAREHOUSE-KIM I (R-0)_RAB Kodja Revisi 22 feb 2010" xfId="23485"/>
    <cellStyle name="‡_Managerevdir2_BQ &amp; An Pondasi SEP &amp; WAREHOUSE-KIM I (R-0)_RAB Kodja Revisi 23 feb 2010, revisi analisa" xfId="23484"/>
    <cellStyle name="‡_Managerevdir2_BQ Pabrik Biodiesel MM-Btm" xfId="23483"/>
    <cellStyle name="‡_Managerevdir2_BQ Pabrik Biodiesel MM-Btm_GALIAN C" xfId="23482"/>
    <cellStyle name="‡_Managerevdir2_BQ Pabrik Biodiesel MM-Btm_Pen- Kodja Revisi 02 November 2009 (Rev 11-11-09)" xfId="23481"/>
    <cellStyle name="‡_Managerevdir2_BQ Pabrik Biodiesel MM-Btm_Pen- Kodja Revisi 27 JAN 2010" xfId="23480"/>
    <cellStyle name="‡_Managerevdir2_BQ Pabrik Biodiesel MM-Btm_RAB Kodja Revisi 22 feb 2010" xfId="23479"/>
    <cellStyle name="‡_Managerevdir2_BQ Pabrik Biodiesel MM-Btm_RAB Kodja Revisi 23 feb 2010, revisi analisa" xfId="23478"/>
    <cellStyle name="‡_Managerevdir2_Cost Piping AG Install" xfId="23477"/>
    <cellStyle name="‡_Managerevdir2_Cost Piping AG Install 2" xfId="23476"/>
    <cellStyle name="‡_Managerevdir2_Cost Piping AG Install 2 2" xfId="23475"/>
    <cellStyle name="‡_Managerevdir2_Cost Piping AG Install 3" xfId="23474"/>
    <cellStyle name="‡_Managerevdir2_Cost Piping AG Install 3 2" xfId="23473"/>
    <cellStyle name="‡_Managerevdir2_Cost Piping AG Install 4" xfId="23472"/>
    <cellStyle name="‡_Managerevdir2_Cost Piping AG Install 4 2" xfId="23471"/>
    <cellStyle name="‡_Managerevdir2_Cost Piping AG Install 5" xfId="23470"/>
    <cellStyle name="‡_Managerevdir2_Cost Piping AG Install 6" xfId="23469"/>
    <cellStyle name="‡_Managerevdir2_Cost Piping AG Install 7" xfId="23468"/>
    <cellStyle name="‡_Managerevdir2_Cost Piping AG Install 8" xfId="23467"/>
    <cellStyle name="‡_Managerevdir2_Cost Piping AG Install 9" xfId="23466"/>
    <cellStyle name="‡_Managerevdir2_Cost Piping AG Install_BQ &amp; An Pds Gdg - KIM I" xfId="23465"/>
    <cellStyle name="‡_Managerevdir2_Cost Piping AG Install_BQ &amp; An Pds Gdg - KIM I_GALIAN C" xfId="23464"/>
    <cellStyle name="‡_Managerevdir2_Cost Piping AG Install_BQ &amp; An Pds Gdg - KIM I_Pen- Kodja Revisi 02 November 2009 (Rev 11-11-09)" xfId="23463"/>
    <cellStyle name="‡_Managerevdir2_Cost Piping AG Install_BQ &amp; An Pds Gdg - KIM I_Pen- Kodja Revisi 27 JAN 2010" xfId="23462"/>
    <cellStyle name="‡_Managerevdir2_Cost Piping AG Install_BQ &amp; An Pds Gdg - KIM I_RAB Kodja Revisi 22 feb 2010" xfId="23461"/>
    <cellStyle name="‡_Managerevdir2_Cost Piping AG Install_BQ &amp; An Pds Gdg - KIM I_RAB Kodja Revisi 23 feb 2010, revisi analisa" xfId="23460"/>
    <cellStyle name="‡_Managerevdir2_Cost Piping AG Install_BQ &amp; An Pondasi SEP &amp; WAREHOUSE-KIM I (R-0)" xfId="23459"/>
    <cellStyle name="‡_Managerevdir2_Cost Piping AG Install_BQ &amp; An Pondasi SEP &amp; WAREHOUSE-KIM I (R-0)_GALIAN C" xfId="23458"/>
    <cellStyle name="‡_Managerevdir2_Cost Piping AG Install_BQ &amp; An Pondasi SEP &amp; WAREHOUSE-KIM I (R-0)_Pen- Kodja Revisi 02 November 2009 (Rev 11-11-09)" xfId="23457"/>
    <cellStyle name="‡_Managerevdir2_Cost Piping AG Install_BQ &amp; An Pondasi SEP &amp; WAREHOUSE-KIM I (R-0)_Pen- Kodja Revisi 27 JAN 2010" xfId="23456"/>
    <cellStyle name="‡_Managerevdir2_Cost Piping AG Install_BQ &amp; An Pondasi SEP &amp; WAREHOUSE-KIM I (R-0)_RAB Kodja Revisi 22 feb 2010" xfId="23455"/>
    <cellStyle name="‡_Managerevdir2_Cost Piping AG Install_BQ &amp; An Pondasi SEP &amp; WAREHOUSE-KIM I (R-0)_RAB Kodja Revisi 23 feb 2010, revisi analisa" xfId="23454"/>
    <cellStyle name="‡_Managerevdir2_Cost Piping AG Install_BQ Pabrik Biodiesel MM-Btm" xfId="23453"/>
    <cellStyle name="‡_Managerevdir2_Cost Piping AG Install_BQ Pabrik Biodiesel MM-Btm_GALIAN C" xfId="23452"/>
    <cellStyle name="‡_Managerevdir2_Cost Piping AG Install_BQ Pabrik Biodiesel MM-Btm_Pen- Kodja Revisi 02 November 2009 (Rev 11-11-09)" xfId="23451"/>
    <cellStyle name="‡_Managerevdir2_Cost Piping AG Install_BQ Pabrik Biodiesel MM-Btm_Pen- Kodja Revisi 27 JAN 2010" xfId="23450"/>
    <cellStyle name="‡_Managerevdir2_Cost Piping AG Install_BQ Pabrik Biodiesel MM-Btm_RAB Kodja Revisi 22 feb 2010" xfId="23449"/>
    <cellStyle name="‡_Managerevdir2_Cost Piping AG Install_BQ Pabrik Biodiesel MM-Btm_RAB Kodja Revisi 23 feb 2010, revisi analisa" xfId="23448"/>
    <cellStyle name="‡_Managerevdir2_Cost Piping AG Install_EXERCISE PRICE-2x10 W70-1050-PO-KENDARI" xfId="23447"/>
    <cellStyle name="‡_Managerevdir2_Cost Piping AG Install_EXERCISE PRICE-2x10 W70-1050-PO-KENDARI 2" xfId="23446"/>
    <cellStyle name="‡_Managerevdir2_Cost Piping AG Install_EXERCISE PRICE-2x10 W70-1050-PO-KENDARI 3" xfId="23445"/>
    <cellStyle name="‡_Managerevdir2_Cost Piping AG Install_EXERCISE PRICE-2x10 W70-1050-PO-KENDARI 4" xfId="23444"/>
    <cellStyle name="‡_Managerevdir2_Cost Piping AG Install_EXERCISE PRICE-2x10 W70-1050-PO-KENDARI 5" xfId="23443"/>
    <cellStyle name="‡_Managerevdir2_Cost Piping AG Install_EXERCISE PRICE-2x10 W70-1050-PO-KENDARI 6" xfId="23442"/>
    <cellStyle name="‡_Managerevdir2_Cost Piping AG Install_EXERCISE PRICE-2x10 W70-1050-PO-KENDARI 7" xfId="23441"/>
    <cellStyle name="‡_Managerevdir2_Cost Piping AG Install_EXERCISE PRICE-2x10 W70-1050-PO-KENDARI 8" xfId="23440"/>
    <cellStyle name="‡_Managerevdir2_Cost Piping AG Install_EXERCISE PRICE-2X7 WO70-1100-PO-Riau" xfId="23439"/>
    <cellStyle name="‡_Managerevdir2_Cost Piping AG Install_EXERCISE PRICE-2X7 WO70-1100-PO-Riau 2" xfId="23438"/>
    <cellStyle name="‡_Managerevdir2_Cost Piping AG Install_EXERCISE PRICE-2X7 WO70-1100-PO-Riau 3" xfId="23437"/>
    <cellStyle name="‡_Managerevdir2_Cost Piping AG Install_EXERCISE PRICE-2X7 WO70-1100-PO-Riau 4" xfId="23436"/>
    <cellStyle name="‡_Managerevdir2_Cost Piping AG Install_EXERCISE PRICE-2X7 WO70-1100-PO-Riau 5" xfId="23435"/>
    <cellStyle name="‡_Managerevdir2_Cost Piping AG Install_EXERCISE PRICE-2X7 WO70-1100-PO-Riau 6" xfId="23434"/>
    <cellStyle name="‡_Managerevdir2_Cost Piping AG Install_EXERCISE PRICE-2X7 WO70-1100-PO-Riau 7" xfId="23433"/>
    <cellStyle name="‡_Managerevdir2_Cost Piping AG Install_EXERCISE PRICE-2X7 WO70-1100-PO-Riau 8" xfId="23432"/>
    <cellStyle name="‡_Managerevdir2_Cost Piping AG Install_FORM SUMMARY OF PRICE" xfId="23431"/>
    <cellStyle name="‡_Managerevdir2_Cost Piping AG Install_GALIAN C" xfId="23430"/>
    <cellStyle name="‡_Managerevdir2_Cost Piping AG Install_Inquiry Plan-KEPULAUAN RIAU 2X7 MW-GABUNGAN" xfId="23429"/>
    <cellStyle name="‡_Managerevdir2_Cost Piping AG Install_Inquiry Plan-KEPULAUAN RIAU 2X7 MW-GABUNGAN 2" xfId="23428"/>
    <cellStyle name="‡_Managerevdir2_Cost Piping AG Install_Inquiry Plan-KEPULAUAN RIAU 2X7 MW-GABUNGAN 2 2" xfId="23427"/>
    <cellStyle name="‡_Managerevdir2_Cost Piping AG Install_Inquiry Plan-KEPULAUAN RIAU 2X7 MW-GABUNGAN 3" xfId="23426"/>
    <cellStyle name="‡_Managerevdir2_Cost Piping AG Install_Inquiry Plan-KEPULAUAN RIAU 2X7 MW-GABUNGAN 3 2" xfId="23425"/>
    <cellStyle name="‡_Managerevdir2_Cost Piping AG Install_Inquiry Plan-KEPULAUAN RIAU 2X7 MW-GABUNGAN 4" xfId="23424"/>
    <cellStyle name="‡_Managerevdir2_Cost Piping AG Install_Inquiry Plan-KEPULAUAN RIAU 2X7 MW-GABUNGAN 4 2" xfId="23423"/>
    <cellStyle name="‡_Managerevdir2_Cost Piping AG Install_Inquiry Plan-KEPULAUAN RIAU 2X7 MW-GABUNGAN 5" xfId="23422"/>
    <cellStyle name="‡_Managerevdir2_Cost Piping AG Install_Pen- Kodja Revisi 02 November 2009 (Rev 11-11-09)" xfId="23421"/>
    <cellStyle name="‡_Managerevdir2_Cost Piping AG Install_Pen- Kodja Revisi 27 JAN 2010" xfId="23420"/>
    <cellStyle name="‡_Managerevdir2_Cost Piping AG Install_RAB Kodja Revisi 22 feb 2010" xfId="23419"/>
    <cellStyle name="‡_Managerevdir2_Cost Piping AG Install_RAB Kodja Revisi 23 feb 2010, revisi analisa" xfId="23418"/>
    <cellStyle name="‡_Managerevdir2_Cost Piping AG Install_SCHEME PACKAGES &amp; BUDGET 2 X 7 MW NTT-REV01" xfId="23417"/>
    <cellStyle name="‡_Managerevdir2_Cost Piping AG Install_SCHEME PACKAGES &amp; BUDGET 2 X 7 MW NTT-REV01 2" xfId="23416"/>
    <cellStyle name="‡_Managerevdir2_Cost Piping AG Install_SCHEME PACKAGES &amp; BUDGET 2 X 7 MW NTT-REV01 2 2" xfId="23415"/>
    <cellStyle name="‡_Managerevdir2_Cost Piping AG Install_SCHEME PACKAGES &amp; BUDGET 2 X 7 MW NTT-REV01 3" xfId="23414"/>
    <cellStyle name="‡_Managerevdir2_Cost Piping AG Install_SCHEME PACKAGES &amp; BUDGET 2 X 7 MW NTT-REV01 3 2" xfId="23413"/>
    <cellStyle name="‡_Managerevdir2_Cost Piping AG Install_SCHEME PACKAGES &amp; BUDGET 2 X 7 MW NTT-REV01 4" xfId="23412"/>
    <cellStyle name="‡_Managerevdir2_Cost Piping AG Install_SCHEME PACKAGES &amp; BUDGET 2 X 7 MW NTT-REV01 4 2" xfId="23411"/>
    <cellStyle name="‡_Managerevdir2_Cost Piping AG Install_SCHEME PACKAGES &amp; BUDGET 2 X 7 MW NTT-REV01 5" xfId="23410"/>
    <cellStyle name="‡_Managerevdir2_Cost Piping AG Install_SCHEME PACKAGES &amp; BUDGET 2 X 7 MW TBK-REV01" xfId="23409"/>
    <cellStyle name="‡_Managerevdir2_Cost Piping AG Install_SCHEME PACKAGES &amp; BUDGET 2 X 7 MW TBK-REV01 2" xfId="23408"/>
    <cellStyle name="‡_Managerevdir2_Cost Piping AG Install_SCHEME PACKAGES &amp; BUDGET 2 X 7 MW TBK-REV01 2 2" xfId="23407"/>
    <cellStyle name="‡_Managerevdir2_Cost Piping AG Install_SCHEME PACKAGES &amp; BUDGET 2 X 7 MW TBK-REV01 3" xfId="23406"/>
    <cellStyle name="‡_Managerevdir2_Cost Piping AG Install_SCHEME PACKAGES &amp; BUDGET 2 X 7 MW TBK-REV01 3 2" xfId="23405"/>
    <cellStyle name="‡_Managerevdir2_Cost Piping AG Install_SCHEME PACKAGES &amp; BUDGET 2 X 7 MW TBK-REV01 4" xfId="23404"/>
    <cellStyle name="‡_Managerevdir2_Cost Piping AG Install_SCHEME PACKAGES &amp; BUDGET 2 X 7 MW TBK-REV01 4 2" xfId="23403"/>
    <cellStyle name="‡_Managerevdir2_Cost Piping AG Install_SCHEME PACKAGES &amp; BUDGET 2 X 7 MW TBK-REV01 5" xfId="23402"/>
    <cellStyle name="‡_Managerevdir2_Cost Piping PIM2revf" xfId="23401"/>
    <cellStyle name="‡_Managerevdir2_Cost Piping PIM2revf_BQ &amp; An Pds Gdg - KIM I" xfId="23400"/>
    <cellStyle name="‡_Managerevdir2_Cost Piping PIM2revf_BQ &amp; An Pds Gdg - KIM I_GALIAN C" xfId="23399"/>
    <cellStyle name="‡_Managerevdir2_Cost Piping PIM2revf_BQ &amp; An Pds Gdg - KIM I_Pen- Kodja Revisi 02 November 2009 (Rev 11-11-09)" xfId="23398"/>
    <cellStyle name="‡_Managerevdir2_Cost Piping PIM2revf_BQ &amp; An Pds Gdg - KIM I_Pen- Kodja Revisi 27 JAN 2010" xfId="23397"/>
    <cellStyle name="‡_Managerevdir2_Cost Piping PIM2revf_BQ &amp; An Pds Gdg - KIM I_RAB Kodja Revisi 22 feb 2010" xfId="23396"/>
    <cellStyle name="‡_Managerevdir2_Cost Piping PIM2revf_BQ &amp; An Pds Gdg - KIM I_RAB Kodja Revisi 23 feb 2010, revisi analisa" xfId="23395"/>
    <cellStyle name="‡_Managerevdir2_Cost Piping PIM2revf_BQ &amp; An Pondasi SEP &amp; WAREHOUSE-KIM I (R-0)" xfId="23394"/>
    <cellStyle name="‡_Managerevdir2_Cost Piping PIM2revf_BQ &amp; An Pondasi SEP &amp; WAREHOUSE-KIM I (R-0)_GALIAN C" xfId="23393"/>
    <cellStyle name="‡_Managerevdir2_Cost Piping PIM2revf_BQ &amp; An Pondasi SEP &amp; WAREHOUSE-KIM I (R-0)_Pen- Kodja Revisi 02 November 2009 (Rev 11-11-09)" xfId="23392"/>
    <cellStyle name="‡_Managerevdir2_Cost Piping PIM2revf_BQ &amp; An Pondasi SEP &amp; WAREHOUSE-KIM I (R-0)_Pen- Kodja Revisi 27 JAN 2010" xfId="23391"/>
    <cellStyle name="‡_Managerevdir2_Cost Piping PIM2revf_BQ &amp; An Pondasi SEP &amp; WAREHOUSE-KIM I (R-0)_RAB Kodja Revisi 22 feb 2010" xfId="23390"/>
    <cellStyle name="‡_Managerevdir2_Cost Piping PIM2revf_BQ &amp; An Pondasi SEP &amp; WAREHOUSE-KIM I (R-0)_RAB Kodja Revisi 23 feb 2010, revisi analisa" xfId="23389"/>
    <cellStyle name="‡_Managerevdir2_Cost Piping PIM2revf_BQ Pabrik Biodiesel MM-Btm" xfId="23388"/>
    <cellStyle name="‡_Managerevdir2_Cost Piping PIM2revf_BQ Pabrik Biodiesel MM-Btm_GALIAN C" xfId="23387"/>
    <cellStyle name="‡_Managerevdir2_Cost Piping PIM2revf_BQ Pabrik Biodiesel MM-Btm_Pen- Kodja Revisi 02 November 2009 (Rev 11-11-09)" xfId="23386"/>
    <cellStyle name="‡_Managerevdir2_Cost Piping PIM2revf_BQ Pabrik Biodiesel MM-Btm_Pen- Kodja Revisi 27 JAN 2010" xfId="23385"/>
    <cellStyle name="‡_Managerevdir2_Cost Piping PIM2revf_BQ Pabrik Biodiesel MM-Btm_RAB Kodja Revisi 22 feb 2010" xfId="23384"/>
    <cellStyle name="‡_Managerevdir2_Cost Piping PIM2revf_BQ Pabrik Biodiesel MM-Btm_RAB Kodja Revisi 23 feb 2010, revisi analisa" xfId="23383"/>
    <cellStyle name="‡_Managerevdir2_Cost Piping PIM2revf_GALIAN C" xfId="23382"/>
    <cellStyle name="‡_Managerevdir2_Cost Piping PIM2revf_Pen- Kodja Revisi 02 November 2009 (Rev 11-11-09)" xfId="23381"/>
    <cellStyle name="‡_Managerevdir2_Cost Piping PIM2revf_Pen- Kodja Revisi 27 JAN 2010" xfId="23380"/>
    <cellStyle name="‡_Managerevdir2_Cost Piping PIM2revf_RAB Kodja Revisi 22 feb 2010" xfId="23379"/>
    <cellStyle name="‡_Managerevdir2_Cost Piping PIM2revf_RAB Kodja Revisi 23 feb 2010, revisi analisa" xfId="23378"/>
    <cellStyle name="‡_Managerevdir2_EXERCISE PRICE-2x10 W70-1050-PO-KENDARI" xfId="23377"/>
    <cellStyle name="‡_Managerevdir2_EXERCISE PRICE-2x10 W70-1050-PO-KENDARI 2" xfId="23376"/>
    <cellStyle name="‡_Managerevdir2_EXERCISE PRICE-2x10 W70-1050-PO-KENDARI 3" xfId="23375"/>
    <cellStyle name="‡_Managerevdir2_EXERCISE PRICE-2x10 W70-1050-PO-KENDARI 4" xfId="23374"/>
    <cellStyle name="‡_Managerevdir2_EXERCISE PRICE-2x10 W70-1050-PO-KENDARI 5" xfId="23373"/>
    <cellStyle name="‡_Managerevdir2_EXERCISE PRICE-2x10 W70-1050-PO-KENDARI 6" xfId="23372"/>
    <cellStyle name="‡_Managerevdir2_EXERCISE PRICE-2x10 W70-1050-PO-KENDARI 7" xfId="23371"/>
    <cellStyle name="‡_Managerevdir2_EXERCISE PRICE-2x10 W70-1050-PO-KENDARI 8" xfId="23370"/>
    <cellStyle name="‡_Managerevdir2_EXERCISE PRICE-2X7 WO70-1100-PO-Riau" xfId="23369"/>
    <cellStyle name="‡_Managerevdir2_EXERCISE PRICE-2X7 WO70-1100-PO-Riau 2" xfId="23368"/>
    <cellStyle name="‡_Managerevdir2_EXERCISE PRICE-2X7 WO70-1100-PO-Riau 3" xfId="23367"/>
    <cellStyle name="‡_Managerevdir2_EXERCISE PRICE-2X7 WO70-1100-PO-Riau 4" xfId="23366"/>
    <cellStyle name="‡_Managerevdir2_EXERCISE PRICE-2X7 WO70-1100-PO-Riau 5" xfId="23365"/>
    <cellStyle name="‡_Managerevdir2_EXERCISE PRICE-2X7 WO70-1100-PO-Riau 6" xfId="23364"/>
    <cellStyle name="‡_Managerevdir2_EXERCISE PRICE-2X7 WO70-1100-PO-Riau 7" xfId="23363"/>
    <cellStyle name="‡_Managerevdir2_EXERCISE PRICE-2X7 WO70-1100-PO-Riau 8" xfId="23362"/>
    <cellStyle name="‡_Managerevdir2_FORM SUMMARY OF PRICE" xfId="23361"/>
    <cellStyle name="‡_Managerevdir2_GALIAN C" xfId="23360"/>
    <cellStyle name="‡_Managerevdir2_Granulation Rev1 Costdirect Pim2" xfId="23359"/>
    <cellStyle name="‡_Managerevdir2_Granulation Rev1 Costdirect Pim2_BQ &amp; An Pds Gdg - KIM I" xfId="23358"/>
    <cellStyle name="‡_Managerevdir2_Granulation Rev1 Costdirect Pim2_BQ &amp; An Pds Gdg - KIM I_GALIAN C" xfId="23357"/>
    <cellStyle name="‡_Managerevdir2_Granulation Rev1 Costdirect Pim2_BQ &amp; An Pds Gdg - KIM I_Pen- Kodja Revisi 02 November 2009 (Rev 11-11-09)" xfId="23356"/>
    <cellStyle name="‡_Managerevdir2_Granulation Rev1 Costdirect Pim2_BQ &amp; An Pds Gdg - KIM I_Pen- Kodja Revisi 27 JAN 2010" xfId="23355"/>
    <cellStyle name="‡_Managerevdir2_Granulation Rev1 Costdirect Pim2_BQ &amp; An Pds Gdg - KIM I_RAB Kodja Revisi 22 feb 2010" xfId="23354"/>
    <cellStyle name="‡_Managerevdir2_Granulation Rev1 Costdirect Pim2_BQ &amp; An Pds Gdg - KIM I_RAB Kodja Revisi 23 feb 2010, revisi analisa" xfId="23353"/>
    <cellStyle name="‡_Managerevdir2_Granulation Rev1 Costdirect Pim2_BQ &amp; An Pondasi SEP &amp; WAREHOUSE-KIM I (R-0)" xfId="23352"/>
    <cellStyle name="‡_Managerevdir2_Granulation Rev1 Costdirect Pim2_BQ &amp; An Pondasi SEP &amp; WAREHOUSE-KIM I (R-0)_GALIAN C" xfId="23351"/>
    <cellStyle name="‡_Managerevdir2_Granulation Rev1 Costdirect Pim2_BQ &amp; An Pondasi SEP &amp; WAREHOUSE-KIM I (R-0)_Pen- Kodja Revisi 02 November 2009 (Rev 11-11-09)" xfId="23350"/>
    <cellStyle name="‡_Managerevdir2_Granulation Rev1 Costdirect Pim2_BQ &amp; An Pondasi SEP &amp; WAREHOUSE-KIM I (R-0)_Pen- Kodja Revisi 27 JAN 2010" xfId="23349"/>
    <cellStyle name="‡_Managerevdir2_Granulation Rev1 Costdirect Pim2_BQ &amp; An Pondasi SEP &amp; WAREHOUSE-KIM I (R-0)_RAB Kodja Revisi 22 feb 2010" xfId="23348"/>
    <cellStyle name="‡_Managerevdir2_Granulation Rev1 Costdirect Pim2_BQ &amp; An Pondasi SEP &amp; WAREHOUSE-KIM I (R-0)_RAB Kodja Revisi 23 feb 2010, revisi analisa" xfId="23347"/>
    <cellStyle name="‡_Managerevdir2_Granulation Rev1 Costdirect Pim2_BQ Pabrik Biodiesel MM-Btm" xfId="23346"/>
    <cellStyle name="‡_Managerevdir2_Granulation Rev1 Costdirect Pim2_BQ Pabrik Biodiesel MM-Btm_GALIAN C" xfId="23345"/>
    <cellStyle name="‡_Managerevdir2_Granulation Rev1 Costdirect Pim2_BQ Pabrik Biodiesel MM-Btm_Pen- Kodja Revisi 02 November 2009 (Rev 11-11-09)" xfId="23344"/>
    <cellStyle name="‡_Managerevdir2_Granulation Rev1 Costdirect Pim2_BQ Pabrik Biodiesel MM-Btm_Pen- Kodja Revisi 27 JAN 2010" xfId="23343"/>
    <cellStyle name="‡_Managerevdir2_Granulation Rev1 Costdirect Pim2_BQ Pabrik Biodiesel MM-Btm_RAB Kodja Revisi 22 feb 2010" xfId="23342"/>
    <cellStyle name="‡_Managerevdir2_Granulation Rev1 Costdirect Pim2_BQ Pabrik Biodiesel MM-Btm_RAB Kodja Revisi 23 feb 2010, revisi analisa" xfId="23341"/>
    <cellStyle name="‡_Managerevdir2_Granulation Rev1 Costdirect Pim2_GALIAN C" xfId="23340"/>
    <cellStyle name="‡_Managerevdir2_Granulation Rev1 Costdirect Pim2_Pen- Kodja Revisi 02 November 2009 (Rev 11-11-09)" xfId="23339"/>
    <cellStyle name="‡_Managerevdir2_Granulation Rev1 Costdirect Pim2_Pen- Kodja Revisi 27 JAN 2010" xfId="23338"/>
    <cellStyle name="‡_Managerevdir2_Granulation Rev1 Costdirect Pim2_RAB Kodja Revisi 22 feb 2010" xfId="23337"/>
    <cellStyle name="‡_Managerevdir2_Granulation Rev1 Costdirect Pim2_RAB Kodja Revisi 23 feb 2010, revisi analisa" xfId="23336"/>
    <cellStyle name="‡_Managerevdir2_Inquiry Plan-KEPULAUAN RIAU 2X7 MW-GABUNGAN" xfId="23335"/>
    <cellStyle name="‡_Managerevdir2_Inquiry Plan-KEPULAUAN RIAU 2X7 MW-GABUNGAN 2" xfId="23334"/>
    <cellStyle name="‡_Managerevdir2_Inquiry Plan-KEPULAUAN RIAU 2X7 MW-GABUNGAN 2 2" xfId="23333"/>
    <cellStyle name="‡_Managerevdir2_Inquiry Plan-KEPULAUAN RIAU 2X7 MW-GABUNGAN 3" xfId="23332"/>
    <cellStyle name="‡_Managerevdir2_Inquiry Plan-KEPULAUAN RIAU 2X7 MW-GABUNGAN 3 2" xfId="23331"/>
    <cellStyle name="‡_Managerevdir2_Inquiry Plan-KEPULAUAN RIAU 2X7 MW-GABUNGAN 4" xfId="23330"/>
    <cellStyle name="‡_Managerevdir2_Inquiry Plan-KEPULAUAN RIAU 2X7 MW-GABUNGAN 4 2" xfId="23329"/>
    <cellStyle name="‡_Managerevdir2_Inquiry Plan-KEPULAUAN RIAU 2X7 MW-GABUNGAN 5" xfId="23328"/>
    <cellStyle name="‡_Managerevdir2_Pen- Kodja Revisi 02 November 2009 (Rev 11-11-09)" xfId="23327"/>
    <cellStyle name="‡_Managerevdir2_Pen- Kodja Revisi 27 JAN 2010" xfId="23326"/>
    <cellStyle name="‡_Managerevdir2_price toolrev1" xfId="23325"/>
    <cellStyle name="‡_Managerevdir2_price toolrev1_BQ &amp; An Pds Gdg - KIM I" xfId="23324"/>
    <cellStyle name="‡_Managerevdir2_price toolrev1_BQ &amp; An Pds Gdg - KIM I_GALIAN C" xfId="23323"/>
    <cellStyle name="‡_Managerevdir2_price toolrev1_BQ &amp; An Pds Gdg - KIM I_Pen- Kodja Revisi 02 November 2009 (Rev 11-11-09)" xfId="23322"/>
    <cellStyle name="‡_Managerevdir2_price toolrev1_BQ &amp; An Pds Gdg - KIM I_Pen- Kodja Revisi 27 JAN 2010" xfId="23321"/>
    <cellStyle name="‡_Managerevdir2_price toolrev1_BQ &amp; An Pds Gdg - KIM I_RAB Kodja Revisi 22 feb 2010" xfId="23320"/>
    <cellStyle name="‡_Managerevdir2_price toolrev1_BQ &amp; An Pds Gdg - KIM I_RAB Kodja Revisi 23 feb 2010, revisi analisa" xfId="23319"/>
    <cellStyle name="‡_Managerevdir2_price toolrev1_BQ &amp; An Pondasi SEP &amp; WAREHOUSE-KIM I (R-0)" xfId="23318"/>
    <cellStyle name="‡_Managerevdir2_price toolrev1_BQ &amp; An Pondasi SEP &amp; WAREHOUSE-KIM I (R-0)_GALIAN C" xfId="23317"/>
    <cellStyle name="‡_Managerevdir2_price toolrev1_BQ &amp; An Pondasi SEP &amp; WAREHOUSE-KIM I (R-0)_Pen- Kodja Revisi 02 November 2009 (Rev 11-11-09)" xfId="23316"/>
    <cellStyle name="‡_Managerevdir2_price toolrev1_BQ &amp; An Pondasi SEP &amp; WAREHOUSE-KIM I (R-0)_Pen- Kodja Revisi 27 JAN 2010" xfId="23315"/>
    <cellStyle name="‡_Managerevdir2_price toolrev1_BQ &amp; An Pondasi SEP &amp; WAREHOUSE-KIM I (R-0)_RAB Kodja Revisi 22 feb 2010" xfId="23314"/>
    <cellStyle name="‡_Managerevdir2_price toolrev1_BQ &amp; An Pondasi SEP &amp; WAREHOUSE-KIM I (R-0)_RAB Kodja Revisi 23 feb 2010, revisi analisa" xfId="23313"/>
    <cellStyle name="‡_Managerevdir2_price toolrev1_BQ Pabrik Biodiesel MM-Btm" xfId="23312"/>
    <cellStyle name="‡_Managerevdir2_price toolrev1_BQ Pabrik Biodiesel MM-Btm_GALIAN C" xfId="23311"/>
    <cellStyle name="‡_Managerevdir2_price toolrev1_BQ Pabrik Biodiesel MM-Btm_Pen- Kodja Revisi 02 November 2009 (Rev 11-11-09)" xfId="23310"/>
    <cellStyle name="‡_Managerevdir2_price toolrev1_BQ Pabrik Biodiesel MM-Btm_Pen- Kodja Revisi 27 JAN 2010" xfId="23309"/>
    <cellStyle name="‡_Managerevdir2_price toolrev1_BQ Pabrik Biodiesel MM-Btm_RAB Kodja Revisi 22 feb 2010" xfId="23308"/>
    <cellStyle name="‡_Managerevdir2_price toolrev1_BQ Pabrik Biodiesel MM-Btm_RAB Kodja Revisi 23 feb 2010, revisi analisa" xfId="23307"/>
    <cellStyle name="‡_Managerevdir2_price toolrev1_GALIAN C" xfId="23306"/>
    <cellStyle name="‡_Managerevdir2_price toolrev1_Pen- Kodja Revisi 02 November 2009 (Rev 11-11-09)" xfId="23305"/>
    <cellStyle name="‡_Managerevdir2_price toolrev1_Pen- Kodja Revisi 27 JAN 2010" xfId="23304"/>
    <cellStyle name="‡_Managerevdir2_price toolrev1_RAB Kodja Revisi 22 feb 2010" xfId="23303"/>
    <cellStyle name="‡_Managerevdir2_price toolrev1_RAB Kodja Revisi 23 feb 2010, revisi analisa" xfId="23302"/>
    <cellStyle name="‡_Managerevdir2_RAB Kodja Revisi 22 feb 2010" xfId="23301"/>
    <cellStyle name="‡_Managerevdir2_RAB Kodja Revisi 23 feb 2010, revisi analisa" xfId="23300"/>
    <cellStyle name="‡_Managerevdir2_SCHEME PACKAGES &amp; BUDGET 2 X 7 MW NTT-REV01" xfId="23299"/>
    <cellStyle name="‡_Managerevdir2_SCHEME PACKAGES &amp; BUDGET 2 X 7 MW NTT-REV01 2" xfId="23298"/>
    <cellStyle name="‡_Managerevdir2_SCHEME PACKAGES &amp; BUDGET 2 X 7 MW NTT-REV01 2 2" xfId="23297"/>
    <cellStyle name="‡_Managerevdir2_SCHEME PACKAGES &amp; BUDGET 2 X 7 MW NTT-REV01 3" xfId="23296"/>
    <cellStyle name="‡_Managerevdir2_SCHEME PACKAGES &amp; BUDGET 2 X 7 MW NTT-REV01 3 2" xfId="23295"/>
    <cellStyle name="‡_Managerevdir2_SCHEME PACKAGES &amp; BUDGET 2 X 7 MW NTT-REV01 4" xfId="23294"/>
    <cellStyle name="‡_Managerevdir2_SCHEME PACKAGES &amp; BUDGET 2 X 7 MW NTT-REV01 4 2" xfId="23293"/>
    <cellStyle name="‡_Managerevdir2_SCHEME PACKAGES &amp; BUDGET 2 X 7 MW NTT-REV01 5" xfId="23292"/>
    <cellStyle name="‡_Managerevdir2_SCHEME PACKAGES &amp; BUDGET 2 X 7 MW TBK-REV01" xfId="23291"/>
    <cellStyle name="‡_Managerevdir2_SCHEME PACKAGES &amp; BUDGET 2 X 7 MW TBK-REV01 2" xfId="23290"/>
    <cellStyle name="‡_Managerevdir2_SCHEME PACKAGES &amp; BUDGET 2 X 7 MW TBK-REV01 2 2" xfId="23289"/>
    <cellStyle name="‡_Managerevdir2_SCHEME PACKAGES &amp; BUDGET 2 X 7 MW TBK-REV01 3" xfId="23288"/>
    <cellStyle name="‡_Managerevdir2_SCHEME PACKAGES &amp; BUDGET 2 X 7 MW TBK-REV01 3 2" xfId="23287"/>
    <cellStyle name="‡_Managerevdir2_SCHEME PACKAGES &amp; BUDGET 2 X 7 MW TBK-REV01 4" xfId="23286"/>
    <cellStyle name="‡_Managerevdir2_SCHEME PACKAGES &amp; BUDGET 2 X 7 MW TBK-REV01 4 2" xfId="23285"/>
    <cellStyle name="‡_Managerevdir2_SCHEME PACKAGES &amp; BUDGET 2 X 7 MW TBK-REV01 5" xfId="23284"/>
    <cellStyle name="‡_Managerevdir2_std" xfId="23283"/>
    <cellStyle name="‡_Managerevdir2_std 2" xfId="23282"/>
    <cellStyle name="‡_Managerevdir2_std 2 2" xfId="23281"/>
    <cellStyle name="‡_Managerevdir2_std 3" xfId="23280"/>
    <cellStyle name="‡_Managerevdir2_std 3 2" xfId="23279"/>
    <cellStyle name="‡_Managerevdir2_std 4" xfId="23278"/>
    <cellStyle name="‡_Managerevdir2_std 4 2" xfId="23277"/>
    <cellStyle name="‡_Managerevdir2_std 5" xfId="23276"/>
    <cellStyle name="‡_Managerevdir2_std 6" xfId="23275"/>
    <cellStyle name="‡_Managerevdir2_std 7" xfId="23274"/>
    <cellStyle name="‡_Managerevdir2_std 8" xfId="23273"/>
    <cellStyle name="‡_Managerevdir2_std 9" xfId="23272"/>
    <cellStyle name="‡_Managerevdir2_std_BQ &amp; An Pds Gdg - KIM I" xfId="23271"/>
    <cellStyle name="‡_Managerevdir2_std_BQ &amp; An Pds Gdg - KIM I_GALIAN C" xfId="23270"/>
    <cellStyle name="‡_Managerevdir2_std_BQ &amp; An Pds Gdg - KIM I_Pen- Kodja Revisi 02 November 2009 (Rev 11-11-09)" xfId="23269"/>
    <cellStyle name="‡_Managerevdir2_std_BQ &amp; An Pds Gdg - KIM I_Pen- Kodja Revisi 27 JAN 2010" xfId="23268"/>
    <cellStyle name="‡_Managerevdir2_std_BQ &amp; An Pds Gdg - KIM I_RAB Kodja Revisi 22 feb 2010" xfId="23267"/>
    <cellStyle name="‡_Managerevdir2_std_BQ &amp; An Pds Gdg - KIM I_RAB Kodja Revisi 23 feb 2010, revisi analisa" xfId="23266"/>
    <cellStyle name="‡_Managerevdir2_std_BQ &amp; An Pondasi SEP &amp; WAREHOUSE-KIM I (R-0)" xfId="23265"/>
    <cellStyle name="‡_Managerevdir2_std_BQ &amp; An Pondasi SEP &amp; WAREHOUSE-KIM I (R-0)_GALIAN C" xfId="23264"/>
    <cellStyle name="‡_Managerevdir2_std_BQ &amp; An Pondasi SEP &amp; WAREHOUSE-KIM I (R-0)_Pen- Kodja Revisi 02 November 2009 (Rev 11-11-09)" xfId="23263"/>
    <cellStyle name="‡_Managerevdir2_std_BQ &amp; An Pondasi SEP &amp; WAREHOUSE-KIM I (R-0)_Pen- Kodja Revisi 27 JAN 2010" xfId="23262"/>
    <cellStyle name="‡_Managerevdir2_std_BQ &amp; An Pondasi SEP &amp; WAREHOUSE-KIM I (R-0)_RAB Kodja Revisi 22 feb 2010" xfId="23261"/>
    <cellStyle name="‡_Managerevdir2_std_BQ &amp; An Pondasi SEP &amp; WAREHOUSE-KIM I (R-0)_RAB Kodja Revisi 23 feb 2010, revisi analisa" xfId="23260"/>
    <cellStyle name="‡_Managerevdir2_std_BQ Pabrik Biodiesel MM-Btm" xfId="23259"/>
    <cellStyle name="‡_Managerevdir2_std_BQ Pabrik Biodiesel MM-Btm_GALIAN C" xfId="23258"/>
    <cellStyle name="‡_Managerevdir2_std_BQ Pabrik Biodiesel MM-Btm_Pen- Kodja Revisi 02 November 2009 (Rev 11-11-09)" xfId="23257"/>
    <cellStyle name="‡_Managerevdir2_std_BQ Pabrik Biodiesel MM-Btm_Pen- Kodja Revisi 27 JAN 2010" xfId="23256"/>
    <cellStyle name="‡_Managerevdir2_std_BQ Pabrik Biodiesel MM-Btm_RAB Kodja Revisi 22 feb 2010" xfId="23255"/>
    <cellStyle name="‡_Managerevdir2_std_BQ Pabrik Biodiesel MM-Btm_RAB Kodja Revisi 23 feb 2010, revisi analisa" xfId="23254"/>
    <cellStyle name="‡_Managerevdir2_std_EXERCISE PRICE-2x10 W70-1050-PO-KENDARI" xfId="23253"/>
    <cellStyle name="‡_Managerevdir2_std_EXERCISE PRICE-2x10 W70-1050-PO-KENDARI 2" xfId="23252"/>
    <cellStyle name="‡_Managerevdir2_std_EXERCISE PRICE-2x10 W70-1050-PO-KENDARI 3" xfId="23251"/>
    <cellStyle name="‡_Managerevdir2_std_EXERCISE PRICE-2x10 W70-1050-PO-KENDARI 4" xfId="23250"/>
    <cellStyle name="‡_Managerevdir2_std_EXERCISE PRICE-2x10 W70-1050-PO-KENDARI 5" xfId="23249"/>
    <cellStyle name="‡_Managerevdir2_std_EXERCISE PRICE-2x10 W70-1050-PO-KENDARI 6" xfId="23248"/>
    <cellStyle name="‡_Managerevdir2_std_EXERCISE PRICE-2x10 W70-1050-PO-KENDARI 7" xfId="23247"/>
    <cellStyle name="‡_Managerevdir2_std_EXERCISE PRICE-2x10 W70-1050-PO-KENDARI 8" xfId="23246"/>
    <cellStyle name="‡_Managerevdir2_std_EXERCISE PRICE-2X7 WO70-1100-PO-Riau" xfId="23245"/>
    <cellStyle name="‡_Managerevdir2_std_EXERCISE PRICE-2X7 WO70-1100-PO-Riau 2" xfId="23244"/>
    <cellStyle name="‡_Managerevdir2_std_EXERCISE PRICE-2X7 WO70-1100-PO-Riau 3" xfId="23243"/>
    <cellStyle name="‡_Managerevdir2_std_EXERCISE PRICE-2X7 WO70-1100-PO-Riau 4" xfId="23242"/>
    <cellStyle name="‡_Managerevdir2_std_EXERCISE PRICE-2X7 WO70-1100-PO-Riau 5" xfId="23241"/>
    <cellStyle name="‡_Managerevdir2_std_EXERCISE PRICE-2X7 WO70-1100-PO-Riau 6" xfId="23240"/>
    <cellStyle name="‡_Managerevdir2_std_EXERCISE PRICE-2X7 WO70-1100-PO-Riau 7" xfId="23239"/>
    <cellStyle name="‡_Managerevdir2_std_EXERCISE PRICE-2X7 WO70-1100-PO-Riau 8" xfId="23238"/>
    <cellStyle name="‡_Managerevdir2_std_FORM SUMMARY OF PRICE" xfId="23237"/>
    <cellStyle name="‡_Managerevdir2_std_GALIAN C" xfId="23236"/>
    <cellStyle name="‡_Managerevdir2_std_Inquiry Plan-KEPULAUAN RIAU 2X7 MW-GABUNGAN" xfId="23235"/>
    <cellStyle name="‡_Managerevdir2_std_Inquiry Plan-KEPULAUAN RIAU 2X7 MW-GABUNGAN 2" xfId="23234"/>
    <cellStyle name="‡_Managerevdir2_std_Inquiry Plan-KEPULAUAN RIAU 2X7 MW-GABUNGAN 2 2" xfId="23233"/>
    <cellStyle name="‡_Managerevdir2_std_Inquiry Plan-KEPULAUAN RIAU 2X7 MW-GABUNGAN 3" xfId="23232"/>
    <cellStyle name="‡_Managerevdir2_std_Inquiry Plan-KEPULAUAN RIAU 2X7 MW-GABUNGAN 3 2" xfId="23231"/>
    <cellStyle name="‡_Managerevdir2_std_Inquiry Plan-KEPULAUAN RIAU 2X7 MW-GABUNGAN 4" xfId="23230"/>
    <cellStyle name="‡_Managerevdir2_std_Inquiry Plan-KEPULAUAN RIAU 2X7 MW-GABUNGAN 4 2" xfId="23229"/>
    <cellStyle name="‡_Managerevdir2_std_Inquiry Plan-KEPULAUAN RIAU 2X7 MW-GABUNGAN 5" xfId="23228"/>
    <cellStyle name="‡_Managerevdir2_std_Pen- Kodja Revisi 02 November 2009 (Rev 11-11-09)" xfId="23227"/>
    <cellStyle name="‡_Managerevdir2_std_Pen- Kodja Revisi 27 JAN 2010" xfId="23226"/>
    <cellStyle name="‡_Managerevdir2_std_RAB Kodja Revisi 22 feb 2010" xfId="23225"/>
    <cellStyle name="‡_Managerevdir2_std_RAB Kodja Revisi 23 feb 2010, revisi analisa" xfId="23224"/>
    <cellStyle name="‡_Managerevdir2_std_SCHEME PACKAGES &amp; BUDGET 2 X 7 MW NTT-REV01" xfId="23223"/>
    <cellStyle name="‡_Managerevdir2_std_SCHEME PACKAGES &amp; BUDGET 2 X 7 MW NTT-REV01 2" xfId="23222"/>
    <cellStyle name="‡_Managerevdir2_std_SCHEME PACKAGES &amp; BUDGET 2 X 7 MW NTT-REV01 2 2" xfId="23221"/>
    <cellStyle name="‡_Managerevdir2_std_SCHEME PACKAGES &amp; BUDGET 2 X 7 MW NTT-REV01 3" xfId="23220"/>
    <cellStyle name="‡_Managerevdir2_std_SCHEME PACKAGES &amp; BUDGET 2 X 7 MW NTT-REV01 3 2" xfId="23219"/>
    <cellStyle name="‡_Managerevdir2_std_SCHEME PACKAGES &amp; BUDGET 2 X 7 MW NTT-REV01 4" xfId="23218"/>
    <cellStyle name="‡_Managerevdir2_std_SCHEME PACKAGES &amp; BUDGET 2 X 7 MW NTT-REV01 4 2" xfId="23217"/>
    <cellStyle name="‡_Managerevdir2_std_SCHEME PACKAGES &amp; BUDGET 2 X 7 MW NTT-REV01 5" xfId="23216"/>
    <cellStyle name="‡_Managerevdir2_std_SCHEME PACKAGES &amp; BUDGET 2 X 7 MW TBK-REV01" xfId="23215"/>
    <cellStyle name="‡_Managerevdir2_std_SCHEME PACKAGES &amp; BUDGET 2 X 7 MW TBK-REV01 2" xfId="23214"/>
    <cellStyle name="‡_Managerevdir2_std_SCHEME PACKAGES &amp; BUDGET 2 X 7 MW TBK-REV01 2 2" xfId="23213"/>
    <cellStyle name="‡_Managerevdir2_std_SCHEME PACKAGES &amp; BUDGET 2 X 7 MW TBK-REV01 3" xfId="23212"/>
    <cellStyle name="‡_Managerevdir2_std_SCHEME PACKAGES &amp; BUDGET 2 X 7 MW TBK-REV01 3 2" xfId="23211"/>
    <cellStyle name="‡_Managerevdir2_std_SCHEME PACKAGES &amp; BUDGET 2 X 7 MW TBK-REV01 4" xfId="23210"/>
    <cellStyle name="‡_Managerevdir2_std_SCHEME PACKAGES &amp; BUDGET 2 X 7 MW TBK-REV01 4 2" xfId="23209"/>
    <cellStyle name="‡_Managerevdir2_std_SCHEME PACKAGES &amp; BUDGET 2 X 7 MW TBK-REV01 5" xfId="23208"/>
    <cellStyle name="‡_Managerevdir2_Tie-in-Budget-1" xfId="23207"/>
    <cellStyle name="‡_Managerevdir2_Tie-in-Budget-1_BQ &amp; An Pds Gdg - KIM I" xfId="23206"/>
    <cellStyle name="‡_Managerevdir2_Tie-in-Budget-1_BQ &amp; An Pds Gdg - KIM I_GALIAN C" xfId="23205"/>
    <cellStyle name="‡_Managerevdir2_Tie-in-Budget-1_BQ &amp; An Pds Gdg - KIM I_Pen- Kodja Revisi 02 November 2009 (Rev 11-11-09)" xfId="23204"/>
    <cellStyle name="‡_Managerevdir2_Tie-in-Budget-1_BQ &amp; An Pds Gdg - KIM I_Pen- Kodja Revisi 27 JAN 2010" xfId="23203"/>
    <cellStyle name="‡_Managerevdir2_Tie-in-Budget-1_BQ &amp; An Pds Gdg - KIM I_RAB Kodja Revisi 22 feb 2010" xfId="23202"/>
    <cellStyle name="‡_Managerevdir2_Tie-in-Budget-1_BQ &amp; An Pds Gdg - KIM I_RAB Kodja Revisi 23 feb 2010, revisi analisa" xfId="23201"/>
    <cellStyle name="‡_Managerevdir2_Tie-in-Budget-1_BQ &amp; An Pondasi SEP &amp; WAREHOUSE-KIM I (R-0)" xfId="23200"/>
    <cellStyle name="‡_Managerevdir2_Tie-in-Budget-1_BQ &amp; An Pondasi SEP &amp; WAREHOUSE-KIM I (R-0)_GALIAN C" xfId="23199"/>
    <cellStyle name="‡_Managerevdir2_Tie-in-Budget-1_BQ &amp; An Pondasi SEP &amp; WAREHOUSE-KIM I (R-0)_Pen- Kodja Revisi 02 November 2009 (Rev 11-11-09)" xfId="23198"/>
    <cellStyle name="‡_Managerevdir2_Tie-in-Budget-1_BQ &amp; An Pondasi SEP &amp; WAREHOUSE-KIM I (R-0)_Pen- Kodja Revisi 27 JAN 2010" xfId="23197"/>
    <cellStyle name="‡_Managerevdir2_Tie-in-Budget-1_BQ &amp; An Pondasi SEP &amp; WAREHOUSE-KIM I (R-0)_RAB Kodja Revisi 22 feb 2010" xfId="23196"/>
    <cellStyle name="‡_Managerevdir2_Tie-in-Budget-1_BQ &amp; An Pondasi SEP &amp; WAREHOUSE-KIM I (R-0)_RAB Kodja Revisi 23 feb 2010, revisi analisa" xfId="23195"/>
    <cellStyle name="‡_Managerevdir2_Tie-in-Budget-1_BQ Pabrik Biodiesel MM-Btm" xfId="23194"/>
    <cellStyle name="‡_Managerevdir2_Tie-in-Budget-1_BQ Pabrik Biodiesel MM-Btm_GALIAN C" xfId="23193"/>
    <cellStyle name="‡_Managerevdir2_Tie-in-Budget-1_BQ Pabrik Biodiesel MM-Btm_Pen- Kodja Revisi 02 November 2009 (Rev 11-11-09)" xfId="23192"/>
    <cellStyle name="‡_Managerevdir2_Tie-in-Budget-1_BQ Pabrik Biodiesel MM-Btm_Pen- Kodja Revisi 27 JAN 2010" xfId="23191"/>
    <cellStyle name="‡_Managerevdir2_Tie-in-Budget-1_BQ Pabrik Biodiesel MM-Btm_RAB Kodja Revisi 22 feb 2010" xfId="23190"/>
    <cellStyle name="‡_Managerevdir2_Tie-in-Budget-1_BQ Pabrik Biodiesel MM-Btm_RAB Kodja Revisi 23 feb 2010, revisi analisa" xfId="23189"/>
    <cellStyle name="‡_Managerevdir2_Tie-in-Budget-1_GALIAN C" xfId="23188"/>
    <cellStyle name="‡_Managerevdir2_Tie-in-Budget-1_Pen- Kodja Revisi 02 November 2009 (Rev 11-11-09)" xfId="23187"/>
    <cellStyle name="‡_Managerevdir2_Tie-in-Budget-1_Pen- Kodja Revisi 27 JAN 2010" xfId="23186"/>
    <cellStyle name="‡_Managerevdir2_Tie-in-Budget-1_RAB Kodja Revisi 22 feb 2010" xfId="23185"/>
    <cellStyle name="‡_Managerevdir2_Tie-in-Budget-1_RAB Kodja Revisi 23 feb 2010, revisi analisa" xfId="23184"/>
    <cellStyle name="‡_me-AAF-COMBINED" xfId="23183"/>
    <cellStyle name="‡_me-AAF-COMBINED 2" xfId="23182"/>
    <cellStyle name="‡_me-AAF-COMBINED 2 2" xfId="23181"/>
    <cellStyle name="‡_me-AAF-COMBINED 3" xfId="23180"/>
    <cellStyle name="‡_me-AAF-COMBINED 3 2" xfId="23179"/>
    <cellStyle name="‡_me-AAF-COMBINED 4" xfId="23178"/>
    <cellStyle name="‡_me-AAF-COMBINED 4 2" xfId="23177"/>
    <cellStyle name="‡_me-AAF-COMBINED 5" xfId="23176"/>
    <cellStyle name="‡_me-AAF-COMBINED 6" xfId="23175"/>
    <cellStyle name="‡_me-AAF-COMBINED 7" xfId="23174"/>
    <cellStyle name="‡_me-AAF-COMBINED 8" xfId="23173"/>
    <cellStyle name="‡_me-AAF-COMBINED 9" xfId="23172"/>
    <cellStyle name="‡_me-AAF-COMBINED_AUTO2000" xfId="23171"/>
    <cellStyle name="‡_me-AAF-COMBINED_AUTO2000 2" xfId="23170"/>
    <cellStyle name="‡_me-AAF-COMBINED_AUTO2000 2 2" xfId="23169"/>
    <cellStyle name="‡_me-AAF-COMBINED_AUTO2000 3" xfId="23168"/>
    <cellStyle name="‡_me-AAF-COMBINED_AUTO2000 3 2" xfId="23167"/>
    <cellStyle name="‡_me-AAF-COMBINED_AUTO2000 4" xfId="23166"/>
    <cellStyle name="‡_me-AAF-COMBINED_AUTO2000 4 2" xfId="23165"/>
    <cellStyle name="‡_me-AAF-COMBINED_AUTO2000 5" xfId="23164"/>
    <cellStyle name="‡_me-AAF-COMBINED_AUTO2000 6" xfId="23163"/>
    <cellStyle name="‡_me-AAF-COMBINED_AUTO2000 7" xfId="23162"/>
    <cellStyle name="‡_me-AAF-COMBINED_AUTO2000 8" xfId="23161"/>
    <cellStyle name="‡_me-AAF-COMBINED_AUTO2000 9" xfId="23160"/>
    <cellStyle name="‡_me-AAF-COMBINED_AUTO2000_BQ &amp; An Pds Gdg - KIM I" xfId="23159"/>
    <cellStyle name="‡_me-AAF-COMBINED_AUTO2000_BQ &amp; An Pds Gdg - KIM I_GALIAN C" xfId="23158"/>
    <cellStyle name="‡_me-AAF-COMBINED_AUTO2000_BQ &amp; An Pds Gdg - KIM I_Pen- Kodja Revisi 02 November 2009 (Rev 11-11-09)" xfId="23157"/>
    <cellStyle name="‡_me-AAF-COMBINED_AUTO2000_BQ &amp; An Pds Gdg - KIM I_Pen- Kodja Revisi 27 JAN 2010" xfId="23156"/>
    <cellStyle name="‡_me-AAF-COMBINED_AUTO2000_BQ &amp; An Pds Gdg - KIM I_RAB Kodja Revisi 22 feb 2010" xfId="23155"/>
    <cellStyle name="‡_me-AAF-COMBINED_AUTO2000_BQ &amp; An Pds Gdg - KIM I_RAB Kodja Revisi 23 feb 2010, revisi analisa" xfId="23154"/>
    <cellStyle name="‡_me-AAF-COMBINED_AUTO2000_BQ &amp; An Pondasi SEP &amp; WAREHOUSE-KIM I (R-0)" xfId="23153"/>
    <cellStyle name="‡_me-AAF-COMBINED_AUTO2000_BQ &amp; An Pondasi SEP &amp; WAREHOUSE-KIM I (R-0)_GALIAN C" xfId="23152"/>
    <cellStyle name="‡_me-AAF-COMBINED_AUTO2000_BQ &amp; An Pondasi SEP &amp; WAREHOUSE-KIM I (R-0)_Pen- Kodja Revisi 02 November 2009 (Rev 11-11-09)" xfId="23151"/>
    <cellStyle name="‡_me-AAF-COMBINED_AUTO2000_BQ &amp; An Pondasi SEP &amp; WAREHOUSE-KIM I (R-0)_Pen- Kodja Revisi 27 JAN 2010" xfId="23150"/>
    <cellStyle name="‡_me-AAF-COMBINED_AUTO2000_BQ &amp; An Pondasi SEP &amp; WAREHOUSE-KIM I (R-0)_RAB Kodja Revisi 22 feb 2010" xfId="23149"/>
    <cellStyle name="‡_me-AAF-COMBINED_AUTO2000_BQ &amp; An Pondasi SEP &amp; WAREHOUSE-KIM I (R-0)_RAB Kodja Revisi 23 feb 2010, revisi analisa" xfId="23148"/>
    <cellStyle name="‡_me-AAF-COMBINED_AUTO2000_BQ Pabrik Biodiesel MM-Btm" xfId="23147"/>
    <cellStyle name="‡_me-AAF-COMBINED_AUTO2000_BQ Pabrik Biodiesel MM-Btm_GALIAN C" xfId="23146"/>
    <cellStyle name="‡_me-AAF-COMBINED_AUTO2000_BQ Pabrik Biodiesel MM-Btm_Pen- Kodja Revisi 02 November 2009 (Rev 11-11-09)" xfId="23145"/>
    <cellStyle name="‡_me-AAF-COMBINED_AUTO2000_BQ Pabrik Biodiesel MM-Btm_Pen- Kodja Revisi 27 JAN 2010" xfId="23144"/>
    <cellStyle name="‡_me-AAF-COMBINED_AUTO2000_BQ Pabrik Biodiesel MM-Btm_RAB Kodja Revisi 22 feb 2010" xfId="23143"/>
    <cellStyle name="‡_me-AAF-COMBINED_AUTO2000_BQ Pabrik Biodiesel MM-Btm_RAB Kodja Revisi 23 feb 2010, revisi analisa" xfId="23142"/>
    <cellStyle name="‡_me-AAF-COMBINED_AUTO2000_EXERCISE PRICE-2x10 W70-1050-PO-KENDARI" xfId="23141"/>
    <cellStyle name="‡_me-AAF-COMBINED_AUTO2000_EXERCISE PRICE-2x10 W70-1050-PO-KENDARI 2" xfId="23140"/>
    <cellStyle name="‡_me-AAF-COMBINED_AUTO2000_EXERCISE PRICE-2x10 W70-1050-PO-KENDARI 3" xfId="23139"/>
    <cellStyle name="‡_me-AAF-COMBINED_AUTO2000_EXERCISE PRICE-2x10 W70-1050-PO-KENDARI 4" xfId="23138"/>
    <cellStyle name="‡_me-AAF-COMBINED_AUTO2000_EXERCISE PRICE-2x10 W70-1050-PO-KENDARI 5" xfId="23137"/>
    <cellStyle name="‡_me-AAF-COMBINED_AUTO2000_EXERCISE PRICE-2x10 W70-1050-PO-KENDARI 6" xfId="23136"/>
    <cellStyle name="‡_me-AAF-COMBINED_AUTO2000_EXERCISE PRICE-2x10 W70-1050-PO-KENDARI 7" xfId="23135"/>
    <cellStyle name="‡_me-AAF-COMBINED_AUTO2000_EXERCISE PRICE-2x10 W70-1050-PO-KENDARI 8" xfId="23134"/>
    <cellStyle name="‡_me-AAF-COMBINED_AUTO2000_EXERCISE PRICE-2X7 WO70-1100-PO-Riau" xfId="23133"/>
    <cellStyle name="‡_me-AAF-COMBINED_AUTO2000_EXERCISE PRICE-2X7 WO70-1100-PO-Riau 2" xfId="23132"/>
    <cellStyle name="‡_me-AAF-COMBINED_AUTO2000_EXERCISE PRICE-2X7 WO70-1100-PO-Riau 3" xfId="23131"/>
    <cellStyle name="‡_me-AAF-COMBINED_AUTO2000_EXERCISE PRICE-2X7 WO70-1100-PO-Riau 4" xfId="23130"/>
    <cellStyle name="‡_me-AAF-COMBINED_AUTO2000_EXERCISE PRICE-2X7 WO70-1100-PO-Riau 5" xfId="23129"/>
    <cellStyle name="‡_me-AAF-COMBINED_AUTO2000_EXERCISE PRICE-2X7 WO70-1100-PO-Riau 6" xfId="23128"/>
    <cellStyle name="‡_me-AAF-COMBINED_AUTO2000_EXERCISE PRICE-2X7 WO70-1100-PO-Riau 7" xfId="23127"/>
    <cellStyle name="‡_me-AAF-COMBINED_AUTO2000_EXERCISE PRICE-2X7 WO70-1100-PO-Riau 8" xfId="23126"/>
    <cellStyle name="‡_me-AAF-COMBINED_AUTO2000_FORM SUMMARY OF PRICE" xfId="23125"/>
    <cellStyle name="‡_me-AAF-COMBINED_AUTO2000_GALIAN C" xfId="23124"/>
    <cellStyle name="‡_me-AAF-COMBINED_AUTO2000_Inquiry Plan-KEPULAUAN RIAU 2X7 MW-GABUNGAN" xfId="23123"/>
    <cellStyle name="‡_me-AAF-COMBINED_AUTO2000_Inquiry Plan-KEPULAUAN RIAU 2X7 MW-GABUNGAN 2" xfId="23122"/>
    <cellStyle name="‡_me-AAF-COMBINED_AUTO2000_Inquiry Plan-KEPULAUAN RIAU 2X7 MW-GABUNGAN 2 2" xfId="23121"/>
    <cellStyle name="‡_me-AAF-COMBINED_AUTO2000_Inquiry Plan-KEPULAUAN RIAU 2X7 MW-GABUNGAN 3" xfId="23120"/>
    <cellStyle name="‡_me-AAF-COMBINED_AUTO2000_Inquiry Plan-KEPULAUAN RIAU 2X7 MW-GABUNGAN 3 2" xfId="23119"/>
    <cellStyle name="‡_me-AAF-COMBINED_AUTO2000_Inquiry Plan-KEPULAUAN RIAU 2X7 MW-GABUNGAN 4" xfId="23118"/>
    <cellStyle name="‡_me-AAF-COMBINED_AUTO2000_Inquiry Plan-KEPULAUAN RIAU 2X7 MW-GABUNGAN 4 2" xfId="23117"/>
    <cellStyle name="‡_me-AAF-COMBINED_AUTO2000_Inquiry Plan-KEPULAUAN RIAU 2X7 MW-GABUNGAN 5" xfId="23116"/>
    <cellStyle name="‡_me-AAF-COMBINED_AUTO2000_Pen- Kodja Revisi 02 November 2009 (Rev 11-11-09)" xfId="23115"/>
    <cellStyle name="‡_me-AAF-COMBINED_AUTO2000_Pen- Kodja Revisi 27 JAN 2010" xfId="23114"/>
    <cellStyle name="‡_me-AAF-COMBINED_AUTO2000_RAB Kodja Revisi 22 feb 2010" xfId="23113"/>
    <cellStyle name="‡_me-AAF-COMBINED_AUTO2000_RAB Kodja Revisi 23 feb 2010, revisi analisa" xfId="23112"/>
    <cellStyle name="‡_me-AAF-COMBINED_AUTO2000_SCHEME PACKAGES &amp; BUDGET 2 X 7 MW NTT-REV01" xfId="23111"/>
    <cellStyle name="‡_me-AAF-COMBINED_AUTO2000_SCHEME PACKAGES &amp; BUDGET 2 X 7 MW NTT-REV01 2" xfId="23110"/>
    <cellStyle name="‡_me-AAF-COMBINED_AUTO2000_SCHEME PACKAGES &amp; BUDGET 2 X 7 MW NTT-REV01 2 2" xfId="23109"/>
    <cellStyle name="‡_me-AAF-COMBINED_AUTO2000_SCHEME PACKAGES &amp; BUDGET 2 X 7 MW NTT-REV01 3" xfId="23108"/>
    <cellStyle name="‡_me-AAF-COMBINED_AUTO2000_SCHEME PACKAGES &amp; BUDGET 2 X 7 MW NTT-REV01 3 2" xfId="23107"/>
    <cellStyle name="‡_me-AAF-COMBINED_AUTO2000_SCHEME PACKAGES &amp; BUDGET 2 X 7 MW NTT-REV01 4" xfId="23106"/>
    <cellStyle name="‡_me-AAF-COMBINED_AUTO2000_SCHEME PACKAGES &amp; BUDGET 2 X 7 MW NTT-REV01 4 2" xfId="23105"/>
    <cellStyle name="‡_me-AAF-COMBINED_AUTO2000_SCHEME PACKAGES &amp; BUDGET 2 X 7 MW NTT-REV01 5" xfId="23104"/>
    <cellStyle name="‡_me-AAF-COMBINED_AUTO2000_SCHEME PACKAGES &amp; BUDGET 2 X 7 MW TBK-REV01" xfId="23103"/>
    <cellStyle name="‡_me-AAF-COMBINED_AUTO2000_SCHEME PACKAGES &amp; BUDGET 2 X 7 MW TBK-REV01 2" xfId="23102"/>
    <cellStyle name="‡_me-AAF-COMBINED_AUTO2000_SCHEME PACKAGES &amp; BUDGET 2 X 7 MW TBK-REV01 2 2" xfId="23101"/>
    <cellStyle name="‡_me-AAF-COMBINED_AUTO2000_SCHEME PACKAGES &amp; BUDGET 2 X 7 MW TBK-REV01 3" xfId="23100"/>
    <cellStyle name="‡_me-AAF-COMBINED_AUTO2000_SCHEME PACKAGES &amp; BUDGET 2 X 7 MW TBK-REV01 3 2" xfId="23099"/>
    <cellStyle name="‡_me-AAF-COMBINED_AUTO2000_SCHEME PACKAGES &amp; BUDGET 2 X 7 MW TBK-REV01 4" xfId="23098"/>
    <cellStyle name="‡_me-AAF-COMBINED_AUTO2000_SCHEME PACKAGES &amp; BUDGET 2 X 7 MW TBK-REV01 4 2" xfId="23097"/>
    <cellStyle name="‡_me-AAF-COMBINED_AUTO2000_SCHEME PACKAGES &amp; BUDGET 2 X 7 MW TBK-REV01 5" xfId="23096"/>
    <cellStyle name="‡_me-AAF-COMBINED_BQ &amp; An Pds Gdg - KIM I" xfId="23095"/>
    <cellStyle name="‡_me-AAF-COMBINED_BQ &amp; An Pds Gdg - KIM I_GALIAN C" xfId="23094"/>
    <cellStyle name="‡_me-AAF-COMBINED_BQ &amp; An Pds Gdg - KIM I_Pen- Kodja Revisi 02 November 2009 (Rev 11-11-09)" xfId="23093"/>
    <cellStyle name="‡_me-AAF-COMBINED_BQ &amp; An Pds Gdg - KIM I_Pen- Kodja Revisi 27 JAN 2010" xfId="23092"/>
    <cellStyle name="‡_me-AAF-COMBINED_BQ &amp; An Pds Gdg - KIM I_RAB Kodja Revisi 22 feb 2010" xfId="23091"/>
    <cellStyle name="‡_me-AAF-COMBINED_BQ &amp; An Pds Gdg - KIM I_RAB Kodja Revisi 23 feb 2010, revisi analisa" xfId="23090"/>
    <cellStyle name="‡_me-AAF-COMBINED_BQ &amp; An Pondasi SEP &amp; WAREHOUSE-KIM I (R-0)" xfId="23089"/>
    <cellStyle name="‡_me-AAF-COMBINED_BQ &amp; An Pondasi SEP &amp; WAREHOUSE-KIM I (R-0)_GALIAN C" xfId="23088"/>
    <cellStyle name="‡_me-AAF-COMBINED_BQ &amp; An Pondasi SEP &amp; WAREHOUSE-KIM I (R-0)_Pen- Kodja Revisi 02 November 2009 (Rev 11-11-09)" xfId="23087"/>
    <cellStyle name="‡_me-AAF-COMBINED_BQ &amp; An Pondasi SEP &amp; WAREHOUSE-KIM I (R-0)_Pen- Kodja Revisi 27 JAN 2010" xfId="23086"/>
    <cellStyle name="‡_me-AAF-COMBINED_BQ &amp; An Pondasi SEP &amp; WAREHOUSE-KIM I (R-0)_RAB Kodja Revisi 22 feb 2010" xfId="23085"/>
    <cellStyle name="‡_me-AAF-COMBINED_BQ &amp; An Pondasi SEP &amp; WAREHOUSE-KIM I (R-0)_RAB Kodja Revisi 23 feb 2010, revisi analisa" xfId="23084"/>
    <cellStyle name="‡_me-AAF-COMBINED_BQ Pabrik Biodiesel MM-Btm" xfId="23083"/>
    <cellStyle name="‡_me-AAF-COMBINED_BQ Pabrik Biodiesel MM-Btm_GALIAN C" xfId="23082"/>
    <cellStyle name="‡_me-AAF-COMBINED_BQ Pabrik Biodiesel MM-Btm_Pen- Kodja Revisi 02 November 2009 (Rev 11-11-09)" xfId="23081"/>
    <cellStyle name="‡_me-AAF-COMBINED_BQ Pabrik Biodiesel MM-Btm_Pen- Kodja Revisi 27 JAN 2010" xfId="23080"/>
    <cellStyle name="‡_me-AAF-COMBINED_BQ Pabrik Biodiesel MM-Btm_RAB Kodja Revisi 22 feb 2010" xfId="23079"/>
    <cellStyle name="‡_me-AAF-COMBINED_BQ Pabrik Biodiesel MM-Btm_RAB Kodja Revisi 23 feb 2010, revisi analisa" xfId="23078"/>
    <cellStyle name="‡_me-AAF-COMBINED_EXERCISE PRICE-2x10 W70-1050-PO-KENDARI" xfId="23077"/>
    <cellStyle name="‡_me-AAF-COMBINED_EXERCISE PRICE-2x10 W70-1050-PO-KENDARI 2" xfId="23076"/>
    <cellStyle name="‡_me-AAF-COMBINED_EXERCISE PRICE-2x10 W70-1050-PO-KENDARI 3" xfId="23075"/>
    <cellStyle name="‡_me-AAF-COMBINED_EXERCISE PRICE-2x10 W70-1050-PO-KENDARI 4" xfId="23074"/>
    <cellStyle name="‡_me-AAF-COMBINED_EXERCISE PRICE-2x10 W70-1050-PO-KENDARI 5" xfId="23073"/>
    <cellStyle name="‡_me-AAF-COMBINED_EXERCISE PRICE-2x10 W70-1050-PO-KENDARI 6" xfId="23072"/>
    <cellStyle name="‡_me-AAF-COMBINED_EXERCISE PRICE-2x10 W70-1050-PO-KENDARI 7" xfId="23071"/>
    <cellStyle name="‡_me-AAF-COMBINED_EXERCISE PRICE-2x10 W70-1050-PO-KENDARI 8" xfId="23070"/>
    <cellStyle name="‡_me-AAF-COMBINED_EXERCISE PRICE-2X7 WO70-1100-PO-Riau" xfId="23069"/>
    <cellStyle name="‡_me-AAF-COMBINED_EXERCISE PRICE-2X7 WO70-1100-PO-Riau 2" xfId="23068"/>
    <cellStyle name="‡_me-AAF-COMBINED_EXERCISE PRICE-2X7 WO70-1100-PO-Riau 3" xfId="23067"/>
    <cellStyle name="‡_me-AAF-COMBINED_EXERCISE PRICE-2X7 WO70-1100-PO-Riau 4" xfId="23066"/>
    <cellStyle name="‡_me-AAF-COMBINED_EXERCISE PRICE-2X7 WO70-1100-PO-Riau 5" xfId="23065"/>
    <cellStyle name="‡_me-AAF-COMBINED_EXERCISE PRICE-2X7 WO70-1100-PO-Riau 6" xfId="23064"/>
    <cellStyle name="‡_me-AAF-COMBINED_EXERCISE PRICE-2X7 WO70-1100-PO-Riau 7" xfId="23063"/>
    <cellStyle name="‡_me-AAF-COMBINED_EXERCISE PRICE-2X7 WO70-1100-PO-Riau 8" xfId="23062"/>
    <cellStyle name="‡_me-AAF-COMBINED_FORM SUMMARY OF PRICE" xfId="23061"/>
    <cellStyle name="‡_me-AAF-COMBINED_GALIAN C" xfId="23060"/>
    <cellStyle name="‡_me-AAF-COMBINED_Inquiry Plan-KEPULAUAN RIAU 2X7 MW-GABUNGAN" xfId="23059"/>
    <cellStyle name="‡_me-AAF-COMBINED_Inquiry Plan-KEPULAUAN RIAU 2X7 MW-GABUNGAN 2" xfId="23058"/>
    <cellStyle name="‡_me-AAF-COMBINED_Inquiry Plan-KEPULAUAN RIAU 2X7 MW-GABUNGAN 2 2" xfId="23057"/>
    <cellStyle name="‡_me-AAF-COMBINED_Inquiry Plan-KEPULAUAN RIAU 2X7 MW-GABUNGAN 3" xfId="23056"/>
    <cellStyle name="‡_me-AAF-COMBINED_Inquiry Plan-KEPULAUAN RIAU 2X7 MW-GABUNGAN 3 2" xfId="23055"/>
    <cellStyle name="‡_me-AAF-COMBINED_Inquiry Plan-KEPULAUAN RIAU 2X7 MW-GABUNGAN 4" xfId="23054"/>
    <cellStyle name="‡_me-AAF-COMBINED_Inquiry Plan-KEPULAUAN RIAU 2X7 MW-GABUNGAN 4 2" xfId="23053"/>
    <cellStyle name="‡_me-AAF-COMBINED_Inquiry Plan-KEPULAUAN RIAU 2X7 MW-GABUNGAN 5" xfId="23052"/>
    <cellStyle name="‡_me-AAF-COMBINED_Pen- Kodja Revisi 02 November 2009 (Rev 11-11-09)" xfId="23051"/>
    <cellStyle name="‡_me-AAF-COMBINED_Pen- Kodja Revisi 27 JAN 2010" xfId="23050"/>
    <cellStyle name="‡_me-AAF-COMBINED_RAB Kodja Revisi 22 feb 2010" xfId="23049"/>
    <cellStyle name="‡_me-AAF-COMBINED_RAB Kodja Revisi 23 feb 2010, revisi analisa" xfId="23048"/>
    <cellStyle name="‡_me-AAF-COMBINED_SCHEME PACKAGES &amp; BUDGET 2 X 7 MW NTT-REV01" xfId="23047"/>
    <cellStyle name="‡_me-AAF-COMBINED_SCHEME PACKAGES &amp; BUDGET 2 X 7 MW NTT-REV01 2" xfId="23046"/>
    <cellStyle name="‡_me-AAF-COMBINED_SCHEME PACKAGES &amp; BUDGET 2 X 7 MW NTT-REV01 2 2" xfId="23045"/>
    <cellStyle name="‡_me-AAF-COMBINED_SCHEME PACKAGES &amp; BUDGET 2 X 7 MW NTT-REV01 3" xfId="23044"/>
    <cellStyle name="‡_me-AAF-COMBINED_SCHEME PACKAGES &amp; BUDGET 2 X 7 MW NTT-REV01 3 2" xfId="23043"/>
    <cellStyle name="‡_me-AAF-COMBINED_SCHEME PACKAGES &amp; BUDGET 2 X 7 MW NTT-REV01 4" xfId="23042"/>
    <cellStyle name="‡_me-AAF-COMBINED_SCHEME PACKAGES &amp; BUDGET 2 X 7 MW NTT-REV01 4 2" xfId="23041"/>
    <cellStyle name="‡_me-AAF-COMBINED_SCHEME PACKAGES &amp; BUDGET 2 X 7 MW NTT-REV01 5" xfId="23040"/>
    <cellStyle name="‡_me-AAF-COMBINED_SCHEME PACKAGES &amp; BUDGET 2 X 7 MW TBK-REV01" xfId="23039"/>
    <cellStyle name="‡_me-AAF-COMBINED_SCHEME PACKAGES &amp; BUDGET 2 X 7 MW TBK-REV01 2" xfId="23038"/>
    <cellStyle name="‡_me-AAF-COMBINED_SCHEME PACKAGES &amp; BUDGET 2 X 7 MW TBK-REV01 2 2" xfId="23037"/>
    <cellStyle name="‡_me-AAF-COMBINED_SCHEME PACKAGES &amp; BUDGET 2 X 7 MW TBK-REV01 3" xfId="23036"/>
    <cellStyle name="‡_me-AAF-COMBINED_SCHEME PACKAGES &amp; BUDGET 2 X 7 MW TBK-REV01 3 2" xfId="23035"/>
    <cellStyle name="‡_me-AAF-COMBINED_SCHEME PACKAGES &amp; BUDGET 2 X 7 MW TBK-REV01 4" xfId="23034"/>
    <cellStyle name="‡_me-AAF-COMBINED_SCHEME PACKAGES &amp; BUDGET 2 X 7 MW TBK-REV01 4 2" xfId="23033"/>
    <cellStyle name="‡_me-AAF-COMBINED_SCHEME PACKAGES &amp; BUDGET 2 X 7 MW TBK-REV01 5" xfId="23032"/>
    <cellStyle name="‡_Mekanikal Indobharat-3" xfId="23031"/>
    <cellStyle name="‡_Mekanikal Indobharat-3 2" xfId="23030"/>
    <cellStyle name="‡_Mekanikal Indobharat-3 2 2" xfId="23029"/>
    <cellStyle name="‡_Mekanikal Indobharat-3 3" xfId="23028"/>
    <cellStyle name="‡_Mekanikal Indobharat-3 3 2" xfId="23027"/>
    <cellStyle name="‡_Mekanikal Indobharat-3 4" xfId="23026"/>
    <cellStyle name="‡_Mekanikal Indobharat-3 4 2" xfId="23025"/>
    <cellStyle name="‡_Mekanikal Indobharat-3 5" xfId="23024"/>
    <cellStyle name="‡_Mekanikal Indobharat-3 6" xfId="23023"/>
    <cellStyle name="‡_Mekanikal Indobharat-3 7" xfId="23022"/>
    <cellStyle name="‡_Mekanikal Indobharat-3 8" xfId="23021"/>
    <cellStyle name="‡_Mekanikal Indobharat-3 9" xfId="23020"/>
    <cellStyle name="‡_Mekanikal Indobharat-3_BQ &amp; An Pds Gdg - KIM I" xfId="23019"/>
    <cellStyle name="‡_Mekanikal Indobharat-3_BQ &amp; An Pds Gdg - KIM I_GALIAN C" xfId="23018"/>
    <cellStyle name="‡_Mekanikal Indobharat-3_BQ &amp; An Pds Gdg - KIM I_Pen- Kodja Revisi 02 November 2009 (Rev 11-11-09)" xfId="23017"/>
    <cellStyle name="‡_Mekanikal Indobharat-3_BQ &amp; An Pds Gdg - KIM I_Pen- Kodja Revisi 27 JAN 2010" xfId="23016"/>
    <cellStyle name="‡_Mekanikal Indobharat-3_BQ &amp; An Pds Gdg - KIM I_RAB Kodja Revisi 22 feb 2010" xfId="23015"/>
    <cellStyle name="‡_Mekanikal Indobharat-3_BQ &amp; An Pds Gdg - KIM I_RAB Kodja Revisi 23 feb 2010, revisi analisa" xfId="23014"/>
    <cellStyle name="‡_Mekanikal Indobharat-3_BQ &amp; An Pondasi SEP &amp; WAREHOUSE-KIM I (R-0)" xfId="23013"/>
    <cellStyle name="‡_Mekanikal Indobharat-3_BQ &amp; An Pondasi SEP &amp; WAREHOUSE-KIM I (R-0)_GALIAN C" xfId="23012"/>
    <cellStyle name="‡_Mekanikal Indobharat-3_BQ &amp; An Pondasi SEP &amp; WAREHOUSE-KIM I (R-0)_Pen- Kodja Revisi 02 November 2009 (Rev 11-11-09)" xfId="23011"/>
    <cellStyle name="‡_Mekanikal Indobharat-3_BQ &amp; An Pondasi SEP &amp; WAREHOUSE-KIM I (R-0)_Pen- Kodja Revisi 27 JAN 2010" xfId="23010"/>
    <cellStyle name="‡_Mekanikal Indobharat-3_BQ &amp; An Pondasi SEP &amp; WAREHOUSE-KIM I (R-0)_RAB Kodja Revisi 22 feb 2010" xfId="23009"/>
    <cellStyle name="‡_Mekanikal Indobharat-3_BQ &amp; An Pondasi SEP &amp; WAREHOUSE-KIM I (R-0)_RAB Kodja Revisi 23 feb 2010, revisi analisa" xfId="23008"/>
    <cellStyle name="‡_Mekanikal Indobharat-3_BQ Pabrik Biodiesel MM-Btm" xfId="23007"/>
    <cellStyle name="‡_Mekanikal Indobharat-3_BQ Pabrik Biodiesel MM-Btm_GALIAN C" xfId="23006"/>
    <cellStyle name="‡_Mekanikal Indobharat-3_BQ Pabrik Biodiesel MM-Btm_Pen- Kodja Revisi 02 November 2009 (Rev 11-11-09)" xfId="23005"/>
    <cellStyle name="‡_Mekanikal Indobharat-3_BQ Pabrik Biodiesel MM-Btm_Pen- Kodja Revisi 27 JAN 2010" xfId="23004"/>
    <cellStyle name="‡_Mekanikal Indobharat-3_BQ Pabrik Biodiesel MM-Btm_RAB Kodja Revisi 22 feb 2010" xfId="23003"/>
    <cellStyle name="‡_Mekanikal Indobharat-3_BQ Pabrik Biodiesel MM-Btm_RAB Kodja Revisi 23 feb 2010, revisi analisa" xfId="23002"/>
    <cellStyle name="‡_Mekanikal Indobharat-3_EXERCISE PRICE-2x10 W70-1050-PO-KENDARI" xfId="23001"/>
    <cellStyle name="‡_Mekanikal Indobharat-3_EXERCISE PRICE-2x10 W70-1050-PO-KENDARI 2" xfId="23000"/>
    <cellStyle name="‡_Mekanikal Indobharat-3_EXERCISE PRICE-2x10 W70-1050-PO-KENDARI 3" xfId="22999"/>
    <cellStyle name="‡_Mekanikal Indobharat-3_EXERCISE PRICE-2x10 W70-1050-PO-KENDARI 4" xfId="22998"/>
    <cellStyle name="‡_Mekanikal Indobharat-3_EXERCISE PRICE-2x10 W70-1050-PO-KENDARI 5" xfId="22997"/>
    <cellStyle name="‡_Mekanikal Indobharat-3_EXERCISE PRICE-2x10 W70-1050-PO-KENDARI 6" xfId="22996"/>
    <cellStyle name="‡_Mekanikal Indobharat-3_EXERCISE PRICE-2x10 W70-1050-PO-KENDARI 7" xfId="22995"/>
    <cellStyle name="‡_Mekanikal Indobharat-3_EXERCISE PRICE-2x10 W70-1050-PO-KENDARI 8" xfId="22994"/>
    <cellStyle name="‡_Mekanikal Indobharat-3_EXERCISE PRICE-2X7 WO70-1100-PO-Riau" xfId="22993"/>
    <cellStyle name="‡_Mekanikal Indobharat-3_EXERCISE PRICE-2X7 WO70-1100-PO-Riau 2" xfId="22992"/>
    <cellStyle name="‡_Mekanikal Indobharat-3_EXERCISE PRICE-2X7 WO70-1100-PO-Riau 3" xfId="22991"/>
    <cellStyle name="‡_Mekanikal Indobharat-3_EXERCISE PRICE-2X7 WO70-1100-PO-Riau 4" xfId="22990"/>
    <cellStyle name="‡_Mekanikal Indobharat-3_EXERCISE PRICE-2X7 WO70-1100-PO-Riau 5" xfId="22989"/>
    <cellStyle name="‡_Mekanikal Indobharat-3_EXERCISE PRICE-2X7 WO70-1100-PO-Riau 6" xfId="22988"/>
    <cellStyle name="‡_Mekanikal Indobharat-3_EXERCISE PRICE-2X7 WO70-1100-PO-Riau 7" xfId="22987"/>
    <cellStyle name="‡_Mekanikal Indobharat-3_EXERCISE PRICE-2X7 WO70-1100-PO-Riau 8" xfId="22986"/>
    <cellStyle name="‡_Mekanikal Indobharat-3_FORM SUMMARY OF PRICE" xfId="22985"/>
    <cellStyle name="‡_Mekanikal Indobharat-3_GALIAN C" xfId="22984"/>
    <cellStyle name="‡_Mekanikal Indobharat-3_Inquiry Plan-KEPULAUAN RIAU 2X7 MW-GABUNGAN" xfId="22983"/>
    <cellStyle name="‡_Mekanikal Indobharat-3_Inquiry Plan-KEPULAUAN RIAU 2X7 MW-GABUNGAN 2" xfId="22982"/>
    <cellStyle name="‡_Mekanikal Indobharat-3_Inquiry Plan-KEPULAUAN RIAU 2X7 MW-GABUNGAN 2 2" xfId="22981"/>
    <cellStyle name="‡_Mekanikal Indobharat-3_Inquiry Plan-KEPULAUAN RIAU 2X7 MW-GABUNGAN 3" xfId="22980"/>
    <cellStyle name="‡_Mekanikal Indobharat-3_Inquiry Plan-KEPULAUAN RIAU 2X7 MW-GABUNGAN 3 2" xfId="22979"/>
    <cellStyle name="‡_Mekanikal Indobharat-3_Inquiry Plan-KEPULAUAN RIAU 2X7 MW-GABUNGAN 4" xfId="22978"/>
    <cellStyle name="‡_Mekanikal Indobharat-3_Inquiry Plan-KEPULAUAN RIAU 2X7 MW-GABUNGAN 4 2" xfId="22977"/>
    <cellStyle name="‡_Mekanikal Indobharat-3_Inquiry Plan-KEPULAUAN RIAU 2X7 MW-GABUNGAN 5" xfId="22976"/>
    <cellStyle name="‡_Mekanikal Indobharat-3_Pen- Kodja Revisi 02 November 2009 (Rev 11-11-09)" xfId="22975"/>
    <cellStyle name="‡_Mekanikal Indobharat-3_Pen- Kodja Revisi 27 JAN 2010" xfId="22974"/>
    <cellStyle name="‡_Mekanikal Indobharat-3_RAB Kodja Revisi 22 feb 2010" xfId="22973"/>
    <cellStyle name="‡_Mekanikal Indobharat-3_RAB Kodja Revisi 23 feb 2010, revisi analisa" xfId="22972"/>
    <cellStyle name="‡_Mekanikal Indobharat-3_SCHEME PACKAGES &amp; BUDGET 2 X 7 MW NTT-REV01" xfId="22971"/>
    <cellStyle name="‡_Mekanikal Indobharat-3_SCHEME PACKAGES &amp; BUDGET 2 X 7 MW NTT-REV01 2" xfId="22970"/>
    <cellStyle name="‡_Mekanikal Indobharat-3_SCHEME PACKAGES &amp; BUDGET 2 X 7 MW NTT-REV01 2 2" xfId="22969"/>
    <cellStyle name="‡_Mekanikal Indobharat-3_SCHEME PACKAGES &amp; BUDGET 2 X 7 MW NTT-REV01 3" xfId="22968"/>
    <cellStyle name="‡_Mekanikal Indobharat-3_SCHEME PACKAGES &amp; BUDGET 2 X 7 MW NTT-REV01 3 2" xfId="22967"/>
    <cellStyle name="‡_Mekanikal Indobharat-3_SCHEME PACKAGES &amp; BUDGET 2 X 7 MW NTT-REV01 4" xfId="22966"/>
    <cellStyle name="‡_Mekanikal Indobharat-3_SCHEME PACKAGES &amp; BUDGET 2 X 7 MW NTT-REV01 4 2" xfId="22965"/>
    <cellStyle name="‡_Mekanikal Indobharat-3_SCHEME PACKAGES &amp; BUDGET 2 X 7 MW NTT-REV01 5" xfId="22964"/>
    <cellStyle name="‡_Mekanikal Indobharat-3_SCHEME PACKAGES &amp; BUDGET 2 X 7 MW TBK-REV01" xfId="22963"/>
    <cellStyle name="‡_Mekanikal Indobharat-3_SCHEME PACKAGES &amp; BUDGET 2 X 7 MW TBK-REV01 2" xfId="22962"/>
    <cellStyle name="‡_Mekanikal Indobharat-3_SCHEME PACKAGES &amp; BUDGET 2 X 7 MW TBK-REV01 2 2" xfId="22961"/>
    <cellStyle name="‡_Mekanikal Indobharat-3_SCHEME PACKAGES &amp; BUDGET 2 X 7 MW TBK-REV01 3" xfId="22960"/>
    <cellStyle name="‡_Mekanikal Indobharat-3_SCHEME PACKAGES &amp; BUDGET 2 X 7 MW TBK-REV01 3 2" xfId="22959"/>
    <cellStyle name="‡_Mekanikal Indobharat-3_SCHEME PACKAGES &amp; BUDGET 2 X 7 MW TBK-REV01 4" xfId="22958"/>
    <cellStyle name="‡_Mekanikal Indobharat-3_SCHEME PACKAGES &amp; BUDGET 2 X 7 MW TBK-REV01 4 2" xfId="22957"/>
    <cellStyle name="‡_Mekanikal Indobharat-3_SCHEME PACKAGES &amp; BUDGET 2 X 7 MW TBK-REV01 5" xfId="22956"/>
    <cellStyle name="‡_PEB Blue sky Piping tie-in-Package-1" xfId="22955"/>
    <cellStyle name="‡_PEB Blue sky Piping tie-in-Package-1_BQ &amp; An Pds Gdg - KIM I" xfId="22954"/>
    <cellStyle name="‡_PEB Blue sky Piping tie-in-Package-1_BQ &amp; An Pds Gdg - KIM I_GALIAN C" xfId="22953"/>
    <cellStyle name="‡_PEB Blue sky Piping tie-in-Package-1_BQ &amp; An Pds Gdg - KIM I_Pen- Kodja Revisi 02 November 2009 (Rev 11-11-09)" xfId="22952"/>
    <cellStyle name="‡_PEB Blue sky Piping tie-in-Package-1_BQ &amp; An Pds Gdg - KIM I_Pen- Kodja Revisi 27 JAN 2010" xfId="22951"/>
    <cellStyle name="‡_PEB Blue sky Piping tie-in-Package-1_BQ &amp; An Pds Gdg - KIM I_RAB Kodja Revisi 22 feb 2010" xfId="22950"/>
    <cellStyle name="‡_PEB Blue sky Piping tie-in-Package-1_BQ &amp; An Pds Gdg - KIM I_RAB Kodja Revisi 23 feb 2010, revisi analisa" xfId="22949"/>
    <cellStyle name="‡_PEB Blue sky Piping tie-in-Package-1_BQ &amp; An Pondasi SEP &amp; WAREHOUSE-KIM I (R-0)" xfId="22948"/>
    <cellStyle name="‡_PEB Blue sky Piping tie-in-Package-1_BQ &amp; An Pondasi SEP &amp; WAREHOUSE-KIM I (R-0)_GALIAN C" xfId="22947"/>
    <cellStyle name="‡_PEB Blue sky Piping tie-in-Package-1_BQ &amp; An Pondasi SEP &amp; WAREHOUSE-KIM I (R-0)_Pen- Kodja Revisi 02 November 2009 (Rev 11-11-09)" xfId="22946"/>
    <cellStyle name="‡_PEB Blue sky Piping tie-in-Package-1_BQ &amp; An Pondasi SEP &amp; WAREHOUSE-KIM I (R-0)_Pen- Kodja Revisi 27 JAN 2010" xfId="22945"/>
    <cellStyle name="‡_PEB Blue sky Piping tie-in-Package-1_BQ &amp; An Pondasi SEP &amp; WAREHOUSE-KIM I (R-0)_RAB Kodja Revisi 22 feb 2010" xfId="22944"/>
    <cellStyle name="‡_PEB Blue sky Piping tie-in-Package-1_BQ &amp; An Pondasi SEP &amp; WAREHOUSE-KIM I (R-0)_RAB Kodja Revisi 23 feb 2010, revisi analisa" xfId="22943"/>
    <cellStyle name="‡_PEB Blue sky Piping tie-in-Package-1_BQ Pabrik Biodiesel MM-Btm" xfId="22942"/>
    <cellStyle name="‡_PEB Blue sky Piping tie-in-Package-1_BQ Pabrik Biodiesel MM-Btm_GALIAN C" xfId="22941"/>
    <cellStyle name="‡_PEB Blue sky Piping tie-in-Package-1_BQ Pabrik Biodiesel MM-Btm_Pen- Kodja Revisi 02 November 2009 (Rev 11-11-09)" xfId="22940"/>
    <cellStyle name="‡_PEB Blue sky Piping tie-in-Package-1_BQ Pabrik Biodiesel MM-Btm_Pen- Kodja Revisi 27 JAN 2010" xfId="22939"/>
    <cellStyle name="‡_PEB Blue sky Piping tie-in-Package-1_BQ Pabrik Biodiesel MM-Btm_RAB Kodja Revisi 22 feb 2010" xfId="22938"/>
    <cellStyle name="‡_PEB Blue sky Piping tie-in-Package-1_BQ Pabrik Biodiesel MM-Btm_RAB Kodja Revisi 23 feb 2010, revisi analisa" xfId="22937"/>
    <cellStyle name="‡_PEB Blue sky Piping tie-in-Package-1_GALIAN C" xfId="22936"/>
    <cellStyle name="‡_PEB Blue sky Piping tie-in-Package-1_Pen- Kodja Revisi 02 November 2009 (Rev 11-11-09)" xfId="22935"/>
    <cellStyle name="‡_PEB Blue sky Piping tie-in-Package-1_Pen- Kodja Revisi 27 JAN 2010" xfId="22934"/>
    <cellStyle name="‡_PEB Blue sky Piping tie-in-Package-1_RAB Kodja Revisi 22 feb 2010" xfId="22933"/>
    <cellStyle name="‡_PEB Blue sky Piping tie-in-Package-1_RAB Kodja Revisi 23 feb 2010, revisi analisa" xfId="22932"/>
    <cellStyle name="‡_pek yang di sub kan" xfId="22931"/>
    <cellStyle name="‡_Pen- Kodja Revisi 02 November 2009 (Rev 11-11-09)" xfId="22930"/>
    <cellStyle name="‡_Pen- Kodja Revisi 27 JAN 2010" xfId="22929"/>
    <cellStyle name="‡_Penawaran harga rumah DPR_Revisi#3_Opt" xfId="22928"/>
    <cellStyle name="‡_Penawaran harga rumah DPR_Revisi#3_Opt_rc kantor dinas tanjung pinang 5 lantai" xfId="22927"/>
    <cellStyle name="‡_Penawaran harga rumah DPR_Revisi#3_Opt_Realisasi Kontrak Kampar 31 agustus 2009" xfId="22926"/>
    <cellStyle name="‡_Piping" xfId="22925"/>
    <cellStyle name="‡_Piping &amp; Mechanical" xfId="22924"/>
    <cellStyle name="‡_Piping &amp; Mechanical 2" xfId="22923"/>
    <cellStyle name="‡_Piping &amp; Mechanical 2 2" xfId="22922"/>
    <cellStyle name="‡_Piping &amp; Mechanical 3" xfId="22921"/>
    <cellStyle name="‡_Piping &amp; Mechanical 3 2" xfId="22920"/>
    <cellStyle name="‡_Piping &amp; Mechanical 4" xfId="22919"/>
    <cellStyle name="‡_Piping &amp; Mechanical 4 2" xfId="22918"/>
    <cellStyle name="‡_Piping &amp; Mechanical 5" xfId="22917"/>
    <cellStyle name="‡_Piping &amp; Mechanical 6" xfId="22916"/>
    <cellStyle name="‡_Piping &amp; Mechanical 7" xfId="22915"/>
    <cellStyle name="‡_Piping &amp; Mechanical 8" xfId="22914"/>
    <cellStyle name="‡_Piping &amp; Mechanical 9" xfId="22913"/>
    <cellStyle name="‡_Piping &amp; Mechanical_BQ &amp; An Pds Gdg - KIM I" xfId="22912"/>
    <cellStyle name="‡_Piping &amp; Mechanical_BQ &amp; An Pds Gdg - KIM I_GALIAN C" xfId="22911"/>
    <cellStyle name="‡_Piping &amp; Mechanical_BQ &amp; An Pds Gdg - KIM I_Pen- Kodja Revisi 02 November 2009 (Rev 11-11-09)" xfId="22910"/>
    <cellStyle name="‡_Piping &amp; Mechanical_BQ &amp; An Pds Gdg - KIM I_Pen- Kodja Revisi 27 JAN 2010" xfId="22909"/>
    <cellStyle name="‡_Piping &amp; Mechanical_BQ &amp; An Pds Gdg - KIM I_RAB Kodja Revisi 22 feb 2010" xfId="22908"/>
    <cellStyle name="‡_Piping &amp; Mechanical_BQ &amp; An Pds Gdg - KIM I_RAB Kodja Revisi 23 feb 2010, revisi analisa" xfId="22907"/>
    <cellStyle name="‡_Piping &amp; Mechanical_BQ &amp; An Pondasi SEP &amp; WAREHOUSE-KIM I (R-0)" xfId="22906"/>
    <cellStyle name="‡_Piping &amp; Mechanical_BQ &amp; An Pondasi SEP &amp; WAREHOUSE-KIM I (R-0)_GALIAN C" xfId="22905"/>
    <cellStyle name="‡_Piping &amp; Mechanical_BQ &amp; An Pondasi SEP &amp; WAREHOUSE-KIM I (R-0)_Pen- Kodja Revisi 02 November 2009 (Rev 11-11-09)" xfId="22904"/>
    <cellStyle name="‡_Piping &amp; Mechanical_BQ &amp; An Pondasi SEP &amp; WAREHOUSE-KIM I (R-0)_Pen- Kodja Revisi 27 JAN 2010" xfId="22903"/>
    <cellStyle name="‡_Piping &amp; Mechanical_BQ &amp; An Pondasi SEP &amp; WAREHOUSE-KIM I (R-0)_RAB Kodja Revisi 22 feb 2010" xfId="22902"/>
    <cellStyle name="‡_Piping &amp; Mechanical_BQ &amp; An Pondasi SEP &amp; WAREHOUSE-KIM I (R-0)_RAB Kodja Revisi 23 feb 2010, revisi analisa" xfId="22901"/>
    <cellStyle name="‡_Piping &amp; Mechanical_BQ Pabrik Biodiesel MM-Btm" xfId="22900"/>
    <cellStyle name="‡_Piping &amp; Mechanical_BQ Pabrik Biodiesel MM-Btm_GALIAN C" xfId="22899"/>
    <cellStyle name="‡_Piping &amp; Mechanical_BQ Pabrik Biodiesel MM-Btm_Pen- Kodja Revisi 02 November 2009 (Rev 11-11-09)" xfId="22898"/>
    <cellStyle name="‡_Piping &amp; Mechanical_BQ Pabrik Biodiesel MM-Btm_Pen- Kodja Revisi 27 JAN 2010" xfId="22897"/>
    <cellStyle name="‡_Piping &amp; Mechanical_BQ Pabrik Biodiesel MM-Btm_RAB Kodja Revisi 22 feb 2010" xfId="22896"/>
    <cellStyle name="‡_Piping &amp; Mechanical_BQ Pabrik Biodiesel MM-Btm_RAB Kodja Revisi 23 feb 2010, revisi analisa" xfId="22895"/>
    <cellStyle name="‡_Piping &amp; Mechanical_EXERCISE PRICE-2x10 W70-1050-PO-KENDARI" xfId="22894"/>
    <cellStyle name="‡_Piping &amp; Mechanical_EXERCISE PRICE-2x10 W70-1050-PO-KENDARI 2" xfId="22893"/>
    <cellStyle name="‡_Piping &amp; Mechanical_EXERCISE PRICE-2x10 W70-1050-PO-KENDARI 3" xfId="22892"/>
    <cellStyle name="‡_Piping &amp; Mechanical_EXERCISE PRICE-2x10 W70-1050-PO-KENDARI 4" xfId="22891"/>
    <cellStyle name="‡_Piping &amp; Mechanical_EXERCISE PRICE-2x10 W70-1050-PO-KENDARI 5" xfId="22890"/>
    <cellStyle name="‡_Piping &amp; Mechanical_EXERCISE PRICE-2x10 W70-1050-PO-KENDARI 6" xfId="22889"/>
    <cellStyle name="‡_Piping &amp; Mechanical_EXERCISE PRICE-2x10 W70-1050-PO-KENDARI 7" xfId="22888"/>
    <cellStyle name="‡_Piping &amp; Mechanical_EXERCISE PRICE-2x10 W70-1050-PO-KENDARI 8" xfId="22887"/>
    <cellStyle name="‡_Piping &amp; Mechanical_EXERCISE PRICE-2X7 WO70-1100-PO-Riau" xfId="22886"/>
    <cellStyle name="‡_Piping &amp; Mechanical_EXERCISE PRICE-2X7 WO70-1100-PO-Riau 2" xfId="22885"/>
    <cellStyle name="‡_Piping &amp; Mechanical_EXERCISE PRICE-2X7 WO70-1100-PO-Riau 3" xfId="22884"/>
    <cellStyle name="‡_Piping &amp; Mechanical_EXERCISE PRICE-2X7 WO70-1100-PO-Riau 4" xfId="22883"/>
    <cellStyle name="‡_Piping &amp; Mechanical_EXERCISE PRICE-2X7 WO70-1100-PO-Riau 5" xfId="22882"/>
    <cellStyle name="‡_Piping &amp; Mechanical_EXERCISE PRICE-2X7 WO70-1100-PO-Riau 6" xfId="22881"/>
    <cellStyle name="‡_Piping &amp; Mechanical_EXERCISE PRICE-2X7 WO70-1100-PO-Riau 7" xfId="22880"/>
    <cellStyle name="‡_Piping &amp; Mechanical_EXERCISE PRICE-2X7 WO70-1100-PO-Riau 8" xfId="22879"/>
    <cellStyle name="‡_Piping &amp; Mechanical_FORM SUMMARY OF PRICE" xfId="22878"/>
    <cellStyle name="‡_Piping &amp; Mechanical_GALIAN C" xfId="22877"/>
    <cellStyle name="‡_Piping &amp; Mechanical_Inquiry Plan-KEPULAUAN RIAU 2X7 MW-GABUNGAN" xfId="22876"/>
    <cellStyle name="‡_Piping &amp; Mechanical_Inquiry Plan-KEPULAUAN RIAU 2X7 MW-GABUNGAN 2" xfId="22875"/>
    <cellStyle name="‡_Piping &amp; Mechanical_Inquiry Plan-KEPULAUAN RIAU 2X7 MW-GABUNGAN 2 2" xfId="22874"/>
    <cellStyle name="‡_Piping &amp; Mechanical_Inquiry Plan-KEPULAUAN RIAU 2X7 MW-GABUNGAN 3" xfId="22873"/>
    <cellStyle name="‡_Piping &amp; Mechanical_Inquiry Plan-KEPULAUAN RIAU 2X7 MW-GABUNGAN 3 2" xfId="22872"/>
    <cellStyle name="‡_Piping &amp; Mechanical_Inquiry Plan-KEPULAUAN RIAU 2X7 MW-GABUNGAN 4" xfId="22871"/>
    <cellStyle name="‡_Piping &amp; Mechanical_Inquiry Plan-KEPULAUAN RIAU 2X7 MW-GABUNGAN 4 2" xfId="22870"/>
    <cellStyle name="‡_Piping &amp; Mechanical_Inquiry Plan-KEPULAUAN RIAU 2X7 MW-GABUNGAN 5" xfId="22869"/>
    <cellStyle name="‡_Piping &amp; Mechanical_Pen- Kodja Revisi 02 November 2009 (Rev 11-11-09)" xfId="22868"/>
    <cellStyle name="‡_Piping &amp; Mechanical_Pen- Kodja Revisi 27 JAN 2010" xfId="22867"/>
    <cellStyle name="‡_Piping &amp; Mechanical_RAB Kodja Revisi 22 feb 2010" xfId="22866"/>
    <cellStyle name="‡_Piping &amp; Mechanical_RAB Kodja Revisi 23 feb 2010, revisi analisa" xfId="22865"/>
    <cellStyle name="‡_Piping &amp; Mechanical_SCHEME PACKAGES &amp; BUDGET 2 X 7 MW NTT-REV01" xfId="22864"/>
    <cellStyle name="‡_Piping &amp; Mechanical_SCHEME PACKAGES &amp; BUDGET 2 X 7 MW NTT-REV01 2" xfId="22863"/>
    <cellStyle name="‡_Piping &amp; Mechanical_SCHEME PACKAGES &amp; BUDGET 2 X 7 MW NTT-REV01 2 2" xfId="22862"/>
    <cellStyle name="‡_Piping &amp; Mechanical_SCHEME PACKAGES &amp; BUDGET 2 X 7 MW NTT-REV01 3" xfId="22861"/>
    <cellStyle name="‡_Piping &amp; Mechanical_SCHEME PACKAGES &amp; BUDGET 2 X 7 MW NTT-REV01 3 2" xfId="22860"/>
    <cellStyle name="‡_Piping &amp; Mechanical_SCHEME PACKAGES &amp; BUDGET 2 X 7 MW NTT-REV01 4" xfId="22859"/>
    <cellStyle name="‡_Piping &amp; Mechanical_SCHEME PACKAGES &amp; BUDGET 2 X 7 MW NTT-REV01 4 2" xfId="22858"/>
    <cellStyle name="‡_Piping &amp; Mechanical_SCHEME PACKAGES &amp; BUDGET 2 X 7 MW NTT-REV01 5" xfId="22857"/>
    <cellStyle name="‡_Piping &amp; Mechanical_SCHEME PACKAGES &amp; BUDGET 2 X 7 MW TBK-REV01" xfId="22856"/>
    <cellStyle name="‡_Piping &amp; Mechanical_SCHEME PACKAGES &amp; BUDGET 2 X 7 MW TBK-REV01 2" xfId="22855"/>
    <cellStyle name="‡_Piping &amp; Mechanical_SCHEME PACKAGES &amp; BUDGET 2 X 7 MW TBK-REV01 2 2" xfId="22854"/>
    <cellStyle name="‡_Piping &amp; Mechanical_SCHEME PACKAGES &amp; BUDGET 2 X 7 MW TBK-REV01 3" xfId="22853"/>
    <cellStyle name="‡_Piping &amp; Mechanical_SCHEME PACKAGES &amp; BUDGET 2 X 7 MW TBK-REV01 3 2" xfId="22852"/>
    <cellStyle name="‡_Piping &amp; Mechanical_SCHEME PACKAGES &amp; BUDGET 2 X 7 MW TBK-REV01 4" xfId="22851"/>
    <cellStyle name="‡_Piping &amp; Mechanical_SCHEME PACKAGES &amp; BUDGET 2 X 7 MW TBK-REV01 4 2" xfId="22850"/>
    <cellStyle name="‡_Piping &amp; Mechanical_SCHEME PACKAGES &amp; BUDGET 2 X 7 MW TBK-REV01 5" xfId="22849"/>
    <cellStyle name="‡_Piping 10" xfId="22848"/>
    <cellStyle name="‡_Piping 11" xfId="22847"/>
    <cellStyle name="‡_Piping 12" xfId="22846"/>
    <cellStyle name="‡_Piping 2" xfId="22845"/>
    <cellStyle name="‡_Piping 2 2" xfId="22844"/>
    <cellStyle name="‡_Piping 3" xfId="22843"/>
    <cellStyle name="‡_Piping 3 2" xfId="22842"/>
    <cellStyle name="‡_Piping 4" xfId="22841"/>
    <cellStyle name="‡_Piping 4 2" xfId="22840"/>
    <cellStyle name="‡_Piping 5" xfId="22839"/>
    <cellStyle name="‡_Piping 6" xfId="22838"/>
    <cellStyle name="‡_Piping 7" xfId="22837"/>
    <cellStyle name="‡_Piping 8" xfId="22836"/>
    <cellStyle name="‡_Piping 9" xfId="22835"/>
    <cellStyle name="‡_Piping_AUTO2000" xfId="22834"/>
    <cellStyle name="‡_Piping_AUTO2000 2" xfId="22833"/>
    <cellStyle name="‡_Piping_AUTO2000 2 2" xfId="22832"/>
    <cellStyle name="‡_Piping_AUTO2000 3" xfId="22831"/>
    <cellStyle name="‡_Piping_AUTO2000 3 2" xfId="22830"/>
    <cellStyle name="‡_Piping_AUTO2000 4" xfId="22829"/>
    <cellStyle name="‡_Piping_AUTO2000 4 2" xfId="22828"/>
    <cellStyle name="‡_Piping_AUTO2000 5" xfId="22827"/>
    <cellStyle name="‡_Piping_AUTO2000 6" xfId="22826"/>
    <cellStyle name="‡_Piping_AUTO2000 7" xfId="22825"/>
    <cellStyle name="‡_Piping_AUTO2000 8" xfId="22824"/>
    <cellStyle name="‡_Piping_AUTO2000 9" xfId="22823"/>
    <cellStyle name="‡_Piping_AUTO2000_BQ &amp; An Pds Gdg - KIM I" xfId="22822"/>
    <cellStyle name="‡_Piping_AUTO2000_BQ &amp; An Pds Gdg - KIM I_GALIAN C" xfId="22821"/>
    <cellStyle name="‡_Piping_AUTO2000_BQ &amp; An Pds Gdg - KIM I_Pen- Kodja Revisi 02 November 2009 (Rev 11-11-09)" xfId="22820"/>
    <cellStyle name="‡_Piping_AUTO2000_BQ &amp; An Pds Gdg - KIM I_Pen- Kodja Revisi 27 JAN 2010" xfId="22819"/>
    <cellStyle name="‡_Piping_AUTO2000_BQ &amp; An Pds Gdg - KIM I_RAB Kodja Revisi 22 feb 2010" xfId="22818"/>
    <cellStyle name="‡_Piping_AUTO2000_BQ &amp; An Pds Gdg - KIM I_RAB Kodja Revisi 23 feb 2010, revisi analisa" xfId="22817"/>
    <cellStyle name="‡_Piping_AUTO2000_BQ &amp; An Pondasi SEP &amp; WAREHOUSE-KIM I (R-0)" xfId="22816"/>
    <cellStyle name="‡_Piping_AUTO2000_BQ &amp; An Pondasi SEP &amp; WAREHOUSE-KIM I (R-0)_GALIAN C" xfId="22815"/>
    <cellStyle name="‡_Piping_AUTO2000_BQ &amp; An Pondasi SEP &amp; WAREHOUSE-KIM I (R-0)_Pen- Kodja Revisi 02 November 2009 (Rev 11-11-09)" xfId="22814"/>
    <cellStyle name="‡_Piping_AUTO2000_BQ &amp; An Pondasi SEP &amp; WAREHOUSE-KIM I (R-0)_Pen- Kodja Revisi 27 JAN 2010" xfId="22813"/>
    <cellStyle name="‡_Piping_AUTO2000_BQ &amp; An Pondasi SEP &amp; WAREHOUSE-KIM I (R-0)_RAB Kodja Revisi 22 feb 2010" xfId="22812"/>
    <cellStyle name="‡_Piping_AUTO2000_BQ &amp; An Pondasi SEP &amp; WAREHOUSE-KIM I (R-0)_RAB Kodja Revisi 23 feb 2010, revisi analisa" xfId="22811"/>
    <cellStyle name="‡_Piping_AUTO2000_BQ Pabrik Biodiesel MM-Btm" xfId="22810"/>
    <cellStyle name="‡_Piping_AUTO2000_BQ Pabrik Biodiesel MM-Btm_GALIAN C" xfId="22809"/>
    <cellStyle name="‡_Piping_AUTO2000_BQ Pabrik Biodiesel MM-Btm_Pen- Kodja Revisi 02 November 2009 (Rev 11-11-09)" xfId="22808"/>
    <cellStyle name="‡_Piping_AUTO2000_BQ Pabrik Biodiesel MM-Btm_Pen- Kodja Revisi 27 JAN 2010" xfId="22807"/>
    <cellStyle name="‡_Piping_AUTO2000_BQ Pabrik Biodiesel MM-Btm_RAB Kodja Revisi 22 feb 2010" xfId="22806"/>
    <cellStyle name="‡_Piping_AUTO2000_BQ Pabrik Biodiesel MM-Btm_RAB Kodja Revisi 23 feb 2010, revisi analisa" xfId="22805"/>
    <cellStyle name="‡_Piping_AUTO2000_EXERCISE PRICE-2x10 W70-1050-PO-KENDARI" xfId="22804"/>
    <cellStyle name="‡_Piping_AUTO2000_EXERCISE PRICE-2x10 W70-1050-PO-KENDARI 2" xfId="22803"/>
    <cellStyle name="‡_Piping_AUTO2000_EXERCISE PRICE-2x10 W70-1050-PO-KENDARI 3" xfId="22802"/>
    <cellStyle name="‡_Piping_AUTO2000_EXERCISE PRICE-2x10 W70-1050-PO-KENDARI 4" xfId="22801"/>
    <cellStyle name="‡_Piping_AUTO2000_EXERCISE PRICE-2x10 W70-1050-PO-KENDARI 5" xfId="22800"/>
    <cellStyle name="‡_Piping_AUTO2000_EXERCISE PRICE-2x10 W70-1050-PO-KENDARI 6" xfId="22799"/>
    <cellStyle name="‡_Piping_AUTO2000_EXERCISE PRICE-2x10 W70-1050-PO-KENDARI 7" xfId="22798"/>
    <cellStyle name="‡_Piping_AUTO2000_EXERCISE PRICE-2x10 W70-1050-PO-KENDARI 8" xfId="22797"/>
    <cellStyle name="‡_Piping_AUTO2000_EXERCISE PRICE-2X7 WO70-1100-PO-Riau" xfId="22796"/>
    <cellStyle name="‡_Piping_AUTO2000_EXERCISE PRICE-2X7 WO70-1100-PO-Riau 2" xfId="22795"/>
    <cellStyle name="‡_Piping_AUTO2000_EXERCISE PRICE-2X7 WO70-1100-PO-Riau 3" xfId="22794"/>
    <cellStyle name="‡_Piping_AUTO2000_EXERCISE PRICE-2X7 WO70-1100-PO-Riau 4" xfId="22793"/>
    <cellStyle name="‡_Piping_AUTO2000_EXERCISE PRICE-2X7 WO70-1100-PO-Riau 5" xfId="22792"/>
    <cellStyle name="‡_Piping_AUTO2000_EXERCISE PRICE-2X7 WO70-1100-PO-Riau 6" xfId="22791"/>
    <cellStyle name="‡_Piping_AUTO2000_EXERCISE PRICE-2X7 WO70-1100-PO-Riau 7" xfId="22790"/>
    <cellStyle name="‡_Piping_AUTO2000_EXERCISE PRICE-2X7 WO70-1100-PO-Riau 8" xfId="22789"/>
    <cellStyle name="‡_Piping_AUTO2000_FORM SUMMARY OF PRICE" xfId="22788"/>
    <cellStyle name="‡_Piping_AUTO2000_GALIAN C" xfId="22787"/>
    <cellStyle name="‡_Piping_AUTO2000_Inquiry Plan-KEPULAUAN RIAU 2X7 MW-GABUNGAN" xfId="22786"/>
    <cellStyle name="‡_Piping_AUTO2000_Inquiry Plan-KEPULAUAN RIAU 2X7 MW-GABUNGAN 2" xfId="22785"/>
    <cellStyle name="‡_Piping_AUTO2000_Inquiry Plan-KEPULAUAN RIAU 2X7 MW-GABUNGAN 2 2" xfId="22784"/>
    <cellStyle name="‡_Piping_AUTO2000_Inquiry Plan-KEPULAUAN RIAU 2X7 MW-GABUNGAN 3" xfId="22783"/>
    <cellStyle name="‡_Piping_AUTO2000_Inquiry Plan-KEPULAUAN RIAU 2X7 MW-GABUNGAN 3 2" xfId="22782"/>
    <cellStyle name="‡_Piping_AUTO2000_Inquiry Plan-KEPULAUAN RIAU 2X7 MW-GABUNGAN 4" xfId="22781"/>
    <cellStyle name="‡_Piping_AUTO2000_Inquiry Plan-KEPULAUAN RIAU 2X7 MW-GABUNGAN 4 2" xfId="22780"/>
    <cellStyle name="‡_Piping_AUTO2000_Inquiry Plan-KEPULAUAN RIAU 2X7 MW-GABUNGAN 5" xfId="22779"/>
    <cellStyle name="‡_Piping_AUTO2000_Pen- Kodja Revisi 02 November 2009 (Rev 11-11-09)" xfId="22778"/>
    <cellStyle name="‡_Piping_AUTO2000_Pen- Kodja Revisi 27 JAN 2010" xfId="22777"/>
    <cellStyle name="‡_Piping_AUTO2000_RAB Kodja Revisi 22 feb 2010" xfId="22776"/>
    <cellStyle name="‡_Piping_AUTO2000_RAB Kodja Revisi 23 feb 2010, revisi analisa" xfId="22775"/>
    <cellStyle name="‡_Piping_AUTO2000_SCHEME PACKAGES &amp; BUDGET 2 X 7 MW NTT-REV01" xfId="22774"/>
    <cellStyle name="‡_Piping_AUTO2000_SCHEME PACKAGES &amp; BUDGET 2 X 7 MW NTT-REV01 2" xfId="22773"/>
    <cellStyle name="‡_Piping_AUTO2000_SCHEME PACKAGES &amp; BUDGET 2 X 7 MW NTT-REV01 2 2" xfId="22772"/>
    <cellStyle name="‡_Piping_AUTO2000_SCHEME PACKAGES &amp; BUDGET 2 X 7 MW NTT-REV01 3" xfId="22771"/>
    <cellStyle name="‡_Piping_AUTO2000_SCHEME PACKAGES &amp; BUDGET 2 X 7 MW NTT-REV01 3 2" xfId="22770"/>
    <cellStyle name="‡_Piping_AUTO2000_SCHEME PACKAGES &amp; BUDGET 2 X 7 MW NTT-REV01 4" xfId="22769"/>
    <cellStyle name="‡_Piping_AUTO2000_SCHEME PACKAGES &amp; BUDGET 2 X 7 MW NTT-REV01 4 2" xfId="22768"/>
    <cellStyle name="‡_Piping_AUTO2000_SCHEME PACKAGES &amp; BUDGET 2 X 7 MW NTT-REV01 5" xfId="22767"/>
    <cellStyle name="‡_Piping_AUTO2000_SCHEME PACKAGES &amp; BUDGET 2 X 7 MW TBK-REV01" xfId="22766"/>
    <cellStyle name="‡_Piping_AUTO2000_SCHEME PACKAGES &amp; BUDGET 2 X 7 MW TBK-REV01 2" xfId="22765"/>
    <cellStyle name="‡_Piping_AUTO2000_SCHEME PACKAGES &amp; BUDGET 2 X 7 MW TBK-REV01 2 2" xfId="22764"/>
    <cellStyle name="‡_Piping_AUTO2000_SCHEME PACKAGES &amp; BUDGET 2 X 7 MW TBK-REV01 3" xfId="22763"/>
    <cellStyle name="‡_Piping_AUTO2000_SCHEME PACKAGES &amp; BUDGET 2 X 7 MW TBK-REV01 3 2" xfId="22762"/>
    <cellStyle name="‡_Piping_AUTO2000_SCHEME PACKAGES &amp; BUDGET 2 X 7 MW TBK-REV01 4" xfId="22761"/>
    <cellStyle name="‡_Piping_AUTO2000_SCHEME PACKAGES &amp; BUDGET 2 X 7 MW TBK-REV01 4 2" xfId="22760"/>
    <cellStyle name="‡_Piping_AUTO2000_SCHEME PACKAGES &amp; BUDGET 2 X 7 MW TBK-REV01 5" xfId="22759"/>
    <cellStyle name="‡_Piping_BQ &amp; An Pds Gdg - KIM I" xfId="22758"/>
    <cellStyle name="‡_Piping_BQ &amp; An Pds Gdg - KIM I_GALIAN C" xfId="22757"/>
    <cellStyle name="‡_Piping_BQ &amp; An Pds Gdg - KIM I_Pen- Kodja Revisi 02 November 2009 (Rev 11-11-09)" xfId="22756"/>
    <cellStyle name="‡_Piping_BQ &amp; An Pds Gdg - KIM I_Pen- Kodja Revisi 27 JAN 2010" xfId="22755"/>
    <cellStyle name="‡_Piping_BQ &amp; An Pds Gdg - KIM I_RAB Kodja Revisi 22 feb 2010" xfId="22754"/>
    <cellStyle name="‡_Piping_BQ &amp; An Pds Gdg - KIM I_RAB Kodja Revisi 23 feb 2010, revisi analisa" xfId="22753"/>
    <cellStyle name="‡_Piping_BQ &amp; An Pondasi SEP &amp; WAREHOUSE-KIM I (R-0)" xfId="22752"/>
    <cellStyle name="‡_Piping_BQ &amp; An Pondasi SEP &amp; WAREHOUSE-KIM I (R-0)_GALIAN C" xfId="22751"/>
    <cellStyle name="‡_Piping_BQ &amp; An Pondasi SEP &amp; WAREHOUSE-KIM I (R-0)_Pen- Kodja Revisi 02 November 2009 (Rev 11-11-09)" xfId="22750"/>
    <cellStyle name="‡_Piping_BQ &amp; An Pondasi SEP &amp; WAREHOUSE-KIM I (R-0)_Pen- Kodja Revisi 27 JAN 2010" xfId="22749"/>
    <cellStyle name="‡_Piping_BQ &amp; An Pondasi SEP &amp; WAREHOUSE-KIM I (R-0)_RAB Kodja Revisi 22 feb 2010" xfId="22748"/>
    <cellStyle name="‡_Piping_BQ &amp; An Pondasi SEP &amp; WAREHOUSE-KIM I (R-0)_RAB Kodja Revisi 23 feb 2010, revisi analisa" xfId="22747"/>
    <cellStyle name="‡_Piping_BQ Pabrik Biodiesel MM-Btm" xfId="22746"/>
    <cellStyle name="‡_Piping_BQ Pabrik Biodiesel MM-Btm_GALIAN C" xfId="22745"/>
    <cellStyle name="‡_Piping_BQ Pabrik Biodiesel MM-Btm_Pen- Kodja Revisi 02 November 2009 (Rev 11-11-09)" xfId="22744"/>
    <cellStyle name="‡_Piping_BQ Pabrik Biodiesel MM-Btm_Pen- Kodja Revisi 27 JAN 2010" xfId="22743"/>
    <cellStyle name="‡_Piping_BQ Pabrik Biodiesel MM-Btm_RAB Kodja Revisi 22 feb 2010" xfId="22742"/>
    <cellStyle name="‡_Piping_BQ Pabrik Biodiesel MM-Btm_RAB Kodja Revisi 23 feb 2010, revisi analisa" xfId="22741"/>
    <cellStyle name="‡_Piping_Cost Piping AG Install" xfId="22740"/>
    <cellStyle name="‡_Piping_Cost Piping AG Install 2" xfId="22739"/>
    <cellStyle name="‡_Piping_Cost Piping AG Install 2 2" xfId="22738"/>
    <cellStyle name="‡_Piping_Cost Piping AG Install 3" xfId="22737"/>
    <cellStyle name="‡_Piping_Cost Piping AG Install 3 2" xfId="22736"/>
    <cellStyle name="‡_Piping_Cost Piping AG Install 4" xfId="22735"/>
    <cellStyle name="‡_Piping_Cost Piping AG Install 4 2" xfId="22734"/>
    <cellStyle name="‡_Piping_Cost Piping AG Install 5" xfId="22733"/>
    <cellStyle name="‡_Piping_Cost Piping AG Install 6" xfId="22732"/>
    <cellStyle name="‡_Piping_Cost Piping AG Install 7" xfId="22731"/>
    <cellStyle name="‡_Piping_Cost Piping AG Install 8" xfId="22730"/>
    <cellStyle name="‡_Piping_Cost Piping AG Install 9" xfId="22729"/>
    <cellStyle name="‡_Piping_Cost Piping AG Install_BQ &amp; An Pds Gdg - KIM I" xfId="22728"/>
    <cellStyle name="‡_Piping_Cost Piping AG Install_BQ &amp; An Pds Gdg - KIM I_GALIAN C" xfId="22727"/>
    <cellStyle name="‡_Piping_Cost Piping AG Install_BQ &amp; An Pds Gdg - KIM I_Pen- Kodja Revisi 02 November 2009 (Rev 11-11-09)" xfId="22726"/>
    <cellStyle name="‡_Piping_Cost Piping AG Install_BQ &amp; An Pds Gdg - KIM I_Pen- Kodja Revisi 27 JAN 2010" xfId="22725"/>
    <cellStyle name="‡_Piping_Cost Piping AG Install_BQ &amp; An Pds Gdg - KIM I_RAB Kodja Revisi 22 feb 2010" xfId="22724"/>
    <cellStyle name="‡_Piping_Cost Piping AG Install_BQ &amp; An Pds Gdg - KIM I_RAB Kodja Revisi 23 feb 2010, revisi analisa" xfId="22723"/>
    <cellStyle name="‡_Piping_Cost Piping AG Install_BQ &amp; An Pondasi SEP &amp; WAREHOUSE-KIM I (R-0)" xfId="22722"/>
    <cellStyle name="‡_Piping_Cost Piping AG Install_BQ &amp; An Pondasi SEP &amp; WAREHOUSE-KIM I (R-0)_GALIAN C" xfId="22721"/>
    <cellStyle name="‡_Piping_Cost Piping AG Install_BQ &amp; An Pondasi SEP &amp; WAREHOUSE-KIM I (R-0)_Pen- Kodja Revisi 02 November 2009 (Rev 11-11-09)" xfId="22720"/>
    <cellStyle name="‡_Piping_Cost Piping AG Install_BQ &amp; An Pondasi SEP &amp; WAREHOUSE-KIM I (R-0)_Pen- Kodja Revisi 27 JAN 2010" xfId="22719"/>
    <cellStyle name="‡_Piping_Cost Piping AG Install_BQ &amp; An Pondasi SEP &amp; WAREHOUSE-KIM I (R-0)_RAB Kodja Revisi 22 feb 2010" xfId="22718"/>
    <cellStyle name="‡_Piping_Cost Piping AG Install_BQ &amp; An Pondasi SEP &amp; WAREHOUSE-KIM I (R-0)_RAB Kodja Revisi 23 feb 2010, revisi analisa" xfId="22717"/>
    <cellStyle name="‡_Piping_Cost Piping AG Install_BQ Pabrik Biodiesel MM-Btm" xfId="22716"/>
    <cellStyle name="‡_Piping_Cost Piping AG Install_BQ Pabrik Biodiesel MM-Btm_GALIAN C" xfId="22715"/>
    <cellStyle name="‡_Piping_Cost Piping AG Install_BQ Pabrik Biodiesel MM-Btm_Pen- Kodja Revisi 02 November 2009 (Rev 11-11-09)" xfId="22714"/>
    <cellStyle name="‡_Piping_Cost Piping AG Install_BQ Pabrik Biodiesel MM-Btm_Pen- Kodja Revisi 27 JAN 2010" xfId="22713"/>
    <cellStyle name="‡_Piping_Cost Piping AG Install_BQ Pabrik Biodiesel MM-Btm_RAB Kodja Revisi 22 feb 2010" xfId="22712"/>
    <cellStyle name="‡_Piping_Cost Piping AG Install_BQ Pabrik Biodiesel MM-Btm_RAB Kodja Revisi 23 feb 2010, revisi analisa" xfId="22711"/>
    <cellStyle name="‡_Piping_Cost Piping AG Install_EXERCISE PRICE-2x10 W70-1050-PO-KENDARI" xfId="22710"/>
    <cellStyle name="‡_Piping_Cost Piping AG Install_EXERCISE PRICE-2x10 W70-1050-PO-KENDARI 2" xfId="22709"/>
    <cellStyle name="‡_Piping_Cost Piping AG Install_EXERCISE PRICE-2x10 W70-1050-PO-KENDARI 3" xfId="22708"/>
    <cellStyle name="‡_Piping_Cost Piping AG Install_EXERCISE PRICE-2x10 W70-1050-PO-KENDARI 4" xfId="22707"/>
    <cellStyle name="‡_Piping_Cost Piping AG Install_EXERCISE PRICE-2x10 W70-1050-PO-KENDARI 5" xfId="22706"/>
    <cellStyle name="‡_Piping_Cost Piping AG Install_EXERCISE PRICE-2x10 W70-1050-PO-KENDARI 6" xfId="22705"/>
    <cellStyle name="‡_Piping_Cost Piping AG Install_EXERCISE PRICE-2x10 W70-1050-PO-KENDARI 7" xfId="22704"/>
    <cellStyle name="‡_Piping_Cost Piping AG Install_EXERCISE PRICE-2x10 W70-1050-PO-KENDARI 8" xfId="22703"/>
    <cellStyle name="‡_Piping_Cost Piping AG Install_EXERCISE PRICE-2X7 WO70-1100-PO-Riau" xfId="22702"/>
    <cellStyle name="‡_Piping_Cost Piping AG Install_EXERCISE PRICE-2X7 WO70-1100-PO-Riau 2" xfId="22701"/>
    <cellStyle name="‡_Piping_Cost Piping AG Install_EXERCISE PRICE-2X7 WO70-1100-PO-Riau 3" xfId="22700"/>
    <cellStyle name="‡_Piping_Cost Piping AG Install_EXERCISE PRICE-2X7 WO70-1100-PO-Riau 4" xfId="22699"/>
    <cellStyle name="‡_Piping_Cost Piping AG Install_EXERCISE PRICE-2X7 WO70-1100-PO-Riau 5" xfId="22698"/>
    <cellStyle name="‡_Piping_Cost Piping AG Install_EXERCISE PRICE-2X7 WO70-1100-PO-Riau 6" xfId="22697"/>
    <cellStyle name="‡_Piping_Cost Piping AG Install_EXERCISE PRICE-2X7 WO70-1100-PO-Riau 7" xfId="22696"/>
    <cellStyle name="‡_Piping_Cost Piping AG Install_EXERCISE PRICE-2X7 WO70-1100-PO-Riau 8" xfId="22695"/>
    <cellStyle name="‡_Piping_Cost Piping AG Install_FORM SUMMARY OF PRICE" xfId="22694"/>
    <cellStyle name="‡_Piping_Cost Piping AG Install_GALIAN C" xfId="22693"/>
    <cellStyle name="‡_Piping_Cost Piping AG Install_Inquiry Plan-KEPULAUAN RIAU 2X7 MW-GABUNGAN" xfId="22692"/>
    <cellStyle name="‡_Piping_Cost Piping AG Install_Inquiry Plan-KEPULAUAN RIAU 2X7 MW-GABUNGAN 2" xfId="22691"/>
    <cellStyle name="‡_Piping_Cost Piping AG Install_Inquiry Plan-KEPULAUAN RIAU 2X7 MW-GABUNGAN 2 2" xfId="22690"/>
    <cellStyle name="‡_Piping_Cost Piping AG Install_Inquiry Plan-KEPULAUAN RIAU 2X7 MW-GABUNGAN 3" xfId="22689"/>
    <cellStyle name="‡_Piping_Cost Piping AG Install_Inquiry Plan-KEPULAUAN RIAU 2X7 MW-GABUNGAN 3 2" xfId="22688"/>
    <cellStyle name="‡_Piping_Cost Piping AG Install_Inquiry Plan-KEPULAUAN RIAU 2X7 MW-GABUNGAN 4" xfId="22687"/>
    <cellStyle name="‡_Piping_Cost Piping AG Install_Inquiry Plan-KEPULAUAN RIAU 2X7 MW-GABUNGAN 4 2" xfId="22686"/>
    <cellStyle name="‡_Piping_Cost Piping AG Install_Inquiry Plan-KEPULAUAN RIAU 2X7 MW-GABUNGAN 5" xfId="22685"/>
    <cellStyle name="‡_Piping_Cost Piping AG Install_Pen- Kodja Revisi 02 November 2009 (Rev 11-11-09)" xfId="22684"/>
    <cellStyle name="‡_Piping_Cost Piping AG Install_Pen- Kodja Revisi 27 JAN 2010" xfId="22683"/>
    <cellStyle name="‡_Piping_Cost Piping AG Install_RAB Kodja Revisi 22 feb 2010" xfId="22682"/>
    <cellStyle name="‡_Piping_Cost Piping AG Install_RAB Kodja Revisi 23 feb 2010, revisi analisa" xfId="22681"/>
    <cellStyle name="‡_Piping_Cost Piping AG Install_SCHEME PACKAGES &amp; BUDGET 2 X 7 MW NTT-REV01" xfId="22680"/>
    <cellStyle name="‡_Piping_Cost Piping AG Install_SCHEME PACKAGES &amp; BUDGET 2 X 7 MW NTT-REV01 2" xfId="22679"/>
    <cellStyle name="‡_Piping_Cost Piping AG Install_SCHEME PACKAGES &amp; BUDGET 2 X 7 MW NTT-REV01 2 2" xfId="22678"/>
    <cellStyle name="‡_Piping_Cost Piping AG Install_SCHEME PACKAGES &amp; BUDGET 2 X 7 MW NTT-REV01 3" xfId="22677"/>
    <cellStyle name="‡_Piping_Cost Piping AG Install_SCHEME PACKAGES &amp; BUDGET 2 X 7 MW NTT-REV01 3 2" xfId="22676"/>
    <cellStyle name="‡_Piping_Cost Piping AG Install_SCHEME PACKAGES &amp; BUDGET 2 X 7 MW NTT-REV01 4" xfId="22675"/>
    <cellStyle name="‡_Piping_Cost Piping AG Install_SCHEME PACKAGES &amp; BUDGET 2 X 7 MW NTT-REV01 4 2" xfId="22674"/>
    <cellStyle name="‡_Piping_Cost Piping AG Install_SCHEME PACKAGES &amp; BUDGET 2 X 7 MW NTT-REV01 5" xfId="22673"/>
    <cellStyle name="‡_Piping_Cost Piping AG Install_SCHEME PACKAGES &amp; BUDGET 2 X 7 MW TBK-REV01" xfId="22672"/>
    <cellStyle name="‡_Piping_Cost Piping AG Install_SCHEME PACKAGES &amp; BUDGET 2 X 7 MW TBK-REV01 2" xfId="22671"/>
    <cellStyle name="‡_Piping_Cost Piping AG Install_SCHEME PACKAGES &amp; BUDGET 2 X 7 MW TBK-REV01 2 2" xfId="22670"/>
    <cellStyle name="‡_Piping_Cost Piping AG Install_SCHEME PACKAGES &amp; BUDGET 2 X 7 MW TBK-REV01 3" xfId="22669"/>
    <cellStyle name="‡_Piping_Cost Piping AG Install_SCHEME PACKAGES &amp; BUDGET 2 X 7 MW TBK-REV01 3 2" xfId="22668"/>
    <cellStyle name="‡_Piping_Cost Piping AG Install_SCHEME PACKAGES &amp; BUDGET 2 X 7 MW TBK-REV01 4" xfId="22667"/>
    <cellStyle name="‡_Piping_Cost Piping AG Install_SCHEME PACKAGES &amp; BUDGET 2 X 7 MW TBK-REV01 4 2" xfId="22666"/>
    <cellStyle name="‡_Piping_Cost Piping AG Install_SCHEME PACKAGES &amp; BUDGET 2 X 7 MW TBK-REV01 5" xfId="22665"/>
    <cellStyle name="‡_Piping_Cost Piping PIM2revf" xfId="22664"/>
    <cellStyle name="‡_Piping_Cost Piping PIM2revf_BQ &amp; An Pds Gdg - KIM I" xfId="22663"/>
    <cellStyle name="‡_Piping_Cost Piping PIM2revf_BQ &amp; An Pds Gdg - KIM I_GALIAN C" xfId="22662"/>
    <cellStyle name="‡_Piping_Cost Piping PIM2revf_BQ &amp; An Pds Gdg - KIM I_Pen- Kodja Revisi 02 November 2009 (Rev 11-11-09)" xfId="22661"/>
    <cellStyle name="‡_Piping_Cost Piping PIM2revf_BQ &amp; An Pds Gdg - KIM I_Pen- Kodja Revisi 27 JAN 2010" xfId="22660"/>
    <cellStyle name="‡_Piping_Cost Piping PIM2revf_BQ &amp; An Pds Gdg - KIM I_RAB Kodja Revisi 22 feb 2010" xfId="22659"/>
    <cellStyle name="‡_Piping_Cost Piping PIM2revf_BQ &amp; An Pds Gdg - KIM I_RAB Kodja Revisi 23 feb 2010, revisi analisa" xfId="22658"/>
    <cellStyle name="‡_Piping_Cost Piping PIM2revf_BQ &amp; An Pondasi SEP &amp; WAREHOUSE-KIM I (R-0)" xfId="22657"/>
    <cellStyle name="‡_Piping_Cost Piping PIM2revf_BQ &amp; An Pondasi SEP &amp; WAREHOUSE-KIM I (R-0)_GALIAN C" xfId="22656"/>
    <cellStyle name="‡_Piping_Cost Piping PIM2revf_BQ &amp; An Pondasi SEP &amp; WAREHOUSE-KIM I (R-0)_Pen- Kodja Revisi 02 November 2009 (Rev 11-11-09)" xfId="22655"/>
    <cellStyle name="‡_Piping_Cost Piping PIM2revf_BQ &amp; An Pondasi SEP &amp; WAREHOUSE-KIM I (R-0)_Pen- Kodja Revisi 27 JAN 2010" xfId="22654"/>
    <cellStyle name="‡_Piping_Cost Piping PIM2revf_BQ &amp; An Pondasi SEP &amp; WAREHOUSE-KIM I (R-0)_RAB Kodja Revisi 22 feb 2010" xfId="22653"/>
    <cellStyle name="‡_Piping_Cost Piping PIM2revf_BQ &amp; An Pondasi SEP &amp; WAREHOUSE-KIM I (R-0)_RAB Kodja Revisi 23 feb 2010, revisi analisa" xfId="22652"/>
    <cellStyle name="‡_Piping_Cost Piping PIM2revf_BQ Pabrik Biodiesel MM-Btm" xfId="22651"/>
    <cellStyle name="‡_Piping_Cost Piping PIM2revf_BQ Pabrik Biodiesel MM-Btm_GALIAN C" xfId="22650"/>
    <cellStyle name="‡_Piping_Cost Piping PIM2revf_BQ Pabrik Biodiesel MM-Btm_Pen- Kodja Revisi 02 November 2009 (Rev 11-11-09)" xfId="22649"/>
    <cellStyle name="‡_Piping_Cost Piping PIM2revf_BQ Pabrik Biodiesel MM-Btm_Pen- Kodja Revisi 27 JAN 2010" xfId="22648"/>
    <cellStyle name="‡_Piping_Cost Piping PIM2revf_BQ Pabrik Biodiesel MM-Btm_RAB Kodja Revisi 22 feb 2010" xfId="22647"/>
    <cellStyle name="‡_Piping_Cost Piping PIM2revf_BQ Pabrik Biodiesel MM-Btm_RAB Kodja Revisi 23 feb 2010, revisi analisa" xfId="22646"/>
    <cellStyle name="‡_Piping_Cost Piping PIM2revf_GALIAN C" xfId="22645"/>
    <cellStyle name="‡_Piping_Cost Piping PIM2revf_Pen- Kodja Revisi 02 November 2009 (Rev 11-11-09)" xfId="22644"/>
    <cellStyle name="‡_Piping_Cost Piping PIM2revf_Pen- Kodja Revisi 27 JAN 2010" xfId="22643"/>
    <cellStyle name="‡_Piping_Cost Piping PIM2revf_RAB Kodja Revisi 22 feb 2010" xfId="22642"/>
    <cellStyle name="‡_Piping_Cost Piping PIM2revf_RAB Kodja Revisi 23 feb 2010, revisi analisa" xfId="22641"/>
    <cellStyle name="‡_Piping_EXERCISE PRICE-2x10 W70-1050-PO-KENDARI" xfId="22640"/>
    <cellStyle name="‡_Piping_EXERCISE PRICE-2x10 W70-1050-PO-KENDARI 2" xfId="22639"/>
    <cellStyle name="‡_Piping_EXERCISE PRICE-2x10 W70-1050-PO-KENDARI 3" xfId="22638"/>
    <cellStyle name="‡_Piping_EXERCISE PRICE-2x10 W70-1050-PO-KENDARI 4" xfId="22637"/>
    <cellStyle name="‡_Piping_EXERCISE PRICE-2x10 W70-1050-PO-KENDARI 5" xfId="22636"/>
    <cellStyle name="‡_Piping_EXERCISE PRICE-2x10 W70-1050-PO-KENDARI 6" xfId="22635"/>
    <cellStyle name="‡_Piping_EXERCISE PRICE-2x10 W70-1050-PO-KENDARI 7" xfId="22634"/>
    <cellStyle name="‡_Piping_EXERCISE PRICE-2x10 W70-1050-PO-KENDARI 8" xfId="22633"/>
    <cellStyle name="‡_Piping_EXERCISE PRICE-2X7 WO70-1100-PO-Riau" xfId="22632"/>
    <cellStyle name="‡_Piping_EXERCISE PRICE-2X7 WO70-1100-PO-Riau 2" xfId="22631"/>
    <cellStyle name="‡_Piping_EXERCISE PRICE-2X7 WO70-1100-PO-Riau 3" xfId="22630"/>
    <cellStyle name="‡_Piping_EXERCISE PRICE-2X7 WO70-1100-PO-Riau 4" xfId="22629"/>
    <cellStyle name="‡_Piping_EXERCISE PRICE-2X7 WO70-1100-PO-Riau 5" xfId="22628"/>
    <cellStyle name="‡_Piping_EXERCISE PRICE-2X7 WO70-1100-PO-Riau 6" xfId="22627"/>
    <cellStyle name="‡_Piping_EXERCISE PRICE-2X7 WO70-1100-PO-Riau 7" xfId="22626"/>
    <cellStyle name="‡_Piping_EXERCISE PRICE-2X7 WO70-1100-PO-Riau 8" xfId="22625"/>
    <cellStyle name="‡_Piping_FORM SUMMARY OF PRICE" xfId="22624"/>
    <cellStyle name="‡_Piping_GALIAN C" xfId="22623"/>
    <cellStyle name="‡_Piping_Granulation Rev1 Costdirect Pim2" xfId="22622"/>
    <cellStyle name="‡_Piping_Granulation Rev1 Costdirect Pim2_BQ &amp; An Pds Gdg - KIM I" xfId="22621"/>
    <cellStyle name="‡_Piping_Granulation Rev1 Costdirect Pim2_BQ &amp; An Pds Gdg - KIM I_GALIAN C" xfId="22620"/>
    <cellStyle name="‡_Piping_Granulation Rev1 Costdirect Pim2_BQ &amp; An Pds Gdg - KIM I_Pen- Kodja Revisi 02 November 2009 (Rev 11-11-09)" xfId="22619"/>
    <cellStyle name="‡_Piping_Granulation Rev1 Costdirect Pim2_BQ &amp; An Pds Gdg - KIM I_Pen- Kodja Revisi 27 JAN 2010" xfId="22618"/>
    <cellStyle name="‡_Piping_Granulation Rev1 Costdirect Pim2_BQ &amp; An Pds Gdg - KIM I_RAB Kodja Revisi 22 feb 2010" xfId="22617"/>
    <cellStyle name="‡_Piping_Granulation Rev1 Costdirect Pim2_BQ &amp; An Pds Gdg - KIM I_RAB Kodja Revisi 23 feb 2010, revisi analisa" xfId="22616"/>
    <cellStyle name="‡_Piping_Granulation Rev1 Costdirect Pim2_BQ &amp; An Pondasi SEP &amp; WAREHOUSE-KIM I (R-0)" xfId="22615"/>
    <cellStyle name="‡_Piping_Granulation Rev1 Costdirect Pim2_BQ &amp; An Pondasi SEP &amp; WAREHOUSE-KIM I (R-0)_GALIAN C" xfId="22614"/>
    <cellStyle name="‡_Piping_Granulation Rev1 Costdirect Pim2_BQ &amp; An Pondasi SEP &amp; WAREHOUSE-KIM I (R-0)_Pen- Kodja Revisi 02 November 2009 (Rev 11-11-09)" xfId="22613"/>
    <cellStyle name="‡_Piping_Granulation Rev1 Costdirect Pim2_BQ &amp; An Pondasi SEP &amp; WAREHOUSE-KIM I (R-0)_Pen- Kodja Revisi 27 JAN 2010" xfId="22612"/>
    <cellStyle name="‡_Piping_Granulation Rev1 Costdirect Pim2_BQ &amp; An Pondasi SEP &amp; WAREHOUSE-KIM I (R-0)_RAB Kodja Revisi 22 feb 2010" xfId="22611"/>
    <cellStyle name="‡_Piping_Granulation Rev1 Costdirect Pim2_BQ &amp; An Pondasi SEP &amp; WAREHOUSE-KIM I (R-0)_RAB Kodja Revisi 23 feb 2010, revisi analisa" xfId="22610"/>
    <cellStyle name="‡_Piping_Granulation Rev1 Costdirect Pim2_BQ Pabrik Biodiesel MM-Btm" xfId="22609"/>
    <cellStyle name="‡_Piping_Granulation Rev1 Costdirect Pim2_BQ Pabrik Biodiesel MM-Btm_GALIAN C" xfId="22608"/>
    <cellStyle name="‡_Piping_Granulation Rev1 Costdirect Pim2_BQ Pabrik Biodiesel MM-Btm_Pen- Kodja Revisi 02 November 2009 (Rev 11-11-09)" xfId="22607"/>
    <cellStyle name="‡_Piping_Granulation Rev1 Costdirect Pim2_BQ Pabrik Biodiesel MM-Btm_Pen- Kodja Revisi 27 JAN 2010" xfId="22606"/>
    <cellStyle name="‡_Piping_Granulation Rev1 Costdirect Pim2_BQ Pabrik Biodiesel MM-Btm_RAB Kodja Revisi 22 feb 2010" xfId="22605"/>
    <cellStyle name="‡_Piping_Granulation Rev1 Costdirect Pim2_BQ Pabrik Biodiesel MM-Btm_RAB Kodja Revisi 23 feb 2010, revisi analisa" xfId="22604"/>
    <cellStyle name="‡_Piping_Granulation Rev1 Costdirect Pim2_GALIAN C" xfId="22603"/>
    <cellStyle name="‡_Piping_Granulation Rev1 Costdirect Pim2_Pen- Kodja Revisi 02 November 2009 (Rev 11-11-09)" xfId="22602"/>
    <cellStyle name="‡_Piping_Granulation Rev1 Costdirect Pim2_Pen- Kodja Revisi 27 JAN 2010" xfId="22601"/>
    <cellStyle name="‡_Piping_Granulation Rev1 Costdirect Pim2_RAB Kodja Revisi 22 feb 2010" xfId="22600"/>
    <cellStyle name="‡_Piping_Granulation Rev1 Costdirect Pim2_RAB Kodja Revisi 23 feb 2010, revisi analisa" xfId="22599"/>
    <cellStyle name="‡_Piping_Inquiry Plan-KEPULAUAN RIAU 2X7 MW-GABUNGAN" xfId="22598"/>
    <cellStyle name="‡_Piping_Inquiry Plan-KEPULAUAN RIAU 2X7 MW-GABUNGAN 2" xfId="22597"/>
    <cellStyle name="‡_Piping_Inquiry Plan-KEPULAUAN RIAU 2X7 MW-GABUNGAN 2 2" xfId="22596"/>
    <cellStyle name="‡_Piping_Inquiry Plan-KEPULAUAN RIAU 2X7 MW-GABUNGAN 3" xfId="22595"/>
    <cellStyle name="‡_Piping_Inquiry Plan-KEPULAUAN RIAU 2X7 MW-GABUNGAN 3 2" xfId="22594"/>
    <cellStyle name="‡_Piping_Inquiry Plan-KEPULAUAN RIAU 2X7 MW-GABUNGAN 4" xfId="22593"/>
    <cellStyle name="‡_Piping_Inquiry Plan-KEPULAUAN RIAU 2X7 MW-GABUNGAN 4 2" xfId="22592"/>
    <cellStyle name="‡_Piping_Inquiry Plan-KEPULAUAN RIAU 2X7 MW-GABUNGAN 5" xfId="22591"/>
    <cellStyle name="‡_Piping_Pen- Kodja Revisi 02 November 2009 (Rev 11-11-09)" xfId="22590"/>
    <cellStyle name="‡_Piping_Pen- Kodja Revisi 27 JAN 2010" xfId="22589"/>
    <cellStyle name="‡_Piping_price toolrev1" xfId="22588"/>
    <cellStyle name="‡_Piping_price toolrev1_BQ &amp; An Pds Gdg - KIM I" xfId="22587"/>
    <cellStyle name="‡_Piping_price toolrev1_BQ &amp; An Pds Gdg - KIM I_GALIAN C" xfId="22586"/>
    <cellStyle name="‡_Piping_price toolrev1_BQ &amp; An Pds Gdg - KIM I_Pen- Kodja Revisi 02 November 2009 (Rev 11-11-09)" xfId="22585"/>
    <cellStyle name="‡_Piping_price toolrev1_BQ &amp; An Pds Gdg - KIM I_Pen- Kodja Revisi 27 JAN 2010" xfId="22584"/>
    <cellStyle name="‡_Piping_price toolrev1_BQ &amp; An Pds Gdg - KIM I_RAB Kodja Revisi 22 feb 2010" xfId="22583"/>
    <cellStyle name="‡_Piping_price toolrev1_BQ &amp; An Pds Gdg - KIM I_RAB Kodja Revisi 23 feb 2010, revisi analisa" xfId="22582"/>
    <cellStyle name="‡_Piping_price toolrev1_BQ &amp; An Pondasi SEP &amp; WAREHOUSE-KIM I (R-0)" xfId="22581"/>
    <cellStyle name="‡_Piping_price toolrev1_BQ &amp; An Pondasi SEP &amp; WAREHOUSE-KIM I (R-0)_GALIAN C" xfId="22580"/>
    <cellStyle name="‡_Piping_price toolrev1_BQ &amp; An Pondasi SEP &amp; WAREHOUSE-KIM I (R-0)_Pen- Kodja Revisi 02 November 2009 (Rev 11-11-09)" xfId="22579"/>
    <cellStyle name="‡_Piping_price toolrev1_BQ &amp; An Pondasi SEP &amp; WAREHOUSE-KIM I (R-0)_Pen- Kodja Revisi 27 JAN 2010" xfId="22578"/>
    <cellStyle name="‡_Piping_price toolrev1_BQ &amp; An Pondasi SEP &amp; WAREHOUSE-KIM I (R-0)_RAB Kodja Revisi 22 feb 2010" xfId="22577"/>
    <cellStyle name="‡_Piping_price toolrev1_BQ &amp; An Pondasi SEP &amp; WAREHOUSE-KIM I (R-0)_RAB Kodja Revisi 23 feb 2010, revisi analisa" xfId="22576"/>
    <cellStyle name="‡_Piping_price toolrev1_BQ Pabrik Biodiesel MM-Btm" xfId="22575"/>
    <cellStyle name="‡_Piping_price toolrev1_BQ Pabrik Biodiesel MM-Btm_GALIAN C" xfId="22574"/>
    <cellStyle name="‡_Piping_price toolrev1_BQ Pabrik Biodiesel MM-Btm_Pen- Kodja Revisi 02 November 2009 (Rev 11-11-09)" xfId="22573"/>
    <cellStyle name="‡_Piping_price toolrev1_BQ Pabrik Biodiesel MM-Btm_Pen- Kodja Revisi 27 JAN 2010" xfId="22572"/>
    <cellStyle name="‡_Piping_price toolrev1_BQ Pabrik Biodiesel MM-Btm_RAB Kodja Revisi 22 feb 2010" xfId="22571"/>
    <cellStyle name="‡_Piping_price toolrev1_BQ Pabrik Biodiesel MM-Btm_RAB Kodja Revisi 23 feb 2010, revisi analisa" xfId="22570"/>
    <cellStyle name="‡_Piping_price toolrev1_GALIAN C" xfId="22569"/>
    <cellStyle name="‡_Piping_price toolrev1_Pen- Kodja Revisi 02 November 2009 (Rev 11-11-09)" xfId="22568"/>
    <cellStyle name="‡_Piping_price toolrev1_Pen- Kodja Revisi 27 JAN 2010" xfId="22567"/>
    <cellStyle name="‡_Piping_price toolrev1_RAB Kodja Revisi 22 feb 2010" xfId="22566"/>
    <cellStyle name="‡_Piping_price toolrev1_RAB Kodja Revisi 23 feb 2010, revisi analisa" xfId="22565"/>
    <cellStyle name="‡_Piping_RAB Kodja Revisi 22 feb 2010" xfId="22564"/>
    <cellStyle name="‡_Piping_RAB Kodja Revisi 23 feb 2010, revisi analisa" xfId="22563"/>
    <cellStyle name="‡_Piping_SCHEME PACKAGES &amp; BUDGET 2 X 7 MW NTT-REV01" xfId="22562"/>
    <cellStyle name="‡_Piping_SCHEME PACKAGES &amp; BUDGET 2 X 7 MW NTT-REV01 2" xfId="22561"/>
    <cellStyle name="‡_Piping_SCHEME PACKAGES &amp; BUDGET 2 X 7 MW NTT-REV01 2 2" xfId="22560"/>
    <cellStyle name="‡_Piping_SCHEME PACKAGES &amp; BUDGET 2 X 7 MW NTT-REV01 3" xfId="22559"/>
    <cellStyle name="‡_Piping_SCHEME PACKAGES &amp; BUDGET 2 X 7 MW NTT-REV01 3 2" xfId="22558"/>
    <cellStyle name="‡_Piping_SCHEME PACKAGES &amp; BUDGET 2 X 7 MW NTT-REV01 4" xfId="22557"/>
    <cellStyle name="‡_Piping_SCHEME PACKAGES &amp; BUDGET 2 X 7 MW NTT-REV01 4 2" xfId="22556"/>
    <cellStyle name="‡_Piping_SCHEME PACKAGES &amp; BUDGET 2 X 7 MW NTT-REV01 5" xfId="22555"/>
    <cellStyle name="‡_Piping_SCHEME PACKAGES &amp; BUDGET 2 X 7 MW TBK-REV01" xfId="22554"/>
    <cellStyle name="‡_Piping_SCHEME PACKAGES &amp; BUDGET 2 X 7 MW TBK-REV01 2" xfId="22553"/>
    <cellStyle name="‡_Piping_SCHEME PACKAGES &amp; BUDGET 2 X 7 MW TBK-REV01 2 2" xfId="22552"/>
    <cellStyle name="‡_Piping_SCHEME PACKAGES &amp; BUDGET 2 X 7 MW TBK-REV01 3" xfId="22551"/>
    <cellStyle name="‡_Piping_SCHEME PACKAGES &amp; BUDGET 2 X 7 MW TBK-REV01 3 2" xfId="22550"/>
    <cellStyle name="‡_Piping_SCHEME PACKAGES &amp; BUDGET 2 X 7 MW TBK-REV01 4" xfId="22549"/>
    <cellStyle name="‡_Piping_SCHEME PACKAGES &amp; BUDGET 2 X 7 MW TBK-REV01 4 2" xfId="22548"/>
    <cellStyle name="‡_Piping_SCHEME PACKAGES &amp; BUDGET 2 X 7 MW TBK-REV01 5" xfId="22547"/>
    <cellStyle name="‡_Piping_std" xfId="22546"/>
    <cellStyle name="‡_Piping_std 2" xfId="22545"/>
    <cellStyle name="‡_Piping_std 2 2" xfId="22544"/>
    <cellStyle name="‡_Piping_std 3" xfId="22543"/>
    <cellStyle name="‡_Piping_std 3 2" xfId="22542"/>
    <cellStyle name="‡_Piping_std 4" xfId="22541"/>
    <cellStyle name="‡_Piping_std 4 2" xfId="22540"/>
    <cellStyle name="‡_Piping_std 5" xfId="22539"/>
    <cellStyle name="‡_Piping_std 6" xfId="22538"/>
    <cellStyle name="‡_Piping_std 7" xfId="22537"/>
    <cellStyle name="‡_Piping_std 8" xfId="22536"/>
    <cellStyle name="‡_Piping_std 9" xfId="22535"/>
    <cellStyle name="‡_Piping_std_BQ &amp; An Pds Gdg - KIM I" xfId="22534"/>
    <cellStyle name="‡_Piping_std_BQ &amp; An Pds Gdg - KIM I_GALIAN C" xfId="22533"/>
    <cellStyle name="‡_Piping_std_BQ &amp; An Pds Gdg - KIM I_Pen- Kodja Revisi 02 November 2009 (Rev 11-11-09)" xfId="22532"/>
    <cellStyle name="‡_Piping_std_BQ &amp; An Pds Gdg - KIM I_Pen- Kodja Revisi 27 JAN 2010" xfId="22531"/>
    <cellStyle name="‡_Piping_std_BQ &amp; An Pds Gdg - KIM I_RAB Kodja Revisi 22 feb 2010" xfId="22530"/>
    <cellStyle name="‡_Piping_std_BQ &amp; An Pds Gdg - KIM I_RAB Kodja Revisi 23 feb 2010, revisi analisa" xfId="22529"/>
    <cellStyle name="‡_Piping_std_BQ &amp; An Pondasi SEP &amp; WAREHOUSE-KIM I (R-0)" xfId="22528"/>
    <cellStyle name="‡_Piping_std_BQ &amp; An Pondasi SEP &amp; WAREHOUSE-KIM I (R-0)_GALIAN C" xfId="22527"/>
    <cellStyle name="‡_Piping_std_BQ &amp; An Pondasi SEP &amp; WAREHOUSE-KIM I (R-0)_Pen- Kodja Revisi 02 November 2009 (Rev 11-11-09)" xfId="22526"/>
    <cellStyle name="‡_Piping_std_BQ &amp; An Pondasi SEP &amp; WAREHOUSE-KIM I (R-0)_Pen- Kodja Revisi 27 JAN 2010" xfId="22525"/>
    <cellStyle name="‡_Piping_std_BQ &amp; An Pondasi SEP &amp; WAREHOUSE-KIM I (R-0)_RAB Kodja Revisi 22 feb 2010" xfId="22524"/>
    <cellStyle name="‡_Piping_std_BQ &amp; An Pondasi SEP &amp; WAREHOUSE-KIM I (R-0)_RAB Kodja Revisi 23 feb 2010, revisi analisa" xfId="22523"/>
    <cellStyle name="‡_Piping_std_BQ Pabrik Biodiesel MM-Btm" xfId="22522"/>
    <cellStyle name="‡_Piping_std_BQ Pabrik Biodiesel MM-Btm_GALIAN C" xfId="22521"/>
    <cellStyle name="‡_Piping_std_BQ Pabrik Biodiesel MM-Btm_Pen- Kodja Revisi 02 November 2009 (Rev 11-11-09)" xfId="22520"/>
    <cellStyle name="‡_Piping_std_BQ Pabrik Biodiesel MM-Btm_Pen- Kodja Revisi 27 JAN 2010" xfId="22519"/>
    <cellStyle name="‡_Piping_std_BQ Pabrik Biodiesel MM-Btm_RAB Kodja Revisi 22 feb 2010" xfId="22518"/>
    <cellStyle name="‡_Piping_std_BQ Pabrik Biodiesel MM-Btm_RAB Kodja Revisi 23 feb 2010, revisi analisa" xfId="22517"/>
    <cellStyle name="‡_Piping_std_EXERCISE PRICE-2x10 W70-1050-PO-KENDARI" xfId="22516"/>
    <cellStyle name="‡_Piping_std_EXERCISE PRICE-2x10 W70-1050-PO-KENDARI 2" xfId="22515"/>
    <cellStyle name="‡_Piping_std_EXERCISE PRICE-2x10 W70-1050-PO-KENDARI 3" xfId="22514"/>
    <cellStyle name="‡_Piping_std_EXERCISE PRICE-2x10 W70-1050-PO-KENDARI 4" xfId="22513"/>
    <cellStyle name="‡_Piping_std_EXERCISE PRICE-2x10 W70-1050-PO-KENDARI 5" xfId="22512"/>
    <cellStyle name="‡_Piping_std_EXERCISE PRICE-2x10 W70-1050-PO-KENDARI 6" xfId="22511"/>
    <cellStyle name="‡_Piping_std_EXERCISE PRICE-2x10 W70-1050-PO-KENDARI 7" xfId="22510"/>
    <cellStyle name="‡_Piping_std_EXERCISE PRICE-2x10 W70-1050-PO-KENDARI 8" xfId="22509"/>
    <cellStyle name="‡_Piping_std_EXERCISE PRICE-2X7 WO70-1100-PO-Riau" xfId="22508"/>
    <cellStyle name="‡_Piping_std_EXERCISE PRICE-2X7 WO70-1100-PO-Riau 2" xfId="22507"/>
    <cellStyle name="‡_Piping_std_EXERCISE PRICE-2X7 WO70-1100-PO-Riau 3" xfId="22506"/>
    <cellStyle name="‡_Piping_std_EXERCISE PRICE-2X7 WO70-1100-PO-Riau 4" xfId="22505"/>
    <cellStyle name="‡_Piping_std_EXERCISE PRICE-2X7 WO70-1100-PO-Riau 5" xfId="22504"/>
    <cellStyle name="‡_Piping_std_EXERCISE PRICE-2X7 WO70-1100-PO-Riau 6" xfId="22503"/>
    <cellStyle name="‡_Piping_std_EXERCISE PRICE-2X7 WO70-1100-PO-Riau 7" xfId="22502"/>
    <cellStyle name="‡_Piping_std_EXERCISE PRICE-2X7 WO70-1100-PO-Riau 8" xfId="22501"/>
    <cellStyle name="‡_Piping_std_FORM SUMMARY OF PRICE" xfId="22500"/>
    <cellStyle name="‡_Piping_std_GALIAN C" xfId="22499"/>
    <cellStyle name="‡_Piping_std_Inquiry Plan-KEPULAUAN RIAU 2X7 MW-GABUNGAN" xfId="22498"/>
    <cellStyle name="‡_Piping_std_Inquiry Plan-KEPULAUAN RIAU 2X7 MW-GABUNGAN 2" xfId="22497"/>
    <cellStyle name="‡_Piping_std_Inquiry Plan-KEPULAUAN RIAU 2X7 MW-GABUNGAN 2 2" xfId="22496"/>
    <cellStyle name="‡_Piping_std_Inquiry Plan-KEPULAUAN RIAU 2X7 MW-GABUNGAN 3" xfId="22495"/>
    <cellStyle name="‡_Piping_std_Inquiry Plan-KEPULAUAN RIAU 2X7 MW-GABUNGAN 3 2" xfId="22494"/>
    <cellStyle name="‡_Piping_std_Inquiry Plan-KEPULAUAN RIAU 2X7 MW-GABUNGAN 4" xfId="22493"/>
    <cellStyle name="‡_Piping_std_Inquiry Plan-KEPULAUAN RIAU 2X7 MW-GABUNGAN 4 2" xfId="22492"/>
    <cellStyle name="‡_Piping_std_Inquiry Plan-KEPULAUAN RIAU 2X7 MW-GABUNGAN 5" xfId="22491"/>
    <cellStyle name="‡_Piping_std_Pen- Kodja Revisi 02 November 2009 (Rev 11-11-09)" xfId="22490"/>
    <cellStyle name="‡_Piping_std_Pen- Kodja Revisi 27 JAN 2010" xfId="22489"/>
    <cellStyle name="‡_Piping_std_RAB Kodja Revisi 22 feb 2010" xfId="22488"/>
    <cellStyle name="‡_Piping_std_RAB Kodja Revisi 23 feb 2010, revisi analisa" xfId="22487"/>
    <cellStyle name="‡_Piping_std_SCHEME PACKAGES &amp; BUDGET 2 X 7 MW NTT-REV01" xfId="22486"/>
    <cellStyle name="‡_Piping_std_SCHEME PACKAGES &amp; BUDGET 2 X 7 MW NTT-REV01 2" xfId="22485"/>
    <cellStyle name="‡_Piping_std_SCHEME PACKAGES &amp; BUDGET 2 X 7 MW NTT-REV01 2 2" xfId="22484"/>
    <cellStyle name="‡_Piping_std_SCHEME PACKAGES &amp; BUDGET 2 X 7 MW NTT-REV01 3" xfId="22483"/>
    <cellStyle name="‡_Piping_std_SCHEME PACKAGES &amp; BUDGET 2 X 7 MW NTT-REV01 3 2" xfId="22482"/>
    <cellStyle name="‡_Piping_std_SCHEME PACKAGES &amp; BUDGET 2 X 7 MW NTT-REV01 4" xfId="22481"/>
    <cellStyle name="‡_Piping_std_SCHEME PACKAGES &amp; BUDGET 2 X 7 MW NTT-REV01 4 2" xfId="22480"/>
    <cellStyle name="‡_Piping_std_SCHEME PACKAGES &amp; BUDGET 2 X 7 MW NTT-REV01 5" xfId="22479"/>
    <cellStyle name="‡_Piping_std_SCHEME PACKAGES &amp; BUDGET 2 X 7 MW TBK-REV01" xfId="22478"/>
    <cellStyle name="‡_Piping_std_SCHEME PACKAGES &amp; BUDGET 2 X 7 MW TBK-REV01 2" xfId="22477"/>
    <cellStyle name="‡_Piping_std_SCHEME PACKAGES &amp; BUDGET 2 X 7 MW TBK-REV01 2 2" xfId="22476"/>
    <cellStyle name="‡_Piping_std_SCHEME PACKAGES &amp; BUDGET 2 X 7 MW TBK-REV01 3" xfId="22475"/>
    <cellStyle name="‡_Piping_std_SCHEME PACKAGES &amp; BUDGET 2 X 7 MW TBK-REV01 3 2" xfId="22474"/>
    <cellStyle name="‡_Piping_std_SCHEME PACKAGES &amp; BUDGET 2 X 7 MW TBK-REV01 4" xfId="22473"/>
    <cellStyle name="‡_Piping_std_SCHEME PACKAGES &amp; BUDGET 2 X 7 MW TBK-REV01 4 2" xfId="22472"/>
    <cellStyle name="‡_Piping_std_SCHEME PACKAGES &amp; BUDGET 2 X 7 MW TBK-REV01 5" xfId="22471"/>
    <cellStyle name="‡_Piping_Tie-in-Budget-1" xfId="22470"/>
    <cellStyle name="‡_Piping_Tie-in-Budget-1_BQ &amp; An Pds Gdg - KIM I" xfId="22469"/>
    <cellStyle name="‡_Piping_Tie-in-Budget-1_BQ &amp; An Pds Gdg - KIM I_GALIAN C" xfId="22468"/>
    <cellStyle name="‡_Piping_Tie-in-Budget-1_BQ &amp; An Pds Gdg - KIM I_Pen- Kodja Revisi 02 November 2009 (Rev 11-11-09)" xfId="22467"/>
    <cellStyle name="‡_Piping_Tie-in-Budget-1_BQ &amp; An Pds Gdg - KIM I_Pen- Kodja Revisi 27 JAN 2010" xfId="22466"/>
    <cellStyle name="‡_Piping_Tie-in-Budget-1_BQ &amp; An Pds Gdg - KIM I_RAB Kodja Revisi 22 feb 2010" xfId="22465"/>
    <cellStyle name="‡_Piping_Tie-in-Budget-1_BQ &amp; An Pds Gdg - KIM I_RAB Kodja Revisi 23 feb 2010, revisi analisa" xfId="22464"/>
    <cellStyle name="‡_Piping_Tie-in-Budget-1_BQ &amp; An Pondasi SEP &amp; WAREHOUSE-KIM I (R-0)" xfId="22463"/>
    <cellStyle name="‡_Piping_Tie-in-Budget-1_BQ &amp; An Pondasi SEP &amp; WAREHOUSE-KIM I (R-0)_GALIAN C" xfId="22462"/>
    <cellStyle name="‡_Piping_Tie-in-Budget-1_BQ &amp; An Pondasi SEP &amp; WAREHOUSE-KIM I (R-0)_Pen- Kodja Revisi 02 November 2009 (Rev 11-11-09)" xfId="22461"/>
    <cellStyle name="‡_Piping_Tie-in-Budget-1_BQ &amp; An Pondasi SEP &amp; WAREHOUSE-KIM I (R-0)_Pen- Kodja Revisi 27 JAN 2010" xfId="22460"/>
    <cellStyle name="‡_Piping_Tie-in-Budget-1_BQ &amp; An Pondasi SEP &amp; WAREHOUSE-KIM I (R-0)_RAB Kodja Revisi 22 feb 2010" xfId="22459"/>
    <cellStyle name="‡_Piping_Tie-in-Budget-1_BQ &amp; An Pondasi SEP &amp; WAREHOUSE-KIM I (R-0)_RAB Kodja Revisi 23 feb 2010, revisi analisa" xfId="22458"/>
    <cellStyle name="‡_Piping_Tie-in-Budget-1_BQ Pabrik Biodiesel MM-Btm" xfId="22457"/>
    <cellStyle name="‡_Piping_Tie-in-Budget-1_BQ Pabrik Biodiesel MM-Btm_GALIAN C" xfId="22456"/>
    <cellStyle name="‡_Piping_Tie-in-Budget-1_BQ Pabrik Biodiesel MM-Btm_Pen- Kodja Revisi 02 November 2009 (Rev 11-11-09)" xfId="22455"/>
    <cellStyle name="‡_Piping_Tie-in-Budget-1_BQ Pabrik Biodiesel MM-Btm_Pen- Kodja Revisi 27 JAN 2010" xfId="22454"/>
    <cellStyle name="‡_Piping_Tie-in-Budget-1_BQ Pabrik Biodiesel MM-Btm_RAB Kodja Revisi 22 feb 2010" xfId="22453"/>
    <cellStyle name="‡_Piping_Tie-in-Budget-1_BQ Pabrik Biodiesel MM-Btm_RAB Kodja Revisi 23 feb 2010, revisi analisa" xfId="22452"/>
    <cellStyle name="‡_Piping_Tie-in-Budget-1_GALIAN C" xfId="22451"/>
    <cellStyle name="‡_Piping_Tie-in-Budget-1_Pen- Kodja Revisi 02 November 2009 (Rev 11-11-09)" xfId="22450"/>
    <cellStyle name="‡_Piping_Tie-in-Budget-1_Pen- Kodja Revisi 27 JAN 2010" xfId="22449"/>
    <cellStyle name="‡_Piping_Tie-in-Budget-1_RAB Kodja Revisi 22 feb 2010" xfId="22448"/>
    <cellStyle name="‡_Piping_Tie-in-Budget-1_RAB Kodja Revisi 23 feb 2010, revisi analisa" xfId="22447"/>
    <cellStyle name="‡_Piping-CostCO2" xfId="22446"/>
    <cellStyle name="‡_Piping-CostCO2 2" xfId="22445"/>
    <cellStyle name="‡_Piping-CostCO2 2 2" xfId="22444"/>
    <cellStyle name="‡_Piping-CostCO2 3" xfId="22443"/>
    <cellStyle name="‡_Piping-CostCO2 3 2" xfId="22442"/>
    <cellStyle name="‡_Piping-CostCO2 4" xfId="22441"/>
    <cellStyle name="‡_Piping-CostCO2 4 2" xfId="22440"/>
    <cellStyle name="‡_Piping-CostCO2 5" xfId="22439"/>
    <cellStyle name="‡_Piping-CostCO2 6" xfId="22438"/>
    <cellStyle name="‡_Piping-CostCO2 7" xfId="22437"/>
    <cellStyle name="‡_Piping-CostCO2 8" xfId="22436"/>
    <cellStyle name="‡_Piping-CostCO2 9" xfId="22435"/>
    <cellStyle name="‡_Piping-CostCO2_AUTO2000" xfId="22434"/>
    <cellStyle name="‡_Piping-CostCO2_AUTO2000 2" xfId="22433"/>
    <cellStyle name="‡_Piping-CostCO2_AUTO2000 2 2" xfId="22432"/>
    <cellStyle name="‡_Piping-CostCO2_AUTO2000 3" xfId="22431"/>
    <cellStyle name="‡_Piping-CostCO2_AUTO2000 3 2" xfId="22430"/>
    <cellStyle name="‡_Piping-CostCO2_AUTO2000 4" xfId="22429"/>
    <cellStyle name="‡_Piping-CostCO2_AUTO2000 4 2" xfId="22428"/>
    <cellStyle name="‡_Piping-CostCO2_AUTO2000 5" xfId="22427"/>
    <cellStyle name="‡_Piping-CostCO2_AUTO2000 6" xfId="22426"/>
    <cellStyle name="‡_Piping-CostCO2_AUTO2000 7" xfId="22425"/>
    <cellStyle name="‡_Piping-CostCO2_AUTO2000 8" xfId="22424"/>
    <cellStyle name="‡_Piping-CostCO2_AUTO2000 9" xfId="22423"/>
    <cellStyle name="‡_Piping-CostCO2_AUTO2000_BQ &amp; An Pds Gdg - KIM I" xfId="22422"/>
    <cellStyle name="‡_Piping-CostCO2_AUTO2000_BQ &amp; An Pds Gdg - KIM I_GALIAN C" xfId="22421"/>
    <cellStyle name="‡_Piping-CostCO2_AUTO2000_BQ &amp; An Pds Gdg - KIM I_Pen- Kodja Revisi 02 November 2009 (Rev 11-11-09)" xfId="22420"/>
    <cellStyle name="‡_Piping-CostCO2_AUTO2000_BQ &amp; An Pds Gdg - KIM I_Pen- Kodja Revisi 27 JAN 2010" xfId="22419"/>
    <cellStyle name="‡_Piping-CostCO2_AUTO2000_BQ &amp; An Pds Gdg - KIM I_RAB Kodja Revisi 22 feb 2010" xfId="22418"/>
    <cellStyle name="‡_Piping-CostCO2_AUTO2000_BQ &amp; An Pds Gdg - KIM I_RAB Kodja Revisi 23 feb 2010, revisi analisa" xfId="22417"/>
    <cellStyle name="‡_Piping-CostCO2_AUTO2000_BQ &amp; An Pondasi SEP &amp; WAREHOUSE-KIM I (R-0)" xfId="22416"/>
    <cellStyle name="‡_Piping-CostCO2_AUTO2000_BQ &amp; An Pondasi SEP &amp; WAREHOUSE-KIM I (R-0)_GALIAN C" xfId="22415"/>
    <cellStyle name="‡_Piping-CostCO2_AUTO2000_BQ &amp; An Pondasi SEP &amp; WAREHOUSE-KIM I (R-0)_Pen- Kodja Revisi 02 November 2009 (Rev 11-11-09)" xfId="22414"/>
    <cellStyle name="‡_Piping-CostCO2_AUTO2000_BQ &amp; An Pondasi SEP &amp; WAREHOUSE-KIM I (R-0)_Pen- Kodja Revisi 27 JAN 2010" xfId="22413"/>
    <cellStyle name="‡_Piping-CostCO2_AUTO2000_BQ &amp; An Pondasi SEP &amp; WAREHOUSE-KIM I (R-0)_RAB Kodja Revisi 22 feb 2010" xfId="22412"/>
    <cellStyle name="‡_Piping-CostCO2_AUTO2000_BQ &amp; An Pondasi SEP &amp; WAREHOUSE-KIM I (R-0)_RAB Kodja Revisi 23 feb 2010, revisi analisa" xfId="22411"/>
    <cellStyle name="‡_Piping-CostCO2_AUTO2000_BQ Pabrik Biodiesel MM-Btm" xfId="22410"/>
    <cellStyle name="‡_Piping-CostCO2_AUTO2000_BQ Pabrik Biodiesel MM-Btm_GALIAN C" xfId="22409"/>
    <cellStyle name="‡_Piping-CostCO2_AUTO2000_BQ Pabrik Biodiesel MM-Btm_Pen- Kodja Revisi 02 November 2009 (Rev 11-11-09)" xfId="22408"/>
    <cellStyle name="‡_Piping-CostCO2_AUTO2000_BQ Pabrik Biodiesel MM-Btm_Pen- Kodja Revisi 27 JAN 2010" xfId="22407"/>
    <cellStyle name="‡_Piping-CostCO2_AUTO2000_BQ Pabrik Biodiesel MM-Btm_RAB Kodja Revisi 22 feb 2010" xfId="22406"/>
    <cellStyle name="‡_Piping-CostCO2_AUTO2000_BQ Pabrik Biodiesel MM-Btm_RAB Kodja Revisi 23 feb 2010, revisi analisa" xfId="22405"/>
    <cellStyle name="‡_Piping-CostCO2_AUTO2000_EXERCISE PRICE-2x10 W70-1050-PO-KENDARI" xfId="22404"/>
    <cellStyle name="‡_Piping-CostCO2_AUTO2000_EXERCISE PRICE-2x10 W70-1050-PO-KENDARI 2" xfId="22403"/>
    <cellStyle name="‡_Piping-CostCO2_AUTO2000_EXERCISE PRICE-2x10 W70-1050-PO-KENDARI 3" xfId="22402"/>
    <cellStyle name="‡_Piping-CostCO2_AUTO2000_EXERCISE PRICE-2x10 W70-1050-PO-KENDARI 4" xfId="22401"/>
    <cellStyle name="‡_Piping-CostCO2_AUTO2000_EXERCISE PRICE-2x10 W70-1050-PO-KENDARI 5" xfId="22400"/>
    <cellStyle name="‡_Piping-CostCO2_AUTO2000_EXERCISE PRICE-2x10 W70-1050-PO-KENDARI 6" xfId="22399"/>
    <cellStyle name="‡_Piping-CostCO2_AUTO2000_EXERCISE PRICE-2x10 W70-1050-PO-KENDARI 7" xfId="22398"/>
    <cellStyle name="‡_Piping-CostCO2_AUTO2000_EXERCISE PRICE-2x10 W70-1050-PO-KENDARI 8" xfId="22397"/>
    <cellStyle name="‡_Piping-CostCO2_AUTO2000_EXERCISE PRICE-2X7 WO70-1100-PO-Riau" xfId="22396"/>
    <cellStyle name="‡_Piping-CostCO2_AUTO2000_EXERCISE PRICE-2X7 WO70-1100-PO-Riau 2" xfId="22395"/>
    <cellStyle name="‡_Piping-CostCO2_AUTO2000_EXERCISE PRICE-2X7 WO70-1100-PO-Riau 3" xfId="22394"/>
    <cellStyle name="‡_Piping-CostCO2_AUTO2000_EXERCISE PRICE-2X7 WO70-1100-PO-Riau 4" xfId="22393"/>
    <cellStyle name="‡_Piping-CostCO2_AUTO2000_EXERCISE PRICE-2X7 WO70-1100-PO-Riau 5" xfId="22392"/>
    <cellStyle name="‡_Piping-CostCO2_AUTO2000_EXERCISE PRICE-2X7 WO70-1100-PO-Riau 6" xfId="22391"/>
    <cellStyle name="‡_Piping-CostCO2_AUTO2000_EXERCISE PRICE-2X7 WO70-1100-PO-Riau 7" xfId="22390"/>
    <cellStyle name="‡_Piping-CostCO2_AUTO2000_EXERCISE PRICE-2X7 WO70-1100-PO-Riau 8" xfId="22389"/>
    <cellStyle name="‡_Piping-CostCO2_AUTO2000_FORM SUMMARY OF PRICE" xfId="22388"/>
    <cellStyle name="‡_Piping-CostCO2_AUTO2000_GALIAN C" xfId="22387"/>
    <cellStyle name="‡_Piping-CostCO2_AUTO2000_Inquiry Plan-KEPULAUAN RIAU 2X7 MW-GABUNGAN" xfId="22386"/>
    <cellStyle name="‡_Piping-CostCO2_AUTO2000_Inquiry Plan-KEPULAUAN RIAU 2X7 MW-GABUNGAN 2" xfId="22385"/>
    <cellStyle name="‡_Piping-CostCO2_AUTO2000_Inquiry Plan-KEPULAUAN RIAU 2X7 MW-GABUNGAN 2 2" xfId="22384"/>
    <cellStyle name="‡_Piping-CostCO2_AUTO2000_Inquiry Plan-KEPULAUAN RIAU 2X7 MW-GABUNGAN 3" xfId="22383"/>
    <cellStyle name="‡_Piping-CostCO2_AUTO2000_Inquiry Plan-KEPULAUAN RIAU 2X7 MW-GABUNGAN 3 2" xfId="22382"/>
    <cellStyle name="‡_Piping-CostCO2_AUTO2000_Inquiry Plan-KEPULAUAN RIAU 2X7 MW-GABUNGAN 4" xfId="22381"/>
    <cellStyle name="‡_Piping-CostCO2_AUTO2000_Inquiry Plan-KEPULAUAN RIAU 2X7 MW-GABUNGAN 4 2" xfId="22380"/>
    <cellStyle name="‡_Piping-CostCO2_AUTO2000_Inquiry Plan-KEPULAUAN RIAU 2X7 MW-GABUNGAN 5" xfId="22379"/>
    <cellStyle name="‡_Piping-CostCO2_AUTO2000_Pen- Kodja Revisi 02 November 2009 (Rev 11-11-09)" xfId="22378"/>
    <cellStyle name="‡_Piping-CostCO2_AUTO2000_Pen- Kodja Revisi 27 JAN 2010" xfId="22377"/>
    <cellStyle name="‡_Piping-CostCO2_AUTO2000_RAB Kodja Revisi 22 feb 2010" xfId="22376"/>
    <cellStyle name="‡_Piping-CostCO2_AUTO2000_RAB Kodja Revisi 23 feb 2010, revisi analisa" xfId="22375"/>
    <cellStyle name="‡_Piping-CostCO2_AUTO2000_SCHEME PACKAGES &amp; BUDGET 2 X 7 MW NTT-REV01" xfId="22374"/>
    <cellStyle name="‡_Piping-CostCO2_AUTO2000_SCHEME PACKAGES &amp; BUDGET 2 X 7 MW NTT-REV01 2" xfId="22373"/>
    <cellStyle name="‡_Piping-CostCO2_AUTO2000_SCHEME PACKAGES &amp; BUDGET 2 X 7 MW NTT-REV01 2 2" xfId="22372"/>
    <cellStyle name="‡_Piping-CostCO2_AUTO2000_SCHEME PACKAGES &amp; BUDGET 2 X 7 MW NTT-REV01 3" xfId="22371"/>
    <cellStyle name="‡_Piping-CostCO2_AUTO2000_SCHEME PACKAGES &amp; BUDGET 2 X 7 MW NTT-REV01 3 2" xfId="22370"/>
    <cellStyle name="‡_Piping-CostCO2_AUTO2000_SCHEME PACKAGES &amp; BUDGET 2 X 7 MW NTT-REV01 4" xfId="22369"/>
    <cellStyle name="‡_Piping-CostCO2_AUTO2000_SCHEME PACKAGES &amp; BUDGET 2 X 7 MW NTT-REV01 4 2" xfId="22368"/>
    <cellStyle name="‡_Piping-CostCO2_AUTO2000_SCHEME PACKAGES &amp; BUDGET 2 X 7 MW NTT-REV01 5" xfId="22367"/>
    <cellStyle name="‡_Piping-CostCO2_AUTO2000_SCHEME PACKAGES &amp; BUDGET 2 X 7 MW TBK-REV01" xfId="22366"/>
    <cellStyle name="‡_Piping-CostCO2_AUTO2000_SCHEME PACKAGES &amp; BUDGET 2 X 7 MW TBK-REV01 2" xfId="22365"/>
    <cellStyle name="‡_Piping-CostCO2_AUTO2000_SCHEME PACKAGES &amp; BUDGET 2 X 7 MW TBK-REV01 2 2" xfId="22364"/>
    <cellStyle name="‡_Piping-CostCO2_AUTO2000_SCHEME PACKAGES &amp; BUDGET 2 X 7 MW TBK-REV01 3" xfId="22363"/>
    <cellStyle name="‡_Piping-CostCO2_AUTO2000_SCHEME PACKAGES &amp; BUDGET 2 X 7 MW TBK-REV01 3 2" xfId="22362"/>
    <cellStyle name="‡_Piping-CostCO2_AUTO2000_SCHEME PACKAGES &amp; BUDGET 2 X 7 MW TBK-REV01 4" xfId="22361"/>
    <cellStyle name="‡_Piping-CostCO2_AUTO2000_SCHEME PACKAGES &amp; BUDGET 2 X 7 MW TBK-REV01 4 2" xfId="22360"/>
    <cellStyle name="‡_Piping-CostCO2_AUTO2000_SCHEME PACKAGES &amp; BUDGET 2 X 7 MW TBK-REV01 5" xfId="22359"/>
    <cellStyle name="‡_Piping-CostCO2_BQ &amp; An Pds Gdg - KIM I" xfId="22358"/>
    <cellStyle name="‡_Piping-CostCO2_BQ &amp; An Pds Gdg - KIM I_GALIAN C" xfId="22357"/>
    <cellStyle name="‡_Piping-CostCO2_BQ &amp; An Pds Gdg - KIM I_Pen- Kodja Revisi 02 November 2009 (Rev 11-11-09)" xfId="22356"/>
    <cellStyle name="‡_Piping-CostCO2_BQ &amp; An Pds Gdg - KIM I_Pen- Kodja Revisi 27 JAN 2010" xfId="22355"/>
    <cellStyle name="‡_Piping-CostCO2_BQ &amp; An Pds Gdg - KIM I_RAB Kodja Revisi 22 feb 2010" xfId="22354"/>
    <cellStyle name="‡_Piping-CostCO2_BQ &amp; An Pds Gdg - KIM I_RAB Kodja Revisi 23 feb 2010, revisi analisa" xfId="22353"/>
    <cellStyle name="‡_Piping-CostCO2_BQ &amp; An Pondasi SEP &amp; WAREHOUSE-KIM I (R-0)" xfId="22352"/>
    <cellStyle name="‡_Piping-CostCO2_BQ &amp; An Pondasi SEP &amp; WAREHOUSE-KIM I (R-0)_GALIAN C" xfId="22351"/>
    <cellStyle name="‡_Piping-CostCO2_BQ &amp; An Pondasi SEP &amp; WAREHOUSE-KIM I (R-0)_Pen- Kodja Revisi 02 November 2009 (Rev 11-11-09)" xfId="22350"/>
    <cellStyle name="‡_Piping-CostCO2_BQ &amp; An Pondasi SEP &amp; WAREHOUSE-KIM I (R-0)_Pen- Kodja Revisi 27 JAN 2010" xfId="22349"/>
    <cellStyle name="‡_Piping-CostCO2_BQ &amp; An Pondasi SEP &amp; WAREHOUSE-KIM I (R-0)_RAB Kodja Revisi 22 feb 2010" xfId="22348"/>
    <cellStyle name="‡_Piping-CostCO2_BQ &amp; An Pondasi SEP &amp; WAREHOUSE-KIM I (R-0)_RAB Kodja Revisi 23 feb 2010, revisi analisa" xfId="22347"/>
    <cellStyle name="‡_Piping-CostCO2_BQ Pabrik Biodiesel MM-Btm" xfId="22346"/>
    <cellStyle name="‡_Piping-CostCO2_BQ Pabrik Biodiesel MM-Btm_GALIAN C" xfId="22345"/>
    <cellStyle name="‡_Piping-CostCO2_BQ Pabrik Biodiesel MM-Btm_Pen- Kodja Revisi 02 November 2009 (Rev 11-11-09)" xfId="22344"/>
    <cellStyle name="‡_Piping-CostCO2_BQ Pabrik Biodiesel MM-Btm_Pen- Kodja Revisi 27 JAN 2010" xfId="22343"/>
    <cellStyle name="‡_Piping-CostCO2_BQ Pabrik Biodiesel MM-Btm_RAB Kodja Revisi 22 feb 2010" xfId="22342"/>
    <cellStyle name="‡_Piping-CostCO2_BQ Pabrik Biodiesel MM-Btm_RAB Kodja Revisi 23 feb 2010, revisi analisa" xfId="22341"/>
    <cellStyle name="‡_Piping-CostCO2_EXERCISE PRICE-2x10 W70-1050-PO-KENDARI" xfId="22340"/>
    <cellStyle name="‡_Piping-CostCO2_EXERCISE PRICE-2x10 W70-1050-PO-KENDARI 2" xfId="22339"/>
    <cellStyle name="‡_Piping-CostCO2_EXERCISE PRICE-2x10 W70-1050-PO-KENDARI 3" xfId="22338"/>
    <cellStyle name="‡_Piping-CostCO2_EXERCISE PRICE-2x10 W70-1050-PO-KENDARI 4" xfId="22337"/>
    <cellStyle name="‡_Piping-CostCO2_EXERCISE PRICE-2x10 W70-1050-PO-KENDARI 5" xfId="22336"/>
    <cellStyle name="‡_Piping-CostCO2_EXERCISE PRICE-2x10 W70-1050-PO-KENDARI 6" xfId="22335"/>
    <cellStyle name="‡_Piping-CostCO2_EXERCISE PRICE-2x10 W70-1050-PO-KENDARI 7" xfId="22334"/>
    <cellStyle name="‡_Piping-CostCO2_EXERCISE PRICE-2x10 W70-1050-PO-KENDARI 8" xfId="22333"/>
    <cellStyle name="‡_Piping-CostCO2_EXERCISE PRICE-2X7 WO70-1100-PO-Riau" xfId="22332"/>
    <cellStyle name="‡_Piping-CostCO2_EXERCISE PRICE-2X7 WO70-1100-PO-Riau 2" xfId="22331"/>
    <cellStyle name="‡_Piping-CostCO2_EXERCISE PRICE-2X7 WO70-1100-PO-Riau 3" xfId="22330"/>
    <cellStyle name="‡_Piping-CostCO2_EXERCISE PRICE-2X7 WO70-1100-PO-Riau 4" xfId="22329"/>
    <cellStyle name="‡_Piping-CostCO2_EXERCISE PRICE-2X7 WO70-1100-PO-Riau 5" xfId="22328"/>
    <cellStyle name="‡_Piping-CostCO2_EXERCISE PRICE-2X7 WO70-1100-PO-Riau 6" xfId="22327"/>
    <cellStyle name="‡_Piping-CostCO2_EXERCISE PRICE-2X7 WO70-1100-PO-Riau 7" xfId="22326"/>
    <cellStyle name="‡_Piping-CostCO2_EXERCISE PRICE-2X7 WO70-1100-PO-Riau 8" xfId="22325"/>
    <cellStyle name="‡_Piping-CostCO2_FORM SUMMARY OF PRICE" xfId="22324"/>
    <cellStyle name="‡_Piping-CostCO2_GALIAN C" xfId="22323"/>
    <cellStyle name="‡_Piping-CostCO2_Inquiry Plan-KEPULAUAN RIAU 2X7 MW-GABUNGAN" xfId="22322"/>
    <cellStyle name="‡_Piping-CostCO2_Inquiry Plan-KEPULAUAN RIAU 2X7 MW-GABUNGAN 2" xfId="22321"/>
    <cellStyle name="‡_Piping-CostCO2_Inquiry Plan-KEPULAUAN RIAU 2X7 MW-GABUNGAN 2 2" xfId="22320"/>
    <cellStyle name="‡_Piping-CostCO2_Inquiry Plan-KEPULAUAN RIAU 2X7 MW-GABUNGAN 3" xfId="22319"/>
    <cellStyle name="‡_Piping-CostCO2_Inquiry Plan-KEPULAUAN RIAU 2X7 MW-GABUNGAN 3 2" xfId="22318"/>
    <cellStyle name="‡_Piping-CostCO2_Inquiry Plan-KEPULAUAN RIAU 2X7 MW-GABUNGAN 4" xfId="22317"/>
    <cellStyle name="‡_Piping-CostCO2_Inquiry Plan-KEPULAUAN RIAU 2X7 MW-GABUNGAN 4 2" xfId="22316"/>
    <cellStyle name="‡_Piping-CostCO2_Inquiry Plan-KEPULAUAN RIAU 2X7 MW-GABUNGAN 5" xfId="22315"/>
    <cellStyle name="‡_Piping-CostCO2_Pen- Kodja Revisi 02 November 2009 (Rev 11-11-09)" xfId="22314"/>
    <cellStyle name="‡_Piping-CostCO2_Pen- Kodja Revisi 27 JAN 2010" xfId="22313"/>
    <cellStyle name="‡_Piping-CostCO2_RAB Kodja Revisi 22 feb 2010" xfId="22312"/>
    <cellStyle name="‡_Piping-CostCO2_RAB Kodja Revisi 23 feb 2010, revisi analisa" xfId="22311"/>
    <cellStyle name="‡_Piping-CostCO2_SCHEME PACKAGES &amp; BUDGET 2 X 7 MW NTT-REV01" xfId="22310"/>
    <cellStyle name="‡_Piping-CostCO2_SCHEME PACKAGES &amp; BUDGET 2 X 7 MW NTT-REV01 2" xfId="22309"/>
    <cellStyle name="‡_Piping-CostCO2_SCHEME PACKAGES &amp; BUDGET 2 X 7 MW NTT-REV01 2 2" xfId="22308"/>
    <cellStyle name="‡_Piping-CostCO2_SCHEME PACKAGES &amp; BUDGET 2 X 7 MW NTT-REV01 3" xfId="22307"/>
    <cellStyle name="‡_Piping-CostCO2_SCHEME PACKAGES &amp; BUDGET 2 X 7 MW NTT-REV01 3 2" xfId="22306"/>
    <cellStyle name="‡_Piping-CostCO2_SCHEME PACKAGES &amp; BUDGET 2 X 7 MW NTT-REV01 4" xfId="22305"/>
    <cellStyle name="‡_Piping-CostCO2_SCHEME PACKAGES &amp; BUDGET 2 X 7 MW NTT-REV01 4 2" xfId="22304"/>
    <cellStyle name="‡_Piping-CostCO2_SCHEME PACKAGES &amp; BUDGET 2 X 7 MW NTT-REV01 5" xfId="22303"/>
    <cellStyle name="‡_Piping-CostCO2_SCHEME PACKAGES &amp; BUDGET 2 X 7 MW TBK-REV01" xfId="22302"/>
    <cellStyle name="‡_Piping-CostCO2_SCHEME PACKAGES &amp; BUDGET 2 X 7 MW TBK-REV01 2" xfId="22301"/>
    <cellStyle name="‡_Piping-CostCO2_SCHEME PACKAGES &amp; BUDGET 2 X 7 MW TBK-REV01 2 2" xfId="22300"/>
    <cellStyle name="‡_Piping-CostCO2_SCHEME PACKAGES &amp; BUDGET 2 X 7 MW TBK-REV01 3" xfId="22299"/>
    <cellStyle name="‡_Piping-CostCO2_SCHEME PACKAGES &amp; BUDGET 2 X 7 MW TBK-REV01 3 2" xfId="22298"/>
    <cellStyle name="‡_Piping-CostCO2_SCHEME PACKAGES &amp; BUDGET 2 X 7 MW TBK-REV01 4" xfId="22297"/>
    <cellStyle name="‡_Piping-CostCO2_SCHEME PACKAGES &amp; BUDGET 2 X 7 MW TBK-REV01 4 2" xfId="22296"/>
    <cellStyle name="‡_Piping-CostCO2_SCHEME PACKAGES &amp; BUDGET 2 X 7 MW TBK-REV01 5" xfId="22295"/>
    <cellStyle name="‡_Piping-Costrev2" xfId="22294"/>
    <cellStyle name="‡_Piping-Costrev2 2" xfId="22293"/>
    <cellStyle name="‡_Piping-Costrev2 2 2" xfId="22292"/>
    <cellStyle name="‡_Piping-Costrev2 3" xfId="22291"/>
    <cellStyle name="‡_Piping-Costrev2 3 2" xfId="22290"/>
    <cellStyle name="‡_Piping-Costrev2 4" xfId="22289"/>
    <cellStyle name="‡_Piping-Costrev2 4 2" xfId="22288"/>
    <cellStyle name="‡_Piping-Costrev2 5" xfId="22287"/>
    <cellStyle name="‡_Piping-Costrev2 6" xfId="22286"/>
    <cellStyle name="‡_Piping-Costrev2 7" xfId="22285"/>
    <cellStyle name="‡_Piping-Costrev2 8" xfId="22284"/>
    <cellStyle name="‡_Piping-Costrev2 9" xfId="22283"/>
    <cellStyle name="‡_Piping-Costrev2_AUTO2000" xfId="22282"/>
    <cellStyle name="‡_Piping-Costrev2_AUTO2000 2" xfId="22281"/>
    <cellStyle name="‡_Piping-Costrev2_AUTO2000 2 2" xfId="22280"/>
    <cellStyle name="‡_Piping-Costrev2_AUTO2000 3" xfId="22279"/>
    <cellStyle name="‡_Piping-Costrev2_AUTO2000 3 2" xfId="22278"/>
    <cellStyle name="‡_Piping-Costrev2_AUTO2000 4" xfId="22277"/>
    <cellStyle name="‡_Piping-Costrev2_AUTO2000 4 2" xfId="22276"/>
    <cellStyle name="‡_Piping-Costrev2_AUTO2000 5" xfId="22275"/>
    <cellStyle name="‡_Piping-Costrev2_AUTO2000 6" xfId="22274"/>
    <cellStyle name="‡_Piping-Costrev2_AUTO2000 7" xfId="22273"/>
    <cellStyle name="‡_Piping-Costrev2_AUTO2000 8" xfId="22272"/>
    <cellStyle name="‡_Piping-Costrev2_AUTO2000 9" xfId="22271"/>
    <cellStyle name="‡_Piping-Costrev2_AUTO2000_BQ &amp; An Pds Gdg - KIM I" xfId="22270"/>
    <cellStyle name="‡_Piping-Costrev2_AUTO2000_BQ &amp; An Pds Gdg - KIM I_GALIAN C" xfId="22269"/>
    <cellStyle name="‡_Piping-Costrev2_AUTO2000_BQ &amp; An Pds Gdg - KIM I_Pen- Kodja Revisi 02 November 2009 (Rev 11-11-09)" xfId="22268"/>
    <cellStyle name="‡_Piping-Costrev2_AUTO2000_BQ &amp; An Pds Gdg - KIM I_Pen- Kodja Revisi 27 JAN 2010" xfId="22267"/>
    <cellStyle name="‡_Piping-Costrev2_AUTO2000_BQ &amp; An Pds Gdg - KIM I_RAB Kodja Revisi 22 feb 2010" xfId="22266"/>
    <cellStyle name="‡_Piping-Costrev2_AUTO2000_BQ &amp; An Pds Gdg - KIM I_RAB Kodja Revisi 23 feb 2010, revisi analisa" xfId="22265"/>
    <cellStyle name="‡_Piping-Costrev2_AUTO2000_BQ &amp; An Pondasi SEP &amp; WAREHOUSE-KIM I (R-0)" xfId="22264"/>
    <cellStyle name="‡_Piping-Costrev2_AUTO2000_BQ &amp; An Pondasi SEP &amp; WAREHOUSE-KIM I (R-0)_GALIAN C" xfId="22263"/>
    <cellStyle name="‡_Piping-Costrev2_AUTO2000_BQ &amp; An Pondasi SEP &amp; WAREHOUSE-KIM I (R-0)_Pen- Kodja Revisi 02 November 2009 (Rev 11-11-09)" xfId="22262"/>
    <cellStyle name="‡_Piping-Costrev2_AUTO2000_BQ &amp; An Pondasi SEP &amp; WAREHOUSE-KIM I (R-0)_Pen- Kodja Revisi 27 JAN 2010" xfId="22261"/>
    <cellStyle name="‡_Piping-Costrev2_AUTO2000_BQ &amp; An Pondasi SEP &amp; WAREHOUSE-KIM I (R-0)_RAB Kodja Revisi 22 feb 2010" xfId="22260"/>
    <cellStyle name="‡_Piping-Costrev2_AUTO2000_BQ &amp; An Pondasi SEP &amp; WAREHOUSE-KIM I (R-0)_RAB Kodja Revisi 23 feb 2010, revisi analisa" xfId="22259"/>
    <cellStyle name="‡_Piping-Costrev2_AUTO2000_BQ Pabrik Biodiesel MM-Btm" xfId="22258"/>
    <cellStyle name="‡_Piping-Costrev2_AUTO2000_BQ Pabrik Biodiesel MM-Btm_GALIAN C" xfId="22257"/>
    <cellStyle name="‡_Piping-Costrev2_AUTO2000_BQ Pabrik Biodiesel MM-Btm_Pen- Kodja Revisi 02 November 2009 (Rev 11-11-09)" xfId="22256"/>
    <cellStyle name="‡_Piping-Costrev2_AUTO2000_BQ Pabrik Biodiesel MM-Btm_Pen- Kodja Revisi 27 JAN 2010" xfId="22255"/>
    <cellStyle name="‡_Piping-Costrev2_AUTO2000_BQ Pabrik Biodiesel MM-Btm_RAB Kodja Revisi 22 feb 2010" xfId="22254"/>
    <cellStyle name="‡_Piping-Costrev2_AUTO2000_BQ Pabrik Biodiesel MM-Btm_RAB Kodja Revisi 23 feb 2010, revisi analisa" xfId="22253"/>
    <cellStyle name="‡_Piping-Costrev2_AUTO2000_EXERCISE PRICE-2x10 W70-1050-PO-KENDARI" xfId="22252"/>
    <cellStyle name="‡_Piping-Costrev2_AUTO2000_EXERCISE PRICE-2x10 W70-1050-PO-KENDARI 2" xfId="22251"/>
    <cellStyle name="‡_Piping-Costrev2_AUTO2000_EXERCISE PRICE-2x10 W70-1050-PO-KENDARI 3" xfId="22250"/>
    <cellStyle name="‡_Piping-Costrev2_AUTO2000_EXERCISE PRICE-2x10 W70-1050-PO-KENDARI 4" xfId="22249"/>
    <cellStyle name="‡_Piping-Costrev2_AUTO2000_EXERCISE PRICE-2x10 W70-1050-PO-KENDARI 5" xfId="22248"/>
    <cellStyle name="‡_Piping-Costrev2_AUTO2000_EXERCISE PRICE-2x10 W70-1050-PO-KENDARI 6" xfId="22247"/>
    <cellStyle name="‡_Piping-Costrev2_AUTO2000_EXERCISE PRICE-2x10 W70-1050-PO-KENDARI 7" xfId="22246"/>
    <cellStyle name="‡_Piping-Costrev2_AUTO2000_EXERCISE PRICE-2x10 W70-1050-PO-KENDARI 8" xfId="22245"/>
    <cellStyle name="‡_Piping-Costrev2_AUTO2000_EXERCISE PRICE-2X7 WO70-1100-PO-Riau" xfId="22244"/>
    <cellStyle name="‡_Piping-Costrev2_AUTO2000_EXERCISE PRICE-2X7 WO70-1100-PO-Riau 2" xfId="22243"/>
    <cellStyle name="‡_Piping-Costrev2_AUTO2000_EXERCISE PRICE-2X7 WO70-1100-PO-Riau 3" xfId="22242"/>
    <cellStyle name="‡_Piping-Costrev2_AUTO2000_EXERCISE PRICE-2X7 WO70-1100-PO-Riau 4" xfId="22241"/>
    <cellStyle name="‡_Piping-Costrev2_AUTO2000_EXERCISE PRICE-2X7 WO70-1100-PO-Riau 5" xfId="22240"/>
    <cellStyle name="‡_Piping-Costrev2_AUTO2000_EXERCISE PRICE-2X7 WO70-1100-PO-Riau 6" xfId="22239"/>
    <cellStyle name="‡_Piping-Costrev2_AUTO2000_EXERCISE PRICE-2X7 WO70-1100-PO-Riau 7" xfId="22238"/>
    <cellStyle name="‡_Piping-Costrev2_AUTO2000_EXERCISE PRICE-2X7 WO70-1100-PO-Riau 8" xfId="22237"/>
    <cellStyle name="‡_Piping-Costrev2_AUTO2000_FORM SUMMARY OF PRICE" xfId="22236"/>
    <cellStyle name="‡_Piping-Costrev2_AUTO2000_GALIAN C" xfId="22235"/>
    <cellStyle name="‡_Piping-Costrev2_AUTO2000_Inquiry Plan-KEPULAUAN RIAU 2X7 MW-GABUNGAN" xfId="22234"/>
    <cellStyle name="‡_Piping-Costrev2_AUTO2000_Inquiry Plan-KEPULAUAN RIAU 2X7 MW-GABUNGAN 2" xfId="22233"/>
    <cellStyle name="‡_Piping-Costrev2_AUTO2000_Inquiry Plan-KEPULAUAN RIAU 2X7 MW-GABUNGAN 2 2" xfId="22232"/>
    <cellStyle name="‡_Piping-Costrev2_AUTO2000_Inquiry Plan-KEPULAUAN RIAU 2X7 MW-GABUNGAN 3" xfId="22231"/>
    <cellStyle name="‡_Piping-Costrev2_AUTO2000_Inquiry Plan-KEPULAUAN RIAU 2X7 MW-GABUNGAN 3 2" xfId="22230"/>
    <cellStyle name="‡_Piping-Costrev2_AUTO2000_Inquiry Plan-KEPULAUAN RIAU 2X7 MW-GABUNGAN 4" xfId="22229"/>
    <cellStyle name="‡_Piping-Costrev2_AUTO2000_Inquiry Plan-KEPULAUAN RIAU 2X7 MW-GABUNGAN 4 2" xfId="22228"/>
    <cellStyle name="‡_Piping-Costrev2_AUTO2000_Inquiry Plan-KEPULAUAN RIAU 2X7 MW-GABUNGAN 5" xfId="22227"/>
    <cellStyle name="‡_Piping-Costrev2_AUTO2000_Pen- Kodja Revisi 02 November 2009 (Rev 11-11-09)" xfId="22226"/>
    <cellStyle name="‡_Piping-Costrev2_AUTO2000_Pen- Kodja Revisi 27 JAN 2010" xfId="22225"/>
    <cellStyle name="‡_Piping-Costrev2_AUTO2000_RAB Kodja Revisi 22 feb 2010" xfId="22224"/>
    <cellStyle name="‡_Piping-Costrev2_AUTO2000_RAB Kodja Revisi 23 feb 2010, revisi analisa" xfId="22223"/>
    <cellStyle name="‡_Piping-Costrev2_AUTO2000_SCHEME PACKAGES &amp; BUDGET 2 X 7 MW NTT-REV01" xfId="22222"/>
    <cellStyle name="‡_Piping-Costrev2_AUTO2000_SCHEME PACKAGES &amp; BUDGET 2 X 7 MW NTT-REV01 2" xfId="22221"/>
    <cellStyle name="‡_Piping-Costrev2_AUTO2000_SCHEME PACKAGES &amp; BUDGET 2 X 7 MW NTT-REV01 2 2" xfId="22220"/>
    <cellStyle name="‡_Piping-Costrev2_AUTO2000_SCHEME PACKAGES &amp; BUDGET 2 X 7 MW NTT-REV01 3" xfId="22219"/>
    <cellStyle name="‡_Piping-Costrev2_AUTO2000_SCHEME PACKAGES &amp; BUDGET 2 X 7 MW NTT-REV01 3 2" xfId="22218"/>
    <cellStyle name="‡_Piping-Costrev2_AUTO2000_SCHEME PACKAGES &amp; BUDGET 2 X 7 MW NTT-REV01 4" xfId="22217"/>
    <cellStyle name="‡_Piping-Costrev2_AUTO2000_SCHEME PACKAGES &amp; BUDGET 2 X 7 MW NTT-REV01 4 2" xfId="22216"/>
    <cellStyle name="‡_Piping-Costrev2_AUTO2000_SCHEME PACKAGES &amp; BUDGET 2 X 7 MW NTT-REV01 5" xfId="22215"/>
    <cellStyle name="‡_Piping-Costrev2_AUTO2000_SCHEME PACKAGES &amp; BUDGET 2 X 7 MW TBK-REV01" xfId="22214"/>
    <cellStyle name="‡_Piping-Costrev2_AUTO2000_SCHEME PACKAGES &amp; BUDGET 2 X 7 MW TBK-REV01 2" xfId="22213"/>
    <cellStyle name="‡_Piping-Costrev2_AUTO2000_SCHEME PACKAGES &amp; BUDGET 2 X 7 MW TBK-REV01 2 2" xfId="22212"/>
    <cellStyle name="‡_Piping-Costrev2_AUTO2000_SCHEME PACKAGES &amp; BUDGET 2 X 7 MW TBK-REV01 3" xfId="22211"/>
    <cellStyle name="‡_Piping-Costrev2_AUTO2000_SCHEME PACKAGES &amp; BUDGET 2 X 7 MW TBK-REV01 3 2" xfId="22210"/>
    <cellStyle name="‡_Piping-Costrev2_AUTO2000_SCHEME PACKAGES &amp; BUDGET 2 X 7 MW TBK-REV01 4" xfId="22209"/>
    <cellStyle name="‡_Piping-Costrev2_AUTO2000_SCHEME PACKAGES &amp; BUDGET 2 X 7 MW TBK-REV01 4 2" xfId="22208"/>
    <cellStyle name="‡_Piping-Costrev2_AUTO2000_SCHEME PACKAGES &amp; BUDGET 2 X 7 MW TBK-REV01 5" xfId="22207"/>
    <cellStyle name="‡_Piping-Costrev2_BQ &amp; An Pds Gdg - KIM I" xfId="22206"/>
    <cellStyle name="‡_Piping-Costrev2_BQ &amp; An Pds Gdg - KIM I_GALIAN C" xfId="22205"/>
    <cellStyle name="‡_Piping-Costrev2_BQ &amp; An Pds Gdg - KIM I_Pen- Kodja Revisi 02 November 2009 (Rev 11-11-09)" xfId="22204"/>
    <cellStyle name="‡_Piping-Costrev2_BQ &amp; An Pds Gdg - KIM I_Pen- Kodja Revisi 27 JAN 2010" xfId="22203"/>
    <cellStyle name="‡_Piping-Costrev2_BQ &amp; An Pds Gdg - KIM I_RAB Kodja Revisi 22 feb 2010" xfId="22202"/>
    <cellStyle name="‡_Piping-Costrev2_BQ &amp; An Pds Gdg - KIM I_RAB Kodja Revisi 23 feb 2010, revisi analisa" xfId="22201"/>
    <cellStyle name="‡_Piping-Costrev2_BQ &amp; An Pondasi SEP &amp; WAREHOUSE-KIM I (R-0)" xfId="22200"/>
    <cellStyle name="‡_Piping-Costrev2_BQ &amp; An Pondasi SEP &amp; WAREHOUSE-KIM I (R-0)_GALIAN C" xfId="22199"/>
    <cellStyle name="‡_Piping-Costrev2_BQ &amp; An Pondasi SEP &amp; WAREHOUSE-KIM I (R-0)_Pen- Kodja Revisi 02 November 2009 (Rev 11-11-09)" xfId="22198"/>
    <cellStyle name="‡_Piping-Costrev2_BQ &amp; An Pondasi SEP &amp; WAREHOUSE-KIM I (R-0)_Pen- Kodja Revisi 27 JAN 2010" xfId="22197"/>
    <cellStyle name="‡_Piping-Costrev2_BQ &amp; An Pondasi SEP &amp; WAREHOUSE-KIM I (R-0)_RAB Kodja Revisi 22 feb 2010" xfId="22196"/>
    <cellStyle name="‡_Piping-Costrev2_BQ &amp; An Pondasi SEP &amp; WAREHOUSE-KIM I (R-0)_RAB Kodja Revisi 23 feb 2010, revisi analisa" xfId="22195"/>
    <cellStyle name="‡_Piping-Costrev2_BQ Pabrik Biodiesel MM-Btm" xfId="22194"/>
    <cellStyle name="‡_Piping-Costrev2_BQ Pabrik Biodiesel MM-Btm_GALIAN C" xfId="22193"/>
    <cellStyle name="‡_Piping-Costrev2_BQ Pabrik Biodiesel MM-Btm_Pen- Kodja Revisi 02 November 2009 (Rev 11-11-09)" xfId="22192"/>
    <cellStyle name="‡_Piping-Costrev2_BQ Pabrik Biodiesel MM-Btm_Pen- Kodja Revisi 27 JAN 2010" xfId="22191"/>
    <cellStyle name="‡_Piping-Costrev2_BQ Pabrik Biodiesel MM-Btm_RAB Kodja Revisi 22 feb 2010" xfId="22190"/>
    <cellStyle name="‡_Piping-Costrev2_BQ Pabrik Biodiesel MM-Btm_RAB Kodja Revisi 23 feb 2010, revisi analisa" xfId="22189"/>
    <cellStyle name="‡_Piping-Costrev2_EXERCISE PRICE-2x10 W70-1050-PO-KENDARI" xfId="22188"/>
    <cellStyle name="‡_Piping-Costrev2_EXERCISE PRICE-2x10 W70-1050-PO-KENDARI 2" xfId="22187"/>
    <cellStyle name="‡_Piping-Costrev2_EXERCISE PRICE-2x10 W70-1050-PO-KENDARI 3" xfId="22186"/>
    <cellStyle name="‡_Piping-Costrev2_EXERCISE PRICE-2x10 W70-1050-PO-KENDARI 4" xfId="22185"/>
    <cellStyle name="‡_Piping-Costrev2_EXERCISE PRICE-2x10 W70-1050-PO-KENDARI 5" xfId="22184"/>
    <cellStyle name="‡_Piping-Costrev2_EXERCISE PRICE-2x10 W70-1050-PO-KENDARI 6" xfId="22183"/>
    <cellStyle name="‡_Piping-Costrev2_EXERCISE PRICE-2x10 W70-1050-PO-KENDARI 7" xfId="22182"/>
    <cellStyle name="‡_Piping-Costrev2_EXERCISE PRICE-2x10 W70-1050-PO-KENDARI 8" xfId="22181"/>
    <cellStyle name="‡_Piping-Costrev2_EXERCISE PRICE-2X7 WO70-1100-PO-Riau" xfId="22180"/>
    <cellStyle name="‡_Piping-Costrev2_EXERCISE PRICE-2X7 WO70-1100-PO-Riau 2" xfId="22179"/>
    <cellStyle name="‡_Piping-Costrev2_EXERCISE PRICE-2X7 WO70-1100-PO-Riau 3" xfId="22178"/>
    <cellStyle name="‡_Piping-Costrev2_EXERCISE PRICE-2X7 WO70-1100-PO-Riau 4" xfId="22177"/>
    <cellStyle name="‡_Piping-Costrev2_EXERCISE PRICE-2X7 WO70-1100-PO-Riau 5" xfId="22176"/>
    <cellStyle name="‡_Piping-Costrev2_EXERCISE PRICE-2X7 WO70-1100-PO-Riau 6" xfId="22175"/>
    <cellStyle name="‡_Piping-Costrev2_EXERCISE PRICE-2X7 WO70-1100-PO-Riau 7" xfId="22174"/>
    <cellStyle name="‡_Piping-Costrev2_EXERCISE PRICE-2X7 WO70-1100-PO-Riau 8" xfId="22173"/>
    <cellStyle name="‡_Piping-Costrev2_FORM SUMMARY OF PRICE" xfId="22172"/>
    <cellStyle name="‡_Piping-Costrev2_GALIAN C" xfId="22171"/>
    <cellStyle name="‡_Piping-Costrev2_Inquiry Plan-KEPULAUAN RIAU 2X7 MW-GABUNGAN" xfId="22170"/>
    <cellStyle name="‡_Piping-Costrev2_Inquiry Plan-KEPULAUAN RIAU 2X7 MW-GABUNGAN 2" xfId="22169"/>
    <cellStyle name="‡_Piping-Costrev2_Inquiry Plan-KEPULAUAN RIAU 2X7 MW-GABUNGAN 2 2" xfId="22168"/>
    <cellStyle name="‡_Piping-Costrev2_Inquiry Plan-KEPULAUAN RIAU 2X7 MW-GABUNGAN 3" xfId="22167"/>
    <cellStyle name="‡_Piping-Costrev2_Inquiry Plan-KEPULAUAN RIAU 2X7 MW-GABUNGAN 3 2" xfId="22166"/>
    <cellStyle name="‡_Piping-Costrev2_Inquiry Plan-KEPULAUAN RIAU 2X7 MW-GABUNGAN 4" xfId="22165"/>
    <cellStyle name="‡_Piping-Costrev2_Inquiry Plan-KEPULAUAN RIAU 2X7 MW-GABUNGAN 4 2" xfId="22164"/>
    <cellStyle name="‡_Piping-Costrev2_Inquiry Plan-KEPULAUAN RIAU 2X7 MW-GABUNGAN 5" xfId="22163"/>
    <cellStyle name="‡_Piping-Costrev2_Pen- Kodja Revisi 02 November 2009 (Rev 11-11-09)" xfId="22162"/>
    <cellStyle name="‡_Piping-Costrev2_Pen- Kodja Revisi 27 JAN 2010" xfId="22161"/>
    <cellStyle name="‡_Piping-Costrev2_RAB Kodja Revisi 22 feb 2010" xfId="22160"/>
    <cellStyle name="‡_Piping-Costrev2_RAB Kodja Revisi 23 feb 2010, revisi analisa" xfId="22159"/>
    <cellStyle name="‡_Piping-Costrev2_SCHEME PACKAGES &amp; BUDGET 2 X 7 MW NTT-REV01" xfId="22158"/>
    <cellStyle name="‡_Piping-Costrev2_SCHEME PACKAGES &amp; BUDGET 2 X 7 MW NTT-REV01 2" xfId="22157"/>
    <cellStyle name="‡_Piping-Costrev2_SCHEME PACKAGES &amp; BUDGET 2 X 7 MW NTT-REV01 2 2" xfId="22156"/>
    <cellStyle name="‡_Piping-Costrev2_SCHEME PACKAGES &amp; BUDGET 2 X 7 MW NTT-REV01 3" xfId="22155"/>
    <cellStyle name="‡_Piping-Costrev2_SCHEME PACKAGES &amp; BUDGET 2 X 7 MW NTT-REV01 3 2" xfId="22154"/>
    <cellStyle name="‡_Piping-Costrev2_SCHEME PACKAGES &amp; BUDGET 2 X 7 MW NTT-REV01 4" xfId="22153"/>
    <cellStyle name="‡_Piping-Costrev2_SCHEME PACKAGES &amp; BUDGET 2 X 7 MW NTT-REV01 4 2" xfId="22152"/>
    <cellStyle name="‡_Piping-Costrev2_SCHEME PACKAGES &amp; BUDGET 2 X 7 MW NTT-REV01 5" xfId="22151"/>
    <cellStyle name="‡_Piping-Costrev2_SCHEME PACKAGES &amp; BUDGET 2 X 7 MW TBK-REV01" xfId="22150"/>
    <cellStyle name="‡_Piping-Costrev2_SCHEME PACKAGES &amp; BUDGET 2 X 7 MW TBK-REV01 2" xfId="22149"/>
    <cellStyle name="‡_Piping-Costrev2_SCHEME PACKAGES &amp; BUDGET 2 X 7 MW TBK-REV01 2 2" xfId="22148"/>
    <cellStyle name="‡_Piping-Costrev2_SCHEME PACKAGES &amp; BUDGET 2 X 7 MW TBK-REV01 3" xfId="22147"/>
    <cellStyle name="‡_Piping-Costrev2_SCHEME PACKAGES &amp; BUDGET 2 X 7 MW TBK-REV01 3 2" xfId="22146"/>
    <cellStyle name="‡_Piping-Costrev2_SCHEME PACKAGES &amp; BUDGET 2 X 7 MW TBK-REV01 4" xfId="22145"/>
    <cellStyle name="‡_Piping-Costrev2_SCHEME PACKAGES &amp; BUDGET 2 X 7 MW TBK-REV01 4 2" xfId="22144"/>
    <cellStyle name="‡_Piping-Costrev2_SCHEME PACKAGES &amp; BUDGET 2 X 7 MW TBK-REV01 5" xfId="22143"/>
    <cellStyle name="‡_PLDT" xfId="22142"/>
    <cellStyle name="‡_PLDT 2" xfId="22141"/>
    <cellStyle name="‡_PLDT_0.Bidakara RAP" xfId="22140"/>
    <cellStyle name="‡_PLDT_1.Cost Plan Bapelkes Depkes Batam 2008. xls" xfId="22139"/>
    <cellStyle name="‡_PLDT_3.BU - Alat Pakai (Merah)" xfId="22138"/>
    <cellStyle name="‡_PLDT_ALAT-BU-SPP-CIPUTARA-ok" xfId="22137"/>
    <cellStyle name="‡_PLDT_ALAT-SPP-BU-BPK" xfId="22136"/>
    <cellStyle name="‡_PLDT_ALTERNATIF - I KBI (Kyoraku Blow molding)" xfId="22135"/>
    <cellStyle name="‡_PLDT_ALTERNATIF - I KBI (Kyoraku Blow molding) 2" xfId="22134"/>
    <cellStyle name="‡_PLDT_Alternatif#1_Semua Alexindo_Opt_123" xfId="22133"/>
    <cellStyle name="‡_PLDT_Alternatif#1_Semua Alexindo_Opt_123_rc kantor dinas tanjung pinang 5 lantai" xfId="22132"/>
    <cellStyle name="‡_PLDT_Analisa Bapelkes Full" xfId="22131"/>
    <cellStyle name="‡_PLDT_ANALISA BPK DG" xfId="22130"/>
    <cellStyle name="‡_PLDT_ANALISA BPK DG_Analisa Bapelkes Full" xfId="22129"/>
    <cellStyle name="‡_PLDT_ANALISA BPK DG_SKBDN Batam" xfId="22128"/>
    <cellStyle name="‡_PLDT_ANALISA HARGA SATUAN RAB" xfId="22127"/>
    <cellStyle name="‡_PLDT_analisa rab" xfId="22126"/>
    <cellStyle name="‡_PLDT_ANALISA RAB_SKBDN Batam" xfId="22125"/>
    <cellStyle name="‡_PLDT_Bill of Quantity BPK 03082007" xfId="22124"/>
    <cellStyle name="‡_PLDT_Bill of Quantity BPK 03082007_Analisa Bapelkes Full" xfId="22123"/>
    <cellStyle name="‡_PLDT_BQ ACP ALUCOBOND ECO_OPT_RAPP_1" xfId="22122"/>
    <cellStyle name="‡_PLDT_BQ ACP ALUCOBOND ECO_OPT_RAPP_1_rc kantor dinas tanjung pinang 5 lantai" xfId="22121"/>
    <cellStyle name="‡_PLDT_BQ ACP ALUCOBOND ECO_OPT_RAPP_1_Realisasi Kontrak Kampar 31 agustus 2009" xfId="22120"/>
    <cellStyle name="‡_PLDT_BQ ALUM_ALT#1" xfId="22119"/>
    <cellStyle name="‡_PLDT_BQ Alumn_BPK Bengkulu_3_Komplit" xfId="22118"/>
    <cellStyle name="‡_PLDT_BQ Alumn_BPK Bengkulu_3_Komplit_rc kantor dinas tanjung pinang 5 lantai" xfId="22117"/>
    <cellStyle name="‡_PLDT_BQ Facade Astra" xfId="22116"/>
    <cellStyle name="‡_PLDT_BQ FACADE_Rev#2" xfId="22115"/>
    <cellStyle name="‡_PLDT_BQ FACADE_Rev#2_rc kantor dinas tanjung pinang 5 lantai" xfId="22114"/>
    <cellStyle name="‡_PLDT_BQ FACADE_Rev#2_Realisasi Kontrak Kampar 31 agustus 2009" xfId="22113"/>
    <cellStyle name="‡_PLDT_bq gor bangkinang" xfId="22112"/>
    <cellStyle name="‡_PLDT_BQ KISI-KISI" xfId="22111"/>
    <cellStyle name="‡_PLDT_BQ KISI-KISI_rc kantor dinas tanjung pinang 5 lantai" xfId="22110"/>
    <cellStyle name="‡_PLDT_BQ KUSEN SMA PINTAR" xfId="22109"/>
    <cellStyle name="‡_PLDT_BQ KUSEN SMA PINTAR_Rev#1_Opt_Abiz_1_rapp" xfId="22108"/>
    <cellStyle name="‡_PLDT_BQ ME Sebagian R2" xfId="22107"/>
    <cellStyle name="‡_PLDT_BQ PINTU DAN JENDELA" xfId="22106"/>
    <cellStyle name="‡_PLDT_BQ PINTU DAN JENDELA_rc kantor dinas tanjung pinang 5 lantai" xfId="22105"/>
    <cellStyle name="‡_PLDT_BQ Realisasi Kontrak_RAPP" xfId="22104"/>
    <cellStyle name="‡_PLDT_BQ Realisasi Kontrak_RAPP_rc kantor dinas tanjung pinang 5 lantai" xfId="22103"/>
    <cellStyle name="‡_PLDT_BQ+Hit. Lt 10, atap (Dago 27-06-2007 )" xfId="22102"/>
    <cellStyle name="‡_PLDT_BQ-E" xfId="22101"/>
    <cellStyle name="‡_PLDT_BQ-E 2" xfId="22100"/>
    <cellStyle name="‡_PLDT_BQ-E_Bq-M-23 August 2004" xfId="22099"/>
    <cellStyle name="‡_PLDT_BQ-E_Bq-M-23 August 2004 2" xfId="22098"/>
    <cellStyle name="‡_PLDT_BQ-elec-kiic4(D) " xfId="22097"/>
    <cellStyle name="‡_PLDT_BQ-elec-kiic4(D)  2" xfId="22096"/>
    <cellStyle name="‡_PLDT_Bq-Form Mech ( Baru ) 05" xfId="22095"/>
    <cellStyle name="‡_PLDT_Bq-Form Mech ( Baru ) 05 2" xfId="22094"/>
    <cellStyle name="‡_PLDT_BQ-Mech. Summitmas II" xfId="22093"/>
    <cellStyle name="‡_PLDT_BQ-Mech. Summitmas II 2" xfId="22092"/>
    <cellStyle name="‡_PLDT_BQ-Moric-Elec (A)" xfId="22091"/>
    <cellStyle name="‡_PLDT_BQ-Moric-Elec (A) 2" xfId="22090"/>
    <cellStyle name="‡_PLDT_BQ-SHIBAURA SHEARING" xfId="22089"/>
    <cellStyle name="‡_PLDT_BQ-SHIBAURA SHEARING 2" xfId="22088"/>
    <cellStyle name="‡_PLDT_BQ-SHIBAURA SHEARING(Cancel)" xfId="22087"/>
    <cellStyle name="‡_PLDT_BQ-SHIBAURA SHEARING(Cancel) 2" xfId="22086"/>
    <cellStyle name="‡_PLDT_BQ-YAMAHA FLAGSHIP-A" xfId="22085"/>
    <cellStyle name="‡_PLDT_BQ-YAMAHA FLAGSHIP-A 2" xfId="22084"/>
    <cellStyle name="‡_PLDT_BU-Alat-Spp Bapelkes Thp II" xfId="22083"/>
    <cellStyle name="‡_PLDT_Dephan (YKPP)_Rev#31" xfId="22082"/>
    <cellStyle name="‡_PLDT_EVALUASI HARGA_OPT" xfId="22081"/>
    <cellStyle name="‡_PLDT_Expense" xfId="22080"/>
    <cellStyle name="‡_PLDT_Expense 2" xfId="22079"/>
    <cellStyle name="‡_PLDT_FORM MONITORING SUB" xfId="22078"/>
    <cellStyle name="‡_PLDT_FORM MONITORING SUB_D0C. RECORD PROGRESS INDOKOMAS" xfId="22077"/>
    <cellStyle name="‡_PLDT_Hit SKBDN" xfId="22076"/>
    <cellStyle name="‡_PLDT_Hit. Hotel Sutan Raja Minahasa (MYO)" xfId="22075"/>
    <cellStyle name="‡_PLDT_Hit. Hotel Sutan Raja Minahasa (MYO)_Analisa Bapelkes Full" xfId="22074"/>
    <cellStyle name="‡_PLDT_Hit. Lantai - 1" xfId="22073"/>
    <cellStyle name="‡_PLDT_KONTRAK KAMPAR" xfId="22072"/>
    <cellStyle name="‡_PLDT_KURVA S (DETAIL TYPE 2)" xfId="22071"/>
    <cellStyle name="‡_PLDT_MAKER LIST" xfId="22070"/>
    <cellStyle name="‡_PLDT_MAKER LIST 2" xfId="22069"/>
    <cellStyle name="‡_PLDT_pek yang di sub kan" xfId="22068"/>
    <cellStyle name="‡_PLDT_Penawaran harga rumah DPR_Revisi#3_Opt" xfId="22067"/>
    <cellStyle name="‡_PLDT_Penawaran harga rumah DPR_Revisi#3_Opt_rc kantor dinas tanjung pinang 5 lantai" xfId="22066"/>
    <cellStyle name="‡_PLDT_Penawaran harga rumah DPR_Revisi#3_Opt_Realisasi Kontrak Kampar 31 agustus 2009" xfId="22065"/>
    <cellStyle name="‡_PLDT_RAB 2007_2008 6,5 M R8" xfId="22064"/>
    <cellStyle name="‡_PLDT_RAB EE-ELEK BI SMRD" xfId="22063"/>
    <cellStyle name="‡_PLDT_RAB EE-ELEK BI SMRD 2" xfId="22062"/>
    <cellStyle name="‡_PLDT_RAB gr PP setelah direvisi  31 okt 07l " xfId="22061"/>
    <cellStyle name="‡_PLDT_RAB gr PP setelah direvisi  31 okt 07l _ANALISA HARGA SATUAN" xfId="22060"/>
    <cellStyle name="‡_PLDT_RAB gr PP setelah direvisi  31 okt 07l _BQ ASITEKTUR BTN BATAM dan sipil" xfId="22059"/>
    <cellStyle name="‡_PLDT_RAB gr PP setelah direvisi  31 okt 07l _c bpk batam 24,5 M" xfId="22058"/>
    <cellStyle name="‡_PLDT_RAB gr PP setelah direvisi  31 okt 07l _rc bpk batamm" xfId="22057"/>
    <cellStyle name="‡_PLDT_RAB gr PP setelah direvisi  31 okt 07l _rc bpk batamm_BQ ASITEKTUR BTN BATAM dan sipil" xfId="22056"/>
    <cellStyle name="‡_PLDT_RAB gr PP setelah direvisi  31 okt 07l _rc bpk batamm_c bpk batam 24,5 M" xfId="22055"/>
    <cellStyle name="‡_PLDT_RAB gr PP setelah direvisi  31 okt 07l _rc bpk batamm_rc gor dalam kota bangkinang" xfId="22054"/>
    <cellStyle name="‡_PLDT_RAB gr PP setelah direvisi  31 okt 07l _rc bpk batamm_rc kantor dinas tanjung pinang 5 lantai" xfId="22053"/>
    <cellStyle name="‡_PLDT_RAB gr PP setelah direvisi  31 okt 07l _rc bpk batamm_rc kantor dinas tanjung pinang 5 lantai R" xfId="22052"/>
    <cellStyle name="‡_PLDT_RAB gr PP setelah direvisi  31 okt 07l _rc bpk batammm" xfId="22051"/>
    <cellStyle name="‡_PLDT_RAB gr PP setelah direvisi  31 okt 07l _rc gor dalam kota bangkinang" xfId="22050"/>
    <cellStyle name="‡_PLDT_RAB gr PP setelah direvisi  31 okt 07l _rc kantor dinas tanjung pinang 5 lantai" xfId="22049"/>
    <cellStyle name="‡_PLDT_RAB gr PP setelah direvisi  31 okt 07l _rc kantor dinas tanjung pinang 5 lantai R" xfId="22048"/>
    <cellStyle name="‡_PLDT_RAB gr PP setelah direvisi  31 okt 07l _Rc SIJUNJUNG" xfId="22047"/>
    <cellStyle name="‡_PLDT_rab proyek bpk" xfId="22046"/>
    <cellStyle name="‡_PLDT_rab proyek bpk_BQ ASITEKTUR BTN BATAM dan sipil" xfId="22045"/>
    <cellStyle name="‡_PLDT_rab proyek bpk_c bpk batam 24,5 M" xfId="22044"/>
    <cellStyle name="‡_PLDT_rab proyek bpk_rc bpk batamm" xfId="22043"/>
    <cellStyle name="‡_PLDT_rab proyek bpk_rc bpk batamm_BQ ASITEKTUR BTN BATAM dan sipil" xfId="22042"/>
    <cellStyle name="‡_PLDT_rab proyek bpk_rc bpk batamm_c bpk batam 24,5 M" xfId="22041"/>
    <cellStyle name="‡_PLDT_rab proyek bpk_rc bpk batamm_rc gor dalam kota bangkinang" xfId="22040"/>
    <cellStyle name="‡_PLDT_rab proyek bpk_rc bpk batamm_rc kantor dinas tanjung pinang 5 lantai" xfId="22039"/>
    <cellStyle name="‡_PLDT_rab proyek bpk_rc bpk batamm_rc kantor dinas tanjung pinang 5 lantai R" xfId="22038"/>
    <cellStyle name="‡_PLDT_rab proyek bpk_rc bpk batammm" xfId="22037"/>
    <cellStyle name="‡_PLDT_rab proyek bpk_rc gor dalam kota bangkinang" xfId="22036"/>
    <cellStyle name="‡_PLDT_rab proyek bpk_rc kantor dinas tanjung pinang 5 lantai" xfId="22035"/>
    <cellStyle name="‡_PLDT_rab proyek bpk_rc kantor dinas tanjung pinang 5 lantai R" xfId="22034"/>
    <cellStyle name="‡_PLDT_RAB_ELEKTRIKAL_SPORT CENTRE 2008" xfId="22033"/>
    <cellStyle name="‡_PLDT_RAB_ELEKTRIKAL_SPORT CENTRE 2008 2" xfId="22032"/>
    <cellStyle name="‡_PLDT_RAB_ELRKTRIKAL_KANTOR DINAS &amp; GUB._Final. R.II, BENAR KABEL TRAY.REV. JACON 30.04.2009xls" xfId="22031"/>
    <cellStyle name="‡_PLDT_RAB_ELRKTRIKAL_KANTOR DINAS &amp; GUB._Final. R.II, BENAR KABEL TRAY.REV. JACON 30.04.2009xls 2" xfId="22030"/>
    <cellStyle name="‡_PLDT_RAP_r1" xfId="22029"/>
    <cellStyle name="‡_PLDT_rc 6 agus 081" xfId="22028"/>
    <cellStyle name="‡_PLDT_sex" xfId="22027"/>
    <cellStyle name="‡_PLDT_sex 2" xfId="22026"/>
    <cellStyle name="‡_PLDT_sex_b1.57.1417.2004(B)" xfId="22025"/>
    <cellStyle name="‡_PLDT_sex_b1.57.1417.2004(B) 2" xfId="22024"/>
    <cellStyle name="‡_PLDT_sex_b1.57.1417.2004(B)_Bq-M-23 August 2004" xfId="22023"/>
    <cellStyle name="‡_PLDT_sex_b1.57.1417.2004(B)_Bq-M-23 August 2004 2" xfId="22022"/>
    <cellStyle name="‡_PLDT_sex_Bq-M-23 August 2004" xfId="22021"/>
    <cellStyle name="‡_PLDT_sex_Bq-M-23 August 2004 2" xfId="22020"/>
    <cellStyle name="‡_PLDT_SKBDN Batam" xfId="22019"/>
    <cellStyle name="‡_PLDT_SPESIFIKASI TEKNIS GR" xfId="22018"/>
    <cellStyle name="‡_PLDT_UIN (NEW)" xfId="22017"/>
    <cellStyle name="‡_PLDT_Vol. Bapelkes blok C ( Myo 07.12.07)" xfId="22016"/>
    <cellStyle name="‡_PLDT_Vol. Precast" xfId="22015"/>
    <cellStyle name="‡_RAB 2007_2008 6,5 M R8" xfId="22014"/>
    <cellStyle name="‡_RAB EE-ELEK BI SMRD" xfId="22013"/>
    <cellStyle name="‡_RAB gr PP setelah direvisi  31 okt 07l " xfId="22012"/>
    <cellStyle name="‡_RAB gr PP setelah direvisi  31 okt 07l _ANALISA HARGA SATUAN" xfId="22011"/>
    <cellStyle name="‡_RAB gr PP setelah direvisi  31 okt 07l _BQ ASITEKTUR BTN BATAM dan sipil" xfId="22010"/>
    <cellStyle name="‡_RAB gr PP setelah direvisi  31 okt 07l _c bpk batam 24,5 M" xfId="22009"/>
    <cellStyle name="‡_RAB gr PP setelah direvisi  31 okt 07l _rc bpk batamm" xfId="22008"/>
    <cellStyle name="‡_RAB gr PP setelah direvisi  31 okt 07l _rc bpk batamm_BQ ASITEKTUR BTN BATAM dan sipil" xfId="22007"/>
    <cellStyle name="‡_RAB gr PP setelah direvisi  31 okt 07l _rc bpk batamm_c bpk batam 24,5 M" xfId="22006"/>
    <cellStyle name="‡_RAB gr PP setelah direvisi  31 okt 07l _rc bpk batamm_rc gor dalam kota bangkinang" xfId="22005"/>
    <cellStyle name="‡_RAB gr PP setelah direvisi  31 okt 07l _rc bpk batamm_rc kantor dinas tanjung pinang 5 lantai" xfId="22004"/>
    <cellStyle name="‡_RAB gr PP setelah direvisi  31 okt 07l _rc bpk batamm_rc kantor dinas tanjung pinang 5 lantai R" xfId="22003"/>
    <cellStyle name="‡_RAB gr PP setelah direvisi  31 okt 07l _rc bpk batammm" xfId="22002"/>
    <cellStyle name="‡_RAB gr PP setelah direvisi  31 okt 07l _rc gor dalam kota bangkinang" xfId="22001"/>
    <cellStyle name="‡_RAB gr PP setelah direvisi  31 okt 07l _rc kantor dinas tanjung pinang 5 lantai" xfId="22000"/>
    <cellStyle name="‡_RAB gr PP setelah direvisi  31 okt 07l _rc kantor dinas tanjung pinang 5 lantai R" xfId="21999"/>
    <cellStyle name="‡_RAB gr PP setelah direvisi  31 okt 07l _Rc SIJUNJUNG" xfId="21998"/>
    <cellStyle name="‡_RAB Kodja Revisi 22 feb 2010" xfId="21997"/>
    <cellStyle name="‡_RAB Kodja Revisi 23 feb 2010, revisi analisa" xfId="21996"/>
    <cellStyle name="‡_rab proyek bpk" xfId="21995"/>
    <cellStyle name="‡_rab proyek bpk_BQ ASITEKTUR BTN BATAM dan sipil" xfId="21994"/>
    <cellStyle name="‡_rab proyek bpk_c bpk batam 24,5 M" xfId="21993"/>
    <cellStyle name="‡_rab proyek bpk_rc bpk batamm" xfId="21992"/>
    <cellStyle name="‡_rab proyek bpk_rc bpk batamm_BQ ASITEKTUR BTN BATAM dan sipil" xfId="21991"/>
    <cellStyle name="‡_rab proyek bpk_rc bpk batamm_c bpk batam 24,5 M" xfId="21990"/>
    <cellStyle name="‡_rab proyek bpk_rc bpk batamm_rc gor dalam kota bangkinang" xfId="21989"/>
    <cellStyle name="‡_rab proyek bpk_rc bpk batamm_rc kantor dinas tanjung pinang 5 lantai" xfId="21988"/>
    <cellStyle name="‡_rab proyek bpk_rc bpk batamm_rc kantor dinas tanjung pinang 5 lantai R" xfId="21987"/>
    <cellStyle name="‡_rab proyek bpk_rc bpk batammm" xfId="21986"/>
    <cellStyle name="‡_rab proyek bpk_rc gor dalam kota bangkinang" xfId="21985"/>
    <cellStyle name="‡_rab proyek bpk_rc kantor dinas tanjung pinang 5 lantai" xfId="21984"/>
    <cellStyle name="‡_rab proyek bpk_rc kantor dinas tanjung pinang 5 lantai R" xfId="21983"/>
    <cellStyle name="‡_RAB_ELEKTRIKAL_SPORT CENTRE 2008" xfId="21982"/>
    <cellStyle name="‡_RAB_ELRKTRIKAL_KANTOR DINAS &amp; GUB._Final. R.II, BENAR KABEL TRAY.REV. JACON 30.04.2009xls" xfId="21981"/>
    <cellStyle name="‡_RAP_r1" xfId="21980"/>
    <cellStyle name="‡_rc 6 agus 081" xfId="21979"/>
    <cellStyle name="‡_SCHEME PACKAGES &amp; BUDGET 2 X 7 MW NTT-REV01" xfId="21978"/>
    <cellStyle name="‡_SCHEME PACKAGES &amp; BUDGET 2 X 7 MW NTT-REV01 2" xfId="21977"/>
    <cellStyle name="‡_SCHEME PACKAGES &amp; BUDGET 2 X 7 MW NTT-REV01 2 2" xfId="21976"/>
    <cellStyle name="‡_SCHEME PACKAGES &amp; BUDGET 2 X 7 MW NTT-REV01 3" xfId="21975"/>
    <cellStyle name="‡_SCHEME PACKAGES &amp; BUDGET 2 X 7 MW NTT-REV01 3 2" xfId="21974"/>
    <cellStyle name="‡_SCHEME PACKAGES &amp; BUDGET 2 X 7 MW NTT-REV01 4" xfId="21973"/>
    <cellStyle name="‡_SCHEME PACKAGES &amp; BUDGET 2 X 7 MW NTT-REV01 4 2" xfId="21972"/>
    <cellStyle name="‡_SCHEME PACKAGES &amp; BUDGET 2 X 7 MW NTT-REV01 5" xfId="21971"/>
    <cellStyle name="‡_SCHEME PACKAGES &amp; BUDGET 2 X 7 MW TBK-REV01" xfId="21970"/>
    <cellStyle name="‡_SCHEME PACKAGES &amp; BUDGET 2 X 7 MW TBK-REV01 2" xfId="21969"/>
    <cellStyle name="‡_SCHEME PACKAGES &amp; BUDGET 2 X 7 MW TBK-REV01 2 2" xfId="21968"/>
    <cellStyle name="‡_SCHEME PACKAGES &amp; BUDGET 2 X 7 MW TBK-REV01 3" xfId="21967"/>
    <cellStyle name="‡_SCHEME PACKAGES &amp; BUDGET 2 X 7 MW TBK-REV01 3 2" xfId="21966"/>
    <cellStyle name="‡_SCHEME PACKAGES &amp; BUDGET 2 X 7 MW TBK-REV01 4" xfId="21965"/>
    <cellStyle name="‡_SCHEME PACKAGES &amp; BUDGET 2 X 7 MW TBK-REV01 4 2" xfId="21964"/>
    <cellStyle name="‡_SCHEME PACKAGES &amp; BUDGET 2 X 7 MW TBK-REV01 5" xfId="21963"/>
    <cellStyle name="‡_sex" xfId="21962"/>
    <cellStyle name="‡_sex_b1.57.1417.2004(B)" xfId="21961"/>
    <cellStyle name="‡_sex_b1.57.1417.2004(B)_Bq-M-23 August 2004" xfId="21960"/>
    <cellStyle name="‡_sex_Bq-M-23 August 2004" xfId="21959"/>
    <cellStyle name="‡_SKBDN Batam" xfId="21958"/>
    <cellStyle name="‡_SPESIFIKASI TEKNIS GR" xfId="21957"/>
    <cellStyle name="‡_STA-DRP" xfId="21956"/>
    <cellStyle name="‡_STA-DRP 2" xfId="21955"/>
    <cellStyle name="‡_STA-DRP 2 2" xfId="21954"/>
    <cellStyle name="‡_STA-DRP 3" xfId="21953"/>
    <cellStyle name="‡_STA-DRP 3 2" xfId="21952"/>
    <cellStyle name="‡_STA-DRP 4" xfId="21951"/>
    <cellStyle name="‡_STA-DRP 4 2" xfId="21950"/>
    <cellStyle name="‡_STA-DRP 5" xfId="21949"/>
    <cellStyle name="‡_STA-DRP 6" xfId="21948"/>
    <cellStyle name="‡_STA-DRP 7" xfId="21947"/>
    <cellStyle name="‡_STA-DRP 8" xfId="21946"/>
    <cellStyle name="‡_STA-DRP 9" xfId="21945"/>
    <cellStyle name="‡_STA-DRP_0.Bidakara RAP" xfId="21944"/>
    <cellStyle name="‡_STA-DRP_1.Cost Plan Bapelkes Depkes Batam 2008. xls" xfId="21943"/>
    <cellStyle name="‡_STA-DRP_3.BU - Alat Pakai (Merah)" xfId="21942"/>
    <cellStyle name="‡_STA-DRP_ALAT-BU-SPP-CIPUTARA-ok" xfId="21941"/>
    <cellStyle name="‡_STA-DRP_ALAT-SPP-BU-BPK" xfId="21940"/>
    <cellStyle name="‡_STA-DRP_ALTERNATIF - I KBI (Kyoraku Blow molding)" xfId="21939"/>
    <cellStyle name="‡_STA-DRP_Alternatif#1_Semua Alexindo_Opt_123" xfId="21938"/>
    <cellStyle name="‡_STA-DRP_Alternatif#1_Semua Alexindo_Opt_123_rc kantor dinas tanjung pinang 5 lantai" xfId="21937"/>
    <cellStyle name="‡_STA-DRP_Analisa Bapelkes Full" xfId="21936"/>
    <cellStyle name="‡_STA-DRP_ANALISA BPK DG" xfId="21935"/>
    <cellStyle name="‡_STA-DRP_ANALISA BPK DG_Analisa Bapelkes Full" xfId="21934"/>
    <cellStyle name="‡_STA-DRP_ANALISA BPK DG_SKBDN Batam" xfId="21933"/>
    <cellStyle name="‡_STA-DRP_ANALISA HARGA SATUAN RAB" xfId="21932"/>
    <cellStyle name="‡_STA-DRP_analisa rab" xfId="21931"/>
    <cellStyle name="‡_STA-DRP_ANALISA RAB_SKBDN Batam" xfId="21930"/>
    <cellStyle name="‡_STA-DRP_Bill of Quantity BPK 03082007" xfId="21929"/>
    <cellStyle name="‡_STA-DRP_Bill of Quantity BPK 03082007_Analisa Bapelkes Full" xfId="21928"/>
    <cellStyle name="‡_STA-DRP_BOOK1" xfId="21927"/>
    <cellStyle name="‡_STA-DRP_BOOK1 2" xfId="21926"/>
    <cellStyle name="‡_STA-DRP_BOOK1_0.Bidakara RAP" xfId="21925"/>
    <cellStyle name="‡_STA-DRP_BOOK1_1.Cost Plan Bapelkes Depkes Batam 2008. xls" xfId="21924"/>
    <cellStyle name="‡_STA-DRP_BOOK1_2. KANTOR WILAYAH" xfId="21923"/>
    <cellStyle name="‡_STA-DRP_BOOK1_2. KANTOR WILAYAH_RAB EE-ELEK BI SMRD" xfId="21922"/>
    <cellStyle name="‡_STA-DRP_BOOK1_3.BU - Alat Pakai (Merah)" xfId="21921"/>
    <cellStyle name="‡_STA-DRP_BOOK1_ALAT-BU-SPP-CIPUTARA-ok" xfId="21920"/>
    <cellStyle name="‡_STA-DRP_BOOK1_ALAT-SPP-BU-BPK" xfId="21919"/>
    <cellStyle name="‡_STA-DRP_BOOK1_ALTERNATIF - I KBI (Kyoraku Blow molding)" xfId="21918"/>
    <cellStyle name="‡_STA-DRP_BOOK1_Alternatif#1_Semua Alexindo_Opt_123" xfId="21917"/>
    <cellStyle name="‡_STA-DRP_BOOK1_Analisa Bapelkes Full" xfId="21916"/>
    <cellStyle name="‡_STA-DRP_BOOK1_ANALISA BPK DG" xfId="21915"/>
    <cellStyle name="‡_STA-DRP_BOOK1_ANALISA HARGA SATUAN RAB" xfId="21914"/>
    <cellStyle name="‡_STA-DRP_BOOK1_analisa rab" xfId="21913"/>
    <cellStyle name="‡_STA-DRP_BOOK1_ANALISA RAB_SKBDN Batam" xfId="21912"/>
    <cellStyle name="‡_STA-DRP_BOOK1_Bill of Quantity BPK 03082007" xfId="21911"/>
    <cellStyle name="‡_STA-DRP_BOOK1_BQ ACP ALUCOBOND ECO_OPT_RAPP_1" xfId="21910"/>
    <cellStyle name="‡_STA-DRP_BOOK1_BQ ACP ALUCOBOND ECO_OPT_RAPP_1_Realisasi Kontrak Kampar 31 agustus 2009" xfId="21909"/>
    <cellStyle name="‡_STA-DRP_BOOK1_BQ ALUM_ALT#1" xfId="21908"/>
    <cellStyle name="‡_STA-DRP_BOOK1_BQ Alumn_BPK Bengkulu_3_Komplit" xfId="21907"/>
    <cellStyle name="‡_STA-DRP_BOOK1_BQ Facade Astra" xfId="21906"/>
    <cellStyle name="‡_STA-DRP_BOOK1_BQ FACADE_Rev#2" xfId="21905"/>
    <cellStyle name="‡_STA-DRP_BOOK1_BQ FACADE_Rev#2_Realisasi Kontrak Kampar 31 agustus 2009" xfId="21904"/>
    <cellStyle name="‡_STA-DRP_BOOK1_bq gor bangkinang" xfId="21903"/>
    <cellStyle name="‡_STA-DRP_BOOK1_BQ Kantor-Kalbe OTC, Jakarta.xls" xfId="21902"/>
    <cellStyle name="‡_STA-DRP_BOOK1_BQ KISI-KISI" xfId="21901"/>
    <cellStyle name="‡_STA-DRP_BOOK1_BQ KUSEN SMA PINTAR" xfId="21900"/>
    <cellStyle name="‡_STA-DRP_BOOK1_BQ KUSEN SMA PINTAR_Rev#1_Opt_Abiz_1_rapp" xfId="21899"/>
    <cellStyle name="‡_STA-DRP_BOOK1_BQ KUSEN TANJUNG PIANNG_EMAIL(2)" xfId="21898"/>
    <cellStyle name="‡_STA-DRP_BOOK1_BQ ME Sebagian R2" xfId="21897"/>
    <cellStyle name="‡_STA-DRP_BOOK1_BQ PINTU DAN JENDELA" xfId="21896"/>
    <cellStyle name="‡_STA-DRP_BOOK1_BQ Realisasi Kontrak_RAPP" xfId="21895"/>
    <cellStyle name="‡_STA-DRP_BOOK1_BQ+Hit. Lt 10, atap (Dago 27-06-2007 )" xfId="21894"/>
    <cellStyle name="‡_STA-DRP_BOOK1_BQ-E" xfId="21893"/>
    <cellStyle name="‡_STA-DRP_BOOK1_BQ-elec-kiic4(D) " xfId="21892"/>
    <cellStyle name="‡_STA-DRP_BOOK1_Bq-Form Mech ( Baru ) 05" xfId="21891"/>
    <cellStyle name="‡_STA-DRP_BOOK1_BQ-Kalbefarma OTC 29Juni2010.xls" xfId="21890"/>
    <cellStyle name="‡_STA-DRP_BOOK1_Bq-M-23 August 2004" xfId="21889"/>
    <cellStyle name="‡_STA-DRP_BOOK1_BQ-Mech. Summitmas II" xfId="21888"/>
    <cellStyle name="‡_STA-DRP_BOOK1_BQ-Moric-Elec (A)" xfId="21887"/>
    <cellStyle name="‡_STA-DRP_BOOK1_BQ-PermataBank Batam25Jan11.xls" xfId="21886"/>
    <cellStyle name="‡_STA-DRP_BOOK1_BQ-SHIBAURA SHEARING" xfId="21885"/>
    <cellStyle name="‡_STA-DRP_BOOK1_BQ-SHIBAURA SHEARING(Cancel)" xfId="21884"/>
    <cellStyle name="‡_STA-DRP_BOOK1_BQ-YAMAHA FLAGSHIP-A" xfId="21883"/>
    <cellStyle name="‡_STA-DRP_BOOK1_BU-Alat-Spp Bapelkes Thp II" xfId="21882"/>
    <cellStyle name="‡_STA-DRP_BOOK1_Dephan (YKPP)_Rev#31" xfId="21881"/>
    <cellStyle name="‡_STA-DRP_BOOK1_EE_MEKANIKAL_2007 ~ xx" xfId="21880"/>
    <cellStyle name="‡_STA-DRP_BOOK1_EVALUASI HARGA_OPT" xfId="21879"/>
    <cellStyle name="‡_STA-DRP_BOOK1_Expense" xfId="21878"/>
    <cellStyle name="‡_STA-DRP_BOOK1_FORM MONITORING SUB" xfId="21877"/>
    <cellStyle name="‡_STA-DRP_BOOK1_FORM MONITORING SUB_D0C. RECORD PROGRESS INDOKOMAS" xfId="21876"/>
    <cellStyle name="‡_STA-DRP_BOOK1_Hit SKBDN" xfId="21875"/>
    <cellStyle name="‡_STA-DRP_BOOK1_Hit. Hotel Sutan Raja Minahasa (MYO)" xfId="21874"/>
    <cellStyle name="‡_STA-DRP_BOOK1_Hit. Lantai - 1" xfId="21873"/>
    <cellStyle name="‡_STA-DRP_BOOK1_KONTRAK KAMPAR" xfId="21872"/>
    <cellStyle name="‡_STA-DRP_BOOK1_KURVA S (DETAIL TYPE 2)" xfId="21871"/>
    <cellStyle name="‡_STA-DRP_BOOK1_MAKER LIST" xfId="21870"/>
    <cellStyle name="‡_STA-DRP_BOOK1_pek yang di sub kan" xfId="21869"/>
    <cellStyle name="‡_STA-DRP_BOOK1_Penawaran harga rumah DPR_Revisi#3_Opt" xfId="21868"/>
    <cellStyle name="‡_STA-DRP_BOOK1_Penawaran harga rumah DPR_Revisi#3_Opt_Realisasi Kontrak Kampar 31 agustus 2009" xfId="21867"/>
    <cellStyle name="‡_STA-DRP_BOOK1_RAB 2007_2008 6,5 M R8" xfId="21866"/>
    <cellStyle name="‡_STA-DRP_BOOK1_RAB EE-ELEK BI SMRD" xfId="21865"/>
    <cellStyle name="‡_STA-DRP_BOOK1_RAB gr PP setelah direvisi  31 okt 07l " xfId="21864"/>
    <cellStyle name="‡_STA-DRP_BOOK1_RAB gr PP setelah direvisi  31 okt 07l _ANALISA HARGA SATUAN" xfId="21863"/>
    <cellStyle name="‡_STA-DRP_BOOK1_RAB gr PP setelah direvisi  31 okt 07l _rc bpk batamm" xfId="21862"/>
    <cellStyle name="‡_STA-DRP_BOOK1_RAB gr PP setelah direvisi  31 okt 07l _rc bpk batamm_BQ ASITEKTUR BTN BATAM dan sipil" xfId="21861"/>
    <cellStyle name="‡_STA-DRP_BOOK1_RAB gr PP setelah direvisi  31 okt 07l _rc bpk batamm_c bpk batam 24,5 M" xfId="21860"/>
    <cellStyle name="‡_STA-DRP_BOOK1_RAB gr PP setelah direvisi  31 okt 07l _rc bpk batamm_rc gor dalam kota bangkinang" xfId="21859"/>
    <cellStyle name="‡_STA-DRP_BOOK1_RAB gr PP setelah direvisi  31 okt 07l _rc bpk batamm_rc kantor dinas tanjung pinang 5 lantai R" xfId="21858"/>
    <cellStyle name="‡_STA-DRP_BOOK1_RAB gr PP setelah direvisi  31 okt 07l _Rc SIJUNJUNG" xfId="21857"/>
    <cellStyle name="‡_STA-DRP_BOOK1_rab proyek bpk" xfId="21856"/>
    <cellStyle name="‡_STA-DRP_BOOK1_rab proyek bpk_rc bpk batamm" xfId="21855"/>
    <cellStyle name="‡_STA-DRP_BOOK1_rab proyek bpk_rc bpk batamm_BQ ASITEKTUR BTN BATAM dan sipil" xfId="21854"/>
    <cellStyle name="‡_STA-DRP_BOOK1_rab proyek bpk_rc bpk batamm_c bpk batam 24,5 M" xfId="21853"/>
    <cellStyle name="‡_STA-DRP_BOOK1_rab proyek bpk_rc bpk batamm_rc gor dalam kota bangkinang" xfId="21852"/>
    <cellStyle name="‡_STA-DRP_BOOK1_rab proyek bpk_rc bpk batamm_rc kantor dinas tanjung pinang 5 lantai R" xfId="21851"/>
    <cellStyle name="‡_STA-DRP_BOOK1_RAB RUANG SERBAGUNA" xfId="21850"/>
    <cellStyle name="‡_STA-DRP_BOOK1_RAB_DUCT_SRBGN_SETJEN_DEPKEU_020707" xfId="21849"/>
    <cellStyle name="‡_STA-DRP_BOOK1_RAB_ELEKTRIKAL_2007" xfId="21848"/>
    <cellStyle name="‡_STA-DRP_BOOK1_RAB_ELEKTRIKAL_SPORT CENTRE 2008" xfId="21847"/>
    <cellStyle name="‡_STA-DRP_BOOK1_RAB_ELRKTRIKAL_KANTOR DINAS &amp; GUB._Final. R.II, BENAR KABEL TRAY.REV. JACON 30.04.2009xls" xfId="21846"/>
    <cellStyle name="‡_STA-DRP_BOOK1_RAB_MEKANIKAL_2007" xfId="21845"/>
    <cellStyle name="‡_STA-DRP_BOOK1_RAB_MEKANIKAL_2007_2" xfId="21844"/>
    <cellStyle name="‡_STA-DRP_BOOK1_RAP_r1" xfId="21843"/>
    <cellStyle name="‡_STA-DRP_BOOK1_Revisi-Kalbefarma OTC 5Jul2010 (2)-3.xls" xfId="21842"/>
    <cellStyle name="‡_STA-DRP_BOOK1_Revisi-Kalbefarma OTC 6Jul2010-ME8%.xls" xfId="21841"/>
    <cellStyle name="‡_STA-DRP_BOOK1_sex" xfId="21840"/>
    <cellStyle name="‡_STA-DRP_BOOK1_sex_b1.57.1417.2004(B)" xfId="21839"/>
    <cellStyle name="‡_STA-DRP_BOOK1_SKBDN Batam" xfId="21838"/>
    <cellStyle name="‡_STA-DRP_BOOK1_SPESIFIKASI TEKNIS GR" xfId="21837"/>
    <cellStyle name="‡_STA-DRP_BOOK1_UIN (NEW)" xfId="21836"/>
    <cellStyle name="‡_STA-DRP_BOOK1_Vol. Bapelkes blok C ( Myo 07.12.07)" xfId="21835"/>
    <cellStyle name="‡_STA-DRP_BOOK1_Vol. Precast" xfId="21834"/>
    <cellStyle name="‡_STA-DRP_BQ &amp; An Pds Gdg - KIM I" xfId="21833"/>
    <cellStyle name="‡_STA-DRP_BQ &amp; An Pds Gdg - KIM I_GALIAN C" xfId="21832"/>
    <cellStyle name="‡_STA-DRP_BQ &amp; An Pds Gdg - KIM I_Pen- Kodja Revisi 02 November 2009 (Rev 11-11-09)" xfId="21831"/>
    <cellStyle name="‡_STA-DRP_BQ &amp; An Pds Gdg - KIM I_Pen- Kodja Revisi 27 JAN 2010" xfId="21830"/>
    <cellStyle name="‡_STA-DRP_BQ &amp; An Pds Gdg - KIM I_RAB Kodja Revisi 22 feb 2010" xfId="21829"/>
    <cellStyle name="‡_STA-DRP_BQ &amp; An Pds Gdg - KIM I_RAB Kodja Revisi 23 feb 2010, revisi analisa" xfId="21828"/>
    <cellStyle name="‡_STA-DRP_BQ &amp; An Pondasi SEP &amp; WAREHOUSE-KIM I (R-0)" xfId="21827"/>
    <cellStyle name="‡_STA-DRP_BQ &amp; An Pondasi SEP &amp; WAREHOUSE-KIM I (R-0)_GALIAN C" xfId="21826"/>
    <cellStyle name="‡_STA-DRP_BQ &amp; An Pondasi SEP &amp; WAREHOUSE-KIM I (R-0)_Pen- Kodja Revisi 02 November 2009 (Rev 11-11-09)" xfId="21825"/>
    <cellStyle name="‡_STA-DRP_BQ &amp; An Pondasi SEP &amp; WAREHOUSE-KIM I (R-0)_Pen- Kodja Revisi 27 JAN 2010" xfId="21824"/>
    <cellStyle name="‡_STA-DRP_BQ &amp; An Pondasi SEP &amp; WAREHOUSE-KIM I (R-0)_RAB Kodja Revisi 22 feb 2010" xfId="21823"/>
    <cellStyle name="‡_STA-DRP_BQ &amp; An Pondasi SEP &amp; WAREHOUSE-KIM I (R-0)_RAB Kodja Revisi 23 feb 2010, revisi analisa" xfId="21822"/>
    <cellStyle name="‡_STA-DRP_BQ ACP ALUCOBOND ECO_OPT_RAPP_1" xfId="21821"/>
    <cellStyle name="‡_STA-DRP_BQ ACP ALUCOBOND ECO_OPT_RAPP_1_rc kantor dinas tanjung pinang 5 lantai" xfId="21820"/>
    <cellStyle name="‡_STA-DRP_BQ ACP ALUCOBOND ECO_OPT_RAPP_1_Realisasi Kontrak Kampar 31 agustus 2009" xfId="21819"/>
    <cellStyle name="‡_STA-DRP_BQ ALUM_ALT#1" xfId="21818"/>
    <cellStyle name="‡_STA-DRP_BQ Alumn_BPK Bengkulu_3_Komplit" xfId="21817"/>
    <cellStyle name="‡_STA-DRP_BQ Alumn_BPK Bengkulu_3_Komplit_rc kantor dinas tanjung pinang 5 lantai" xfId="21816"/>
    <cellStyle name="‡_STA-DRP_BQ Facade Astra" xfId="21815"/>
    <cellStyle name="‡_STA-DRP_BQ FACADE_Rev#2" xfId="21814"/>
    <cellStyle name="‡_STA-DRP_BQ FACADE_Rev#2_rc kantor dinas tanjung pinang 5 lantai" xfId="21813"/>
    <cellStyle name="‡_STA-DRP_BQ FACADE_Rev#2_Realisasi Kontrak Kampar 31 agustus 2009" xfId="21812"/>
    <cellStyle name="‡_STA-DRP_bq gor bangkinang" xfId="21811"/>
    <cellStyle name="‡_STA-DRP_BQ KISI-KISI" xfId="21810"/>
    <cellStyle name="‡_STA-DRP_BQ KISI-KISI_rc kantor dinas tanjung pinang 5 lantai" xfId="21809"/>
    <cellStyle name="‡_STA-DRP_BQ KUSEN SMA PINTAR" xfId="21808"/>
    <cellStyle name="‡_STA-DRP_BQ KUSEN SMA PINTAR_Rev#1_Opt_Abiz_1_rapp" xfId="21807"/>
    <cellStyle name="‡_STA-DRP_BQ ME Sebagian R2" xfId="21806"/>
    <cellStyle name="‡_STA-DRP_BQ Pabrik Biodiesel MM-Btm" xfId="21805"/>
    <cellStyle name="‡_STA-DRP_BQ Pabrik Biodiesel MM-Btm_GALIAN C" xfId="21804"/>
    <cellStyle name="‡_STA-DRP_BQ Pabrik Biodiesel MM-Btm_Pen- Kodja Revisi 02 November 2009 (Rev 11-11-09)" xfId="21803"/>
    <cellStyle name="‡_STA-DRP_BQ Pabrik Biodiesel MM-Btm_Pen- Kodja Revisi 27 JAN 2010" xfId="21802"/>
    <cellStyle name="‡_STA-DRP_BQ Pabrik Biodiesel MM-Btm_RAB Kodja Revisi 22 feb 2010" xfId="21801"/>
    <cellStyle name="‡_STA-DRP_BQ Pabrik Biodiesel MM-Btm_RAB Kodja Revisi 23 feb 2010, revisi analisa" xfId="21800"/>
    <cellStyle name="‡_STA-DRP_BQ PINTU DAN JENDELA" xfId="21799"/>
    <cellStyle name="‡_STA-DRP_BQ PINTU DAN JENDELA_rc kantor dinas tanjung pinang 5 lantai" xfId="21798"/>
    <cellStyle name="‡_STA-DRP_BQ Realisasi Kontrak_RAPP" xfId="21797"/>
    <cellStyle name="‡_STA-DRP_BQ Realisasi Kontrak_RAPP_rc kantor dinas tanjung pinang 5 lantai" xfId="21796"/>
    <cellStyle name="‡_STA-DRP_BQ+Hit. Lt 10, atap (Dago 27-06-2007 )" xfId="21795"/>
    <cellStyle name="‡_STA-DRP_BQ-E" xfId="21794"/>
    <cellStyle name="‡_STA-DRP_BQ-E_Bq-M-23 August 2004" xfId="21793"/>
    <cellStyle name="‡_STA-DRP_BQ-elec-kiic4(D) " xfId="21792"/>
    <cellStyle name="‡_STA-DRP_Bq-Form Mech ( Baru ) 05" xfId="21791"/>
    <cellStyle name="‡_STA-DRP_BQ-Mech. Summitmas II" xfId="21790"/>
    <cellStyle name="‡_STA-DRP_BQ-Moric-Elec (A)" xfId="21789"/>
    <cellStyle name="‡_STA-DRP_BQ-SHIBAURA SHEARING" xfId="21788"/>
    <cellStyle name="‡_STA-DRP_BQ-SHIBAURA SHEARING(Cancel)" xfId="21787"/>
    <cellStyle name="‡_STA-DRP_BQ-YAMAHA FLAGSHIP-A" xfId="21786"/>
    <cellStyle name="‡_STA-DRP_BU-Alat-Spp Bapelkes Thp II" xfId="21785"/>
    <cellStyle name="‡_STA-DRP_Dephan (YKPP)_Rev#31" xfId="21784"/>
    <cellStyle name="‡_STA-DRP_EVALUASI HARGA_OPT" xfId="21783"/>
    <cellStyle name="‡_STA-DRP_EXERCISE PRICE-2x10 W70-1050-PO-KENDARI" xfId="21782"/>
    <cellStyle name="‡_STA-DRP_EXERCISE PRICE-2x10 W70-1050-PO-KENDARI 2" xfId="21781"/>
    <cellStyle name="‡_STA-DRP_EXERCISE PRICE-2x10 W70-1050-PO-KENDARI 3" xfId="21780"/>
    <cellStyle name="‡_STA-DRP_EXERCISE PRICE-2x10 W70-1050-PO-KENDARI 4" xfId="21779"/>
    <cellStyle name="‡_STA-DRP_EXERCISE PRICE-2x10 W70-1050-PO-KENDARI 5" xfId="21778"/>
    <cellStyle name="‡_STA-DRP_EXERCISE PRICE-2x10 W70-1050-PO-KENDARI 6" xfId="21777"/>
    <cellStyle name="‡_STA-DRP_EXERCISE PRICE-2x10 W70-1050-PO-KENDARI 7" xfId="21776"/>
    <cellStyle name="‡_STA-DRP_EXERCISE PRICE-2x10 W70-1050-PO-KENDARI 8" xfId="21775"/>
    <cellStyle name="‡_STA-DRP_EXERCISE PRICE-2X7 WO70-1100-PO-Riau" xfId="21774"/>
    <cellStyle name="‡_STA-DRP_EXERCISE PRICE-2X7 WO70-1100-PO-Riau 2" xfId="21773"/>
    <cellStyle name="‡_STA-DRP_EXERCISE PRICE-2X7 WO70-1100-PO-Riau 3" xfId="21772"/>
    <cellStyle name="‡_STA-DRP_EXERCISE PRICE-2X7 WO70-1100-PO-Riau 4" xfId="21771"/>
    <cellStyle name="‡_STA-DRP_EXERCISE PRICE-2X7 WO70-1100-PO-Riau 5" xfId="21770"/>
    <cellStyle name="‡_STA-DRP_EXERCISE PRICE-2X7 WO70-1100-PO-Riau 6" xfId="21769"/>
    <cellStyle name="‡_STA-DRP_EXERCISE PRICE-2X7 WO70-1100-PO-Riau 7" xfId="21768"/>
    <cellStyle name="‡_STA-DRP_EXERCISE PRICE-2X7 WO70-1100-PO-Riau 8" xfId="21767"/>
    <cellStyle name="‡_STA-DRP_Expense" xfId="21766"/>
    <cellStyle name="‡_STA-DRP_f. RAB ME PUS 9 juni 08 GDZ" xfId="21765"/>
    <cellStyle name="‡_STA-DRP_FORM MONITORING SUB" xfId="21764"/>
    <cellStyle name="‡_STA-DRP_FORM MONITORING SUB_D0C. RECORD PROGRESS INDOKOMAS" xfId="21763"/>
    <cellStyle name="‡_STA-DRP_FORM SUMMARY OF PRICE" xfId="21762"/>
    <cellStyle name="‡_STA-DRP_g. RAB ME PUS 13 juni 08 GDZ" xfId="21761"/>
    <cellStyle name="‡_STA-DRP_GALIAN C" xfId="21760"/>
    <cellStyle name="‡_STA-DRP_Hit SKBDN" xfId="21759"/>
    <cellStyle name="‡_STA-DRP_Hit. Hotel Sutan Raja Minahasa (MYO)" xfId="21758"/>
    <cellStyle name="‡_STA-DRP_Hit. Hotel Sutan Raja Minahasa (MYO)_Analisa Bapelkes Full" xfId="21757"/>
    <cellStyle name="‡_STA-DRP_Hit. Lantai - 1" xfId="21756"/>
    <cellStyle name="‡_STA-DRP_Inquiry Plan-KEPULAUAN RIAU 2X7 MW-GABUNGAN" xfId="21755"/>
    <cellStyle name="‡_STA-DRP_Inquiry Plan-KEPULAUAN RIAU 2X7 MW-GABUNGAN 2" xfId="21754"/>
    <cellStyle name="‡_STA-DRP_Inquiry Plan-KEPULAUAN RIAU 2X7 MW-GABUNGAN 2 2" xfId="21753"/>
    <cellStyle name="‡_STA-DRP_Inquiry Plan-KEPULAUAN RIAU 2X7 MW-GABUNGAN 3" xfId="21752"/>
    <cellStyle name="‡_STA-DRP_Inquiry Plan-KEPULAUAN RIAU 2X7 MW-GABUNGAN 3 2" xfId="21751"/>
    <cellStyle name="‡_STA-DRP_Inquiry Plan-KEPULAUAN RIAU 2X7 MW-GABUNGAN 4" xfId="21750"/>
    <cellStyle name="‡_STA-DRP_Inquiry Plan-KEPULAUAN RIAU 2X7 MW-GABUNGAN 4 2" xfId="21749"/>
    <cellStyle name="‡_STA-DRP_Inquiry Plan-KEPULAUAN RIAU 2X7 MW-GABUNGAN 5" xfId="21748"/>
    <cellStyle name="‡_STA-DRP_j. RAB ME PUS 21 juni 08 GDZ" xfId="21747"/>
    <cellStyle name="‡_STA-DRP_j. RAB ME PUS 21 juni 08 GDZ 2" xfId="21746"/>
    <cellStyle name="‡_STA-DRP_KONTRAK KAMPAR" xfId="21745"/>
    <cellStyle name="‡_STA-DRP_KURVA S (DETAIL TYPE 2)" xfId="21744"/>
    <cellStyle name="‡_STA-DRP_MAKER LIST" xfId="21743"/>
    <cellStyle name="‡_STA-DRP_pek yang di sub kan" xfId="21742"/>
    <cellStyle name="‡_STA-DRP_Pen- Kodja Revisi 02 November 2009 (Rev 11-11-09)" xfId="21741"/>
    <cellStyle name="‡_STA-DRP_Pen- Kodja Revisi 27 JAN 2010" xfId="21740"/>
    <cellStyle name="‡_STA-DRP_Penawaran harga rumah DPR_Revisi#3_Opt" xfId="21739"/>
    <cellStyle name="‡_STA-DRP_Penawaran harga rumah DPR_Revisi#3_Opt_rc kantor dinas tanjung pinang 5 lantai" xfId="21738"/>
    <cellStyle name="‡_STA-DRP_Penawaran harga rumah DPR_Revisi#3_Opt_Realisasi Kontrak Kampar 31 agustus 2009" xfId="21737"/>
    <cellStyle name="‡_STA-DRP_RAB 2007_2008 6,5 M R8" xfId="21736"/>
    <cellStyle name="‡_STA-DRP_RAB EE-ELEK BI SMRD" xfId="21735"/>
    <cellStyle name="‡_STA-DRP_RAB gr PP setelah direvisi  31 okt 07l " xfId="21734"/>
    <cellStyle name="‡_STA-DRP_RAB gr PP setelah direvisi  31 okt 07l _ANALISA HARGA SATUAN" xfId="21733"/>
    <cellStyle name="‡_STA-DRP_RAB gr PP setelah direvisi  31 okt 07l _BQ ASITEKTUR BTN BATAM dan sipil" xfId="21732"/>
    <cellStyle name="‡_STA-DRP_RAB gr PP setelah direvisi  31 okt 07l _c bpk batam 24,5 M" xfId="21731"/>
    <cellStyle name="‡_STA-DRP_RAB gr PP setelah direvisi  31 okt 07l _rc bpk batamm" xfId="21730"/>
    <cellStyle name="‡_STA-DRP_RAB gr PP setelah direvisi  31 okt 07l _rc bpk batamm_BQ ASITEKTUR BTN BATAM dan sipil" xfId="21729"/>
    <cellStyle name="‡_STA-DRP_RAB gr PP setelah direvisi  31 okt 07l _rc bpk batamm_c bpk batam 24,5 M" xfId="21728"/>
    <cellStyle name="‡_STA-DRP_RAB gr PP setelah direvisi  31 okt 07l _rc bpk batamm_rc gor dalam kota bangkinang" xfId="21727"/>
    <cellStyle name="‡_STA-DRP_RAB gr PP setelah direvisi  31 okt 07l _rc bpk batamm_rc kantor dinas tanjung pinang 5 lantai" xfId="21726"/>
    <cellStyle name="‡_STA-DRP_RAB gr PP setelah direvisi  31 okt 07l _rc bpk batamm_rc kantor dinas tanjung pinang 5 lantai R" xfId="21725"/>
    <cellStyle name="‡_STA-DRP_RAB gr PP setelah direvisi  31 okt 07l _rc bpk batammm" xfId="21724"/>
    <cellStyle name="‡_STA-DRP_RAB gr PP setelah direvisi  31 okt 07l _rc gor dalam kota bangkinang" xfId="21723"/>
    <cellStyle name="‡_STA-DRP_RAB gr PP setelah direvisi  31 okt 07l _rc kantor dinas tanjung pinang 5 lantai" xfId="21722"/>
    <cellStyle name="‡_STA-DRP_RAB gr PP setelah direvisi  31 okt 07l _rc kantor dinas tanjung pinang 5 lantai R" xfId="21721"/>
    <cellStyle name="‡_STA-DRP_RAB gr PP setelah direvisi  31 okt 07l _Rc SIJUNJUNG" xfId="21720"/>
    <cellStyle name="‡_STA-DRP_RAB Kodja Revisi 22 feb 2010" xfId="21719"/>
    <cellStyle name="‡_STA-DRP_RAB Kodja Revisi 23 feb 2010, revisi analisa" xfId="21718"/>
    <cellStyle name="‡_STA-DRP_rab proyek bpk" xfId="21717"/>
    <cellStyle name="‡_STA-DRP_rab proyek bpk_BQ ASITEKTUR BTN BATAM dan sipil" xfId="21716"/>
    <cellStyle name="‡_STA-DRP_rab proyek bpk_c bpk batam 24,5 M" xfId="21715"/>
    <cellStyle name="‡_STA-DRP_rab proyek bpk_rc bpk batamm" xfId="21714"/>
    <cellStyle name="‡_STA-DRP_rab proyek bpk_rc bpk batamm_BQ ASITEKTUR BTN BATAM dan sipil" xfId="21713"/>
    <cellStyle name="‡_STA-DRP_rab proyek bpk_rc bpk batamm_c bpk batam 24,5 M" xfId="21712"/>
    <cellStyle name="‡_STA-DRP_rab proyek bpk_rc bpk batamm_rc gor dalam kota bangkinang" xfId="21711"/>
    <cellStyle name="‡_STA-DRP_rab proyek bpk_rc bpk batamm_rc kantor dinas tanjung pinang 5 lantai" xfId="21710"/>
    <cellStyle name="‡_STA-DRP_rab proyek bpk_rc bpk batamm_rc kantor dinas tanjung pinang 5 lantai R" xfId="21709"/>
    <cellStyle name="‡_STA-DRP_rab proyek bpk_rc bpk batammm" xfId="21708"/>
    <cellStyle name="‡_STA-DRP_rab proyek bpk_rc gor dalam kota bangkinang" xfId="21707"/>
    <cellStyle name="‡_STA-DRP_rab proyek bpk_rc kantor dinas tanjung pinang 5 lantai" xfId="21706"/>
    <cellStyle name="‡_STA-DRP_rab proyek bpk_rc kantor dinas tanjung pinang 5 lantai R" xfId="21705"/>
    <cellStyle name="‡_STA-DRP_RAB_ELEKTRIKAL_SPORT CENTRE 2008" xfId="21704"/>
    <cellStyle name="‡_STA-DRP_RAB_ELRKTRIKAL_KANTOR DINAS &amp; GUB._Final. R.II, BENAR KABEL TRAY.REV. JACON 30.04.2009xls" xfId="21703"/>
    <cellStyle name="‡_STA-DRP_RAP_r1" xfId="21702"/>
    <cellStyle name="‡_STA-DRP_rc 6 agus 081" xfId="21701"/>
    <cellStyle name="‡_STA-DRP_SCHEME PACKAGES &amp; BUDGET 2 X 7 MW NTT-REV01" xfId="21700"/>
    <cellStyle name="‡_STA-DRP_SCHEME PACKAGES &amp; BUDGET 2 X 7 MW NTT-REV01 2" xfId="21699"/>
    <cellStyle name="‡_STA-DRP_SCHEME PACKAGES &amp; BUDGET 2 X 7 MW NTT-REV01 2 2" xfId="21698"/>
    <cellStyle name="‡_STA-DRP_SCHEME PACKAGES &amp; BUDGET 2 X 7 MW NTT-REV01 3" xfId="21697"/>
    <cellStyle name="‡_STA-DRP_SCHEME PACKAGES &amp; BUDGET 2 X 7 MW NTT-REV01 3 2" xfId="21696"/>
    <cellStyle name="‡_STA-DRP_SCHEME PACKAGES &amp; BUDGET 2 X 7 MW NTT-REV01 4" xfId="21695"/>
    <cellStyle name="‡_STA-DRP_SCHEME PACKAGES &amp; BUDGET 2 X 7 MW NTT-REV01 4 2" xfId="21694"/>
    <cellStyle name="‡_STA-DRP_SCHEME PACKAGES &amp; BUDGET 2 X 7 MW NTT-REV01 5" xfId="21693"/>
    <cellStyle name="‡_STA-DRP_SCHEME PACKAGES &amp; BUDGET 2 X 7 MW TBK-REV01" xfId="21692"/>
    <cellStyle name="‡_STA-DRP_SCHEME PACKAGES &amp; BUDGET 2 X 7 MW TBK-REV01 2" xfId="21691"/>
    <cellStyle name="‡_STA-DRP_SCHEME PACKAGES &amp; BUDGET 2 X 7 MW TBK-REV01 2 2" xfId="21690"/>
    <cellStyle name="‡_STA-DRP_SCHEME PACKAGES &amp; BUDGET 2 X 7 MW TBK-REV01 3" xfId="21689"/>
    <cellStyle name="‡_STA-DRP_SCHEME PACKAGES &amp; BUDGET 2 X 7 MW TBK-REV01 3 2" xfId="21688"/>
    <cellStyle name="‡_STA-DRP_SCHEME PACKAGES &amp; BUDGET 2 X 7 MW TBK-REV01 4" xfId="21687"/>
    <cellStyle name="‡_STA-DRP_SCHEME PACKAGES &amp; BUDGET 2 X 7 MW TBK-REV01 4 2" xfId="21686"/>
    <cellStyle name="‡_STA-DRP_SCHEME PACKAGES &amp; BUDGET 2 X 7 MW TBK-REV01 5" xfId="21685"/>
    <cellStyle name="‡_STA-DRP_sex" xfId="21684"/>
    <cellStyle name="‡_STA-DRP_sex_b1.57.1417.2004(B)" xfId="21683"/>
    <cellStyle name="‡_STA-DRP_sex_b1.57.1417.2004(B)_Bq-M-23 August 2004" xfId="21682"/>
    <cellStyle name="‡_STA-DRP_sex_Bq-M-23 August 2004" xfId="21681"/>
    <cellStyle name="‡_STA-DRP_SKBDN Batam" xfId="21680"/>
    <cellStyle name="‡_STA-DRP_SPESIFIKASI TEKNIS GR" xfId="21679"/>
    <cellStyle name="‡_STA-DRP_UIN (NEW)" xfId="21678"/>
    <cellStyle name="‡_STA-DRP_Vol. Bapelkes blok C ( Myo 07.12.07)" xfId="21677"/>
    <cellStyle name="‡_STA-DRP_Vol. Precast" xfId="21676"/>
    <cellStyle name="‡_Subang Piping" xfId="21675"/>
    <cellStyle name="‡_Subang Piping 2" xfId="21674"/>
    <cellStyle name="‡_Subang Piping 2 2" xfId="21673"/>
    <cellStyle name="‡_Subang Piping 3" xfId="21672"/>
    <cellStyle name="‡_Subang Piping 3 2" xfId="21671"/>
    <cellStyle name="‡_Subang Piping 4" xfId="21670"/>
    <cellStyle name="‡_Subang Piping 4 2" xfId="21669"/>
    <cellStyle name="‡_Subang Piping 5" xfId="21668"/>
    <cellStyle name="‡_Subang Piping 6" xfId="21667"/>
    <cellStyle name="‡_Subang Piping 7" xfId="21666"/>
    <cellStyle name="‡_Subang Piping 8" xfId="21665"/>
    <cellStyle name="‡_Subang Piping 9" xfId="21664"/>
    <cellStyle name="‡_Subang Piping_BQ &amp; An Pds Gdg - KIM I" xfId="21663"/>
    <cellStyle name="‡_Subang Piping_BQ &amp; An Pds Gdg - KIM I_GALIAN C" xfId="21662"/>
    <cellStyle name="‡_Subang Piping_BQ &amp; An Pds Gdg - KIM I_Pen- Kodja Revisi 02 November 2009 (Rev 11-11-09)" xfId="21661"/>
    <cellStyle name="‡_Subang Piping_BQ &amp; An Pds Gdg - KIM I_Pen- Kodja Revisi 27 JAN 2010" xfId="21660"/>
    <cellStyle name="‡_Subang Piping_BQ &amp; An Pds Gdg - KIM I_RAB Kodja Revisi 22 feb 2010" xfId="21659"/>
    <cellStyle name="‡_Subang Piping_BQ &amp; An Pds Gdg - KIM I_RAB Kodja Revisi 23 feb 2010, revisi analisa" xfId="21658"/>
    <cellStyle name="‡_Subang Piping_BQ &amp; An Pondasi SEP &amp; WAREHOUSE-KIM I (R-0)" xfId="21657"/>
    <cellStyle name="‡_Subang Piping_BQ &amp; An Pondasi SEP &amp; WAREHOUSE-KIM I (R-0)_GALIAN C" xfId="21656"/>
    <cellStyle name="‡_Subang Piping_BQ &amp; An Pondasi SEP &amp; WAREHOUSE-KIM I (R-0)_Pen- Kodja Revisi 02 November 2009 (Rev 11-11-09)" xfId="21655"/>
    <cellStyle name="‡_Subang Piping_BQ &amp; An Pondasi SEP &amp; WAREHOUSE-KIM I (R-0)_Pen- Kodja Revisi 27 JAN 2010" xfId="21654"/>
    <cellStyle name="‡_Subang Piping_BQ &amp; An Pondasi SEP &amp; WAREHOUSE-KIM I (R-0)_RAB Kodja Revisi 22 feb 2010" xfId="21653"/>
    <cellStyle name="‡_Subang Piping_BQ &amp; An Pondasi SEP &amp; WAREHOUSE-KIM I (R-0)_RAB Kodja Revisi 23 feb 2010, revisi analisa" xfId="21652"/>
    <cellStyle name="‡_Subang Piping_BQ Pabrik Biodiesel MM-Btm" xfId="21651"/>
    <cellStyle name="‡_Subang Piping_BQ Pabrik Biodiesel MM-Btm_GALIAN C" xfId="21650"/>
    <cellStyle name="‡_Subang Piping_BQ Pabrik Biodiesel MM-Btm_Pen- Kodja Revisi 02 November 2009 (Rev 11-11-09)" xfId="21649"/>
    <cellStyle name="‡_Subang Piping_BQ Pabrik Biodiesel MM-Btm_Pen- Kodja Revisi 27 JAN 2010" xfId="21648"/>
    <cellStyle name="‡_Subang Piping_BQ Pabrik Biodiesel MM-Btm_RAB Kodja Revisi 22 feb 2010" xfId="21647"/>
    <cellStyle name="‡_Subang Piping_BQ Pabrik Biodiesel MM-Btm_RAB Kodja Revisi 23 feb 2010, revisi analisa" xfId="21646"/>
    <cellStyle name="‡_Subang Piping_EXERCISE PRICE-2x10 W70-1050-PO-KENDARI" xfId="21645"/>
    <cellStyle name="‡_Subang Piping_EXERCISE PRICE-2x10 W70-1050-PO-KENDARI 2" xfId="21644"/>
    <cellStyle name="‡_Subang Piping_EXERCISE PRICE-2x10 W70-1050-PO-KENDARI 3" xfId="21643"/>
    <cellStyle name="‡_Subang Piping_EXERCISE PRICE-2x10 W70-1050-PO-KENDARI 4" xfId="21642"/>
    <cellStyle name="‡_Subang Piping_EXERCISE PRICE-2x10 W70-1050-PO-KENDARI 5" xfId="21641"/>
    <cellStyle name="‡_Subang Piping_EXERCISE PRICE-2x10 W70-1050-PO-KENDARI 6" xfId="21640"/>
    <cellStyle name="‡_Subang Piping_EXERCISE PRICE-2x10 W70-1050-PO-KENDARI 7" xfId="21639"/>
    <cellStyle name="‡_Subang Piping_EXERCISE PRICE-2x10 W70-1050-PO-KENDARI 8" xfId="21638"/>
    <cellStyle name="‡_Subang Piping_EXERCISE PRICE-2X7 WO70-1100-PO-Riau" xfId="21637"/>
    <cellStyle name="‡_Subang Piping_EXERCISE PRICE-2X7 WO70-1100-PO-Riau 2" xfId="21636"/>
    <cellStyle name="‡_Subang Piping_EXERCISE PRICE-2X7 WO70-1100-PO-Riau 3" xfId="21635"/>
    <cellStyle name="‡_Subang Piping_EXERCISE PRICE-2X7 WO70-1100-PO-Riau 4" xfId="21634"/>
    <cellStyle name="‡_Subang Piping_EXERCISE PRICE-2X7 WO70-1100-PO-Riau 5" xfId="21633"/>
    <cellStyle name="‡_Subang Piping_EXERCISE PRICE-2X7 WO70-1100-PO-Riau 6" xfId="21632"/>
    <cellStyle name="‡_Subang Piping_EXERCISE PRICE-2X7 WO70-1100-PO-Riau 7" xfId="21631"/>
    <cellStyle name="‡_Subang Piping_EXERCISE PRICE-2X7 WO70-1100-PO-Riau 8" xfId="21630"/>
    <cellStyle name="‡_Subang Piping_FORM SUMMARY OF PRICE" xfId="21629"/>
    <cellStyle name="‡_Subang Piping_GALIAN C" xfId="21628"/>
    <cellStyle name="‡_Subang Piping_Inquiry Plan-KEPULAUAN RIAU 2X7 MW-GABUNGAN" xfId="21627"/>
    <cellStyle name="‡_Subang Piping_Inquiry Plan-KEPULAUAN RIAU 2X7 MW-GABUNGAN 2" xfId="21626"/>
    <cellStyle name="‡_Subang Piping_Inquiry Plan-KEPULAUAN RIAU 2X7 MW-GABUNGAN 2 2" xfId="21625"/>
    <cellStyle name="‡_Subang Piping_Inquiry Plan-KEPULAUAN RIAU 2X7 MW-GABUNGAN 3" xfId="21624"/>
    <cellStyle name="‡_Subang Piping_Inquiry Plan-KEPULAUAN RIAU 2X7 MW-GABUNGAN 3 2" xfId="21623"/>
    <cellStyle name="‡_Subang Piping_Inquiry Plan-KEPULAUAN RIAU 2X7 MW-GABUNGAN 4" xfId="21622"/>
    <cellStyle name="‡_Subang Piping_Inquiry Plan-KEPULAUAN RIAU 2X7 MW-GABUNGAN 4 2" xfId="21621"/>
    <cellStyle name="‡_Subang Piping_Inquiry Plan-KEPULAUAN RIAU 2X7 MW-GABUNGAN 5" xfId="21620"/>
    <cellStyle name="‡_Subang Piping_Pen- Kodja Revisi 02 November 2009 (Rev 11-11-09)" xfId="21619"/>
    <cellStyle name="‡_Subang Piping_Pen- Kodja Revisi 27 JAN 2010" xfId="21618"/>
    <cellStyle name="‡_Subang Piping_RAB Kodja Revisi 22 feb 2010" xfId="21617"/>
    <cellStyle name="‡_Subang Piping_RAB Kodja Revisi 23 feb 2010, revisi analisa" xfId="21616"/>
    <cellStyle name="‡_Subang Piping_SCHEME PACKAGES &amp; BUDGET 2 X 7 MW NTT-REV01" xfId="21615"/>
    <cellStyle name="‡_Subang Piping_SCHEME PACKAGES &amp; BUDGET 2 X 7 MW NTT-REV01 2" xfId="21614"/>
    <cellStyle name="‡_Subang Piping_SCHEME PACKAGES &amp; BUDGET 2 X 7 MW NTT-REV01 2 2" xfId="21613"/>
    <cellStyle name="‡_Subang Piping_SCHEME PACKAGES &amp; BUDGET 2 X 7 MW NTT-REV01 3" xfId="21612"/>
    <cellStyle name="‡_Subang Piping_SCHEME PACKAGES &amp; BUDGET 2 X 7 MW NTT-REV01 3 2" xfId="21611"/>
    <cellStyle name="‡_Subang Piping_SCHEME PACKAGES &amp; BUDGET 2 X 7 MW NTT-REV01 4" xfId="21610"/>
    <cellStyle name="‡_Subang Piping_SCHEME PACKAGES &amp; BUDGET 2 X 7 MW NTT-REV01 4 2" xfId="21609"/>
    <cellStyle name="‡_Subang Piping_SCHEME PACKAGES &amp; BUDGET 2 X 7 MW NTT-REV01 5" xfId="21608"/>
    <cellStyle name="‡_Subang Piping_SCHEME PACKAGES &amp; BUDGET 2 X 7 MW TBK-REV01" xfId="21607"/>
    <cellStyle name="‡_Subang Piping_SCHEME PACKAGES &amp; BUDGET 2 X 7 MW TBK-REV01 2" xfId="21606"/>
    <cellStyle name="‡_Subang Piping_SCHEME PACKAGES &amp; BUDGET 2 X 7 MW TBK-REV01 2 2" xfId="21605"/>
    <cellStyle name="‡_Subang Piping_SCHEME PACKAGES &amp; BUDGET 2 X 7 MW TBK-REV01 3" xfId="21604"/>
    <cellStyle name="‡_Subang Piping_SCHEME PACKAGES &amp; BUDGET 2 X 7 MW TBK-REV01 3 2" xfId="21603"/>
    <cellStyle name="‡_Subang Piping_SCHEME PACKAGES &amp; BUDGET 2 X 7 MW TBK-REV01 4" xfId="21602"/>
    <cellStyle name="‡_Subang Piping_SCHEME PACKAGES &amp; BUDGET 2 X 7 MW TBK-REV01 4 2" xfId="21601"/>
    <cellStyle name="‡_Subang Piping_SCHEME PACKAGES &amp; BUDGET 2 X 7 MW TBK-REV01 5" xfId="21600"/>
    <cellStyle name="‡_tool&amp;consum-2003" xfId="21599"/>
    <cellStyle name="‡_tool&amp;consum-2003 2" xfId="21598"/>
    <cellStyle name="‡_tool&amp;consum-2003 2 2" xfId="21597"/>
    <cellStyle name="‡_tool&amp;consum-2003 3" xfId="21596"/>
    <cellStyle name="‡_tool&amp;consum-2003 3 2" xfId="21595"/>
    <cellStyle name="‡_tool&amp;consum-2003 4" xfId="21594"/>
    <cellStyle name="‡_tool&amp;consum-2003 4 2" xfId="21593"/>
    <cellStyle name="‡_tool&amp;consum-2003 5" xfId="21592"/>
    <cellStyle name="‡_tool&amp;consum-2003 6" xfId="21591"/>
    <cellStyle name="‡_tool&amp;consum-2003 7" xfId="21590"/>
    <cellStyle name="‡_tool&amp;consum-2003 8" xfId="21589"/>
    <cellStyle name="‡_tool&amp;consum-2003 9" xfId="21588"/>
    <cellStyle name="‡_tool&amp;consum-2003_BQ &amp; An Pds Gdg - KIM I" xfId="21587"/>
    <cellStyle name="‡_tool&amp;consum-2003_BQ &amp; An Pds Gdg - KIM I_GALIAN C" xfId="21586"/>
    <cellStyle name="‡_tool&amp;consum-2003_BQ &amp; An Pds Gdg - KIM I_Pen- Kodja Revisi 02 November 2009 (Rev 11-11-09)" xfId="21585"/>
    <cellStyle name="‡_tool&amp;consum-2003_BQ &amp; An Pds Gdg - KIM I_Pen- Kodja Revisi 27 JAN 2010" xfId="21584"/>
    <cellStyle name="‡_tool&amp;consum-2003_BQ &amp; An Pds Gdg - KIM I_RAB Kodja Revisi 22 feb 2010" xfId="21583"/>
    <cellStyle name="‡_tool&amp;consum-2003_BQ &amp; An Pds Gdg - KIM I_RAB Kodja Revisi 23 feb 2010, revisi analisa" xfId="21582"/>
    <cellStyle name="‡_tool&amp;consum-2003_BQ &amp; An Pondasi SEP &amp; WAREHOUSE-KIM I (R-0)" xfId="21581"/>
    <cellStyle name="‡_tool&amp;consum-2003_BQ &amp; An Pondasi SEP &amp; WAREHOUSE-KIM I (R-0)_GALIAN C" xfId="21580"/>
    <cellStyle name="‡_tool&amp;consum-2003_BQ &amp; An Pondasi SEP &amp; WAREHOUSE-KIM I (R-0)_Pen- Kodja Revisi 02 November 2009 (Rev 11-11-09)" xfId="21579"/>
    <cellStyle name="‡_tool&amp;consum-2003_BQ &amp; An Pondasi SEP &amp; WAREHOUSE-KIM I (R-0)_Pen- Kodja Revisi 27 JAN 2010" xfId="21578"/>
    <cellStyle name="‡_tool&amp;consum-2003_BQ &amp; An Pondasi SEP &amp; WAREHOUSE-KIM I (R-0)_RAB Kodja Revisi 22 feb 2010" xfId="21577"/>
    <cellStyle name="‡_tool&amp;consum-2003_BQ &amp; An Pondasi SEP &amp; WAREHOUSE-KIM I (R-0)_RAB Kodja Revisi 23 feb 2010, revisi analisa" xfId="21576"/>
    <cellStyle name="‡_tool&amp;consum-2003_BQ Pabrik Biodiesel MM-Btm" xfId="21575"/>
    <cellStyle name="‡_tool&amp;consum-2003_BQ Pabrik Biodiesel MM-Btm_GALIAN C" xfId="21574"/>
    <cellStyle name="‡_tool&amp;consum-2003_BQ Pabrik Biodiesel MM-Btm_Pen- Kodja Revisi 02 November 2009 (Rev 11-11-09)" xfId="21573"/>
    <cellStyle name="‡_tool&amp;consum-2003_BQ Pabrik Biodiesel MM-Btm_Pen- Kodja Revisi 27 JAN 2010" xfId="21572"/>
    <cellStyle name="‡_tool&amp;consum-2003_BQ Pabrik Biodiesel MM-Btm_RAB Kodja Revisi 22 feb 2010" xfId="21571"/>
    <cellStyle name="‡_tool&amp;consum-2003_BQ Pabrik Biodiesel MM-Btm_RAB Kodja Revisi 23 feb 2010, revisi analisa" xfId="21570"/>
    <cellStyle name="‡_tool&amp;consum-2003_EXERCISE PRICE-2x10 W70-1050-PO-KENDARI" xfId="21569"/>
    <cellStyle name="‡_tool&amp;consum-2003_EXERCISE PRICE-2x10 W70-1050-PO-KENDARI 2" xfId="21568"/>
    <cellStyle name="‡_tool&amp;consum-2003_EXERCISE PRICE-2x10 W70-1050-PO-KENDARI 3" xfId="21567"/>
    <cellStyle name="‡_tool&amp;consum-2003_EXERCISE PRICE-2x10 W70-1050-PO-KENDARI 4" xfId="21566"/>
    <cellStyle name="‡_tool&amp;consum-2003_EXERCISE PRICE-2x10 W70-1050-PO-KENDARI 5" xfId="21565"/>
    <cellStyle name="‡_tool&amp;consum-2003_EXERCISE PRICE-2x10 W70-1050-PO-KENDARI 6" xfId="21564"/>
    <cellStyle name="‡_tool&amp;consum-2003_EXERCISE PRICE-2x10 W70-1050-PO-KENDARI 7" xfId="21563"/>
    <cellStyle name="‡_tool&amp;consum-2003_EXERCISE PRICE-2x10 W70-1050-PO-KENDARI 8" xfId="21562"/>
    <cellStyle name="‡_tool&amp;consum-2003_EXERCISE PRICE-2X7 WO70-1100-PO-Riau" xfId="21561"/>
    <cellStyle name="‡_tool&amp;consum-2003_EXERCISE PRICE-2X7 WO70-1100-PO-Riau 2" xfId="21560"/>
    <cellStyle name="‡_tool&amp;consum-2003_EXERCISE PRICE-2X7 WO70-1100-PO-Riau 3" xfId="21559"/>
    <cellStyle name="‡_tool&amp;consum-2003_EXERCISE PRICE-2X7 WO70-1100-PO-Riau 4" xfId="21558"/>
    <cellStyle name="‡_tool&amp;consum-2003_EXERCISE PRICE-2X7 WO70-1100-PO-Riau 5" xfId="21557"/>
    <cellStyle name="‡_tool&amp;consum-2003_EXERCISE PRICE-2X7 WO70-1100-PO-Riau 6" xfId="21556"/>
    <cellStyle name="‡_tool&amp;consum-2003_EXERCISE PRICE-2X7 WO70-1100-PO-Riau 7" xfId="21555"/>
    <cellStyle name="‡_tool&amp;consum-2003_EXERCISE PRICE-2X7 WO70-1100-PO-Riau 8" xfId="21554"/>
    <cellStyle name="‡_tool&amp;consum-2003_FORM SUMMARY OF PRICE" xfId="21553"/>
    <cellStyle name="‡_tool&amp;consum-2003_GALIAN C" xfId="21552"/>
    <cellStyle name="‡_tool&amp;consum-2003_Inquiry Plan-KEPULAUAN RIAU 2X7 MW-GABUNGAN" xfId="21551"/>
    <cellStyle name="‡_tool&amp;consum-2003_Inquiry Plan-KEPULAUAN RIAU 2X7 MW-GABUNGAN 2" xfId="21550"/>
    <cellStyle name="‡_tool&amp;consum-2003_Inquiry Plan-KEPULAUAN RIAU 2X7 MW-GABUNGAN 2 2" xfId="21549"/>
    <cellStyle name="‡_tool&amp;consum-2003_Inquiry Plan-KEPULAUAN RIAU 2X7 MW-GABUNGAN 3" xfId="21548"/>
    <cellStyle name="‡_tool&amp;consum-2003_Inquiry Plan-KEPULAUAN RIAU 2X7 MW-GABUNGAN 3 2" xfId="21547"/>
    <cellStyle name="‡_tool&amp;consum-2003_Inquiry Plan-KEPULAUAN RIAU 2X7 MW-GABUNGAN 4" xfId="21546"/>
    <cellStyle name="‡_tool&amp;consum-2003_Inquiry Plan-KEPULAUAN RIAU 2X7 MW-GABUNGAN 4 2" xfId="21545"/>
    <cellStyle name="‡_tool&amp;consum-2003_Inquiry Plan-KEPULAUAN RIAU 2X7 MW-GABUNGAN 5" xfId="21544"/>
    <cellStyle name="‡_tool&amp;consum-2003_Pen- Kodja Revisi 02 November 2009 (Rev 11-11-09)" xfId="21543"/>
    <cellStyle name="‡_tool&amp;consum-2003_Pen- Kodja Revisi 27 JAN 2010" xfId="21542"/>
    <cellStyle name="‡_tool&amp;consum-2003_RAB Kodja Revisi 22 feb 2010" xfId="21541"/>
    <cellStyle name="‡_tool&amp;consum-2003_RAB Kodja Revisi 23 feb 2010, revisi analisa" xfId="21540"/>
    <cellStyle name="‡_tool&amp;consum-2003_SCHEME PACKAGES &amp; BUDGET 2 X 7 MW NTT-REV01" xfId="21539"/>
    <cellStyle name="‡_tool&amp;consum-2003_SCHEME PACKAGES &amp; BUDGET 2 X 7 MW NTT-REV01 2" xfId="21538"/>
    <cellStyle name="‡_tool&amp;consum-2003_SCHEME PACKAGES &amp; BUDGET 2 X 7 MW NTT-REV01 2 2" xfId="21537"/>
    <cellStyle name="‡_tool&amp;consum-2003_SCHEME PACKAGES &amp; BUDGET 2 X 7 MW NTT-REV01 3" xfId="21536"/>
    <cellStyle name="‡_tool&amp;consum-2003_SCHEME PACKAGES &amp; BUDGET 2 X 7 MW NTT-REV01 3 2" xfId="21535"/>
    <cellStyle name="‡_tool&amp;consum-2003_SCHEME PACKAGES &amp; BUDGET 2 X 7 MW NTT-REV01 4" xfId="21534"/>
    <cellStyle name="‡_tool&amp;consum-2003_SCHEME PACKAGES &amp; BUDGET 2 X 7 MW NTT-REV01 4 2" xfId="21533"/>
    <cellStyle name="‡_tool&amp;consum-2003_SCHEME PACKAGES &amp; BUDGET 2 X 7 MW NTT-REV01 5" xfId="21532"/>
    <cellStyle name="‡_tool&amp;consum-2003_SCHEME PACKAGES &amp; BUDGET 2 X 7 MW TBK-REV01" xfId="21531"/>
    <cellStyle name="‡_tool&amp;consum-2003_SCHEME PACKAGES &amp; BUDGET 2 X 7 MW TBK-REV01 2" xfId="21530"/>
    <cellStyle name="‡_tool&amp;consum-2003_SCHEME PACKAGES &amp; BUDGET 2 X 7 MW TBK-REV01 2 2" xfId="21529"/>
    <cellStyle name="‡_tool&amp;consum-2003_SCHEME PACKAGES &amp; BUDGET 2 X 7 MW TBK-REV01 3" xfId="21528"/>
    <cellStyle name="‡_tool&amp;consum-2003_SCHEME PACKAGES &amp; BUDGET 2 X 7 MW TBK-REV01 3 2" xfId="21527"/>
    <cellStyle name="‡_tool&amp;consum-2003_SCHEME PACKAGES &amp; BUDGET 2 X 7 MW TBK-REV01 4" xfId="21526"/>
    <cellStyle name="‡_tool&amp;consum-2003_SCHEME PACKAGES &amp; BUDGET 2 X 7 MW TBK-REV01 4 2" xfId="21525"/>
    <cellStyle name="‡_tool&amp;consum-2003_SCHEME PACKAGES &amp; BUDGET 2 X 7 MW TBK-REV01 5" xfId="21524"/>
    <cellStyle name="‡_UIN (NEW)" xfId="21523"/>
    <cellStyle name="‡_Vol. Bapelkes blok C ( Myo 07.12.07)" xfId="21522"/>
    <cellStyle name="‡_Vol. Precast" xfId="21521"/>
    <cellStyle name="•\¦Ï‚Ý‚ÌƒnƒCƒp[ƒŠƒ“ƒN" xfId="21520"/>
    <cellStyle name="•\¦Ï‚Ý‚ÌƒnƒCƒp[ƒŠƒ“ƒN 2" xfId="21519"/>
    <cellStyle name="•\Z¦Ï‚Ý‚ÌƒnƒCƒp[ƒŠƒ“ƒN" xfId="21518"/>
    <cellStyle name="•\Ž¦Ï‚Ý‚ÌƒnƒCƒp[ƒŠƒ“ƒN" xfId="21517"/>
    <cellStyle name="•\Z¦Ï‚Ý‚ÌƒnƒCƒp[ƒŠƒ“ƒN 2" xfId="21516"/>
    <cellStyle name="•\Ž¦Ï‚Ý‚ÌƒnƒCƒp[ƒŠƒ“ƒN 2" xfId="21515"/>
    <cellStyle name="•W?_‹Zp‹Æ–±" xfId="21514"/>
    <cellStyle name="•W€_’¼ÚHŽ–’P‰¿”äŠr•\RFP-003" xfId="21513"/>
    <cellStyle name="•W_’¼ÚH–’P‰¿”äŠr•\RFP-003" xfId="21512"/>
    <cellStyle name="" xfId="21511"/>
    <cellStyle name="" xfId="21510"/>
    <cellStyle name=" 2" xfId="21509"/>
    <cellStyle name=" 2" xfId="21508"/>
    <cellStyle name="_0.Bidakara RAP" xfId="21507"/>
    <cellStyle name="_0.Bidakara RAP" xfId="21506"/>
    <cellStyle name="_1.Cost Plan Bapelkes Depkes Batam 2008. xls" xfId="21505"/>
    <cellStyle name="_1.Cost Plan Bapelkes Depkes Batam 2008. xls" xfId="21504"/>
    <cellStyle name="_3.BU - Alat Pakai (Merah)" xfId="21503"/>
    <cellStyle name="_3.BU - Alat Pakai (Merah)" xfId="21502"/>
    <cellStyle name="_ALAT-BU-SPP-CIPUTARA-ok" xfId="21501"/>
    <cellStyle name="_ALAT-BU-SPP-CIPUTARA-ok" xfId="21500"/>
    <cellStyle name="_ALAT-SPP-BU-BPK" xfId="21499"/>
    <cellStyle name="_ALAT-SPP-BU-BPK" xfId="21498"/>
    <cellStyle name="_ALTERNATIF - I KBI (Kyoraku Blow molding)" xfId="21497"/>
    <cellStyle name="_ALTERNATIF - I KBI (Kyoraku Blow molding)" xfId="21496"/>
    <cellStyle name="_ALTERNATIF - I KBI (Kyoraku Blow molding) 2" xfId="21495"/>
    <cellStyle name="_ALTERNATIF - I KBI (Kyoraku Blow molding) 2" xfId="21494"/>
    <cellStyle name="_Alternatif#1_Semua Alexindo_Opt_123" xfId="21493"/>
    <cellStyle name="_Alternatif#1_Semua Alexindo_Opt_123" xfId="21492"/>
    <cellStyle name="_Alternatif#1_Semua Alexindo_Opt_123_rc kantor dinas tanjung pinang 5 lantai" xfId="21491"/>
    <cellStyle name="_Alternatif#1_Semua Alexindo_Opt_123_rc kantor dinas tanjung pinang 5 lantai" xfId="21490"/>
    <cellStyle name="_Analisa Bapelkes Full" xfId="21489"/>
    <cellStyle name="_Analisa Bapelkes Full" xfId="21488"/>
    <cellStyle name="_ANALISA BPK DG" xfId="21487"/>
    <cellStyle name="_ANALISA BPK DG" xfId="21486"/>
    <cellStyle name="_ANALISA BPK DG_Analisa Bapelkes Full" xfId="21485"/>
    <cellStyle name="_ANALISA BPK DG_Analisa Bapelkes Full" xfId="21484"/>
    <cellStyle name="_ANALISA BPK DG_SKBDN Batam" xfId="21483"/>
    <cellStyle name="_ANALISA BPK DG_SKBDN Batam" xfId="21482"/>
    <cellStyle name="_ANALISA HARGA SATUAN RAB" xfId="21481"/>
    <cellStyle name="_ANALISA HARGA SATUAN RAB" xfId="21480"/>
    <cellStyle name="_analisa rab" xfId="21479"/>
    <cellStyle name="_analisa rab" xfId="21478"/>
    <cellStyle name="_ANALISA RAB_SKBDN Batam" xfId="21477"/>
    <cellStyle name="_ANALISA RAB_SKBDN Batam" xfId="21476"/>
    <cellStyle name="_Bill of Quantity BPK 03082007" xfId="21475"/>
    <cellStyle name="_Bill of Quantity BPK 03082007" xfId="21474"/>
    <cellStyle name="_Bill of Quantity BPK 03082007_Analisa Bapelkes Full" xfId="21473"/>
    <cellStyle name="_Bill of Quantity BPK 03082007_Analisa Bapelkes Full" xfId="21472"/>
    <cellStyle name="_BQ ACP ALUCOBOND ECO_OPT_RAPP_1" xfId="21471"/>
    <cellStyle name="_BQ ACP ALUCOBOND ECO_OPT_RAPP_1" xfId="21470"/>
    <cellStyle name="_BQ ACP ALUCOBOND ECO_OPT_RAPP_1_rc kantor dinas tanjung pinang 5 lantai" xfId="21469"/>
    <cellStyle name="_BQ ACP ALUCOBOND ECO_OPT_RAPP_1_rc kantor dinas tanjung pinang 5 lantai" xfId="21468"/>
    <cellStyle name="_BQ ACP ALUCOBOND ECO_OPT_RAPP_1_Realisasi Kontrak Kampar 31 agustus 2009" xfId="21467"/>
    <cellStyle name="_BQ ACP ALUCOBOND ECO_OPT_RAPP_1_Realisasi Kontrak Kampar 31 agustus 2009" xfId="21466"/>
    <cellStyle name="_BQ ALUM_ALT#1" xfId="21465"/>
    <cellStyle name="_BQ ALUM_ALT#1" xfId="21464"/>
    <cellStyle name="_BQ Alumn_BPK Bengkulu_3_Komplit" xfId="21463"/>
    <cellStyle name="_BQ Alumn_BPK Bengkulu_3_Komplit" xfId="21462"/>
    <cellStyle name="_BQ Alumn_BPK Bengkulu_3_Komplit_rc kantor dinas tanjung pinang 5 lantai" xfId="21461"/>
    <cellStyle name="_BQ Alumn_BPK Bengkulu_3_Komplit_rc kantor dinas tanjung pinang 5 lantai" xfId="21460"/>
    <cellStyle name="_BQ Facade Astra" xfId="21459"/>
    <cellStyle name="_BQ Facade Astra" xfId="21458"/>
    <cellStyle name="_BQ FACADE_Rev#2" xfId="21457"/>
    <cellStyle name="_BQ FACADE_Rev#2" xfId="21456"/>
    <cellStyle name="_BQ FACADE_Rev#2_rc kantor dinas tanjung pinang 5 lantai" xfId="21455"/>
    <cellStyle name="_BQ FACADE_Rev#2_rc kantor dinas tanjung pinang 5 lantai" xfId="21454"/>
    <cellStyle name="_BQ FACADE_Rev#2_Realisasi Kontrak Kampar 31 agustus 2009" xfId="21453"/>
    <cellStyle name="_BQ FACADE_Rev#2_Realisasi Kontrak Kampar 31 agustus 2009" xfId="21452"/>
    <cellStyle name="_bq gor bangkinang" xfId="21451"/>
    <cellStyle name="_bq gor bangkinang" xfId="21450"/>
    <cellStyle name="_BQ KISI-KISI" xfId="21449"/>
    <cellStyle name="_BQ KISI-KISI" xfId="21448"/>
    <cellStyle name="_BQ KISI-KISI_rc kantor dinas tanjung pinang 5 lantai" xfId="21447"/>
    <cellStyle name="_BQ KISI-KISI_rc kantor dinas tanjung pinang 5 lantai" xfId="21446"/>
    <cellStyle name="_BQ KUSEN SMA PINTAR" xfId="21445"/>
    <cellStyle name="_BQ KUSEN SMA PINTAR" xfId="21444"/>
    <cellStyle name="_BQ KUSEN SMA PINTAR_Rev#1_Opt_Abiz_1_rapp" xfId="21443"/>
    <cellStyle name="_BQ KUSEN SMA PINTAR_Rev#1_Opt_Abiz_1_rapp" xfId="21442"/>
    <cellStyle name="_BQ ME Sebagian R2" xfId="21441"/>
    <cellStyle name="_BQ ME Sebagian R2" xfId="21440"/>
    <cellStyle name="_BQ PINTU DAN JENDELA" xfId="21439"/>
    <cellStyle name="_BQ PINTU DAN JENDELA" xfId="21438"/>
    <cellStyle name="_BQ PINTU DAN JENDELA_rc kantor dinas tanjung pinang 5 lantai" xfId="21437"/>
    <cellStyle name="_BQ PINTU DAN JENDELA_rc kantor dinas tanjung pinang 5 lantai" xfId="21436"/>
    <cellStyle name="_BQ Realisasi Kontrak_RAPP" xfId="21435"/>
    <cellStyle name="_BQ Realisasi Kontrak_RAPP" xfId="21434"/>
    <cellStyle name="_BQ Realisasi Kontrak_RAPP_rc kantor dinas tanjung pinang 5 lantai" xfId="21433"/>
    <cellStyle name="_BQ Realisasi Kontrak_RAPP_rc kantor dinas tanjung pinang 5 lantai" xfId="21432"/>
    <cellStyle name="_BQ+Hit. Lt 10, atap (Dago 27-06-2007 )" xfId="21431"/>
    <cellStyle name="_BQ+Hit. Lt 10, atap (Dago 27-06-2007 )" xfId="21430"/>
    <cellStyle name="_BQ-E" xfId="21429"/>
    <cellStyle name="_BQ-E" xfId="21428"/>
    <cellStyle name="_BQ-E 2" xfId="21427"/>
    <cellStyle name="_BQ-E 2" xfId="21426"/>
    <cellStyle name="_BQ-E_Bq-M-23 August 2004" xfId="21425"/>
    <cellStyle name="_BQ-E_Bq-M-23 August 2004" xfId="21424"/>
    <cellStyle name="_BQ-E_Bq-M-23 August 2004 2" xfId="21423"/>
    <cellStyle name="_BQ-E_Bq-M-23 August 2004 2" xfId="21422"/>
    <cellStyle name="_BQ-elec-kiic4(D) " xfId="21421"/>
    <cellStyle name="_BQ-elec-kiic4(D) " xfId="21420"/>
    <cellStyle name="_BQ-elec-kiic4(D)  2" xfId="21419"/>
    <cellStyle name="_BQ-elec-kiic4(D)  2" xfId="21418"/>
    <cellStyle name="_Bq-Form Mech ( Baru ) 05" xfId="21417"/>
    <cellStyle name="_Bq-Form Mech ( Baru ) 05" xfId="21416"/>
    <cellStyle name="_Bq-Form Mech ( Baru ) 05 2" xfId="21415"/>
    <cellStyle name="_Bq-Form Mech ( Baru ) 05 2" xfId="21414"/>
    <cellStyle name="_BQ-Mech. Summitmas II" xfId="21413"/>
    <cellStyle name="_BQ-Mech. Summitmas II" xfId="21412"/>
    <cellStyle name="_BQ-Mech. Summitmas II 2" xfId="21411"/>
    <cellStyle name="_BQ-Mech. Summitmas II 2" xfId="21410"/>
    <cellStyle name="_BQ-Moric-Elec (A)" xfId="21409"/>
    <cellStyle name="_BQ-Moric-Elec (A)" xfId="21408"/>
    <cellStyle name="_BQ-Moric-Elec (A) 2" xfId="21407"/>
    <cellStyle name="_BQ-Moric-Elec (A) 2" xfId="21406"/>
    <cellStyle name="_BQ-SHIBAURA SHEARING" xfId="21405"/>
    <cellStyle name="_BQ-SHIBAURA SHEARING" xfId="21404"/>
    <cellStyle name="_BQ-SHIBAURA SHEARING 2" xfId="21403"/>
    <cellStyle name="_BQ-SHIBAURA SHEARING 2" xfId="21402"/>
    <cellStyle name="_BQ-SHIBAURA SHEARING(Cancel)" xfId="21401"/>
    <cellStyle name="_BQ-SHIBAURA SHEARING(Cancel)" xfId="21400"/>
    <cellStyle name="_BQ-SHIBAURA SHEARING(Cancel) 2" xfId="21399"/>
    <cellStyle name="_BQ-SHIBAURA SHEARING(Cancel) 2" xfId="21398"/>
    <cellStyle name="_BQ-YAMAHA FLAGSHIP-A" xfId="21397"/>
    <cellStyle name="_BQ-YAMAHA FLAGSHIP-A" xfId="21396"/>
    <cellStyle name="_BQ-YAMAHA FLAGSHIP-A 2" xfId="21395"/>
    <cellStyle name="_BQ-YAMAHA FLAGSHIP-A 2" xfId="21394"/>
    <cellStyle name="_BU-Alat-Spp Bapelkes Thp II" xfId="21393"/>
    <cellStyle name="_BU-Alat-Spp Bapelkes Thp II" xfId="21392"/>
    <cellStyle name="_Dephan (YKPP)_Rev#31" xfId="21391"/>
    <cellStyle name="_Dephan (YKPP)_Rev#31" xfId="21390"/>
    <cellStyle name="_EVALUASI HARGA_OPT" xfId="21389"/>
    <cellStyle name="_EVALUASI HARGA_OPT" xfId="21388"/>
    <cellStyle name="_Expense" xfId="21387"/>
    <cellStyle name="_Expense" xfId="21386"/>
    <cellStyle name="_Expense 2" xfId="21385"/>
    <cellStyle name="_Expense 2" xfId="21384"/>
    <cellStyle name="_FORM MONITORING SUB" xfId="21383"/>
    <cellStyle name="_FORM MONITORING SUB" xfId="21382"/>
    <cellStyle name="_FORM MONITORING SUB_D0C. RECORD PROGRESS INDOKOMAS" xfId="21381"/>
    <cellStyle name="_FORM MONITORING SUB_D0C. RECORD PROGRESS INDOKOMAS" xfId="21380"/>
    <cellStyle name="_Hit SKBDN" xfId="21379"/>
    <cellStyle name="_Hit SKBDN" xfId="21378"/>
    <cellStyle name="_Hit. Hotel Sutan Raja Minahasa (MYO)" xfId="21377"/>
    <cellStyle name="_Hit. Hotel Sutan Raja Minahasa (MYO)" xfId="21376"/>
    <cellStyle name="_Hit. Hotel Sutan Raja Minahasa (MYO)_Analisa Bapelkes Full" xfId="21375"/>
    <cellStyle name="_Hit. Hotel Sutan Raja Minahasa (MYO)_Analisa Bapelkes Full" xfId="21374"/>
    <cellStyle name="_Hit. Lantai - 1" xfId="21373"/>
    <cellStyle name="_Hit. Lantai - 1" xfId="21372"/>
    <cellStyle name="_KONTRAK KAMPAR" xfId="21371"/>
    <cellStyle name="_KONTRAK KAMPAR" xfId="21370"/>
    <cellStyle name="_KURVA S (DETAIL TYPE 2)" xfId="21369"/>
    <cellStyle name="_KURVA S (DETAIL TYPE 2)" xfId="21368"/>
    <cellStyle name="_MAKER LIST" xfId="21367"/>
    <cellStyle name="_MAKER LIST" xfId="21366"/>
    <cellStyle name="_MAKER LIST 2" xfId="21365"/>
    <cellStyle name="_MAKER LIST 2" xfId="21364"/>
    <cellStyle name="_pek yang di sub kan" xfId="21363"/>
    <cellStyle name="_pek yang di sub kan" xfId="21362"/>
    <cellStyle name="_Penawaran harga rumah DPR_Revisi#3_Opt" xfId="21361"/>
    <cellStyle name="_Penawaran harga rumah DPR_Revisi#3_Opt" xfId="21360"/>
    <cellStyle name="_Penawaran harga rumah DPR_Revisi#3_Opt_rc kantor dinas tanjung pinang 5 lantai" xfId="21359"/>
    <cellStyle name="_Penawaran harga rumah DPR_Revisi#3_Opt_rc kantor dinas tanjung pinang 5 lantai" xfId="21358"/>
    <cellStyle name="_Penawaran harga rumah DPR_Revisi#3_Opt_Realisasi Kontrak Kampar 31 agustus 2009" xfId="21357"/>
    <cellStyle name="_Penawaran harga rumah DPR_Revisi#3_Opt_Realisasi Kontrak Kampar 31 agustus 2009" xfId="21356"/>
    <cellStyle name="_RAB 2007_2008 6,5 M R8" xfId="21355"/>
    <cellStyle name="_RAB 2007_2008 6,5 M R8" xfId="21354"/>
    <cellStyle name="_RAB EE-ELEK BI SMRD" xfId="21353"/>
    <cellStyle name="_RAB EE-ELEK BI SMRD" xfId="21352"/>
    <cellStyle name="_RAB EE-ELEK BI SMRD 2" xfId="21351"/>
    <cellStyle name="_RAB EE-ELEK BI SMRD 2" xfId="21350"/>
    <cellStyle name="_RAB gr PP setelah direvisi  31 okt 07l " xfId="21349"/>
    <cellStyle name="_RAB gr PP setelah direvisi  31 okt 07l " xfId="21348"/>
    <cellStyle name="_RAB gr PP setelah direvisi  31 okt 07l _ANALISA HARGA SATUAN" xfId="21347"/>
    <cellStyle name="_RAB gr PP setelah direvisi  31 okt 07l _ANALISA HARGA SATUAN" xfId="21346"/>
    <cellStyle name="_RAB gr PP setelah direvisi  31 okt 07l _BQ ASITEKTUR BTN BATAM dan sipil" xfId="21345"/>
    <cellStyle name="_RAB gr PP setelah direvisi  31 okt 07l _BQ ASITEKTUR BTN BATAM dan sipil" xfId="21344"/>
    <cellStyle name="_RAB gr PP setelah direvisi  31 okt 07l _c bpk batam 24,5 M" xfId="21343"/>
    <cellStyle name="_RAB gr PP setelah direvisi  31 okt 07l _c bpk batam 24,5 M" xfId="21342"/>
    <cellStyle name="_RAB gr PP setelah direvisi  31 okt 07l _rc bpk batamm" xfId="21341"/>
    <cellStyle name="_RAB gr PP setelah direvisi  31 okt 07l _rc bpk batamm" xfId="21340"/>
    <cellStyle name="_RAB gr PP setelah direvisi  31 okt 07l _rc bpk batamm_BQ ASITEKTUR BTN BATAM dan sipil" xfId="21339"/>
    <cellStyle name="_RAB gr PP setelah direvisi  31 okt 07l _rc bpk batamm_BQ ASITEKTUR BTN BATAM dan sipil" xfId="21338"/>
    <cellStyle name="_RAB gr PP setelah direvisi  31 okt 07l _rc bpk batamm_c bpk batam 24,5 M" xfId="21337"/>
    <cellStyle name="_RAB gr PP setelah direvisi  31 okt 07l _rc bpk batamm_c bpk batam 24,5 M" xfId="21336"/>
    <cellStyle name="_RAB gr PP setelah direvisi  31 okt 07l _rc bpk batamm_rc gor dalam kota bangkinang" xfId="21335"/>
    <cellStyle name="_RAB gr PP setelah direvisi  31 okt 07l _rc bpk batamm_rc gor dalam kota bangkinang" xfId="21334"/>
    <cellStyle name="_RAB gr PP setelah direvisi  31 okt 07l _rc bpk batamm_rc kantor dinas tanjung pinang 5 lantai" xfId="21333"/>
    <cellStyle name="_RAB gr PP setelah direvisi  31 okt 07l _rc bpk batamm_rc kantor dinas tanjung pinang 5 lantai" xfId="21332"/>
    <cellStyle name="_RAB gr PP setelah direvisi  31 okt 07l _rc bpk batamm_rc kantor dinas tanjung pinang 5 lantai R" xfId="21331"/>
    <cellStyle name="_RAB gr PP setelah direvisi  31 okt 07l _rc bpk batamm_rc kantor dinas tanjung pinang 5 lantai R" xfId="21330"/>
    <cellStyle name="_RAB gr PP setelah direvisi  31 okt 07l _rc bpk batammm" xfId="21329"/>
    <cellStyle name="_RAB gr PP setelah direvisi  31 okt 07l _rc bpk batammm" xfId="21328"/>
    <cellStyle name="_RAB gr PP setelah direvisi  31 okt 07l _rc gor dalam kota bangkinang" xfId="21327"/>
    <cellStyle name="_RAB gr PP setelah direvisi  31 okt 07l _rc gor dalam kota bangkinang" xfId="21326"/>
    <cellStyle name="_RAB gr PP setelah direvisi  31 okt 07l _rc kantor dinas tanjung pinang 5 lantai" xfId="21325"/>
    <cellStyle name="_RAB gr PP setelah direvisi  31 okt 07l _rc kantor dinas tanjung pinang 5 lantai" xfId="21324"/>
    <cellStyle name="_RAB gr PP setelah direvisi  31 okt 07l _rc kantor dinas tanjung pinang 5 lantai R" xfId="21323"/>
    <cellStyle name="_RAB gr PP setelah direvisi  31 okt 07l _rc kantor dinas tanjung pinang 5 lantai R" xfId="21322"/>
    <cellStyle name="_RAB gr PP setelah direvisi  31 okt 07l _Rc SIJUNJUNG" xfId="21321"/>
    <cellStyle name="_RAB gr PP setelah direvisi  31 okt 07l _Rc SIJUNJUNG" xfId="21320"/>
    <cellStyle name="_rab proyek bpk" xfId="21319"/>
    <cellStyle name="_rab proyek bpk" xfId="21318"/>
    <cellStyle name="_rab proyek bpk_BQ ASITEKTUR BTN BATAM dan sipil" xfId="21317"/>
    <cellStyle name="_rab proyek bpk_BQ ASITEKTUR BTN BATAM dan sipil" xfId="21316"/>
    <cellStyle name="_rab proyek bpk_c bpk batam 24,5 M" xfId="21315"/>
    <cellStyle name="_rab proyek bpk_c bpk batam 24,5 M" xfId="21314"/>
    <cellStyle name="_rab proyek bpk_rc bpk batamm" xfId="21313"/>
    <cellStyle name="_rab proyek bpk_rc bpk batamm" xfId="21312"/>
    <cellStyle name="_rab proyek bpk_rc bpk batamm_BQ ASITEKTUR BTN BATAM dan sipil" xfId="21311"/>
    <cellStyle name="_rab proyek bpk_rc bpk batamm_BQ ASITEKTUR BTN BATAM dan sipil" xfId="21310"/>
    <cellStyle name="_rab proyek bpk_rc bpk batamm_c bpk batam 24,5 M" xfId="21309"/>
    <cellStyle name="_rab proyek bpk_rc bpk batamm_c bpk batam 24,5 M" xfId="21308"/>
    <cellStyle name="_rab proyek bpk_rc bpk batamm_rc gor dalam kota bangkinang" xfId="21307"/>
    <cellStyle name="_rab proyek bpk_rc bpk batamm_rc gor dalam kota bangkinang" xfId="21306"/>
    <cellStyle name="_rab proyek bpk_rc bpk batamm_rc kantor dinas tanjung pinang 5 lantai" xfId="21305"/>
    <cellStyle name="_rab proyek bpk_rc bpk batamm_rc kantor dinas tanjung pinang 5 lantai" xfId="21304"/>
    <cellStyle name="_rab proyek bpk_rc bpk batamm_rc kantor dinas tanjung pinang 5 lantai R" xfId="21303"/>
    <cellStyle name="_rab proyek bpk_rc bpk batamm_rc kantor dinas tanjung pinang 5 lantai R" xfId="21302"/>
    <cellStyle name="_rab proyek bpk_rc bpk batammm" xfId="21301"/>
    <cellStyle name="_rab proyek bpk_rc bpk batammm" xfId="21300"/>
    <cellStyle name="_rab proyek bpk_rc gor dalam kota bangkinang" xfId="21299"/>
    <cellStyle name="_rab proyek bpk_rc gor dalam kota bangkinang" xfId="21298"/>
    <cellStyle name="_rab proyek bpk_rc kantor dinas tanjung pinang 5 lantai" xfId="21297"/>
    <cellStyle name="_rab proyek bpk_rc kantor dinas tanjung pinang 5 lantai" xfId="21296"/>
    <cellStyle name="_rab proyek bpk_rc kantor dinas tanjung pinang 5 lantai R" xfId="21295"/>
    <cellStyle name="_rab proyek bpk_rc kantor dinas tanjung pinang 5 lantai R" xfId="21294"/>
    <cellStyle name="_RAB_ELEKTRIKAL_SPORT CENTRE 2008" xfId="21293"/>
    <cellStyle name="_RAB_ELEKTRIKAL_SPORT CENTRE 2008" xfId="21292"/>
    <cellStyle name="_RAB_ELEKTRIKAL_SPORT CENTRE 2008 2" xfId="21291"/>
    <cellStyle name="_RAB_ELEKTRIKAL_SPORT CENTRE 2008 2" xfId="21290"/>
    <cellStyle name="_RAB_ELRKTRIKAL_KANTOR DINAS &amp; GUB._Final. R.II, BENAR KABEL TRAY.REV. JACON 30.04.2009xls" xfId="21289"/>
    <cellStyle name="_RAB_ELRKTRIKAL_KANTOR DINAS &amp; GUB._Final. R.II, BENAR KABEL TRAY.REV. JACON 30.04.2009xls" xfId="21288"/>
    <cellStyle name="_RAB_ELRKTRIKAL_KANTOR DINAS &amp; GUB._Final. R.II, BENAR KABEL TRAY.REV. JACON 30.04.2009xls 2" xfId="21287"/>
    <cellStyle name="_RAB_ELRKTRIKAL_KANTOR DINAS &amp; GUB._Final. R.II, BENAR KABEL TRAY.REV. JACON 30.04.2009xls 2" xfId="21286"/>
    <cellStyle name="_RAP_r1" xfId="21285"/>
    <cellStyle name="_RAP_r1" xfId="21284"/>
    <cellStyle name="_rc 6 agus 081" xfId="21283"/>
    <cellStyle name="_rc 6 agus 081" xfId="21282"/>
    <cellStyle name="_sex" xfId="21281"/>
    <cellStyle name="_sex" xfId="21280"/>
    <cellStyle name="_sex 2" xfId="21279"/>
    <cellStyle name="_sex 2" xfId="21278"/>
    <cellStyle name="_sex_b1.57.1417.2004(B)" xfId="21277"/>
    <cellStyle name="_sex_b1.57.1417.2004(B)" xfId="21276"/>
    <cellStyle name="_sex_b1.57.1417.2004(B) 2" xfId="21275"/>
    <cellStyle name="_sex_b1.57.1417.2004(B) 2" xfId="21274"/>
    <cellStyle name="_sex_b1.57.1417.2004(B)_Bq-M-23 August 2004" xfId="21273"/>
    <cellStyle name="_sex_b1.57.1417.2004(B)_Bq-M-23 August 2004" xfId="21272"/>
    <cellStyle name="_sex_b1.57.1417.2004(B)_Bq-M-23 August 2004 2" xfId="21271"/>
    <cellStyle name="_sex_b1.57.1417.2004(B)_Bq-M-23 August 2004 2" xfId="21270"/>
    <cellStyle name="_sex_Bq-M-23 August 2004" xfId="21269"/>
    <cellStyle name="_sex_Bq-M-23 August 2004" xfId="21268"/>
    <cellStyle name="_sex_Bq-M-23 August 2004 2" xfId="21267"/>
    <cellStyle name="_sex_Bq-M-23 August 2004 2" xfId="21266"/>
    <cellStyle name="_SKBDN Batam" xfId="21265"/>
    <cellStyle name="_SKBDN Batam" xfId="21264"/>
    <cellStyle name="_SPESIFIKASI TEKNIS GR" xfId="21263"/>
    <cellStyle name="_SPESIFIKASI TEKNIS GR" xfId="21262"/>
    <cellStyle name="_UIN (NEW)" xfId="21261"/>
    <cellStyle name="_UIN (NEW)" xfId="21260"/>
    <cellStyle name="_Vol. Bapelkes blok C ( Myo 07.12.07)" xfId="21259"/>
    <cellStyle name="_Vol. Bapelkes blok C ( Myo 07.12.07)" xfId="21258"/>
    <cellStyle name="_Vol. Precast" xfId="21257"/>
    <cellStyle name="_Vol. Precast" xfId="21256"/>
    <cellStyle name="¢è`" xfId="21255"/>
    <cellStyle name="¢è` 2" xfId="21254"/>
    <cellStyle name="æØè [0.00]_¥AÆ\ÆÚ" xfId="21253"/>
    <cellStyle name="æØè_¥AÆ\ÆÚ" xfId="21252"/>
    <cellStyle name="ÊÝ [0.00]_¥AÆ\ÆÚ" xfId="21251"/>
    <cellStyle name="ÊÝ_¥AÆ\ÆÚ" xfId="21250"/>
    <cellStyle name="ñ\¦" xfId="21249"/>
    <cellStyle name="ñ\¦ 10" xfId="21248"/>
    <cellStyle name="ñ\¦ 10 2" xfId="21247"/>
    <cellStyle name="ñ\¦ 10 2 2" xfId="21246"/>
    <cellStyle name="ñ\¦ 10 3" xfId="21245"/>
    <cellStyle name="ñ\¦ 11" xfId="21244"/>
    <cellStyle name="ñ\¦ 11 2" xfId="21243"/>
    <cellStyle name="ñ\¦ 12" xfId="21242"/>
    <cellStyle name="ñ\¦ 2" xfId="21241"/>
    <cellStyle name="ñ\¦ 2 10" xfId="21240"/>
    <cellStyle name="ñ\¦ 2 2" xfId="21239"/>
    <cellStyle name="ñ\¦ 2 2 2" xfId="21238"/>
    <cellStyle name="ñ\¦ 2 2 2 2" xfId="21237"/>
    <cellStyle name="ñ\¦ 2 2 3" xfId="21236"/>
    <cellStyle name="ñ\¦ 2 3" xfId="21235"/>
    <cellStyle name="ñ\¦ 2 3 2" xfId="21234"/>
    <cellStyle name="ñ\¦ 2 3 2 2" xfId="21233"/>
    <cellStyle name="ñ\¦ 2 3 3" xfId="21232"/>
    <cellStyle name="ñ\¦ 2 4" xfId="21231"/>
    <cellStyle name="ñ\¦ 2 4 2" xfId="21230"/>
    <cellStyle name="ñ\¦ 2 4 2 2" xfId="21229"/>
    <cellStyle name="ñ\¦ 2 4 3" xfId="21228"/>
    <cellStyle name="ñ\¦ 2 5" xfId="21227"/>
    <cellStyle name="ñ\¦ 2 5 2" xfId="21226"/>
    <cellStyle name="ñ\¦ 2 5 2 2" xfId="21225"/>
    <cellStyle name="ñ\¦ 2 5 3" xfId="21224"/>
    <cellStyle name="ñ\¦ 2 6" xfId="21223"/>
    <cellStyle name="ñ\¦ 2 6 2" xfId="21222"/>
    <cellStyle name="ñ\¦ 2 6 2 2" xfId="21221"/>
    <cellStyle name="ñ\¦ 2 6 3" xfId="21220"/>
    <cellStyle name="ñ\¦ 2 7" xfId="21219"/>
    <cellStyle name="ñ\¦ 2 7 2" xfId="21218"/>
    <cellStyle name="ñ\¦ 2 7 2 2" xfId="21217"/>
    <cellStyle name="ñ\¦ 2 7 3" xfId="21216"/>
    <cellStyle name="ñ\¦ 2 8" xfId="21215"/>
    <cellStyle name="ñ\¦ 2 8 2" xfId="21214"/>
    <cellStyle name="ñ\¦ 2 8 2 2" xfId="21213"/>
    <cellStyle name="ñ\¦ 2 8 3" xfId="21212"/>
    <cellStyle name="ñ\¦ 2 9" xfId="21211"/>
    <cellStyle name="ñ\¦ 2 9 2" xfId="21210"/>
    <cellStyle name="ñ\¦ 3" xfId="21209"/>
    <cellStyle name="ñ\¦ 3 2" xfId="21208"/>
    <cellStyle name="ñ\¦ 3 2 2" xfId="21207"/>
    <cellStyle name="ñ\¦ 3 3" xfId="21206"/>
    <cellStyle name="ñ\¦ 4" xfId="21205"/>
    <cellStyle name="ñ\¦ 4 2" xfId="21204"/>
    <cellStyle name="ñ\¦ 4 2 2" xfId="21203"/>
    <cellStyle name="ñ\¦ 4 3" xfId="21202"/>
    <cellStyle name="ñ\¦ 5" xfId="21201"/>
    <cellStyle name="ñ\¦ 5 2" xfId="21200"/>
    <cellStyle name="ñ\¦ 5 2 2" xfId="21199"/>
    <cellStyle name="ñ\¦ 5 3" xfId="21198"/>
    <cellStyle name="ñ\¦ 6" xfId="21197"/>
    <cellStyle name="ñ\¦ 6 2" xfId="21196"/>
    <cellStyle name="ñ\¦ 6 2 2" xfId="21195"/>
    <cellStyle name="ñ\¦ 6 3" xfId="21194"/>
    <cellStyle name="ñ\¦ 7" xfId="21193"/>
    <cellStyle name="ñ\¦ 7 2" xfId="21192"/>
    <cellStyle name="ñ\¦ 7 2 2" xfId="21191"/>
    <cellStyle name="ñ\¦ 7 3" xfId="21190"/>
    <cellStyle name="ñ\¦ 8" xfId="21189"/>
    <cellStyle name="ñ\¦ 8 2" xfId="21188"/>
    <cellStyle name="ñ\¦ 8 2 2" xfId="21187"/>
    <cellStyle name="ñ\¦ 8 3" xfId="21186"/>
    <cellStyle name="ñ\¦ 9" xfId="21185"/>
    <cellStyle name="ñ\¦ 9 2" xfId="21184"/>
    <cellStyle name="ñ\¦ 9 2 2" xfId="21183"/>
    <cellStyle name="ñ\¦ 9 3" xfId="21182"/>
    <cellStyle name="W_¯æ\" xfId="21181"/>
    <cellStyle name="0,0_x000a__x000a_NA_x000a__x000a_" xfId="21180"/>
    <cellStyle name="0,0_x000a__x000a_NA_x000a__x000a_ 2" xfId="21179"/>
    <cellStyle name="0,0_x000d__x000a_NA_x000d__x000a_" xfId="21178"/>
    <cellStyle name="0,0_x000d__x000a_NA_x000d__x000a_ 2" xfId="21177"/>
    <cellStyle name="0,0_x000d__x000a_NA_x000d__x000a_ 3" xfId="21176"/>
    <cellStyle name="0.0" xfId="21175"/>
    <cellStyle name="0.0 10" xfId="21174"/>
    <cellStyle name="0.0 10 2" xfId="21173"/>
    <cellStyle name="0.0 11" xfId="21172"/>
    <cellStyle name="0.0 2" xfId="21171"/>
    <cellStyle name="0.0 2 2" xfId="21170"/>
    <cellStyle name="0.0 2 2 2" xfId="21169"/>
    <cellStyle name="0.0 2 2 2 2" xfId="21168"/>
    <cellStyle name="0.0 2 2 3" xfId="21167"/>
    <cellStyle name="0.0 2 3" xfId="21166"/>
    <cellStyle name="0.0 2 3 2" xfId="21165"/>
    <cellStyle name="0.0 2 4" xfId="21164"/>
    <cellStyle name="0.0 3" xfId="21163"/>
    <cellStyle name="0.0 3 2" xfId="21162"/>
    <cellStyle name="0.0 3 2 2" xfId="21161"/>
    <cellStyle name="0.0 3 2 2 2" xfId="21160"/>
    <cellStyle name="0.0 3 2 3" xfId="21159"/>
    <cellStyle name="0.0 3 3" xfId="21158"/>
    <cellStyle name="0.0 3 3 2" xfId="21157"/>
    <cellStyle name="0.0 3 4" xfId="21156"/>
    <cellStyle name="0.0 4" xfId="21155"/>
    <cellStyle name="0.0 4 2" xfId="21154"/>
    <cellStyle name="0.0 4 2 2" xfId="21153"/>
    <cellStyle name="0.0 4 2 2 2" xfId="21152"/>
    <cellStyle name="0.0 4 2 3" xfId="21151"/>
    <cellStyle name="0.0 4 3" xfId="21150"/>
    <cellStyle name="0.0 4 3 2" xfId="21149"/>
    <cellStyle name="0.0 4 4" xfId="21148"/>
    <cellStyle name="0.0 5" xfId="21147"/>
    <cellStyle name="0.0 5 2" xfId="21146"/>
    <cellStyle name="0.0 5 2 2" xfId="21145"/>
    <cellStyle name="0.0 5 2 2 2" xfId="21144"/>
    <cellStyle name="0.0 5 2 3" xfId="21143"/>
    <cellStyle name="0.0 5 3" xfId="21142"/>
    <cellStyle name="0.0 5 3 2" xfId="21141"/>
    <cellStyle name="0.0 5 4" xfId="21140"/>
    <cellStyle name="0.0 6" xfId="21139"/>
    <cellStyle name="0.0 6 2" xfId="21138"/>
    <cellStyle name="0.0 6 2 2" xfId="21137"/>
    <cellStyle name="0.0 6 2 2 2" xfId="21136"/>
    <cellStyle name="0.0 6 2 3" xfId="21135"/>
    <cellStyle name="0.0 6 3" xfId="21134"/>
    <cellStyle name="0.0 6 3 2" xfId="21133"/>
    <cellStyle name="0.0 6 4" xfId="21132"/>
    <cellStyle name="0.0 7" xfId="21131"/>
    <cellStyle name="0.0 7 2" xfId="21130"/>
    <cellStyle name="0.0 7 2 2" xfId="21129"/>
    <cellStyle name="0.0 7 2 2 2" xfId="21128"/>
    <cellStyle name="0.0 7 2 3" xfId="21127"/>
    <cellStyle name="0.0 7 3" xfId="21126"/>
    <cellStyle name="0.0 7 3 2" xfId="21125"/>
    <cellStyle name="0.0 7 4" xfId="21124"/>
    <cellStyle name="0.0 8" xfId="21123"/>
    <cellStyle name="0.0 8 2" xfId="21122"/>
    <cellStyle name="0.0 8 2 2" xfId="21121"/>
    <cellStyle name="0.0 8 2 2 2" xfId="21120"/>
    <cellStyle name="0.0 8 2 3" xfId="21119"/>
    <cellStyle name="0.0 8 3" xfId="21118"/>
    <cellStyle name="0.0 8 3 2" xfId="21117"/>
    <cellStyle name="0.0 8 4" xfId="21116"/>
    <cellStyle name="0.0 9" xfId="21115"/>
    <cellStyle name="0.0 9 2" xfId="21114"/>
    <cellStyle name="0.0 9 2 2" xfId="21113"/>
    <cellStyle name="0.0 9 3" xfId="21112"/>
    <cellStyle name="0.00" xfId="21111"/>
    <cellStyle name="0.00 10" xfId="21110"/>
    <cellStyle name="0.00 10 2" xfId="21109"/>
    <cellStyle name="0.00 11" xfId="21108"/>
    <cellStyle name="0.00 2" xfId="21107"/>
    <cellStyle name="0.00 2 2" xfId="21106"/>
    <cellStyle name="0.00 2 2 2" xfId="21105"/>
    <cellStyle name="0.00 2 2 2 2" xfId="21104"/>
    <cellStyle name="0.00 2 2 3" xfId="21103"/>
    <cellStyle name="0.00 2 3" xfId="21102"/>
    <cellStyle name="0.00 2 3 2" xfId="21101"/>
    <cellStyle name="0.00 2 4" xfId="21100"/>
    <cellStyle name="0.00 3" xfId="21099"/>
    <cellStyle name="0.00 3 2" xfId="21098"/>
    <cellStyle name="0.00 3 2 2" xfId="21097"/>
    <cellStyle name="0.00 3 2 2 2" xfId="21096"/>
    <cellStyle name="0.00 3 2 3" xfId="21095"/>
    <cellStyle name="0.00 3 3" xfId="21094"/>
    <cellStyle name="0.00 3 3 2" xfId="21093"/>
    <cellStyle name="0.00 3 4" xfId="21092"/>
    <cellStyle name="0.00 4" xfId="21091"/>
    <cellStyle name="0.00 4 2" xfId="21090"/>
    <cellStyle name="0.00 4 2 2" xfId="21089"/>
    <cellStyle name="0.00 4 2 2 2" xfId="21088"/>
    <cellStyle name="0.00 4 2 3" xfId="21087"/>
    <cellStyle name="0.00 4 3" xfId="21086"/>
    <cellStyle name="0.00 4 3 2" xfId="21085"/>
    <cellStyle name="0.00 4 4" xfId="21084"/>
    <cellStyle name="0.00 5" xfId="21083"/>
    <cellStyle name="0.00 5 2" xfId="21082"/>
    <cellStyle name="0.00 5 2 2" xfId="21081"/>
    <cellStyle name="0.00 5 2 2 2" xfId="21080"/>
    <cellStyle name="0.00 5 2 3" xfId="21079"/>
    <cellStyle name="0.00 5 3" xfId="21078"/>
    <cellStyle name="0.00 5 3 2" xfId="21077"/>
    <cellStyle name="0.00 5 4" xfId="21076"/>
    <cellStyle name="0.00 6" xfId="21075"/>
    <cellStyle name="0.00 6 2" xfId="21074"/>
    <cellStyle name="0.00 6 2 2" xfId="21073"/>
    <cellStyle name="0.00 6 2 2 2" xfId="21072"/>
    <cellStyle name="0.00 6 2 3" xfId="21071"/>
    <cellStyle name="0.00 6 3" xfId="21070"/>
    <cellStyle name="0.00 6 3 2" xfId="21069"/>
    <cellStyle name="0.00 6 4" xfId="21068"/>
    <cellStyle name="0.00 7" xfId="21067"/>
    <cellStyle name="0.00 7 2" xfId="21066"/>
    <cellStyle name="0.00 7 2 2" xfId="21065"/>
    <cellStyle name="0.00 7 2 2 2" xfId="21064"/>
    <cellStyle name="0.00 7 2 3" xfId="21063"/>
    <cellStyle name="0.00 7 3" xfId="21062"/>
    <cellStyle name="0.00 7 3 2" xfId="21061"/>
    <cellStyle name="0.00 7 4" xfId="21060"/>
    <cellStyle name="0.00 8" xfId="21059"/>
    <cellStyle name="0.00 8 2" xfId="21058"/>
    <cellStyle name="0.00 8 2 2" xfId="21057"/>
    <cellStyle name="0.00 8 2 2 2" xfId="21056"/>
    <cellStyle name="0.00 8 2 3" xfId="21055"/>
    <cellStyle name="0.00 8 3" xfId="21054"/>
    <cellStyle name="0.00 8 3 2" xfId="21053"/>
    <cellStyle name="0.00 8 4" xfId="21052"/>
    <cellStyle name="0.00 9" xfId="21051"/>
    <cellStyle name="0.00 9 2" xfId="21050"/>
    <cellStyle name="0.00 9 2 2" xfId="21049"/>
    <cellStyle name="0.00 9 3" xfId="21048"/>
    <cellStyle name="1" xfId="21047"/>
    <cellStyle name="1 10" xfId="21046"/>
    <cellStyle name="1 10 2" xfId="21045"/>
    <cellStyle name="1 10 3" xfId="21044"/>
    <cellStyle name="1 11" xfId="21043"/>
    <cellStyle name="1 11 2" xfId="21042"/>
    <cellStyle name="1 11 3" xfId="21041"/>
    <cellStyle name="1 12" xfId="21040"/>
    <cellStyle name="1 12 2" xfId="21039"/>
    <cellStyle name="1 12 3" xfId="21038"/>
    <cellStyle name="1 13" xfId="21037"/>
    <cellStyle name="1 14" xfId="21036"/>
    <cellStyle name="1 2" xfId="21035"/>
    <cellStyle name="1 2 10" xfId="21034"/>
    <cellStyle name="1 2 10 2" xfId="21033"/>
    <cellStyle name="1 2 10 3" xfId="21032"/>
    <cellStyle name="1 2 11" xfId="21031"/>
    <cellStyle name="1 2 12" xfId="21030"/>
    <cellStyle name="1 2 2" xfId="21029"/>
    <cellStyle name="1 2 2 10" xfId="21028"/>
    <cellStyle name="1 2 2 2" xfId="21027"/>
    <cellStyle name="1 2 2 2 2" xfId="21026"/>
    <cellStyle name="1 2 2 2 3" xfId="21025"/>
    <cellStyle name="1 2 2 3" xfId="21024"/>
    <cellStyle name="1 2 2 3 2" xfId="21023"/>
    <cellStyle name="1 2 2 3 3" xfId="21022"/>
    <cellStyle name="1 2 2 4" xfId="21021"/>
    <cellStyle name="1 2 2 4 2" xfId="21020"/>
    <cellStyle name="1 2 2 4 3" xfId="21019"/>
    <cellStyle name="1 2 2 5" xfId="21018"/>
    <cellStyle name="1 2 2 5 2" xfId="21017"/>
    <cellStyle name="1 2 2 5 3" xfId="21016"/>
    <cellStyle name="1 2 2 6" xfId="21015"/>
    <cellStyle name="1 2 2 6 2" xfId="21014"/>
    <cellStyle name="1 2 2 6 3" xfId="21013"/>
    <cellStyle name="1 2 2 7" xfId="21012"/>
    <cellStyle name="1 2 2 7 2" xfId="21011"/>
    <cellStyle name="1 2 2 7 3" xfId="21010"/>
    <cellStyle name="1 2 2 8" xfId="21009"/>
    <cellStyle name="1 2 2 8 2" xfId="21008"/>
    <cellStyle name="1 2 2 8 3" xfId="21007"/>
    <cellStyle name="1 2 2 9" xfId="21006"/>
    <cellStyle name="1 2 3" xfId="21005"/>
    <cellStyle name="1 2 3 2" xfId="21004"/>
    <cellStyle name="1 2 3 3" xfId="21003"/>
    <cellStyle name="1 2 4" xfId="21002"/>
    <cellStyle name="1 2 4 2" xfId="21001"/>
    <cellStyle name="1 2 4 3" xfId="21000"/>
    <cellStyle name="1 2 5" xfId="20999"/>
    <cellStyle name="1 2 5 2" xfId="20998"/>
    <cellStyle name="1 2 5 3" xfId="20997"/>
    <cellStyle name="1 2 6" xfId="20996"/>
    <cellStyle name="1 2 6 2" xfId="20995"/>
    <cellStyle name="1 2 6 3" xfId="20994"/>
    <cellStyle name="1 2 7" xfId="20993"/>
    <cellStyle name="1 2 7 2" xfId="20992"/>
    <cellStyle name="1 2 7 3" xfId="20991"/>
    <cellStyle name="1 2 8" xfId="20990"/>
    <cellStyle name="1 2 8 2" xfId="20989"/>
    <cellStyle name="1 2 8 3" xfId="20988"/>
    <cellStyle name="1 2 9" xfId="20987"/>
    <cellStyle name="1 2 9 2" xfId="20986"/>
    <cellStyle name="1 2 9 3" xfId="20985"/>
    <cellStyle name="1 3" xfId="20984"/>
    <cellStyle name="1 3 10" xfId="20983"/>
    <cellStyle name="1 3 10 2" xfId="20982"/>
    <cellStyle name="1 3 10 3" xfId="20981"/>
    <cellStyle name="1 3 11" xfId="20980"/>
    <cellStyle name="1 3 12" xfId="20979"/>
    <cellStyle name="1 3 2" xfId="20978"/>
    <cellStyle name="1 3 2 10" xfId="20977"/>
    <cellStyle name="1 3 2 2" xfId="20976"/>
    <cellStyle name="1 3 2 2 2" xfId="20975"/>
    <cellStyle name="1 3 2 2 3" xfId="20974"/>
    <cellStyle name="1 3 2 3" xfId="20973"/>
    <cellStyle name="1 3 2 3 2" xfId="20972"/>
    <cellStyle name="1 3 2 3 3" xfId="20971"/>
    <cellStyle name="1 3 2 4" xfId="20970"/>
    <cellStyle name="1 3 2 4 2" xfId="20969"/>
    <cellStyle name="1 3 2 4 3" xfId="20968"/>
    <cellStyle name="1 3 2 5" xfId="20967"/>
    <cellStyle name="1 3 2 5 2" xfId="20966"/>
    <cellStyle name="1 3 2 5 3" xfId="20965"/>
    <cellStyle name="1 3 2 6" xfId="20964"/>
    <cellStyle name="1 3 2 6 2" xfId="20963"/>
    <cellStyle name="1 3 2 6 3" xfId="20962"/>
    <cellStyle name="1 3 2 7" xfId="20961"/>
    <cellStyle name="1 3 2 7 2" xfId="20960"/>
    <cellStyle name="1 3 2 7 3" xfId="20959"/>
    <cellStyle name="1 3 2 8" xfId="20958"/>
    <cellStyle name="1 3 2 8 2" xfId="20957"/>
    <cellStyle name="1 3 2 8 3" xfId="20956"/>
    <cellStyle name="1 3 2 9" xfId="20955"/>
    <cellStyle name="1 3 3" xfId="20954"/>
    <cellStyle name="1 3 3 2" xfId="20953"/>
    <cellStyle name="1 3 3 3" xfId="20952"/>
    <cellStyle name="1 3 4" xfId="20951"/>
    <cellStyle name="1 3 4 2" xfId="20950"/>
    <cellStyle name="1 3 4 3" xfId="20949"/>
    <cellStyle name="1 3 5" xfId="20948"/>
    <cellStyle name="1 3 5 2" xfId="20947"/>
    <cellStyle name="1 3 5 3" xfId="20946"/>
    <cellStyle name="1 3 6" xfId="20945"/>
    <cellStyle name="1 3 6 2" xfId="20944"/>
    <cellStyle name="1 3 6 3" xfId="20943"/>
    <cellStyle name="1 3 7" xfId="20942"/>
    <cellStyle name="1 3 7 2" xfId="20941"/>
    <cellStyle name="1 3 7 3" xfId="20940"/>
    <cellStyle name="1 3 8" xfId="20939"/>
    <cellStyle name="1 3 8 2" xfId="20938"/>
    <cellStyle name="1 3 8 3" xfId="20937"/>
    <cellStyle name="1 3 9" xfId="20936"/>
    <cellStyle name="1 3 9 2" xfId="20935"/>
    <cellStyle name="1 3 9 3" xfId="20934"/>
    <cellStyle name="1 4" xfId="20933"/>
    <cellStyle name="1 4 10" xfId="20932"/>
    <cellStyle name="1 4 2" xfId="20931"/>
    <cellStyle name="1 4 2 2" xfId="20930"/>
    <cellStyle name="1 4 2 3" xfId="20929"/>
    <cellStyle name="1 4 3" xfId="20928"/>
    <cellStyle name="1 4 3 2" xfId="20927"/>
    <cellStyle name="1 4 3 3" xfId="20926"/>
    <cellStyle name="1 4 4" xfId="20925"/>
    <cellStyle name="1 4 4 2" xfId="20924"/>
    <cellStyle name="1 4 4 3" xfId="20923"/>
    <cellStyle name="1 4 5" xfId="20922"/>
    <cellStyle name="1 4 5 2" xfId="20921"/>
    <cellStyle name="1 4 5 3" xfId="20920"/>
    <cellStyle name="1 4 6" xfId="20919"/>
    <cellStyle name="1 4 6 2" xfId="20918"/>
    <cellStyle name="1 4 6 3" xfId="20917"/>
    <cellStyle name="1 4 7" xfId="20916"/>
    <cellStyle name="1 4 7 2" xfId="20915"/>
    <cellStyle name="1 4 7 3" xfId="20914"/>
    <cellStyle name="1 4 8" xfId="20913"/>
    <cellStyle name="1 4 8 2" xfId="20912"/>
    <cellStyle name="1 4 8 3" xfId="20911"/>
    <cellStyle name="1 4 9" xfId="20910"/>
    <cellStyle name="1 5" xfId="20909"/>
    <cellStyle name="1 5 2" xfId="20908"/>
    <cellStyle name="1 5 3" xfId="20907"/>
    <cellStyle name="1 6" xfId="20906"/>
    <cellStyle name="1 6 2" xfId="20905"/>
    <cellStyle name="1 6 3" xfId="20904"/>
    <cellStyle name="1 7" xfId="20903"/>
    <cellStyle name="1 7 2" xfId="20902"/>
    <cellStyle name="1 7 3" xfId="20901"/>
    <cellStyle name="1 8" xfId="20900"/>
    <cellStyle name="1 8 2" xfId="20899"/>
    <cellStyle name="1 8 3" xfId="20898"/>
    <cellStyle name="1 9" xfId="20897"/>
    <cellStyle name="1 9 2" xfId="20896"/>
    <cellStyle name="1 9 3" xfId="20895"/>
    <cellStyle name="18" xfId="20894"/>
    <cellStyle name="18 2" xfId="20893"/>
    <cellStyle name="18 2 2" xfId="20892"/>
    <cellStyle name="18 2 2 2" xfId="20891"/>
    <cellStyle name="¹éºÐÀ²_±âÅ¸" xfId="20890"/>
    <cellStyle name="2" xfId="20889"/>
    <cellStyle name="2 10" xfId="20888"/>
    <cellStyle name="2 10 2" xfId="20887"/>
    <cellStyle name="2 10 2 2" xfId="20886"/>
    <cellStyle name="2 10 3" xfId="20885"/>
    <cellStyle name="2 11" xfId="20884"/>
    <cellStyle name="2 11 2" xfId="20883"/>
    <cellStyle name="2 11 2 2" xfId="20882"/>
    <cellStyle name="2 11 3" xfId="20881"/>
    <cellStyle name="2 12" xfId="20880"/>
    <cellStyle name="2 12 2" xfId="20879"/>
    <cellStyle name="2 12 2 2" xfId="20878"/>
    <cellStyle name="2 12 3" xfId="20877"/>
    <cellStyle name="2 13" xfId="20876"/>
    <cellStyle name="2 13 2" xfId="20875"/>
    <cellStyle name="2 14" xfId="20874"/>
    <cellStyle name="2 2" xfId="20873"/>
    <cellStyle name="2 2 10" xfId="20872"/>
    <cellStyle name="2 2 10 2" xfId="20871"/>
    <cellStyle name="2 2 10 2 2" xfId="20870"/>
    <cellStyle name="2 2 10 3" xfId="20869"/>
    <cellStyle name="2 2 11" xfId="20868"/>
    <cellStyle name="2 2 11 2" xfId="20867"/>
    <cellStyle name="2 2 12" xfId="20866"/>
    <cellStyle name="2 2 2" xfId="20865"/>
    <cellStyle name="2 2 2 10" xfId="20864"/>
    <cellStyle name="2 2 2 2" xfId="20863"/>
    <cellStyle name="2 2 2 2 2" xfId="20862"/>
    <cellStyle name="2 2 2 2 2 2" xfId="20861"/>
    <cellStyle name="2 2 2 2 3" xfId="20860"/>
    <cellStyle name="2 2 2 3" xfId="20859"/>
    <cellStyle name="2 2 2 3 2" xfId="20858"/>
    <cellStyle name="2 2 2 3 2 2" xfId="20857"/>
    <cellStyle name="2 2 2 3 3" xfId="20856"/>
    <cellStyle name="2 2 2 4" xfId="20855"/>
    <cellStyle name="2 2 2 4 2" xfId="20854"/>
    <cellStyle name="2 2 2 4 2 2" xfId="20853"/>
    <cellStyle name="2 2 2 4 3" xfId="20852"/>
    <cellStyle name="2 2 2 5" xfId="20851"/>
    <cellStyle name="2 2 2 5 2" xfId="20850"/>
    <cellStyle name="2 2 2 5 2 2" xfId="20849"/>
    <cellStyle name="2 2 2 5 3" xfId="20848"/>
    <cellStyle name="2 2 2 6" xfId="20847"/>
    <cellStyle name="2 2 2 6 2" xfId="20846"/>
    <cellStyle name="2 2 2 6 2 2" xfId="20845"/>
    <cellStyle name="2 2 2 6 3" xfId="20844"/>
    <cellStyle name="2 2 2 7" xfId="20843"/>
    <cellStyle name="2 2 2 7 2" xfId="20842"/>
    <cellStyle name="2 2 2 7 2 2" xfId="20841"/>
    <cellStyle name="2 2 2 7 3" xfId="20840"/>
    <cellStyle name="2 2 2 8" xfId="20839"/>
    <cellStyle name="2 2 2 8 2" xfId="20838"/>
    <cellStyle name="2 2 2 8 2 2" xfId="20837"/>
    <cellStyle name="2 2 2 8 3" xfId="20836"/>
    <cellStyle name="2 2 2 9" xfId="20835"/>
    <cellStyle name="2 2 2 9 2" xfId="20834"/>
    <cellStyle name="2 2 3" xfId="20833"/>
    <cellStyle name="2 2 3 2" xfId="20832"/>
    <cellStyle name="2 2 3 2 2" xfId="20831"/>
    <cellStyle name="2 2 3 3" xfId="20830"/>
    <cellStyle name="2 2 4" xfId="20829"/>
    <cellStyle name="2 2 4 2" xfId="20828"/>
    <cellStyle name="2 2 4 2 2" xfId="20827"/>
    <cellStyle name="2 2 4 3" xfId="20826"/>
    <cellStyle name="2 2 5" xfId="20825"/>
    <cellStyle name="2 2 5 2" xfId="20824"/>
    <cellStyle name="2 2 5 2 2" xfId="20823"/>
    <cellStyle name="2 2 5 3" xfId="20822"/>
    <cellStyle name="2 2 6" xfId="20821"/>
    <cellStyle name="2 2 6 2" xfId="20820"/>
    <cellStyle name="2 2 6 2 2" xfId="20819"/>
    <cellStyle name="2 2 6 3" xfId="20818"/>
    <cellStyle name="2 2 7" xfId="20817"/>
    <cellStyle name="2 2 7 2" xfId="20816"/>
    <cellStyle name="2 2 7 2 2" xfId="20815"/>
    <cellStyle name="2 2 7 3" xfId="20814"/>
    <cellStyle name="2 2 8" xfId="20813"/>
    <cellStyle name="2 2 8 2" xfId="20812"/>
    <cellStyle name="2 2 8 2 2" xfId="20811"/>
    <cellStyle name="2 2 8 3" xfId="20810"/>
    <cellStyle name="2 2 9" xfId="20809"/>
    <cellStyle name="2 2 9 2" xfId="20808"/>
    <cellStyle name="2 2 9 2 2" xfId="20807"/>
    <cellStyle name="2 2 9 3" xfId="20806"/>
    <cellStyle name="2 3" xfId="20805"/>
    <cellStyle name="2 3 10" xfId="20804"/>
    <cellStyle name="2 3 10 2" xfId="20803"/>
    <cellStyle name="2 3 10 2 2" xfId="20802"/>
    <cellStyle name="2 3 10 3" xfId="20801"/>
    <cellStyle name="2 3 11" xfId="20800"/>
    <cellStyle name="2 3 11 2" xfId="20799"/>
    <cellStyle name="2 3 12" xfId="20798"/>
    <cellStyle name="2 3 2" xfId="20797"/>
    <cellStyle name="2 3 2 10" xfId="20796"/>
    <cellStyle name="2 3 2 2" xfId="20795"/>
    <cellStyle name="2 3 2 2 2" xfId="20794"/>
    <cellStyle name="2 3 2 2 2 2" xfId="20793"/>
    <cellStyle name="2 3 2 2 3" xfId="20792"/>
    <cellStyle name="2 3 2 3" xfId="20791"/>
    <cellStyle name="2 3 2 3 2" xfId="20790"/>
    <cellStyle name="2 3 2 3 2 2" xfId="20789"/>
    <cellStyle name="2 3 2 3 3" xfId="20788"/>
    <cellStyle name="2 3 2 4" xfId="20787"/>
    <cellStyle name="2 3 2 4 2" xfId="20786"/>
    <cellStyle name="2 3 2 4 2 2" xfId="20785"/>
    <cellStyle name="2 3 2 4 3" xfId="20784"/>
    <cellStyle name="2 3 2 5" xfId="20783"/>
    <cellStyle name="2 3 2 5 2" xfId="20782"/>
    <cellStyle name="2 3 2 5 2 2" xfId="20781"/>
    <cellStyle name="2 3 2 5 3" xfId="20780"/>
    <cellStyle name="2 3 2 6" xfId="20779"/>
    <cellStyle name="2 3 2 6 2" xfId="20778"/>
    <cellStyle name="2 3 2 6 2 2" xfId="20777"/>
    <cellStyle name="2 3 2 6 3" xfId="20776"/>
    <cellStyle name="2 3 2 7" xfId="20775"/>
    <cellStyle name="2 3 2 7 2" xfId="20774"/>
    <cellStyle name="2 3 2 7 2 2" xfId="20773"/>
    <cellStyle name="2 3 2 7 3" xfId="20772"/>
    <cellStyle name="2 3 2 8" xfId="20771"/>
    <cellStyle name="2 3 2 8 2" xfId="20770"/>
    <cellStyle name="2 3 2 8 2 2" xfId="20769"/>
    <cellStyle name="2 3 2 8 3" xfId="20768"/>
    <cellStyle name="2 3 2 9" xfId="20767"/>
    <cellStyle name="2 3 2 9 2" xfId="20766"/>
    <cellStyle name="2 3 3" xfId="20765"/>
    <cellStyle name="2 3 3 2" xfId="20764"/>
    <cellStyle name="2 3 3 2 2" xfId="20763"/>
    <cellStyle name="2 3 3 3" xfId="20762"/>
    <cellStyle name="2 3 4" xfId="20761"/>
    <cellStyle name="2 3 4 2" xfId="20760"/>
    <cellStyle name="2 3 4 2 2" xfId="20759"/>
    <cellStyle name="2 3 4 3" xfId="20758"/>
    <cellStyle name="2 3 5" xfId="20757"/>
    <cellStyle name="2 3 5 2" xfId="20756"/>
    <cellStyle name="2 3 5 2 2" xfId="20755"/>
    <cellStyle name="2 3 5 3" xfId="20754"/>
    <cellStyle name="2 3 6" xfId="20753"/>
    <cellStyle name="2 3 6 2" xfId="20752"/>
    <cellStyle name="2 3 6 2 2" xfId="20751"/>
    <cellStyle name="2 3 6 3" xfId="20750"/>
    <cellStyle name="2 3 7" xfId="20749"/>
    <cellStyle name="2 3 7 2" xfId="20748"/>
    <cellStyle name="2 3 7 2 2" xfId="20747"/>
    <cellStyle name="2 3 7 3" xfId="20746"/>
    <cellStyle name="2 3 8" xfId="20745"/>
    <cellStyle name="2 3 8 2" xfId="20744"/>
    <cellStyle name="2 3 8 2 2" xfId="20743"/>
    <cellStyle name="2 3 8 3" xfId="20742"/>
    <cellStyle name="2 3 9" xfId="20741"/>
    <cellStyle name="2 3 9 2" xfId="20740"/>
    <cellStyle name="2 3 9 2 2" xfId="20739"/>
    <cellStyle name="2 3 9 3" xfId="20738"/>
    <cellStyle name="2 4" xfId="20737"/>
    <cellStyle name="2 4 10" xfId="20736"/>
    <cellStyle name="2 4 2" xfId="20735"/>
    <cellStyle name="2 4 2 2" xfId="20734"/>
    <cellStyle name="2 4 2 2 2" xfId="20733"/>
    <cellStyle name="2 4 2 3" xfId="20732"/>
    <cellStyle name="2 4 3" xfId="20731"/>
    <cellStyle name="2 4 3 2" xfId="20730"/>
    <cellStyle name="2 4 3 2 2" xfId="20729"/>
    <cellStyle name="2 4 3 3" xfId="20728"/>
    <cellStyle name="2 4 4" xfId="20727"/>
    <cellStyle name="2 4 4 2" xfId="20726"/>
    <cellStyle name="2 4 4 2 2" xfId="20725"/>
    <cellStyle name="2 4 4 3" xfId="20724"/>
    <cellStyle name="2 4 5" xfId="20723"/>
    <cellStyle name="2 4 5 2" xfId="20722"/>
    <cellStyle name="2 4 5 2 2" xfId="20721"/>
    <cellStyle name="2 4 5 3" xfId="20720"/>
    <cellStyle name="2 4 6" xfId="20719"/>
    <cellStyle name="2 4 6 2" xfId="20718"/>
    <cellStyle name="2 4 6 2 2" xfId="20717"/>
    <cellStyle name="2 4 6 3" xfId="20716"/>
    <cellStyle name="2 4 7" xfId="20715"/>
    <cellStyle name="2 4 7 2" xfId="20714"/>
    <cellStyle name="2 4 7 2 2" xfId="20713"/>
    <cellStyle name="2 4 7 3" xfId="20712"/>
    <cellStyle name="2 4 8" xfId="20711"/>
    <cellStyle name="2 4 8 2" xfId="20710"/>
    <cellStyle name="2 4 8 2 2" xfId="20709"/>
    <cellStyle name="2 4 8 3" xfId="20708"/>
    <cellStyle name="2 4 9" xfId="20707"/>
    <cellStyle name="2 4 9 2" xfId="20706"/>
    <cellStyle name="2 5" xfId="20705"/>
    <cellStyle name="2 5 2" xfId="20704"/>
    <cellStyle name="2 5 2 2" xfId="20703"/>
    <cellStyle name="2 5 3" xfId="20702"/>
    <cellStyle name="2 6" xfId="20701"/>
    <cellStyle name="2 6 2" xfId="20700"/>
    <cellStyle name="2 6 2 2" xfId="20699"/>
    <cellStyle name="2 6 3" xfId="20698"/>
    <cellStyle name="2 7" xfId="20697"/>
    <cellStyle name="2 7 2" xfId="20696"/>
    <cellStyle name="2 7 2 2" xfId="20695"/>
    <cellStyle name="2 7 3" xfId="20694"/>
    <cellStyle name="2 8" xfId="20693"/>
    <cellStyle name="2 8 2" xfId="20692"/>
    <cellStyle name="2 8 2 2" xfId="20691"/>
    <cellStyle name="2 8 3" xfId="20690"/>
    <cellStyle name="2 9" xfId="20689"/>
    <cellStyle name="2 9 2" xfId="20688"/>
    <cellStyle name="2 9 2 2" xfId="20687"/>
    <cellStyle name="2 9 3" xfId="20686"/>
    <cellStyle name="2)" xfId="20685"/>
    <cellStyle name="20% - Accent1 2" xfId="20684"/>
    <cellStyle name="20% - Accent1 2 2" xfId="20683"/>
    <cellStyle name="20% - Accent1 3" xfId="20682"/>
    <cellStyle name="20% - Accent1 3 2" xfId="20681"/>
    <cellStyle name="20% - Accent1 4" xfId="20680"/>
    <cellStyle name="20% - Accent1 4 2" xfId="20679"/>
    <cellStyle name="20% - Accent1 5" xfId="20678"/>
    <cellStyle name="20% - Accent1 5 2" xfId="20677"/>
    <cellStyle name="20% - Accent1 6" xfId="20676"/>
    <cellStyle name="20% - Accent1 6 2" xfId="20675"/>
    <cellStyle name="20% - Accent1 7" xfId="20674"/>
    <cellStyle name="20% - Accent1 7 2" xfId="20673"/>
    <cellStyle name="20% - Accent1 8" xfId="20672"/>
    <cellStyle name="20% - Accent1 8 2" xfId="20671"/>
    <cellStyle name="20% - Accent1 9" xfId="20670"/>
    <cellStyle name="20% - Accent2 2" xfId="20669"/>
    <cellStyle name="20% - Accent2 2 2" xfId="20668"/>
    <cellStyle name="20% - Accent2 3" xfId="20667"/>
    <cellStyle name="20% - Accent2 3 2" xfId="20666"/>
    <cellStyle name="20% - Accent2 4" xfId="20665"/>
    <cellStyle name="20% - Accent2 4 2" xfId="20664"/>
    <cellStyle name="20% - Accent2 5" xfId="20663"/>
    <cellStyle name="20% - Accent2 5 2" xfId="20662"/>
    <cellStyle name="20% - Accent2 6" xfId="20661"/>
    <cellStyle name="20% - Accent2 6 2" xfId="20660"/>
    <cellStyle name="20% - Accent2 7" xfId="20659"/>
    <cellStyle name="20% - Accent2 7 2" xfId="20658"/>
    <cellStyle name="20% - Accent2 8" xfId="20657"/>
    <cellStyle name="20% - Accent2 8 2" xfId="20656"/>
    <cellStyle name="20% - Accent2 9" xfId="20655"/>
    <cellStyle name="20% - Accent3 2" xfId="20654"/>
    <cellStyle name="20% - Accent3 2 2" xfId="20653"/>
    <cellStyle name="20% - Accent3 3" xfId="20652"/>
    <cellStyle name="20% - Accent3 3 2" xfId="20651"/>
    <cellStyle name="20% - Accent3 4" xfId="20650"/>
    <cellStyle name="20% - Accent3 4 2" xfId="20649"/>
    <cellStyle name="20% - Accent3 5" xfId="20648"/>
    <cellStyle name="20% - Accent3 5 2" xfId="20647"/>
    <cellStyle name="20% - Accent3 6" xfId="20646"/>
    <cellStyle name="20% - Accent3 6 2" xfId="20645"/>
    <cellStyle name="20% - Accent3 7" xfId="20644"/>
    <cellStyle name="20% - Accent3 7 2" xfId="20643"/>
    <cellStyle name="20% - Accent3 8" xfId="20642"/>
    <cellStyle name="20% - Accent3 8 2" xfId="20641"/>
    <cellStyle name="20% - Accent3 9" xfId="20640"/>
    <cellStyle name="20% - Accent4 2" xfId="20639"/>
    <cellStyle name="20% - Accent4 2 2" xfId="20638"/>
    <cellStyle name="20% - Accent4 3" xfId="20637"/>
    <cellStyle name="20% - Accent4 3 2" xfId="20636"/>
    <cellStyle name="20% - Accent4 4" xfId="20635"/>
    <cellStyle name="20% - Accent4 4 2" xfId="20634"/>
    <cellStyle name="20% - Accent4 5" xfId="20633"/>
    <cellStyle name="20% - Accent4 5 2" xfId="20632"/>
    <cellStyle name="20% - Accent4 6" xfId="20631"/>
    <cellStyle name="20% - Accent4 6 2" xfId="20630"/>
    <cellStyle name="20% - Accent4 7" xfId="20629"/>
    <cellStyle name="20% - Accent4 7 2" xfId="20628"/>
    <cellStyle name="20% - Accent4 8" xfId="20627"/>
    <cellStyle name="20% - Accent4 8 2" xfId="20626"/>
    <cellStyle name="20% - Accent4 9" xfId="20625"/>
    <cellStyle name="20% - Accent5 2" xfId="20624"/>
    <cellStyle name="20% - Accent5 2 2" xfId="20623"/>
    <cellStyle name="20% - Accent5 3" xfId="20622"/>
    <cellStyle name="20% - Accent5 3 2" xfId="20621"/>
    <cellStyle name="20% - Accent5 4" xfId="20620"/>
    <cellStyle name="20% - Accent5 4 2" xfId="20619"/>
    <cellStyle name="20% - Accent5 5" xfId="20618"/>
    <cellStyle name="20% - Accent5 5 2" xfId="20617"/>
    <cellStyle name="20% - Accent5 6" xfId="20616"/>
    <cellStyle name="20% - Accent5 6 2" xfId="20615"/>
    <cellStyle name="20% - Accent5 7" xfId="20614"/>
    <cellStyle name="20% - Accent5 7 2" xfId="20613"/>
    <cellStyle name="20% - Accent5 8" xfId="20612"/>
    <cellStyle name="20% - Accent5 8 2" xfId="20611"/>
    <cellStyle name="20% - Accent5 9" xfId="20610"/>
    <cellStyle name="20% - Accent6 2" xfId="20609"/>
    <cellStyle name="20% - Accent6 2 2" xfId="20608"/>
    <cellStyle name="20% - Accent6 3" xfId="20607"/>
    <cellStyle name="20% - Accent6 3 2" xfId="20606"/>
    <cellStyle name="20% - Accent6 4" xfId="20605"/>
    <cellStyle name="20% - Accent6 4 2" xfId="20604"/>
    <cellStyle name="20% - Accent6 5" xfId="20603"/>
    <cellStyle name="20% - Accent6 5 2" xfId="20602"/>
    <cellStyle name="20% - Accent6 6" xfId="20601"/>
    <cellStyle name="20% - Accent6 6 2" xfId="20600"/>
    <cellStyle name="20% - Accent6 7" xfId="20599"/>
    <cellStyle name="20% - Accent6 7 2" xfId="20598"/>
    <cellStyle name="20% - Accent6 8" xfId="20597"/>
    <cellStyle name="20% - Accent6 8 2" xfId="20596"/>
    <cellStyle name="20% - Accent6 9" xfId="20595"/>
    <cellStyle name="20% - Énfasis1" xfId="20594"/>
    <cellStyle name="20% - Énfasis2" xfId="20593"/>
    <cellStyle name="20% - Énfasis3" xfId="20592"/>
    <cellStyle name="20% - Énfasis4" xfId="20591"/>
    <cellStyle name="20% - Énfasis5" xfId="20590"/>
    <cellStyle name="20% - Énfasis6" xfId="20589"/>
    <cellStyle name="20% - 강조색1" xfId="20588"/>
    <cellStyle name="20% - 강조색2" xfId="20587"/>
    <cellStyle name="20% - 강조색3" xfId="20586"/>
    <cellStyle name="20% - 강조색4" xfId="20585"/>
    <cellStyle name="20% - 강조색5" xfId="20584"/>
    <cellStyle name="20% - 강조색6" xfId="20583"/>
    <cellStyle name="20% - 强调文字颜色 1" xfId="20582"/>
    <cellStyle name="20% - 强调文字颜色 2" xfId="20581"/>
    <cellStyle name="20% - 强调文字颜色 3" xfId="20580"/>
    <cellStyle name="20% - 强调文字颜色 4" xfId="20579"/>
    <cellStyle name="20% - 强调文字颜色 5" xfId="20578"/>
    <cellStyle name="20% - 强调文字颜色 6" xfId="20577"/>
    <cellStyle name="3" xfId="20576"/>
    <cellStyle name="3 10" xfId="20575"/>
    <cellStyle name="3 10 2" xfId="20574"/>
    <cellStyle name="3 10 3" xfId="20573"/>
    <cellStyle name="3 10 4" xfId="20572"/>
    <cellStyle name="3 10 5" xfId="20571"/>
    <cellStyle name="3 11" xfId="20570"/>
    <cellStyle name="3 11 2" xfId="20569"/>
    <cellStyle name="3 11 3" xfId="20568"/>
    <cellStyle name="3 11 4" xfId="20567"/>
    <cellStyle name="3 11 5" xfId="20566"/>
    <cellStyle name="3 12" xfId="20565"/>
    <cellStyle name="3 12 2" xfId="20564"/>
    <cellStyle name="3 12 3" xfId="20563"/>
    <cellStyle name="3 12 4" xfId="20562"/>
    <cellStyle name="3 12 5" xfId="20561"/>
    <cellStyle name="3 13" xfId="20560"/>
    <cellStyle name="3 14" xfId="20559"/>
    <cellStyle name="3 15" xfId="20558"/>
    <cellStyle name="3 16" xfId="20557"/>
    <cellStyle name="3 2" xfId="20556"/>
    <cellStyle name="3 2 10" xfId="20555"/>
    <cellStyle name="3 2 10 2" xfId="20554"/>
    <cellStyle name="3 2 10 3" xfId="20553"/>
    <cellStyle name="3 2 10 4" xfId="20552"/>
    <cellStyle name="3 2 10 5" xfId="20551"/>
    <cellStyle name="3 2 11" xfId="20550"/>
    <cellStyle name="3 2 12" xfId="20549"/>
    <cellStyle name="3 2 13" xfId="20548"/>
    <cellStyle name="3 2 14" xfId="20547"/>
    <cellStyle name="3 2 2" xfId="20546"/>
    <cellStyle name="3 2 2 10" xfId="20545"/>
    <cellStyle name="3 2 2 11" xfId="20544"/>
    <cellStyle name="3 2 2 12" xfId="20543"/>
    <cellStyle name="3 2 2 2" xfId="20542"/>
    <cellStyle name="3 2 2 2 2" xfId="20541"/>
    <cellStyle name="3 2 2 2 3" xfId="20540"/>
    <cellStyle name="3 2 2 2 4" xfId="20539"/>
    <cellStyle name="3 2 2 2 5" xfId="20538"/>
    <cellStyle name="3 2 2 3" xfId="20537"/>
    <cellStyle name="3 2 2 3 2" xfId="20536"/>
    <cellStyle name="3 2 2 3 3" xfId="20535"/>
    <cellStyle name="3 2 2 3 4" xfId="20534"/>
    <cellStyle name="3 2 2 3 5" xfId="20533"/>
    <cellStyle name="3 2 2 4" xfId="20532"/>
    <cellStyle name="3 2 2 4 2" xfId="20531"/>
    <cellStyle name="3 2 2 4 3" xfId="20530"/>
    <cellStyle name="3 2 2 4 4" xfId="20529"/>
    <cellStyle name="3 2 2 4 5" xfId="20528"/>
    <cellStyle name="3 2 2 5" xfId="20527"/>
    <cellStyle name="3 2 2 5 2" xfId="20526"/>
    <cellStyle name="3 2 2 5 3" xfId="20525"/>
    <cellStyle name="3 2 2 5 4" xfId="20524"/>
    <cellStyle name="3 2 2 5 5" xfId="20523"/>
    <cellStyle name="3 2 2 6" xfId="20522"/>
    <cellStyle name="3 2 2 6 2" xfId="20521"/>
    <cellStyle name="3 2 2 6 3" xfId="20520"/>
    <cellStyle name="3 2 2 6 4" xfId="20519"/>
    <cellStyle name="3 2 2 6 5" xfId="20518"/>
    <cellStyle name="3 2 2 7" xfId="20517"/>
    <cellStyle name="3 2 2 7 2" xfId="20516"/>
    <cellStyle name="3 2 2 7 3" xfId="20515"/>
    <cellStyle name="3 2 2 7 4" xfId="20514"/>
    <cellStyle name="3 2 2 7 5" xfId="20513"/>
    <cellStyle name="3 2 2 8" xfId="20512"/>
    <cellStyle name="3 2 2 8 2" xfId="20511"/>
    <cellStyle name="3 2 2 8 3" xfId="20510"/>
    <cellStyle name="3 2 2 8 4" xfId="20509"/>
    <cellStyle name="3 2 2 8 5" xfId="20508"/>
    <cellStyle name="3 2 2 9" xfId="20507"/>
    <cellStyle name="3 2 3" xfId="20506"/>
    <cellStyle name="3 2 3 2" xfId="20505"/>
    <cellStyle name="3 2 3 3" xfId="20504"/>
    <cellStyle name="3 2 3 4" xfId="20503"/>
    <cellStyle name="3 2 3 5" xfId="20502"/>
    <cellStyle name="3 2 4" xfId="20501"/>
    <cellStyle name="3 2 4 2" xfId="20500"/>
    <cellStyle name="3 2 4 3" xfId="20499"/>
    <cellStyle name="3 2 4 4" xfId="20498"/>
    <cellStyle name="3 2 4 5" xfId="20497"/>
    <cellStyle name="3 2 5" xfId="20496"/>
    <cellStyle name="3 2 5 2" xfId="20495"/>
    <cellStyle name="3 2 5 3" xfId="20494"/>
    <cellStyle name="3 2 5 4" xfId="20493"/>
    <cellStyle name="3 2 5 5" xfId="20492"/>
    <cellStyle name="3 2 6" xfId="20491"/>
    <cellStyle name="3 2 6 2" xfId="20490"/>
    <cellStyle name="3 2 6 3" xfId="20489"/>
    <cellStyle name="3 2 6 4" xfId="20488"/>
    <cellStyle name="3 2 6 5" xfId="20487"/>
    <cellStyle name="3 2 7" xfId="20486"/>
    <cellStyle name="3 2 7 2" xfId="20485"/>
    <cellStyle name="3 2 7 3" xfId="20484"/>
    <cellStyle name="3 2 7 4" xfId="20483"/>
    <cellStyle name="3 2 7 5" xfId="20482"/>
    <cellStyle name="3 2 8" xfId="20481"/>
    <cellStyle name="3 2 8 2" xfId="20480"/>
    <cellStyle name="3 2 8 3" xfId="20479"/>
    <cellStyle name="3 2 8 4" xfId="20478"/>
    <cellStyle name="3 2 8 5" xfId="20477"/>
    <cellStyle name="3 2 9" xfId="20476"/>
    <cellStyle name="3 2 9 2" xfId="20475"/>
    <cellStyle name="3 2 9 3" xfId="20474"/>
    <cellStyle name="3 2 9 4" xfId="20473"/>
    <cellStyle name="3 2 9 5" xfId="20472"/>
    <cellStyle name="3 3" xfId="20471"/>
    <cellStyle name="3 3 10" xfId="20470"/>
    <cellStyle name="3 3 10 2" xfId="20469"/>
    <cellStyle name="3 3 10 3" xfId="20468"/>
    <cellStyle name="3 3 10 4" xfId="20467"/>
    <cellStyle name="3 3 10 5" xfId="20466"/>
    <cellStyle name="3 3 11" xfId="20465"/>
    <cellStyle name="3 3 12" xfId="20464"/>
    <cellStyle name="3 3 13" xfId="20463"/>
    <cellStyle name="3 3 14" xfId="20462"/>
    <cellStyle name="3 3 2" xfId="20461"/>
    <cellStyle name="3 3 2 10" xfId="20460"/>
    <cellStyle name="3 3 2 11" xfId="20459"/>
    <cellStyle name="3 3 2 12" xfId="20458"/>
    <cellStyle name="3 3 2 2" xfId="20457"/>
    <cellStyle name="3 3 2 2 2" xfId="20456"/>
    <cellStyle name="3 3 2 2 3" xfId="20455"/>
    <cellStyle name="3 3 2 2 4" xfId="20454"/>
    <cellStyle name="3 3 2 2 5" xfId="20453"/>
    <cellStyle name="3 3 2 3" xfId="20452"/>
    <cellStyle name="3 3 2 3 2" xfId="20451"/>
    <cellStyle name="3 3 2 3 3" xfId="20450"/>
    <cellStyle name="3 3 2 3 4" xfId="20449"/>
    <cellStyle name="3 3 2 3 5" xfId="20448"/>
    <cellStyle name="3 3 2 4" xfId="20447"/>
    <cellStyle name="3 3 2 4 2" xfId="20446"/>
    <cellStyle name="3 3 2 4 3" xfId="20445"/>
    <cellStyle name="3 3 2 4 4" xfId="20444"/>
    <cellStyle name="3 3 2 4 5" xfId="20443"/>
    <cellStyle name="3 3 2 5" xfId="20442"/>
    <cellStyle name="3 3 2 5 2" xfId="20441"/>
    <cellStyle name="3 3 2 5 3" xfId="20440"/>
    <cellStyle name="3 3 2 5 4" xfId="20439"/>
    <cellStyle name="3 3 2 5 5" xfId="20438"/>
    <cellStyle name="3 3 2 6" xfId="20437"/>
    <cellStyle name="3 3 2 6 2" xfId="20436"/>
    <cellStyle name="3 3 2 6 3" xfId="20435"/>
    <cellStyle name="3 3 2 6 4" xfId="20434"/>
    <cellStyle name="3 3 2 6 5" xfId="20433"/>
    <cellStyle name="3 3 2 7" xfId="20432"/>
    <cellStyle name="3 3 2 7 2" xfId="20431"/>
    <cellStyle name="3 3 2 7 3" xfId="20430"/>
    <cellStyle name="3 3 2 7 4" xfId="20429"/>
    <cellStyle name="3 3 2 7 5" xfId="20428"/>
    <cellStyle name="3 3 2 8" xfId="20427"/>
    <cellStyle name="3 3 2 8 2" xfId="20426"/>
    <cellStyle name="3 3 2 8 3" xfId="20425"/>
    <cellStyle name="3 3 2 8 4" xfId="20424"/>
    <cellStyle name="3 3 2 8 5" xfId="20423"/>
    <cellStyle name="3 3 2 9" xfId="20422"/>
    <cellStyle name="3 3 3" xfId="20421"/>
    <cellStyle name="3 3 3 2" xfId="20420"/>
    <cellStyle name="3 3 3 3" xfId="20419"/>
    <cellStyle name="3 3 3 4" xfId="20418"/>
    <cellStyle name="3 3 3 5" xfId="20417"/>
    <cellStyle name="3 3 4" xfId="20416"/>
    <cellStyle name="3 3 4 2" xfId="20415"/>
    <cellStyle name="3 3 4 3" xfId="20414"/>
    <cellStyle name="3 3 4 4" xfId="20413"/>
    <cellStyle name="3 3 4 5" xfId="20412"/>
    <cellStyle name="3 3 5" xfId="20411"/>
    <cellStyle name="3 3 5 2" xfId="20410"/>
    <cellStyle name="3 3 5 3" xfId="20409"/>
    <cellStyle name="3 3 5 4" xfId="20408"/>
    <cellStyle name="3 3 5 5" xfId="20407"/>
    <cellStyle name="3 3 6" xfId="20406"/>
    <cellStyle name="3 3 6 2" xfId="20405"/>
    <cellStyle name="3 3 6 3" xfId="20404"/>
    <cellStyle name="3 3 6 4" xfId="20403"/>
    <cellStyle name="3 3 6 5" xfId="20402"/>
    <cellStyle name="3 3 7" xfId="20401"/>
    <cellStyle name="3 3 7 2" xfId="20400"/>
    <cellStyle name="3 3 7 3" xfId="20399"/>
    <cellStyle name="3 3 7 4" xfId="20398"/>
    <cellStyle name="3 3 7 5" xfId="20397"/>
    <cellStyle name="3 3 8" xfId="20396"/>
    <cellStyle name="3 3 8 2" xfId="20395"/>
    <cellStyle name="3 3 8 3" xfId="20394"/>
    <cellStyle name="3 3 8 4" xfId="20393"/>
    <cellStyle name="3 3 8 5" xfId="20392"/>
    <cellStyle name="3 3 9" xfId="20391"/>
    <cellStyle name="3 3 9 2" xfId="20390"/>
    <cellStyle name="3 3 9 3" xfId="20389"/>
    <cellStyle name="3 3 9 4" xfId="20388"/>
    <cellStyle name="3 3 9 5" xfId="20387"/>
    <cellStyle name="3 4" xfId="20386"/>
    <cellStyle name="3 4 10" xfId="20385"/>
    <cellStyle name="3 4 11" xfId="20384"/>
    <cellStyle name="3 4 12" xfId="20383"/>
    <cellStyle name="3 4 2" xfId="20382"/>
    <cellStyle name="3 4 2 2" xfId="20381"/>
    <cellStyle name="3 4 2 3" xfId="20380"/>
    <cellStyle name="3 4 2 4" xfId="20379"/>
    <cellStyle name="3 4 2 5" xfId="20378"/>
    <cellStyle name="3 4 3" xfId="20377"/>
    <cellStyle name="3 4 3 2" xfId="20376"/>
    <cellStyle name="3 4 3 3" xfId="20375"/>
    <cellStyle name="3 4 3 4" xfId="20374"/>
    <cellStyle name="3 4 3 5" xfId="20373"/>
    <cellStyle name="3 4 4" xfId="20372"/>
    <cellStyle name="3 4 4 2" xfId="20371"/>
    <cellStyle name="3 4 4 3" xfId="20370"/>
    <cellStyle name="3 4 4 4" xfId="20369"/>
    <cellStyle name="3 4 4 5" xfId="20368"/>
    <cellStyle name="3 4 5" xfId="20367"/>
    <cellStyle name="3 4 5 2" xfId="20366"/>
    <cellStyle name="3 4 5 3" xfId="20365"/>
    <cellStyle name="3 4 5 4" xfId="20364"/>
    <cellStyle name="3 4 5 5" xfId="20363"/>
    <cellStyle name="3 4 6" xfId="20362"/>
    <cellStyle name="3 4 6 2" xfId="20361"/>
    <cellStyle name="3 4 6 3" xfId="20360"/>
    <cellStyle name="3 4 6 4" xfId="20359"/>
    <cellStyle name="3 4 6 5" xfId="20358"/>
    <cellStyle name="3 4 7" xfId="20357"/>
    <cellStyle name="3 4 7 2" xfId="20356"/>
    <cellStyle name="3 4 7 3" xfId="20355"/>
    <cellStyle name="3 4 7 4" xfId="20354"/>
    <cellStyle name="3 4 7 5" xfId="20353"/>
    <cellStyle name="3 4 8" xfId="20352"/>
    <cellStyle name="3 4 8 2" xfId="20351"/>
    <cellStyle name="3 4 8 3" xfId="20350"/>
    <cellStyle name="3 4 8 4" xfId="20349"/>
    <cellStyle name="3 4 8 5" xfId="20348"/>
    <cellStyle name="3 4 9" xfId="20347"/>
    <cellStyle name="3 5" xfId="20346"/>
    <cellStyle name="3 5 2" xfId="20345"/>
    <cellStyle name="3 5 3" xfId="20344"/>
    <cellStyle name="3 5 4" xfId="20343"/>
    <cellStyle name="3 5 5" xfId="20342"/>
    <cellStyle name="3 6" xfId="20341"/>
    <cellStyle name="3 6 2" xfId="20340"/>
    <cellStyle name="3 6 3" xfId="20339"/>
    <cellStyle name="3 6 4" xfId="20338"/>
    <cellStyle name="3 6 5" xfId="20337"/>
    <cellStyle name="3 7" xfId="20336"/>
    <cellStyle name="3 7 2" xfId="20335"/>
    <cellStyle name="3 7 3" xfId="20334"/>
    <cellStyle name="3 7 4" xfId="20333"/>
    <cellStyle name="3 7 5" xfId="20332"/>
    <cellStyle name="3 8" xfId="20331"/>
    <cellStyle name="3 8 2" xfId="20330"/>
    <cellStyle name="3 8 3" xfId="20329"/>
    <cellStyle name="3 8 4" xfId="20328"/>
    <cellStyle name="3 8 5" xfId="20327"/>
    <cellStyle name="3 9" xfId="20326"/>
    <cellStyle name="3 9 2" xfId="20325"/>
    <cellStyle name="3 9 3" xfId="20324"/>
    <cellStyle name="3 9 4" xfId="20323"/>
    <cellStyle name="3 9 5" xfId="20322"/>
    <cellStyle name="4" xfId="20321"/>
    <cellStyle name="4 10" xfId="20320"/>
    <cellStyle name="4 10 2" xfId="20319"/>
    <cellStyle name="4 10 3" xfId="20318"/>
    <cellStyle name="4 10 4" xfId="20317"/>
    <cellStyle name="4 10 5" xfId="20316"/>
    <cellStyle name="4 11" xfId="20315"/>
    <cellStyle name="4 11 2" xfId="20314"/>
    <cellStyle name="4 11 3" xfId="20313"/>
    <cellStyle name="4 11 4" xfId="20312"/>
    <cellStyle name="4 11 5" xfId="20311"/>
    <cellStyle name="4 12" xfId="20310"/>
    <cellStyle name="4 12 2" xfId="20309"/>
    <cellStyle name="4 12 3" xfId="20308"/>
    <cellStyle name="4 12 4" xfId="20307"/>
    <cellStyle name="4 12 5" xfId="20306"/>
    <cellStyle name="4 13" xfId="20305"/>
    <cellStyle name="4 14" xfId="20304"/>
    <cellStyle name="4 15" xfId="20303"/>
    <cellStyle name="4 16" xfId="20302"/>
    <cellStyle name="4 2" xfId="20301"/>
    <cellStyle name="4 2 10" xfId="20300"/>
    <cellStyle name="4 2 10 2" xfId="20299"/>
    <cellStyle name="4 2 10 3" xfId="20298"/>
    <cellStyle name="4 2 10 4" xfId="20297"/>
    <cellStyle name="4 2 10 5" xfId="20296"/>
    <cellStyle name="4 2 11" xfId="20295"/>
    <cellStyle name="4 2 12" xfId="20294"/>
    <cellStyle name="4 2 13" xfId="20293"/>
    <cellStyle name="4 2 14" xfId="20292"/>
    <cellStyle name="4 2 2" xfId="20291"/>
    <cellStyle name="4 2 2 10" xfId="20290"/>
    <cellStyle name="4 2 2 11" xfId="20289"/>
    <cellStyle name="4 2 2 12" xfId="20288"/>
    <cellStyle name="4 2 2 2" xfId="20287"/>
    <cellStyle name="4 2 2 2 2" xfId="20286"/>
    <cellStyle name="4 2 2 2 3" xfId="20285"/>
    <cellStyle name="4 2 2 2 4" xfId="20284"/>
    <cellStyle name="4 2 2 2 5" xfId="20283"/>
    <cellStyle name="4 2 2 3" xfId="20282"/>
    <cellStyle name="4 2 2 3 2" xfId="20281"/>
    <cellStyle name="4 2 2 3 3" xfId="20280"/>
    <cellStyle name="4 2 2 3 4" xfId="20279"/>
    <cellStyle name="4 2 2 3 5" xfId="20278"/>
    <cellStyle name="4 2 2 4" xfId="20277"/>
    <cellStyle name="4 2 2 4 2" xfId="20276"/>
    <cellStyle name="4 2 2 4 3" xfId="20275"/>
    <cellStyle name="4 2 2 4 4" xfId="20274"/>
    <cellStyle name="4 2 2 4 5" xfId="20273"/>
    <cellStyle name="4 2 2 5" xfId="20272"/>
    <cellStyle name="4 2 2 5 2" xfId="20271"/>
    <cellStyle name="4 2 2 5 3" xfId="20270"/>
    <cellStyle name="4 2 2 5 4" xfId="20269"/>
    <cellStyle name="4 2 2 5 5" xfId="20268"/>
    <cellStyle name="4 2 2 6" xfId="20267"/>
    <cellStyle name="4 2 2 6 2" xfId="20266"/>
    <cellStyle name="4 2 2 6 3" xfId="20265"/>
    <cellStyle name="4 2 2 6 4" xfId="20264"/>
    <cellStyle name="4 2 2 6 5" xfId="20263"/>
    <cellStyle name="4 2 2 7" xfId="20262"/>
    <cellStyle name="4 2 2 7 2" xfId="20261"/>
    <cellStyle name="4 2 2 7 3" xfId="20260"/>
    <cellStyle name="4 2 2 7 4" xfId="20259"/>
    <cellStyle name="4 2 2 7 5" xfId="20258"/>
    <cellStyle name="4 2 2 8" xfId="20257"/>
    <cellStyle name="4 2 2 8 2" xfId="20256"/>
    <cellStyle name="4 2 2 8 3" xfId="20255"/>
    <cellStyle name="4 2 2 8 4" xfId="20254"/>
    <cellStyle name="4 2 2 8 5" xfId="20253"/>
    <cellStyle name="4 2 2 9" xfId="20252"/>
    <cellStyle name="4 2 3" xfId="20251"/>
    <cellStyle name="4 2 3 2" xfId="20250"/>
    <cellStyle name="4 2 3 3" xfId="20249"/>
    <cellStyle name="4 2 3 4" xfId="20248"/>
    <cellStyle name="4 2 3 5" xfId="20247"/>
    <cellStyle name="4 2 4" xfId="20246"/>
    <cellStyle name="4 2 4 2" xfId="20245"/>
    <cellStyle name="4 2 4 3" xfId="20244"/>
    <cellStyle name="4 2 4 4" xfId="20243"/>
    <cellStyle name="4 2 4 5" xfId="20242"/>
    <cellStyle name="4 2 5" xfId="20241"/>
    <cellStyle name="4 2 5 2" xfId="20240"/>
    <cellStyle name="4 2 5 3" xfId="20239"/>
    <cellStyle name="4 2 5 4" xfId="20238"/>
    <cellStyle name="4 2 5 5" xfId="20237"/>
    <cellStyle name="4 2 6" xfId="20236"/>
    <cellStyle name="4 2 6 2" xfId="20235"/>
    <cellStyle name="4 2 6 3" xfId="20234"/>
    <cellStyle name="4 2 6 4" xfId="20233"/>
    <cellStyle name="4 2 6 5" xfId="20232"/>
    <cellStyle name="4 2 7" xfId="20231"/>
    <cellStyle name="4 2 7 2" xfId="20230"/>
    <cellStyle name="4 2 7 3" xfId="20229"/>
    <cellStyle name="4 2 7 4" xfId="20228"/>
    <cellStyle name="4 2 7 5" xfId="20227"/>
    <cellStyle name="4 2 8" xfId="20226"/>
    <cellStyle name="4 2 8 2" xfId="20225"/>
    <cellStyle name="4 2 8 3" xfId="20224"/>
    <cellStyle name="4 2 8 4" xfId="20223"/>
    <cellStyle name="4 2 8 5" xfId="20222"/>
    <cellStyle name="4 2 9" xfId="20221"/>
    <cellStyle name="4 2 9 2" xfId="20220"/>
    <cellStyle name="4 2 9 3" xfId="20219"/>
    <cellStyle name="4 2 9 4" xfId="20218"/>
    <cellStyle name="4 2 9 5" xfId="20217"/>
    <cellStyle name="4 3" xfId="20216"/>
    <cellStyle name="4 3 10" xfId="20215"/>
    <cellStyle name="4 3 10 2" xfId="20214"/>
    <cellStyle name="4 3 10 3" xfId="20213"/>
    <cellStyle name="4 3 10 4" xfId="20212"/>
    <cellStyle name="4 3 10 5" xfId="20211"/>
    <cellStyle name="4 3 11" xfId="20210"/>
    <cellStyle name="4 3 12" xfId="20209"/>
    <cellStyle name="4 3 13" xfId="20208"/>
    <cellStyle name="4 3 14" xfId="20207"/>
    <cellStyle name="4 3 2" xfId="20206"/>
    <cellStyle name="4 3 2 10" xfId="20205"/>
    <cellStyle name="4 3 2 11" xfId="20204"/>
    <cellStyle name="4 3 2 12" xfId="20203"/>
    <cellStyle name="4 3 2 2" xfId="20202"/>
    <cellStyle name="4 3 2 2 2" xfId="20201"/>
    <cellStyle name="4 3 2 2 3" xfId="20200"/>
    <cellStyle name="4 3 2 2 4" xfId="20199"/>
    <cellStyle name="4 3 2 2 5" xfId="20198"/>
    <cellStyle name="4 3 2 3" xfId="20197"/>
    <cellStyle name="4 3 2 3 2" xfId="20196"/>
    <cellStyle name="4 3 2 3 3" xfId="20195"/>
    <cellStyle name="4 3 2 3 4" xfId="20194"/>
    <cellStyle name="4 3 2 3 5" xfId="20193"/>
    <cellStyle name="4 3 2 4" xfId="20192"/>
    <cellStyle name="4 3 2 4 2" xfId="20191"/>
    <cellStyle name="4 3 2 4 3" xfId="20190"/>
    <cellStyle name="4 3 2 4 4" xfId="20189"/>
    <cellStyle name="4 3 2 4 5" xfId="20188"/>
    <cellStyle name="4 3 2 5" xfId="20187"/>
    <cellStyle name="4 3 2 5 2" xfId="20186"/>
    <cellStyle name="4 3 2 5 3" xfId="20185"/>
    <cellStyle name="4 3 2 5 4" xfId="20184"/>
    <cellStyle name="4 3 2 5 5" xfId="20183"/>
    <cellStyle name="4 3 2 6" xfId="20182"/>
    <cellStyle name="4 3 2 6 2" xfId="20181"/>
    <cellStyle name="4 3 2 6 3" xfId="20180"/>
    <cellStyle name="4 3 2 6 4" xfId="20179"/>
    <cellStyle name="4 3 2 6 5" xfId="20178"/>
    <cellStyle name="4 3 2 7" xfId="20177"/>
    <cellStyle name="4 3 2 7 2" xfId="20176"/>
    <cellStyle name="4 3 2 7 3" xfId="20175"/>
    <cellStyle name="4 3 2 7 4" xfId="20174"/>
    <cellStyle name="4 3 2 7 5" xfId="20173"/>
    <cellStyle name="4 3 2 8" xfId="20172"/>
    <cellStyle name="4 3 2 8 2" xfId="20171"/>
    <cellStyle name="4 3 2 8 3" xfId="20170"/>
    <cellStyle name="4 3 2 8 4" xfId="20169"/>
    <cellStyle name="4 3 2 8 5" xfId="20168"/>
    <cellStyle name="4 3 2 9" xfId="20167"/>
    <cellStyle name="4 3 3" xfId="20166"/>
    <cellStyle name="4 3 3 2" xfId="20165"/>
    <cellStyle name="4 3 3 3" xfId="20164"/>
    <cellStyle name="4 3 3 4" xfId="20163"/>
    <cellStyle name="4 3 3 5" xfId="20162"/>
    <cellStyle name="4 3 4" xfId="20161"/>
    <cellStyle name="4 3 4 2" xfId="20160"/>
    <cellStyle name="4 3 4 3" xfId="20159"/>
    <cellStyle name="4 3 4 4" xfId="20158"/>
    <cellStyle name="4 3 4 5" xfId="20157"/>
    <cellStyle name="4 3 5" xfId="20156"/>
    <cellStyle name="4 3 5 2" xfId="20155"/>
    <cellStyle name="4 3 5 3" xfId="20154"/>
    <cellStyle name="4 3 5 4" xfId="20153"/>
    <cellStyle name="4 3 5 5" xfId="20152"/>
    <cellStyle name="4 3 6" xfId="20151"/>
    <cellStyle name="4 3 6 2" xfId="20150"/>
    <cellStyle name="4 3 6 3" xfId="20149"/>
    <cellStyle name="4 3 6 4" xfId="20148"/>
    <cellStyle name="4 3 6 5" xfId="20147"/>
    <cellStyle name="4 3 7" xfId="20146"/>
    <cellStyle name="4 3 7 2" xfId="20145"/>
    <cellStyle name="4 3 7 3" xfId="20144"/>
    <cellStyle name="4 3 7 4" xfId="20143"/>
    <cellStyle name="4 3 7 5" xfId="20142"/>
    <cellStyle name="4 3 8" xfId="20141"/>
    <cellStyle name="4 3 8 2" xfId="20140"/>
    <cellStyle name="4 3 8 3" xfId="20139"/>
    <cellStyle name="4 3 8 4" xfId="20138"/>
    <cellStyle name="4 3 8 5" xfId="20137"/>
    <cellStyle name="4 3 9" xfId="20136"/>
    <cellStyle name="4 3 9 2" xfId="20135"/>
    <cellStyle name="4 3 9 3" xfId="20134"/>
    <cellStyle name="4 3 9 4" xfId="20133"/>
    <cellStyle name="4 3 9 5" xfId="20132"/>
    <cellStyle name="4 4" xfId="20131"/>
    <cellStyle name="4 4 10" xfId="20130"/>
    <cellStyle name="4 4 11" xfId="20129"/>
    <cellStyle name="4 4 12" xfId="20128"/>
    <cellStyle name="4 4 2" xfId="20127"/>
    <cellStyle name="4 4 2 2" xfId="20126"/>
    <cellStyle name="4 4 2 3" xfId="20125"/>
    <cellStyle name="4 4 2 4" xfId="20124"/>
    <cellStyle name="4 4 2 5" xfId="20123"/>
    <cellStyle name="4 4 3" xfId="20122"/>
    <cellStyle name="4 4 3 2" xfId="20121"/>
    <cellStyle name="4 4 3 3" xfId="20120"/>
    <cellStyle name="4 4 3 4" xfId="20119"/>
    <cellStyle name="4 4 3 5" xfId="20118"/>
    <cellStyle name="4 4 4" xfId="20117"/>
    <cellStyle name="4 4 4 2" xfId="20116"/>
    <cellStyle name="4 4 4 3" xfId="20115"/>
    <cellStyle name="4 4 4 4" xfId="20114"/>
    <cellStyle name="4 4 4 5" xfId="20113"/>
    <cellStyle name="4 4 5" xfId="20112"/>
    <cellStyle name="4 4 5 2" xfId="20111"/>
    <cellStyle name="4 4 5 3" xfId="20110"/>
    <cellStyle name="4 4 5 4" xfId="20109"/>
    <cellStyle name="4 4 5 5" xfId="20108"/>
    <cellStyle name="4 4 6" xfId="20107"/>
    <cellStyle name="4 4 6 2" xfId="20106"/>
    <cellStyle name="4 4 6 3" xfId="20105"/>
    <cellStyle name="4 4 6 4" xfId="20104"/>
    <cellStyle name="4 4 6 5" xfId="20103"/>
    <cellStyle name="4 4 7" xfId="20102"/>
    <cellStyle name="4 4 7 2" xfId="20101"/>
    <cellStyle name="4 4 7 3" xfId="20100"/>
    <cellStyle name="4 4 7 4" xfId="20099"/>
    <cellStyle name="4 4 7 5" xfId="20098"/>
    <cellStyle name="4 4 8" xfId="20097"/>
    <cellStyle name="4 4 8 2" xfId="20096"/>
    <cellStyle name="4 4 8 3" xfId="20095"/>
    <cellStyle name="4 4 8 4" xfId="20094"/>
    <cellStyle name="4 4 8 5" xfId="20093"/>
    <cellStyle name="4 4 9" xfId="20092"/>
    <cellStyle name="4 5" xfId="20091"/>
    <cellStyle name="4 5 2" xfId="20090"/>
    <cellStyle name="4 5 3" xfId="20089"/>
    <cellStyle name="4 5 4" xfId="20088"/>
    <cellStyle name="4 5 5" xfId="20087"/>
    <cellStyle name="4 6" xfId="20086"/>
    <cellStyle name="4 6 2" xfId="20085"/>
    <cellStyle name="4 6 3" xfId="20084"/>
    <cellStyle name="4 6 4" xfId="20083"/>
    <cellStyle name="4 6 5" xfId="20082"/>
    <cellStyle name="4 7" xfId="20081"/>
    <cellStyle name="4 7 2" xfId="20080"/>
    <cellStyle name="4 7 3" xfId="20079"/>
    <cellStyle name="4 7 4" xfId="20078"/>
    <cellStyle name="4 7 5" xfId="20077"/>
    <cellStyle name="4 8" xfId="20076"/>
    <cellStyle name="4 8 2" xfId="20075"/>
    <cellStyle name="4 8 3" xfId="20074"/>
    <cellStyle name="4 8 4" xfId="20073"/>
    <cellStyle name="4 8 5" xfId="20072"/>
    <cellStyle name="4 9" xfId="20071"/>
    <cellStyle name="4 9 2" xfId="20070"/>
    <cellStyle name="4 9 3" xfId="20069"/>
    <cellStyle name="4 9 4" xfId="20068"/>
    <cellStyle name="4 9 5" xfId="20067"/>
    <cellStyle name="40% - Accent1 2" xfId="20066"/>
    <cellStyle name="40% - Accent1 2 2" xfId="20065"/>
    <cellStyle name="40% - Accent1 3" xfId="20064"/>
    <cellStyle name="40% - Accent1 3 2" xfId="20063"/>
    <cellStyle name="40% - Accent1 4" xfId="20062"/>
    <cellStyle name="40% - Accent1 4 2" xfId="20061"/>
    <cellStyle name="40% - Accent1 5" xfId="20060"/>
    <cellStyle name="40% - Accent1 5 2" xfId="20059"/>
    <cellStyle name="40% - Accent1 6" xfId="20058"/>
    <cellStyle name="40% - Accent1 6 2" xfId="20057"/>
    <cellStyle name="40% - Accent1 7" xfId="20056"/>
    <cellStyle name="40% - Accent1 7 2" xfId="20055"/>
    <cellStyle name="40% - Accent1 8" xfId="20054"/>
    <cellStyle name="40% - Accent1 8 2" xfId="20053"/>
    <cellStyle name="40% - Accent1 9" xfId="20052"/>
    <cellStyle name="40% - Accent2 2" xfId="20051"/>
    <cellStyle name="40% - Accent2 2 2" xfId="20050"/>
    <cellStyle name="40% - Accent2 3" xfId="20049"/>
    <cellStyle name="40% - Accent2 3 2" xfId="20048"/>
    <cellStyle name="40% - Accent2 4" xfId="20047"/>
    <cellStyle name="40% - Accent2 4 2" xfId="20046"/>
    <cellStyle name="40% - Accent2 5" xfId="20045"/>
    <cellStyle name="40% - Accent2 5 2" xfId="20044"/>
    <cellStyle name="40% - Accent2 6" xfId="20043"/>
    <cellStyle name="40% - Accent2 6 2" xfId="20042"/>
    <cellStyle name="40% - Accent2 7" xfId="20041"/>
    <cellStyle name="40% - Accent2 7 2" xfId="20040"/>
    <cellStyle name="40% - Accent2 8" xfId="20039"/>
    <cellStyle name="40% - Accent2 8 2" xfId="20038"/>
    <cellStyle name="40% - Accent2 9" xfId="20037"/>
    <cellStyle name="40% - Accent3 2" xfId="20036"/>
    <cellStyle name="40% - Accent3 2 2" xfId="20035"/>
    <cellStyle name="40% - Accent3 3" xfId="20034"/>
    <cellStyle name="40% - Accent3 3 2" xfId="20033"/>
    <cellStyle name="40% - Accent3 4" xfId="20032"/>
    <cellStyle name="40% - Accent3 4 2" xfId="20031"/>
    <cellStyle name="40% - Accent3 5" xfId="20030"/>
    <cellStyle name="40% - Accent3 5 2" xfId="20029"/>
    <cellStyle name="40% - Accent3 6" xfId="20028"/>
    <cellStyle name="40% - Accent3 6 2" xfId="20027"/>
    <cellStyle name="40% - Accent3 7" xfId="20026"/>
    <cellStyle name="40% - Accent3 7 2" xfId="20025"/>
    <cellStyle name="40% - Accent3 8" xfId="20024"/>
    <cellStyle name="40% - Accent3 8 2" xfId="20023"/>
    <cellStyle name="40% - Accent3 9" xfId="20022"/>
    <cellStyle name="40% - Accent4 2" xfId="20021"/>
    <cellStyle name="40% - Accent4 2 2" xfId="20020"/>
    <cellStyle name="40% - Accent4 3" xfId="20019"/>
    <cellStyle name="40% - Accent4 3 2" xfId="20018"/>
    <cellStyle name="40% - Accent4 4" xfId="20017"/>
    <cellStyle name="40% - Accent4 4 2" xfId="20016"/>
    <cellStyle name="40% - Accent4 5" xfId="20015"/>
    <cellStyle name="40% - Accent4 5 2" xfId="20014"/>
    <cellStyle name="40% - Accent4 6" xfId="20013"/>
    <cellStyle name="40% - Accent4 6 2" xfId="20012"/>
    <cellStyle name="40% - Accent4 7" xfId="20011"/>
    <cellStyle name="40% - Accent4 7 2" xfId="20010"/>
    <cellStyle name="40% - Accent4 8" xfId="20009"/>
    <cellStyle name="40% - Accent4 8 2" xfId="20008"/>
    <cellStyle name="40% - Accent4 9" xfId="20007"/>
    <cellStyle name="40% - Accent5 2" xfId="20006"/>
    <cellStyle name="40% - Accent5 2 2" xfId="20005"/>
    <cellStyle name="40% - Accent5 3" xfId="20004"/>
    <cellStyle name="40% - Accent5 3 2" xfId="20003"/>
    <cellStyle name="40% - Accent5 4" xfId="20002"/>
    <cellStyle name="40% - Accent5 4 2" xfId="20001"/>
    <cellStyle name="40% - Accent5 5" xfId="20000"/>
    <cellStyle name="40% - Accent5 5 2" xfId="19999"/>
    <cellStyle name="40% - Accent5 6" xfId="19998"/>
    <cellStyle name="40% - Accent5 6 2" xfId="19997"/>
    <cellStyle name="40% - Accent5 7" xfId="19996"/>
    <cellStyle name="40% - Accent5 7 2" xfId="19995"/>
    <cellStyle name="40% - Accent5 8" xfId="19994"/>
    <cellStyle name="40% - Accent5 8 2" xfId="19993"/>
    <cellStyle name="40% - Accent5 9" xfId="19992"/>
    <cellStyle name="40% - Accent6 2" xfId="19991"/>
    <cellStyle name="40% - Accent6 2 2" xfId="19990"/>
    <cellStyle name="40% - Accent6 3" xfId="19989"/>
    <cellStyle name="40% - Accent6 3 2" xfId="19988"/>
    <cellStyle name="40% - Accent6 4" xfId="19987"/>
    <cellStyle name="40% - Accent6 4 2" xfId="19986"/>
    <cellStyle name="40% - Accent6 5" xfId="19985"/>
    <cellStyle name="40% - Accent6 5 2" xfId="19984"/>
    <cellStyle name="40% - Accent6 6" xfId="19983"/>
    <cellStyle name="40% - Accent6 6 2" xfId="19982"/>
    <cellStyle name="40% - Accent6 7" xfId="19981"/>
    <cellStyle name="40% - Accent6 7 2" xfId="19980"/>
    <cellStyle name="40% - Accent6 8" xfId="19979"/>
    <cellStyle name="40% - Accent6 8 2" xfId="19978"/>
    <cellStyle name="40% - Accent6 9" xfId="19977"/>
    <cellStyle name="40% - Énfasis1" xfId="19976"/>
    <cellStyle name="40% - Énfasis2" xfId="19975"/>
    <cellStyle name="40% - Énfasis3" xfId="19974"/>
    <cellStyle name="40% - Énfasis4" xfId="19973"/>
    <cellStyle name="40% - Énfasis5" xfId="19972"/>
    <cellStyle name="40% - Énfasis6" xfId="19971"/>
    <cellStyle name="40% - 강조색1" xfId="19970"/>
    <cellStyle name="40% - 강조색2" xfId="19969"/>
    <cellStyle name="40% - 강조색3" xfId="19968"/>
    <cellStyle name="40% - 강조색4" xfId="19967"/>
    <cellStyle name="40% - 강조색5" xfId="19966"/>
    <cellStyle name="40% - 강조색6" xfId="19965"/>
    <cellStyle name="40% - 强调文字颜色 1" xfId="19964"/>
    <cellStyle name="40% - 强调文字颜色 2" xfId="19963"/>
    <cellStyle name="40% - 强调文字颜色 3" xfId="19962"/>
    <cellStyle name="40% - 强调文字颜色 4" xfId="19961"/>
    <cellStyle name="40% - 强调文字颜色 5" xfId="19960"/>
    <cellStyle name="40% - 强调文字颜色 6" xfId="19959"/>
    <cellStyle name="5" xfId="19958"/>
    <cellStyle name="5 10" xfId="19957"/>
    <cellStyle name="5 10 2" xfId="19956"/>
    <cellStyle name="5 10 3" xfId="19955"/>
    <cellStyle name="5 11" xfId="19954"/>
    <cellStyle name="5 11 2" xfId="19953"/>
    <cellStyle name="5 11 3" xfId="19952"/>
    <cellStyle name="5 12" xfId="19951"/>
    <cellStyle name="5 12 2" xfId="19950"/>
    <cellStyle name="5 12 3" xfId="19949"/>
    <cellStyle name="5 13" xfId="19948"/>
    <cellStyle name="5 14" xfId="19947"/>
    <cellStyle name="5 2" xfId="19946"/>
    <cellStyle name="5 2 10" xfId="19945"/>
    <cellStyle name="5 2 10 2" xfId="19944"/>
    <cellStyle name="5 2 10 3" xfId="19943"/>
    <cellStyle name="5 2 11" xfId="19942"/>
    <cellStyle name="5 2 12" xfId="19941"/>
    <cellStyle name="5 2 2" xfId="19940"/>
    <cellStyle name="5 2 2 10" xfId="19939"/>
    <cellStyle name="5 2 2 2" xfId="19938"/>
    <cellStyle name="5 2 2 2 2" xfId="19937"/>
    <cellStyle name="5 2 2 2 3" xfId="19936"/>
    <cellStyle name="5 2 2 3" xfId="19935"/>
    <cellStyle name="5 2 2 3 2" xfId="19934"/>
    <cellStyle name="5 2 2 3 3" xfId="19933"/>
    <cellStyle name="5 2 2 4" xfId="19932"/>
    <cellStyle name="5 2 2 4 2" xfId="19931"/>
    <cellStyle name="5 2 2 4 3" xfId="19930"/>
    <cellStyle name="5 2 2 5" xfId="19929"/>
    <cellStyle name="5 2 2 5 2" xfId="19928"/>
    <cellStyle name="5 2 2 5 3" xfId="19927"/>
    <cellStyle name="5 2 2 6" xfId="19926"/>
    <cellStyle name="5 2 2 6 2" xfId="19925"/>
    <cellStyle name="5 2 2 6 3" xfId="19924"/>
    <cellStyle name="5 2 2 7" xfId="19923"/>
    <cellStyle name="5 2 2 7 2" xfId="19922"/>
    <cellStyle name="5 2 2 7 3" xfId="19921"/>
    <cellStyle name="5 2 2 8" xfId="19920"/>
    <cellStyle name="5 2 2 8 2" xfId="19919"/>
    <cellStyle name="5 2 2 8 3" xfId="19918"/>
    <cellStyle name="5 2 2 9" xfId="19917"/>
    <cellStyle name="5 2 3" xfId="19916"/>
    <cellStyle name="5 2 3 2" xfId="19915"/>
    <cellStyle name="5 2 3 3" xfId="19914"/>
    <cellStyle name="5 2 4" xfId="19913"/>
    <cellStyle name="5 2 4 2" xfId="19912"/>
    <cellStyle name="5 2 4 3" xfId="19911"/>
    <cellStyle name="5 2 5" xfId="19910"/>
    <cellStyle name="5 2 5 2" xfId="19909"/>
    <cellStyle name="5 2 5 3" xfId="19908"/>
    <cellStyle name="5 2 6" xfId="19907"/>
    <cellStyle name="5 2 6 2" xfId="19906"/>
    <cellStyle name="5 2 6 3" xfId="19905"/>
    <cellStyle name="5 2 7" xfId="19904"/>
    <cellStyle name="5 2 7 2" xfId="19903"/>
    <cellStyle name="5 2 7 3" xfId="19902"/>
    <cellStyle name="5 2 8" xfId="19901"/>
    <cellStyle name="5 2 8 2" xfId="19900"/>
    <cellStyle name="5 2 8 3" xfId="19899"/>
    <cellStyle name="5 2 9" xfId="19898"/>
    <cellStyle name="5 2 9 2" xfId="19897"/>
    <cellStyle name="5 2 9 3" xfId="19896"/>
    <cellStyle name="5 3" xfId="19895"/>
    <cellStyle name="5 3 10" xfId="19894"/>
    <cellStyle name="5 3 10 2" xfId="19893"/>
    <cellStyle name="5 3 10 3" xfId="19892"/>
    <cellStyle name="5 3 11" xfId="19891"/>
    <cellStyle name="5 3 12" xfId="19890"/>
    <cellStyle name="5 3 2" xfId="19889"/>
    <cellStyle name="5 3 2 10" xfId="19888"/>
    <cellStyle name="5 3 2 2" xfId="19887"/>
    <cellStyle name="5 3 2 2 2" xfId="19886"/>
    <cellStyle name="5 3 2 2 3" xfId="19885"/>
    <cellStyle name="5 3 2 3" xfId="19884"/>
    <cellStyle name="5 3 2 3 2" xfId="19883"/>
    <cellStyle name="5 3 2 3 3" xfId="19882"/>
    <cellStyle name="5 3 2 4" xfId="19881"/>
    <cellStyle name="5 3 2 4 2" xfId="19880"/>
    <cellStyle name="5 3 2 4 3" xfId="19879"/>
    <cellStyle name="5 3 2 5" xfId="19878"/>
    <cellStyle name="5 3 2 5 2" xfId="19877"/>
    <cellStyle name="5 3 2 5 3" xfId="19876"/>
    <cellStyle name="5 3 2 6" xfId="19875"/>
    <cellStyle name="5 3 2 6 2" xfId="19874"/>
    <cellStyle name="5 3 2 6 3" xfId="19873"/>
    <cellStyle name="5 3 2 7" xfId="19872"/>
    <cellStyle name="5 3 2 7 2" xfId="19871"/>
    <cellStyle name="5 3 2 7 3" xfId="19870"/>
    <cellStyle name="5 3 2 8" xfId="19869"/>
    <cellStyle name="5 3 2 8 2" xfId="19868"/>
    <cellStyle name="5 3 2 8 3" xfId="19867"/>
    <cellStyle name="5 3 2 9" xfId="19866"/>
    <cellStyle name="5 3 3" xfId="19865"/>
    <cellStyle name="5 3 3 2" xfId="19864"/>
    <cellStyle name="5 3 3 3" xfId="19863"/>
    <cellStyle name="5 3 4" xfId="19862"/>
    <cellStyle name="5 3 4 2" xfId="19861"/>
    <cellStyle name="5 3 4 3" xfId="19860"/>
    <cellStyle name="5 3 5" xfId="19859"/>
    <cellStyle name="5 3 5 2" xfId="19858"/>
    <cellStyle name="5 3 5 3" xfId="19857"/>
    <cellStyle name="5 3 6" xfId="19856"/>
    <cellStyle name="5 3 6 2" xfId="19855"/>
    <cellStyle name="5 3 6 3" xfId="19854"/>
    <cellStyle name="5 3 7" xfId="19853"/>
    <cellStyle name="5 3 7 2" xfId="19852"/>
    <cellStyle name="5 3 7 3" xfId="19851"/>
    <cellStyle name="5 3 8" xfId="19850"/>
    <cellStyle name="5 3 8 2" xfId="19849"/>
    <cellStyle name="5 3 8 3" xfId="19848"/>
    <cellStyle name="5 3 9" xfId="19847"/>
    <cellStyle name="5 3 9 2" xfId="19846"/>
    <cellStyle name="5 3 9 3" xfId="19845"/>
    <cellStyle name="5 4" xfId="19844"/>
    <cellStyle name="5 4 10" xfId="19843"/>
    <cellStyle name="5 4 2" xfId="19842"/>
    <cellStyle name="5 4 2 2" xfId="19841"/>
    <cellStyle name="5 4 2 3" xfId="19840"/>
    <cellStyle name="5 4 3" xfId="19839"/>
    <cellStyle name="5 4 3 2" xfId="19838"/>
    <cellStyle name="5 4 3 3" xfId="19837"/>
    <cellStyle name="5 4 4" xfId="19836"/>
    <cellStyle name="5 4 4 2" xfId="19835"/>
    <cellStyle name="5 4 4 3" xfId="19834"/>
    <cellStyle name="5 4 5" xfId="19833"/>
    <cellStyle name="5 4 5 2" xfId="19832"/>
    <cellStyle name="5 4 5 3" xfId="19831"/>
    <cellStyle name="5 4 6" xfId="19830"/>
    <cellStyle name="5 4 6 2" xfId="19829"/>
    <cellStyle name="5 4 6 3" xfId="19828"/>
    <cellStyle name="5 4 7" xfId="19827"/>
    <cellStyle name="5 4 7 2" xfId="19826"/>
    <cellStyle name="5 4 7 3" xfId="19825"/>
    <cellStyle name="5 4 8" xfId="19824"/>
    <cellStyle name="5 4 8 2" xfId="19823"/>
    <cellStyle name="5 4 8 3" xfId="19822"/>
    <cellStyle name="5 4 9" xfId="19821"/>
    <cellStyle name="5 5" xfId="19820"/>
    <cellStyle name="5 5 2" xfId="19819"/>
    <cellStyle name="5 5 3" xfId="19818"/>
    <cellStyle name="5 6" xfId="19817"/>
    <cellStyle name="5 6 2" xfId="19816"/>
    <cellStyle name="5 6 3" xfId="19815"/>
    <cellStyle name="5 7" xfId="19814"/>
    <cellStyle name="5 7 2" xfId="19813"/>
    <cellStyle name="5 7 3" xfId="19812"/>
    <cellStyle name="5 8" xfId="19811"/>
    <cellStyle name="5 8 2" xfId="19810"/>
    <cellStyle name="5 8 3" xfId="19809"/>
    <cellStyle name="5 9" xfId="19808"/>
    <cellStyle name="5 9 2" xfId="19807"/>
    <cellStyle name="5 9 3" xfId="19806"/>
    <cellStyle name="6" xfId="19805"/>
    <cellStyle name="6 2" xfId="19804"/>
    <cellStyle name="6 2 2" xfId="19803"/>
    <cellStyle name="6 2 3" xfId="19802"/>
    <cellStyle name="6 2 4" xfId="19801"/>
    <cellStyle name="6 2 5" xfId="19800"/>
    <cellStyle name="6 3" xfId="19799"/>
    <cellStyle name="6 4" xfId="19798"/>
    <cellStyle name="6 5" xfId="19797"/>
    <cellStyle name="6 6" xfId="19796"/>
    <cellStyle name="6 7" xfId="19795"/>
    <cellStyle name="60" xfId="19794"/>
    <cellStyle name="60% - Accent1 2" xfId="19793"/>
    <cellStyle name="60% - Accent1 2 2" xfId="19792"/>
    <cellStyle name="60% - Accent1 3" xfId="19791"/>
    <cellStyle name="60% - Accent1 3 2" xfId="19790"/>
    <cellStyle name="60% - Accent1 4" xfId="19789"/>
    <cellStyle name="60% - Accent1 4 2" xfId="19788"/>
    <cellStyle name="60% - Accent1 5" xfId="19787"/>
    <cellStyle name="60% - Accent1 5 2" xfId="19786"/>
    <cellStyle name="60% - Accent1 6" xfId="19785"/>
    <cellStyle name="60% - Accent1 6 2" xfId="19784"/>
    <cellStyle name="60% - Accent1 7" xfId="19783"/>
    <cellStyle name="60% - Accent1 7 2" xfId="19782"/>
    <cellStyle name="60% - Accent1 8" xfId="19781"/>
    <cellStyle name="60% - Accent1 8 2" xfId="19780"/>
    <cellStyle name="60% - Accent1 9" xfId="19779"/>
    <cellStyle name="60% - Accent2 2" xfId="19778"/>
    <cellStyle name="60% - Accent2 2 2" xfId="19777"/>
    <cellStyle name="60% - Accent2 3" xfId="19776"/>
    <cellStyle name="60% - Accent2 3 2" xfId="19775"/>
    <cellStyle name="60% - Accent2 4" xfId="19774"/>
    <cellStyle name="60% - Accent2 4 2" xfId="19773"/>
    <cellStyle name="60% - Accent2 5" xfId="19772"/>
    <cellStyle name="60% - Accent2 5 2" xfId="19771"/>
    <cellStyle name="60% - Accent2 6" xfId="19770"/>
    <cellStyle name="60% - Accent2 6 2" xfId="19769"/>
    <cellStyle name="60% - Accent2 7" xfId="19768"/>
    <cellStyle name="60% - Accent2 7 2" xfId="19767"/>
    <cellStyle name="60% - Accent2 8" xfId="19766"/>
    <cellStyle name="60% - Accent2 8 2" xfId="19765"/>
    <cellStyle name="60% - Accent2 9" xfId="19764"/>
    <cellStyle name="60% - Accent3 2" xfId="19763"/>
    <cellStyle name="60% - Accent3 2 2" xfId="19762"/>
    <cellStyle name="60% - Accent3 3" xfId="19761"/>
    <cellStyle name="60% - Accent3 3 2" xfId="19760"/>
    <cellStyle name="60% - Accent3 4" xfId="19759"/>
    <cellStyle name="60% - Accent3 4 2" xfId="19758"/>
    <cellStyle name="60% - Accent3 5" xfId="19757"/>
    <cellStyle name="60% - Accent3 5 2" xfId="19756"/>
    <cellStyle name="60% - Accent3 6" xfId="19755"/>
    <cellStyle name="60% - Accent3 6 2" xfId="19754"/>
    <cellStyle name="60% - Accent3 7" xfId="19753"/>
    <cellStyle name="60% - Accent3 7 2" xfId="19752"/>
    <cellStyle name="60% - Accent3 8" xfId="19751"/>
    <cellStyle name="60% - Accent3 8 2" xfId="19750"/>
    <cellStyle name="60% - Accent3 9" xfId="19749"/>
    <cellStyle name="60% - Accent4 2" xfId="19748"/>
    <cellStyle name="60% - Accent4 2 2" xfId="19747"/>
    <cellStyle name="60% - Accent4 3" xfId="19746"/>
    <cellStyle name="60% - Accent4 3 2" xfId="19745"/>
    <cellStyle name="60% - Accent4 4" xfId="19744"/>
    <cellStyle name="60% - Accent4 4 2" xfId="19743"/>
    <cellStyle name="60% - Accent4 5" xfId="19742"/>
    <cellStyle name="60% - Accent4 5 2" xfId="19741"/>
    <cellStyle name="60% - Accent4 6" xfId="19740"/>
    <cellStyle name="60% - Accent4 6 2" xfId="19739"/>
    <cellStyle name="60% - Accent4 7" xfId="19738"/>
    <cellStyle name="60% - Accent4 7 2" xfId="19737"/>
    <cellStyle name="60% - Accent4 8" xfId="19736"/>
    <cellStyle name="60% - Accent4 8 2" xfId="19735"/>
    <cellStyle name="60% - Accent4 9" xfId="19734"/>
    <cellStyle name="60% - Accent5 2" xfId="19733"/>
    <cellStyle name="60% - Accent5 2 2" xfId="19732"/>
    <cellStyle name="60% - Accent5 3" xfId="19731"/>
    <cellStyle name="60% - Accent5 3 2" xfId="19730"/>
    <cellStyle name="60% - Accent5 4" xfId="19729"/>
    <cellStyle name="60% - Accent5 4 2" xfId="19728"/>
    <cellStyle name="60% - Accent5 5" xfId="19727"/>
    <cellStyle name="60% - Accent5 5 2" xfId="19726"/>
    <cellStyle name="60% - Accent5 6" xfId="19725"/>
    <cellStyle name="60% - Accent5 6 2" xfId="19724"/>
    <cellStyle name="60% - Accent5 7" xfId="19723"/>
    <cellStyle name="60% - Accent5 7 2" xfId="19722"/>
    <cellStyle name="60% - Accent5 8" xfId="19721"/>
    <cellStyle name="60% - Accent5 8 2" xfId="19720"/>
    <cellStyle name="60% - Accent5 9" xfId="19719"/>
    <cellStyle name="60% - Accent6 2" xfId="19718"/>
    <cellStyle name="60% - Accent6 2 2" xfId="19717"/>
    <cellStyle name="60% - Accent6 3" xfId="19716"/>
    <cellStyle name="60% - Accent6 3 2" xfId="19715"/>
    <cellStyle name="60% - Accent6 4" xfId="19714"/>
    <cellStyle name="60% - Accent6 4 2" xfId="19713"/>
    <cellStyle name="60% - Accent6 5" xfId="19712"/>
    <cellStyle name="60% - Accent6 5 2" xfId="19711"/>
    <cellStyle name="60% - Accent6 6" xfId="19710"/>
    <cellStyle name="60% - Accent6 6 2" xfId="19709"/>
    <cellStyle name="60% - Accent6 7" xfId="19708"/>
    <cellStyle name="60% - Accent6 7 2" xfId="19707"/>
    <cellStyle name="60% - Accent6 8" xfId="19706"/>
    <cellStyle name="60% - Accent6 8 2" xfId="19705"/>
    <cellStyle name="60% - Accent6 9" xfId="19704"/>
    <cellStyle name="60% - Énfasis1" xfId="19703"/>
    <cellStyle name="60% - Énfasis2" xfId="19702"/>
    <cellStyle name="60% - Énfasis3" xfId="19701"/>
    <cellStyle name="60% - Énfasis4" xfId="19700"/>
    <cellStyle name="60% - Énfasis5" xfId="19699"/>
    <cellStyle name="60% - Énfasis6" xfId="19698"/>
    <cellStyle name="60% - 강조색1" xfId="19697"/>
    <cellStyle name="60% - 강조색2" xfId="19696"/>
    <cellStyle name="60% - 강조색3" xfId="19695"/>
    <cellStyle name="60% - 강조색4" xfId="19694"/>
    <cellStyle name="60% - 강조색5" xfId="19693"/>
    <cellStyle name="60% - 강조색6" xfId="19692"/>
    <cellStyle name="60% - 强调文字颜色 1" xfId="19691"/>
    <cellStyle name="60% - 强调文字颜色 2" xfId="19690"/>
    <cellStyle name="60% - 强调文字颜色 3" xfId="19689"/>
    <cellStyle name="60% - 强调文字颜色 4" xfId="19688"/>
    <cellStyle name="60% - 强调文字颜色 5" xfId="19687"/>
    <cellStyle name="60% - 强调文字颜色 6" xfId="19686"/>
    <cellStyle name="7" xfId="19685"/>
    <cellStyle name="7 2" xfId="19684"/>
    <cellStyle name="7 3" xfId="19683"/>
    <cellStyle name="7 4" xfId="19682"/>
    <cellStyle name="7 5" xfId="19681"/>
    <cellStyle name="7 6" xfId="19680"/>
    <cellStyle name="9.5" xfId="19679"/>
    <cellStyle name="፺bʼōᎊb˜ō᎚b쌼ōᎪb쎄ōᎺb쎨ōᏊb쏄ōᏚb쏜ōᏪb̀ōᏺb̤ōᐊb͔ōᐚb΀ōᐪbΰōᐺb쏸ōᑊb쐨ōᑚb쑀ōᑪb쑜ōᑺb쑸ōᒊbЄōᒚbЬōᒪ" xfId="19678"/>
    <cellStyle name="a" xfId="19677"/>
    <cellStyle name="a 2" xfId="19676"/>
    <cellStyle name="a__PLB HYD_4_dc, 20-07-07" xfId="19675"/>
    <cellStyle name="a_1.Bangunan Utama" xfId="19674"/>
    <cellStyle name="a_2.  BQ_PENDAHULUAN &amp; STRUKTUR_STTD_REDESIGN" xfId="19673"/>
    <cellStyle name="a_3.  BQ_ARSITEKTUR &amp; SIPIL_STTD_REDESIGN" xfId="19672"/>
    <cellStyle name="a_AC" xfId="19671"/>
    <cellStyle name="a_AC 2" xfId="19670"/>
    <cellStyle name="a_Alternatif#3_Semua Alexindo" xfId="19669"/>
    <cellStyle name="a_Backup of JGC Cilandak-EE WD R1" xfId="19668"/>
    <cellStyle name="a_Backup of JGC Cilandak-EE WD R1 2" xfId="19667"/>
    <cellStyle name="a_BEHAESTEX PEKALONGAN (NEGO 26-9-2007)" xfId="19666"/>
    <cellStyle name="a_BILL of item GKI SULUNG SW" xfId="19665"/>
    <cellStyle name="a_Boq" xfId="19664"/>
    <cellStyle name="a_Boq 2" xfId="19663"/>
    <cellStyle name="a_BOQ_MEP GRAMEDIA REV 28-05-07" xfId="19662"/>
    <cellStyle name="a_BOQ_MEP GRAMEDIA, 13-06-07" xfId="19661"/>
    <cellStyle name="a_BQ - XL Bandung-R1" xfId="19660"/>
    <cellStyle name="a_BQ Alumn_BPK Bengkulu_3_Komplit" xfId="19659"/>
    <cellStyle name="a_BQ Facade Astra" xfId="19658"/>
    <cellStyle name="a_BQ FORMULA-CIKINI-JKT2" xfId="19657"/>
    <cellStyle name="a_bq gor bangkinang" xfId="19656"/>
    <cellStyle name="a_BQ KUSEN TANJUNG PIANNG_EMAIL(2)" xfId="19655"/>
    <cellStyle name="a_BQ PINTU DAN JENDELA" xfId="19654"/>
    <cellStyle name="a_BQ-EE-MEP BI SMRD-R7 final ( M&amp;E)" xfId="19653"/>
    <cellStyle name="a_BQ-EE-MEP BI SMRD-R7 final ( M&amp;E) 2" xfId="19652"/>
    <cellStyle name="a_BTL_Salemba_18_nop 2005  basement for prelim (version 2)" xfId="19651"/>
    <cellStyle name="a_BTN batam - Email PP (Dona)" xfId="19650"/>
    <cellStyle name="a_CJI - SLEEPER PIPE RACK" xfId="19649"/>
    <cellStyle name="a_CJI - SLEEPER PIPE RACK (SWP) KONTRAK" xfId="19648"/>
    <cellStyle name="a_Dephan (YKPP)_Rev#31" xfId="19647"/>
    <cellStyle name="a_EE PARIPURNA DPRD SUMUTREV" xfId="19646"/>
    <cellStyle name="a_EE-SARANA PENUNJANG" xfId="19645"/>
    <cellStyle name="a_EE-SARANA PENUNJANG 2" xfId="19644"/>
    <cellStyle name="a_EKAMAS FORTUNA - ANAEROBIC BUILDING" xfId="19643"/>
    <cellStyle name="a_EVALUASI HARGA_OPT" xfId="19642"/>
    <cellStyle name="a_FG RESTO" xfId="19641"/>
    <cellStyle name="a_Finalisas Eminance" xfId="19640"/>
    <cellStyle name="a_FINALISASI BELLEZA" xfId="19639"/>
    <cellStyle name="a_FINALISASI bpk batam" xfId="19638"/>
    <cellStyle name="a_FINALISASI DEP.DAGRI PP" xfId="19637"/>
    <cellStyle name="a_FINALISASI MARUDA" xfId="19636"/>
    <cellStyle name="a_Gaji Cyber 2" xfId="19635"/>
    <cellStyle name="a_GEDUNG SEKOLAH - YAYASAN TARAKANITA - BENGKULU (0%)" xfId="19634"/>
    <cellStyle name="a_HANIL - PERLUASAN RUANG TRANSFORMATOR (1)" xfId="19633"/>
    <cellStyle name="a_INDOSAT BANDUNG-EE TAHAP 1" xfId="19632"/>
    <cellStyle name="a_INDOSAT BANDUNG-EE TAHAP 1 2" xfId="19631"/>
    <cellStyle name="a_JGC Cilandak- RAB WD R-1" xfId="19630"/>
    <cellStyle name="a_JGC Cilandak- RAB WD R-1 2" xfId="19629"/>
    <cellStyle name="a_JGC Cilandak- RAB WD R-2" xfId="19628"/>
    <cellStyle name="a_JGC Cilandak- RAB WD R-2 2" xfId="19627"/>
    <cellStyle name="a_JGC Cilandak- RAB WD R-3" xfId="19626"/>
    <cellStyle name="a_JGC Cilandak- RAB WD R-3 2" xfId="19625"/>
    <cellStyle name="a_LAPIRAN KLARIFIKASI" xfId="19624"/>
    <cellStyle name="a_LAPIRAN KLARIFIKASI 2" xfId="19623"/>
    <cellStyle name="a_Lintas  Bandung - EE" xfId="19622"/>
    <cellStyle name="a_Lintas  Bandung - EE 2" xfId="19621"/>
    <cellStyle name="a_Lintasarta fin" xfId="19620"/>
    <cellStyle name="a_Lintasarta fin 2" xfId="19619"/>
    <cellStyle name="a_ME EE WD REV" xfId="19618"/>
    <cellStyle name="a_ME EE WD REV 2" xfId="19617"/>
    <cellStyle name="a_ME-BQ" xfId="19616"/>
    <cellStyle name="a_ME-BQ 2" xfId="19615"/>
    <cellStyle name="a_PEMBANGUNAN EMBUNG PANDEAN - NGAWI" xfId="19614"/>
    <cellStyle name="a_Penawaran AC Tirta PT. Mandiri Majujaya" xfId="19613"/>
    <cellStyle name="a_Plumbing normal" xfId="19612"/>
    <cellStyle name="a_rab batam" xfId="19611"/>
    <cellStyle name="a_RAB EE-ELEK BI SMRD" xfId="19610"/>
    <cellStyle name="a_RAB EE-ELEK BI SMRD 2" xfId="19609"/>
    <cellStyle name="a_RAB MEP SASA INTI" xfId="19608"/>
    <cellStyle name="a_RAB MEP SASA INTI juni 08" xfId="19607"/>
    <cellStyle name="a_rab mesjid raya" xfId="19606"/>
    <cellStyle name="a_RAB struktur" xfId="19605"/>
    <cellStyle name="a_RAB. STR &amp; ARS_SISA 8 GEDUNG &amp; SITE ( TAHAP 1 )" xfId="19604"/>
    <cellStyle name="a_RAB_ELEKTRIKAL_SPORT CENTRE 2008" xfId="19603"/>
    <cellStyle name="a_RAB_ELEKTRIKAL_SPORT CENTRE 2008 2" xfId="19602"/>
    <cellStyle name="a_RAB_ELRKTRIKAL_KANTOR DINAS &amp; GUB._Final. R.II, BENAR KABEL TRAY.REV. JACON 30.04.2009xls" xfId="19601"/>
    <cellStyle name="a_RAB_ELRKTRIKAL_KANTOR DINAS &amp; GUB._Final. R.II, BENAR KABEL TRAY.REV. JACON 30.04.2009xls 2" xfId="19600"/>
    <cellStyle name="a_rc 6 agus 081" xfId="19599"/>
    <cellStyle name="a_RC Sahid Metropolitan R3" xfId="19598"/>
    <cellStyle name="a_SALURAN O9" xfId="19597"/>
    <cellStyle name="a_SAMATOR" xfId="19596"/>
    <cellStyle name="a_SHOWROOM MAHAKAM BERLIAN SAMJAYA - SAMARINDA (3)" xfId="19595"/>
    <cellStyle name="a_SHOWROOM MOBIL ROYALE" xfId="19594"/>
    <cellStyle name="a_STRUKTUR" xfId="19593"/>
    <cellStyle name="a_Struktur Arsitektur - BQ" xfId="19592"/>
    <cellStyle name="a_Struktur Arsitektur - BQ 2" xfId="19591"/>
    <cellStyle name="a_Syarif Kasim II cw + interior" xfId="19590"/>
    <cellStyle name="a_Syarif Kasim II cw + interior( breakdown )" xfId="19589"/>
    <cellStyle name="a_TK&amp;SD KRISTEN PETRA - STRUKTUR ATAP" xfId="19588"/>
    <cellStyle name="a_WM - BOI  Electrical" xfId="19587"/>
    <cellStyle name="a_WM - BOI MEP" xfId="19586"/>
    <cellStyle name="a_WM - BOI MEP rev. D" xfId="19585"/>
    <cellStyle name="a_WM - BOI MEPC,13-06-07" xfId="19584"/>
    <cellStyle name="A¨­￠￢￠O [0]_¨uoAa¨oCAu " xfId="19583"/>
    <cellStyle name="A¨­¢¬¢Ò [20]" xfId="19582"/>
    <cellStyle name="A¨­￠￢￠O_¨uoAa¨oCAu " xfId="19581"/>
    <cellStyle name="a1" xfId="19580"/>
    <cellStyle name="a1 2" xfId="19579"/>
    <cellStyle name="a1 2 2" xfId="19578"/>
    <cellStyle name="a1 2 3" xfId="19577"/>
    <cellStyle name="a1 3" xfId="19576"/>
    <cellStyle name="a1 3 2" xfId="19575"/>
    <cellStyle name="a1 3 3" xfId="19574"/>
    <cellStyle name="a1 4" xfId="19573"/>
    <cellStyle name="a1 4 2" xfId="19572"/>
    <cellStyle name="a1 4 3" xfId="19571"/>
    <cellStyle name="a1 5" xfId="19570"/>
    <cellStyle name="a1 5 2" xfId="19569"/>
    <cellStyle name="a1 5 3" xfId="19568"/>
    <cellStyle name="a1 6" xfId="19567"/>
    <cellStyle name="a1 6 2" xfId="19566"/>
    <cellStyle name="a1 6 3" xfId="19565"/>
    <cellStyle name="a1 7" xfId="19564"/>
    <cellStyle name="a1 7 2" xfId="19563"/>
    <cellStyle name="a1 7 3" xfId="19562"/>
    <cellStyle name="a1 8" xfId="19561"/>
    <cellStyle name="a1 9" xfId="19560"/>
    <cellStyle name="A2" xfId="19559"/>
    <cellStyle name="A2 10" xfId="19558"/>
    <cellStyle name="A2 2" xfId="19557"/>
    <cellStyle name="A2 2 2" xfId="19556"/>
    <cellStyle name="A2 2 3" xfId="19555"/>
    <cellStyle name="A2 3" xfId="19554"/>
    <cellStyle name="A2 3 2" xfId="19553"/>
    <cellStyle name="A2 3 3" xfId="19552"/>
    <cellStyle name="A2 4" xfId="19551"/>
    <cellStyle name="A2 4 2" xfId="19550"/>
    <cellStyle name="A2 4 3" xfId="19549"/>
    <cellStyle name="A2 5" xfId="19548"/>
    <cellStyle name="A2 5 2" xfId="19547"/>
    <cellStyle name="A2 5 3" xfId="19546"/>
    <cellStyle name="A2 6" xfId="19545"/>
    <cellStyle name="A2 6 2" xfId="19544"/>
    <cellStyle name="A2 6 3" xfId="19543"/>
    <cellStyle name="A2 7" xfId="19542"/>
    <cellStyle name="A2 7 2" xfId="19541"/>
    <cellStyle name="A2 7 3" xfId="19540"/>
    <cellStyle name="A2 8" xfId="19539"/>
    <cellStyle name="A2 8 2" xfId="19538"/>
    <cellStyle name="A2 8 3" xfId="19537"/>
    <cellStyle name="A2 9" xfId="19536"/>
    <cellStyle name="A3" xfId="19535"/>
    <cellStyle name="A3 10" xfId="19534"/>
    <cellStyle name="A3 2" xfId="19533"/>
    <cellStyle name="A3 2 2" xfId="19532"/>
    <cellStyle name="A3 2 3" xfId="19531"/>
    <cellStyle name="A3 3" xfId="19530"/>
    <cellStyle name="A3 3 2" xfId="19529"/>
    <cellStyle name="A3 3 3" xfId="19528"/>
    <cellStyle name="A3 4" xfId="19527"/>
    <cellStyle name="A3 4 2" xfId="19526"/>
    <cellStyle name="A3 4 3" xfId="19525"/>
    <cellStyle name="A3 5" xfId="19524"/>
    <cellStyle name="A3 5 2" xfId="19523"/>
    <cellStyle name="A3 5 3" xfId="19522"/>
    <cellStyle name="A3 6" xfId="19521"/>
    <cellStyle name="A3 6 2" xfId="19520"/>
    <cellStyle name="A3 6 3" xfId="19519"/>
    <cellStyle name="A3 7" xfId="19518"/>
    <cellStyle name="A3 7 2" xfId="19517"/>
    <cellStyle name="A3 7 3" xfId="19516"/>
    <cellStyle name="A3 8" xfId="19515"/>
    <cellStyle name="A3 8 2" xfId="19514"/>
    <cellStyle name="A3 8 3" xfId="19513"/>
    <cellStyle name="A3 9" xfId="19512"/>
    <cellStyle name="ＡＡ" xfId="19511"/>
    <cellStyle name="ABANG" xfId="19510"/>
    <cellStyle name="ABANG 2" xfId="19509"/>
    <cellStyle name="ABANG 2 2" xfId="19508"/>
    <cellStyle name="ABANG 3" xfId="19507"/>
    <cellStyle name="ABANG 3 2" xfId="19506"/>
    <cellStyle name="ABANG 4" xfId="19505"/>
    <cellStyle name="ABANG 4 2" xfId="19504"/>
    <cellStyle name="ABANG 5" xfId="19503"/>
    <cellStyle name="ABANG 5 2" xfId="19502"/>
    <cellStyle name="ABANG 6" xfId="19501"/>
    <cellStyle name="ABANG 6 2" xfId="19500"/>
    <cellStyle name="ABANG 7" xfId="19499"/>
    <cellStyle name="ABANG 7 2" xfId="19498"/>
    <cellStyle name="ABANG 8" xfId="19497"/>
    <cellStyle name="abc" xfId="19496"/>
    <cellStyle name="abc 2" xfId="19495"/>
    <cellStyle name="abc 2 2" xfId="19494"/>
    <cellStyle name="abc 2 2 2" xfId="19493"/>
    <cellStyle name="abc 2 3" xfId="19492"/>
    <cellStyle name="abc 3" xfId="19491"/>
    <cellStyle name="abc 3 2" xfId="19490"/>
    <cellStyle name="abc 4" xfId="19489"/>
    <cellStyle name="abc 5" xfId="19488"/>
    <cellStyle name="abc 6" xfId="19487"/>
    <cellStyle name="abc 7" xfId="19486"/>
    <cellStyle name="abc 8" xfId="19485"/>
    <cellStyle name="abc 9" xfId="19484"/>
    <cellStyle name="Acc-0" xfId="19483"/>
    <cellStyle name="acc-0 2" xfId="19482"/>
    <cellStyle name="Acc-2" xfId="19481"/>
    <cellStyle name="acc-2 2" xfId="19480"/>
    <cellStyle name="Accent1 2" xfId="19479"/>
    <cellStyle name="Accent1 2 2" xfId="19478"/>
    <cellStyle name="Accent1 3" xfId="19477"/>
    <cellStyle name="Accent1 3 2" xfId="19476"/>
    <cellStyle name="Accent1 4" xfId="19475"/>
    <cellStyle name="Accent1 4 2" xfId="19474"/>
    <cellStyle name="Accent1 5" xfId="19473"/>
    <cellStyle name="Accent1 5 2" xfId="19472"/>
    <cellStyle name="Accent1 6" xfId="19471"/>
    <cellStyle name="Accent1 6 2" xfId="19470"/>
    <cellStyle name="Accent1 7" xfId="19469"/>
    <cellStyle name="Accent1 7 2" xfId="19468"/>
    <cellStyle name="Accent1 8" xfId="19467"/>
    <cellStyle name="Accent1 8 2" xfId="19466"/>
    <cellStyle name="Accent1 9" xfId="19465"/>
    <cellStyle name="Accent2 2" xfId="19464"/>
    <cellStyle name="Accent2 2 2" xfId="19463"/>
    <cellStyle name="Accent2 3" xfId="19462"/>
    <cellStyle name="Accent2 3 2" xfId="19461"/>
    <cellStyle name="Accent2 4" xfId="19460"/>
    <cellStyle name="Accent2 4 2" xfId="19459"/>
    <cellStyle name="Accent2 5" xfId="19458"/>
    <cellStyle name="Accent2 5 2" xfId="19457"/>
    <cellStyle name="Accent2 6" xfId="19456"/>
    <cellStyle name="Accent2 6 2" xfId="19455"/>
    <cellStyle name="Accent2 7" xfId="19454"/>
    <cellStyle name="Accent2 7 2" xfId="19453"/>
    <cellStyle name="Accent2 8" xfId="19452"/>
    <cellStyle name="Accent2 8 2" xfId="19451"/>
    <cellStyle name="Accent2 9" xfId="19450"/>
    <cellStyle name="Accent3 2" xfId="19449"/>
    <cellStyle name="Accent3 2 2" xfId="19448"/>
    <cellStyle name="Accent3 3" xfId="19447"/>
    <cellStyle name="Accent3 3 2" xfId="19446"/>
    <cellStyle name="Accent3 4" xfId="19445"/>
    <cellStyle name="Accent3 4 2" xfId="19444"/>
    <cellStyle name="Accent3 5" xfId="19443"/>
    <cellStyle name="Accent3 5 2" xfId="19442"/>
    <cellStyle name="Accent3 6" xfId="19441"/>
    <cellStyle name="Accent3 6 2" xfId="19440"/>
    <cellStyle name="Accent3 7" xfId="19439"/>
    <cellStyle name="Accent3 7 2" xfId="19438"/>
    <cellStyle name="Accent3 8" xfId="19437"/>
    <cellStyle name="Accent3 8 2" xfId="19436"/>
    <cellStyle name="Accent3 9" xfId="19435"/>
    <cellStyle name="Accent4 2" xfId="19434"/>
    <cellStyle name="Accent4 2 2" xfId="19433"/>
    <cellStyle name="Accent4 3" xfId="19432"/>
    <cellStyle name="Accent4 3 2" xfId="19431"/>
    <cellStyle name="Accent4 4" xfId="19430"/>
    <cellStyle name="Accent4 4 2" xfId="19429"/>
    <cellStyle name="Accent4 5" xfId="19428"/>
    <cellStyle name="Accent4 5 2" xfId="19427"/>
    <cellStyle name="Accent4 6" xfId="19426"/>
    <cellStyle name="Accent4 6 2" xfId="19425"/>
    <cellStyle name="Accent4 7" xfId="19424"/>
    <cellStyle name="Accent4 7 2" xfId="19423"/>
    <cellStyle name="Accent4 8" xfId="19422"/>
    <cellStyle name="Accent4 8 2" xfId="19421"/>
    <cellStyle name="Accent4 9" xfId="19420"/>
    <cellStyle name="Accent5 2" xfId="19419"/>
    <cellStyle name="Accent5 2 2" xfId="19418"/>
    <cellStyle name="Accent5 3" xfId="19417"/>
    <cellStyle name="Accent5 3 2" xfId="19416"/>
    <cellStyle name="Accent5 4" xfId="19415"/>
    <cellStyle name="Accent5 4 2" xfId="19414"/>
    <cellStyle name="Accent5 5" xfId="19413"/>
    <cellStyle name="Accent5 5 2" xfId="19412"/>
    <cellStyle name="Accent5 6" xfId="19411"/>
    <cellStyle name="Accent5 6 2" xfId="19410"/>
    <cellStyle name="Accent5 7" xfId="19409"/>
    <cellStyle name="Accent5 7 2" xfId="19408"/>
    <cellStyle name="Accent5 8" xfId="19407"/>
    <cellStyle name="Accent5 8 2" xfId="19406"/>
    <cellStyle name="Accent5 9" xfId="19405"/>
    <cellStyle name="Accent6 2" xfId="19404"/>
    <cellStyle name="Accent6 2 2" xfId="19403"/>
    <cellStyle name="Accent6 3" xfId="19402"/>
    <cellStyle name="Accent6 3 2" xfId="19401"/>
    <cellStyle name="Accent6 4" xfId="19400"/>
    <cellStyle name="Accent6 4 2" xfId="19399"/>
    <cellStyle name="Accent6 5" xfId="19398"/>
    <cellStyle name="Accent6 5 2" xfId="19397"/>
    <cellStyle name="Accent6 6" xfId="19396"/>
    <cellStyle name="Accent6 6 2" xfId="19395"/>
    <cellStyle name="Accent6 7" xfId="19394"/>
    <cellStyle name="Accent6 7 2" xfId="19393"/>
    <cellStyle name="Accent6 8" xfId="19392"/>
    <cellStyle name="Accent6 8 2" xfId="19391"/>
    <cellStyle name="Accent6 9" xfId="19390"/>
    <cellStyle name="action" xfId="19389"/>
    <cellStyle name="adidia" xfId="19388"/>
    <cellStyle name="adidia 2" xfId="19387"/>
    <cellStyle name="AeE­ [0]_´a´cAO¿ø (B4) (2)" xfId="19386"/>
    <cellStyle name="ÅëÈ­ [0]_´ë¿©ÀüÃ¼" xfId="19385"/>
    <cellStyle name="AeE­ [0]_´eºnC￥ " xfId="19384"/>
    <cellStyle name="ÅëÈ­ [0]_¿ì¹°Åë" xfId="19383"/>
    <cellStyle name="AeE­ [0]_AMT " xfId="19382"/>
    <cellStyle name="ÅëÈ­ [0]_INQUIRY ¿µ¾÷ÃßÁø " xfId="19381"/>
    <cellStyle name="AeE­ [0]_INQUIRY ¿μ¾÷AßAø " xfId="19380"/>
    <cellStyle name="ÅëÈ­ [0]_S" xfId="19379"/>
    <cellStyle name="AeE­_´a´cAO¿ø (B4) (2)" xfId="19378"/>
    <cellStyle name="ÅëÈ­_´ë¿©ÀüÃ¼" xfId="19377"/>
    <cellStyle name="AeE­_´eºnC￥ " xfId="19376"/>
    <cellStyle name="ÅëÈ­_¿ì¹°Åë" xfId="19375"/>
    <cellStyle name="AeE­_AMT " xfId="19374"/>
    <cellStyle name="ÅëÈ­_INQUIRY ¿µ¾÷ÃßÁø " xfId="19373"/>
    <cellStyle name="AeE­_INQUIRY ¿μ¾÷AßAø " xfId="19372"/>
    <cellStyle name="ÅëÈ­_S" xfId="19371"/>
    <cellStyle name="AeE¡ⓒ [0]_¨uoAa¨oCAu " xfId="19370"/>
    <cellStyle name="AeE¡ⓒ_¨uoAa¨oCAu " xfId="19369"/>
    <cellStyle name="ALIGNMENT" xfId="19368"/>
    <cellStyle name="APPEAR" xfId="19367"/>
    <cellStyle name="APPEAR 2" xfId="19366"/>
    <cellStyle name="args.style" xfId="19365"/>
    <cellStyle name="args.style 10" xfId="19364"/>
    <cellStyle name="args.style 11" xfId="19363"/>
    <cellStyle name="args.style 12" xfId="19362"/>
    <cellStyle name="args.style 13" xfId="19361"/>
    <cellStyle name="args.style 14" xfId="19360"/>
    <cellStyle name="args.style 2" xfId="19359"/>
    <cellStyle name="args.style 2 2" xfId="19358"/>
    <cellStyle name="args.style 3" xfId="19357"/>
    <cellStyle name="args.style 3 2" xfId="19356"/>
    <cellStyle name="args.style 3 3" xfId="19355"/>
    <cellStyle name="args.style 3 4" xfId="19354"/>
    <cellStyle name="args.style 4" xfId="19353"/>
    <cellStyle name="args.style 5" xfId="19352"/>
    <cellStyle name="args.style 6" xfId="19351"/>
    <cellStyle name="args.style 7" xfId="19350"/>
    <cellStyle name="args.style 8" xfId="19349"/>
    <cellStyle name="args.style 9" xfId="19348"/>
    <cellStyle name="Arial10" xfId="19347"/>
    <cellStyle name="Arial10 2" xfId="19346"/>
    <cellStyle name="Arial10 2 2" xfId="19345"/>
    <cellStyle name="Arial10 3" xfId="19344"/>
    <cellStyle name="ARKONIN" xfId="19343"/>
    <cellStyle name="ARKONIN 2" xfId="19342"/>
    <cellStyle name="ARKONIN 3" xfId="19341"/>
    <cellStyle name="ARKONIN 4" xfId="19340"/>
    <cellStyle name="AÞ¸¶ [0]_´a´cAO¿ø (B4) (2)" xfId="19339"/>
    <cellStyle name="ÄÞ¸¶ [0]_´ë¿©ÀüÃ¼" xfId="19338"/>
    <cellStyle name="AÞ¸¶ [0]_´eºnC￥ " xfId="19337"/>
    <cellStyle name="ÄÞ¸¶ [0]_¿ì¹°Åë" xfId="19336"/>
    <cellStyle name="AÞ¸¶ [0]_AN°y(1.25) " xfId="19335"/>
    <cellStyle name="ÄÞ¸¶ [0]_INQUIRY ¿µ¾÷ÃßÁø " xfId="19334"/>
    <cellStyle name="AÞ¸¶ [0]_INQUIRY ¿μ¾÷AßAø " xfId="19333"/>
    <cellStyle name="ÄÞ¸¶ [0]_S" xfId="19332"/>
    <cellStyle name="ÄÞ¸¶ [20]" xfId="19331"/>
    <cellStyle name="AÞ¸¶_´a´cAO¿ø (B4) (2)" xfId="19330"/>
    <cellStyle name="ÄÞ¸¶_´ë¿©ÀüÃ¼" xfId="19329"/>
    <cellStyle name="AÞ¸¶_´eºnC￥ " xfId="19328"/>
    <cellStyle name="ÄÞ¸¶_¿ì¹°Åë" xfId="19327"/>
    <cellStyle name="AÞ¸¶_AN°y(1.25) " xfId="19326"/>
    <cellStyle name="ÄÞ¸¶_INQUIRY ¿µ¾÷ÃßÁø " xfId="19325"/>
    <cellStyle name="AÞ¸¶_INQUIRY ¿μ¾÷AßAø " xfId="19324"/>
    <cellStyle name="ÄÞ¸¶_S" xfId="19323"/>
    <cellStyle name="_x0001_b" xfId="19322"/>
    <cellStyle name="Bad 2" xfId="19321"/>
    <cellStyle name="Bad 2 2" xfId="19320"/>
    <cellStyle name="Bad 3" xfId="19319"/>
    <cellStyle name="Bad 3 2" xfId="19318"/>
    <cellStyle name="Bad 4" xfId="19317"/>
    <cellStyle name="Bad 4 2" xfId="19316"/>
    <cellStyle name="Bad 5" xfId="19315"/>
    <cellStyle name="Bad 5 2" xfId="19314"/>
    <cellStyle name="Bad 6" xfId="19313"/>
    <cellStyle name="Bad 6 2" xfId="19312"/>
    <cellStyle name="Bad 7" xfId="19311"/>
    <cellStyle name="Bad 7 2" xfId="19310"/>
    <cellStyle name="Bad 8" xfId="19309"/>
    <cellStyle name="Bad 8 2" xfId="19308"/>
    <cellStyle name="Bad 9" xfId="19307"/>
    <cellStyle name="bankspesen" xfId="19306"/>
    <cellStyle name="bekis" xfId="19305"/>
    <cellStyle name="BKWmas" xfId="19304"/>
    <cellStyle name="BKWmas 10" xfId="19303"/>
    <cellStyle name="BKWmas 10 2" xfId="19302"/>
    <cellStyle name="BKWmas 11" xfId="19301"/>
    <cellStyle name="BKWmas 2" xfId="19300"/>
    <cellStyle name="BKWmas 2 2" xfId="19299"/>
    <cellStyle name="BKWmas 2 2 2" xfId="19298"/>
    <cellStyle name="BKWmas 2 2 2 2" xfId="19297"/>
    <cellStyle name="BKWmas 2 2 3" xfId="19296"/>
    <cellStyle name="BKWmas 2 3" xfId="19295"/>
    <cellStyle name="BKWmas 2 3 2" xfId="19294"/>
    <cellStyle name="BKWmas 2 4" xfId="19293"/>
    <cellStyle name="BKWmas 3" xfId="19292"/>
    <cellStyle name="BKWmas 3 2" xfId="19291"/>
    <cellStyle name="BKWmas 3 2 2" xfId="19290"/>
    <cellStyle name="BKWmas 3 2 2 2" xfId="19289"/>
    <cellStyle name="BKWmas 3 2 3" xfId="19288"/>
    <cellStyle name="BKWmas 3 3" xfId="19287"/>
    <cellStyle name="BKWmas 3 3 2" xfId="19286"/>
    <cellStyle name="BKWmas 3 4" xfId="19285"/>
    <cellStyle name="BKWmas 4" xfId="19284"/>
    <cellStyle name="BKWmas 4 2" xfId="19283"/>
    <cellStyle name="BKWmas 4 2 2" xfId="19282"/>
    <cellStyle name="BKWmas 4 2 2 2" xfId="19281"/>
    <cellStyle name="BKWmas 4 2 3" xfId="19280"/>
    <cellStyle name="BKWmas 4 3" xfId="19279"/>
    <cellStyle name="BKWmas 4 3 2" xfId="19278"/>
    <cellStyle name="BKWmas 4 4" xfId="19277"/>
    <cellStyle name="BKWmas 5" xfId="19276"/>
    <cellStyle name="BKWmas 5 2" xfId="19275"/>
    <cellStyle name="BKWmas 5 2 2" xfId="19274"/>
    <cellStyle name="BKWmas 5 2 2 2" xfId="19273"/>
    <cellStyle name="BKWmas 5 2 3" xfId="19272"/>
    <cellStyle name="BKWmas 5 3" xfId="19271"/>
    <cellStyle name="BKWmas 5 3 2" xfId="19270"/>
    <cellStyle name="BKWmas 5 4" xfId="19269"/>
    <cellStyle name="BKWmas 6" xfId="19268"/>
    <cellStyle name="BKWmas 6 2" xfId="19267"/>
    <cellStyle name="BKWmas 6 2 2" xfId="19266"/>
    <cellStyle name="BKWmas 6 2 2 2" xfId="19265"/>
    <cellStyle name="BKWmas 6 2 3" xfId="19264"/>
    <cellStyle name="BKWmas 6 3" xfId="19263"/>
    <cellStyle name="BKWmas 6 3 2" xfId="19262"/>
    <cellStyle name="BKWmas 6 4" xfId="19261"/>
    <cellStyle name="BKWmas 7" xfId="19260"/>
    <cellStyle name="BKWmas 7 2" xfId="19259"/>
    <cellStyle name="BKWmas 7 2 2" xfId="19258"/>
    <cellStyle name="BKWmas 7 2 2 2" xfId="19257"/>
    <cellStyle name="BKWmas 7 2 3" xfId="19256"/>
    <cellStyle name="BKWmas 7 3" xfId="19255"/>
    <cellStyle name="BKWmas 7 3 2" xfId="19254"/>
    <cellStyle name="BKWmas 7 4" xfId="19253"/>
    <cellStyle name="BKWmas 8" xfId="19252"/>
    <cellStyle name="BKWmas 8 2" xfId="19251"/>
    <cellStyle name="BKWmas 8 2 2" xfId="19250"/>
    <cellStyle name="BKWmas 8 2 2 2" xfId="19249"/>
    <cellStyle name="BKWmas 8 2 3" xfId="19248"/>
    <cellStyle name="BKWmas 8 3" xfId="19247"/>
    <cellStyle name="BKWmas 8 3 2" xfId="19246"/>
    <cellStyle name="BKWmas 8 4" xfId="19245"/>
    <cellStyle name="BKWmas 9" xfId="19244"/>
    <cellStyle name="BKWmas 9 2" xfId="19243"/>
    <cellStyle name="BKWmas 9 2 2" xfId="19242"/>
    <cellStyle name="BKWmas 9 3" xfId="19241"/>
    <cellStyle name="blank" xfId="19240"/>
    <cellStyle name="blank - Style1" xfId="19239"/>
    <cellStyle name="BlueFont" xfId="19238"/>
    <cellStyle name="Body" xfId="19237"/>
    <cellStyle name="Body 2" xfId="19236"/>
    <cellStyle name="bol" xfId="19235"/>
    <cellStyle name="Bol 1" xfId="19234"/>
    <cellStyle name="Bol 1 10" xfId="19233"/>
    <cellStyle name="Bol 1 10 2" xfId="19232"/>
    <cellStyle name="Bol 1 10 2 2" xfId="19231"/>
    <cellStyle name="Bol 1 10 3" xfId="19230"/>
    <cellStyle name="Bol 1 10 4" xfId="19229"/>
    <cellStyle name="Bol 1 10 5" xfId="19228"/>
    <cellStyle name="Bol 1 11" xfId="19227"/>
    <cellStyle name="Bol 1 11 2" xfId="19226"/>
    <cellStyle name="Bol 1 11 2 2" xfId="19225"/>
    <cellStyle name="Bol 1 11 3" xfId="19224"/>
    <cellStyle name="Bol 1 11 4" xfId="19223"/>
    <cellStyle name="Bol 1 11 5" xfId="19222"/>
    <cellStyle name="Bol 1 12" xfId="19221"/>
    <cellStyle name="Bol 1 12 2" xfId="19220"/>
    <cellStyle name="Bol 1 12 2 2" xfId="19219"/>
    <cellStyle name="Bol 1 12 3" xfId="19218"/>
    <cellStyle name="Bol 1 12 4" xfId="19217"/>
    <cellStyle name="Bol 1 12 5" xfId="19216"/>
    <cellStyle name="Bol 1 13" xfId="19215"/>
    <cellStyle name="Bol 1 13 2" xfId="19214"/>
    <cellStyle name="Bol 1 14" xfId="19213"/>
    <cellStyle name="Bol 1 15" xfId="19212"/>
    <cellStyle name="Bol 1 16" xfId="19211"/>
    <cellStyle name="Bol 1 2" xfId="19210"/>
    <cellStyle name="Bol 1 2 10" xfId="19209"/>
    <cellStyle name="Bol 1 2 10 2" xfId="19208"/>
    <cellStyle name="Bol 1 2 10 2 2" xfId="19207"/>
    <cellStyle name="Bol 1 2 10 3" xfId="19206"/>
    <cellStyle name="Bol 1 2 10 4" xfId="19205"/>
    <cellStyle name="Bol 1 2 10 5" xfId="19204"/>
    <cellStyle name="Bol 1 2 11" xfId="19203"/>
    <cellStyle name="Bol 1 2 11 2" xfId="19202"/>
    <cellStyle name="Bol 1 2 12" xfId="19201"/>
    <cellStyle name="Bol 1 2 13" xfId="19200"/>
    <cellStyle name="Bol 1 2 14" xfId="19199"/>
    <cellStyle name="Bol 1 2 2" xfId="19198"/>
    <cellStyle name="Bol 1 2 2 10" xfId="19197"/>
    <cellStyle name="Bol 1 2 2 11" xfId="19196"/>
    <cellStyle name="Bol 1 2 2 12" xfId="19195"/>
    <cellStyle name="Bol 1 2 2 2" xfId="19194"/>
    <cellStyle name="Bol 1 2 2 2 2" xfId="19193"/>
    <cellStyle name="Bol 1 2 2 2 2 2" xfId="19192"/>
    <cellStyle name="Bol 1 2 2 2 3" xfId="19191"/>
    <cellStyle name="Bol 1 2 2 2 4" xfId="19190"/>
    <cellStyle name="Bol 1 2 2 2 5" xfId="19189"/>
    <cellStyle name="Bol 1 2 2 3" xfId="19188"/>
    <cellStyle name="Bol 1 2 2 3 2" xfId="19187"/>
    <cellStyle name="Bol 1 2 2 3 2 2" xfId="19186"/>
    <cellStyle name="Bol 1 2 2 3 3" xfId="19185"/>
    <cellStyle name="Bol 1 2 2 3 4" xfId="19184"/>
    <cellStyle name="Bol 1 2 2 3 5" xfId="19183"/>
    <cellStyle name="Bol 1 2 2 4" xfId="19182"/>
    <cellStyle name="Bol 1 2 2 4 2" xfId="19181"/>
    <cellStyle name="Bol 1 2 2 4 2 2" xfId="19180"/>
    <cellStyle name="Bol 1 2 2 4 3" xfId="19179"/>
    <cellStyle name="Bol 1 2 2 4 4" xfId="19178"/>
    <cellStyle name="Bol 1 2 2 4 5" xfId="19177"/>
    <cellStyle name="Bol 1 2 2 5" xfId="19176"/>
    <cellStyle name="Bol 1 2 2 5 2" xfId="19175"/>
    <cellStyle name="Bol 1 2 2 5 2 2" xfId="19174"/>
    <cellStyle name="Bol 1 2 2 5 3" xfId="19173"/>
    <cellStyle name="Bol 1 2 2 5 4" xfId="19172"/>
    <cellStyle name="Bol 1 2 2 5 5" xfId="19171"/>
    <cellStyle name="Bol 1 2 2 6" xfId="19170"/>
    <cellStyle name="Bol 1 2 2 6 2" xfId="19169"/>
    <cellStyle name="Bol 1 2 2 6 2 2" xfId="19168"/>
    <cellStyle name="Bol 1 2 2 6 3" xfId="19167"/>
    <cellStyle name="Bol 1 2 2 6 4" xfId="19166"/>
    <cellStyle name="Bol 1 2 2 6 5" xfId="19165"/>
    <cellStyle name="Bol 1 2 2 7" xfId="19164"/>
    <cellStyle name="Bol 1 2 2 7 2" xfId="19163"/>
    <cellStyle name="Bol 1 2 2 7 2 2" xfId="19162"/>
    <cellStyle name="Bol 1 2 2 7 3" xfId="19161"/>
    <cellStyle name="Bol 1 2 2 7 4" xfId="19160"/>
    <cellStyle name="Bol 1 2 2 7 5" xfId="19159"/>
    <cellStyle name="Bol 1 2 2 8" xfId="19158"/>
    <cellStyle name="Bol 1 2 2 8 2" xfId="19157"/>
    <cellStyle name="Bol 1 2 2 8 2 2" xfId="19156"/>
    <cellStyle name="Bol 1 2 2 8 3" xfId="19155"/>
    <cellStyle name="Bol 1 2 2 8 4" xfId="19154"/>
    <cellStyle name="Bol 1 2 2 8 5" xfId="19153"/>
    <cellStyle name="Bol 1 2 2 9" xfId="19152"/>
    <cellStyle name="Bol 1 2 2 9 2" xfId="19151"/>
    <cellStyle name="Bol 1 2 3" xfId="19150"/>
    <cellStyle name="Bol 1 2 3 2" xfId="19149"/>
    <cellStyle name="Bol 1 2 3 2 2" xfId="19148"/>
    <cellStyle name="Bol 1 2 3 3" xfId="19147"/>
    <cellStyle name="Bol 1 2 3 4" xfId="19146"/>
    <cellStyle name="Bol 1 2 3 5" xfId="19145"/>
    <cellStyle name="Bol 1 2 4" xfId="19144"/>
    <cellStyle name="Bol 1 2 4 2" xfId="19143"/>
    <cellStyle name="Bol 1 2 4 2 2" xfId="19142"/>
    <cellStyle name="Bol 1 2 4 3" xfId="19141"/>
    <cellStyle name="Bol 1 2 4 4" xfId="19140"/>
    <cellStyle name="Bol 1 2 4 5" xfId="19139"/>
    <cellStyle name="Bol 1 2 5" xfId="19138"/>
    <cellStyle name="Bol 1 2 5 2" xfId="19137"/>
    <cellStyle name="Bol 1 2 5 2 2" xfId="19136"/>
    <cellStyle name="Bol 1 2 5 3" xfId="19135"/>
    <cellStyle name="Bol 1 2 5 4" xfId="19134"/>
    <cellStyle name="Bol 1 2 5 5" xfId="19133"/>
    <cellStyle name="Bol 1 2 6" xfId="19132"/>
    <cellStyle name="Bol 1 2 6 2" xfId="19131"/>
    <cellStyle name="Bol 1 2 6 2 2" xfId="19130"/>
    <cellStyle name="Bol 1 2 6 3" xfId="19129"/>
    <cellStyle name="Bol 1 2 6 4" xfId="19128"/>
    <cellStyle name="Bol 1 2 6 5" xfId="19127"/>
    <cellStyle name="Bol 1 2 7" xfId="19126"/>
    <cellStyle name="Bol 1 2 7 2" xfId="19125"/>
    <cellStyle name="Bol 1 2 7 2 2" xfId="19124"/>
    <cellStyle name="Bol 1 2 7 3" xfId="19123"/>
    <cellStyle name="Bol 1 2 7 4" xfId="19122"/>
    <cellStyle name="Bol 1 2 7 5" xfId="19121"/>
    <cellStyle name="Bol 1 2 8" xfId="19120"/>
    <cellStyle name="Bol 1 2 8 2" xfId="19119"/>
    <cellStyle name="Bol 1 2 8 2 2" xfId="19118"/>
    <cellStyle name="Bol 1 2 8 3" xfId="19117"/>
    <cellStyle name="Bol 1 2 8 4" xfId="19116"/>
    <cellStyle name="Bol 1 2 8 5" xfId="19115"/>
    <cellStyle name="Bol 1 2 9" xfId="19114"/>
    <cellStyle name="Bol 1 2 9 2" xfId="19113"/>
    <cellStyle name="Bol 1 2 9 2 2" xfId="19112"/>
    <cellStyle name="Bol 1 2 9 3" xfId="19111"/>
    <cellStyle name="Bol 1 2 9 4" xfId="19110"/>
    <cellStyle name="Bol 1 2 9 5" xfId="19109"/>
    <cellStyle name="Bol 1 3" xfId="19108"/>
    <cellStyle name="Bol 1 3 10" xfId="19107"/>
    <cellStyle name="Bol 1 3 10 2" xfId="19106"/>
    <cellStyle name="Bol 1 3 10 2 2" xfId="19105"/>
    <cellStyle name="Bol 1 3 10 3" xfId="19104"/>
    <cellStyle name="Bol 1 3 10 4" xfId="19103"/>
    <cellStyle name="Bol 1 3 10 5" xfId="19102"/>
    <cellStyle name="Bol 1 3 11" xfId="19101"/>
    <cellStyle name="Bol 1 3 11 2" xfId="19100"/>
    <cellStyle name="Bol 1 3 12" xfId="19099"/>
    <cellStyle name="Bol 1 3 13" xfId="19098"/>
    <cellStyle name="Bol 1 3 14" xfId="19097"/>
    <cellStyle name="Bol 1 3 2" xfId="19096"/>
    <cellStyle name="Bol 1 3 2 10" xfId="19095"/>
    <cellStyle name="Bol 1 3 2 11" xfId="19094"/>
    <cellStyle name="Bol 1 3 2 12" xfId="19093"/>
    <cellStyle name="Bol 1 3 2 2" xfId="19092"/>
    <cellStyle name="Bol 1 3 2 2 2" xfId="19091"/>
    <cellStyle name="Bol 1 3 2 2 2 2" xfId="19090"/>
    <cellStyle name="Bol 1 3 2 2 3" xfId="19089"/>
    <cellStyle name="Bol 1 3 2 2 4" xfId="19088"/>
    <cellStyle name="Bol 1 3 2 2 5" xfId="19087"/>
    <cellStyle name="Bol 1 3 2 3" xfId="19086"/>
    <cellStyle name="Bol 1 3 2 3 2" xfId="19085"/>
    <cellStyle name="Bol 1 3 2 3 2 2" xfId="19084"/>
    <cellStyle name="Bol 1 3 2 3 3" xfId="19083"/>
    <cellStyle name="Bol 1 3 2 3 4" xfId="19082"/>
    <cellStyle name="Bol 1 3 2 3 5" xfId="19081"/>
    <cellStyle name="Bol 1 3 2 4" xfId="19080"/>
    <cellStyle name="Bol 1 3 2 4 2" xfId="19079"/>
    <cellStyle name="Bol 1 3 2 4 2 2" xfId="19078"/>
    <cellStyle name="Bol 1 3 2 4 3" xfId="19077"/>
    <cellStyle name="Bol 1 3 2 4 4" xfId="19076"/>
    <cellStyle name="Bol 1 3 2 4 5" xfId="19075"/>
    <cellStyle name="Bol 1 3 2 5" xfId="19074"/>
    <cellStyle name="Bol 1 3 2 5 2" xfId="19073"/>
    <cellStyle name="Bol 1 3 2 5 2 2" xfId="19072"/>
    <cellStyle name="Bol 1 3 2 5 3" xfId="19071"/>
    <cellStyle name="Bol 1 3 2 5 4" xfId="19070"/>
    <cellStyle name="Bol 1 3 2 5 5" xfId="19069"/>
    <cellStyle name="Bol 1 3 2 6" xfId="19068"/>
    <cellStyle name="Bol 1 3 2 6 2" xfId="19067"/>
    <cellStyle name="Bol 1 3 2 6 2 2" xfId="19066"/>
    <cellStyle name="Bol 1 3 2 6 3" xfId="19065"/>
    <cellStyle name="Bol 1 3 2 6 4" xfId="19064"/>
    <cellStyle name="Bol 1 3 2 6 5" xfId="19063"/>
    <cellStyle name="Bol 1 3 2 7" xfId="19062"/>
    <cellStyle name="Bol 1 3 2 7 2" xfId="19061"/>
    <cellStyle name="Bol 1 3 2 7 2 2" xfId="19060"/>
    <cellStyle name="Bol 1 3 2 7 3" xfId="19059"/>
    <cellStyle name="Bol 1 3 2 7 4" xfId="19058"/>
    <cellStyle name="Bol 1 3 2 7 5" xfId="19057"/>
    <cellStyle name="Bol 1 3 2 8" xfId="19056"/>
    <cellStyle name="Bol 1 3 2 8 2" xfId="19055"/>
    <cellStyle name="Bol 1 3 2 8 2 2" xfId="19054"/>
    <cellStyle name="Bol 1 3 2 8 3" xfId="19053"/>
    <cellStyle name="Bol 1 3 2 8 4" xfId="19052"/>
    <cellStyle name="Bol 1 3 2 8 5" xfId="19051"/>
    <cellStyle name="Bol 1 3 2 9" xfId="19050"/>
    <cellStyle name="Bol 1 3 2 9 2" xfId="19049"/>
    <cellStyle name="Bol 1 3 3" xfId="19048"/>
    <cellStyle name="Bol 1 3 3 2" xfId="19047"/>
    <cellStyle name="Bol 1 3 3 2 2" xfId="19046"/>
    <cellStyle name="Bol 1 3 3 3" xfId="19045"/>
    <cellStyle name="Bol 1 3 3 4" xfId="19044"/>
    <cellStyle name="Bol 1 3 3 5" xfId="19043"/>
    <cellStyle name="Bol 1 3 4" xfId="19042"/>
    <cellStyle name="Bol 1 3 4 2" xfId="19041"/>
    <cellStyle name="Bol 1 3 4 2 2" xfId="19040"/>
    <cellStyle name="Bol 1 3 4 3" xfId="19039"/>
    <cellStyle name="Bol 1 3 4 4" xfId="19038"/>
    <cellStyle name="Bol 1 3 4 5" xfId="19037"/>
    <cellStyle name="Bol 1 3 5" xfId="19036"/>
    <cellStyle name="Bol 1 3 5 2" xfId="19035"/>
    <cellStyle name="Bol 1 3 5 2 2" xfId="19034"/>
    <cellStyle name="Bol 1 3 5 3" xfId="19033"/>
    <cellStyle name="Bol 1 3 5 4" xfId="19032"/>
    <cellStyle name="Bol 1 3 5 5" xfId="19031"/>
    <cellStyle name="Bol 1 3 6" xfId="19030"/>
    <cellStyle name="Bol 1 3 6 2" xfId="19029"/>
    <cellStyle name="Bol 1 3 6 2 2" xfId="19028"/>
    <cellStyle name="Bol 1 3 6 3" xfId="19027"/>
    <cellStyle name="Bol 1 3 6 4" xfId="19026"/>
    <cellStyle name="Bol 1 3 6 5" xfId="19025"/>
    <cellStyle name="Bol 1 3 7" xfId="19024"/>
    <cellStyle name="Bol 1 3 7 2" xfId="19023"/>
    <cellStyle name="Bol 1 3 7 2 2" xfId="19022"/>
    <cellStyle name="Bol 1 3 7 3" xfId="19021"/>
    <cellStyle name="Bol 1 3 7 4" xfId="19020"/>
    <cellStyle name="Bol 1 3 7 5" xfId="19019"/>
    <cellStyle name="Bol 1 3 8" xfId="19018"/>
    <cellStyle name="Bol 1 3 8 2" xfId="19017"/>
    <cellStyle name="Bol 1 3 8 2 2" xfId="19016"/>
    <cellStyle name="Bol 1 3 8 3" xfId="19015"/>
    <cellStyle name="Bol 1 3 8 4" xfId="19014"/>
    <cellStyle name="Bol 1 3 8 5" xfId="19013"/>
    <cellStyle name="Bol 1 3 9" xfId="19012"/>
    <cellStyle name="Bol 1 3 9 2" xfId="19011"/>
    <cellStyle name="Bol 1 3 9 2 2" xfId="19010"/>
    <cellStyle name="Bol 1 3 9 3" xfId="19009"/>
    <cellStyle name="Bol 1 3 9 4" xfId="19008"/>
    <cellStyle name="Bol 1 3 9 5" xfId="19007"/>
    <cellStyle name="Bol 1 4" xfId="19006"/>
    <cellStyle name="Bol 1 4 10" xfId="19005"/>
    <cellStyle name="Bol 1 4 11" xfId="19004"/>
    <cellStyle name="Bol 1 4 12" xfId="19003"/>
    <cellStyle name="Bol 1 4 2" xfId="19002"/>
    <cellStyle name="Bol 1 4 2 2" xfId="19001"/>
    <cellStyle name="Bol 1 4 2 2 2" xfId="19000"/>
    <cellStyle name="Bol 1 4 2 3" xfId="18999"/>
    <cellStyle name="Bol 1 4 2 4" xfId="18998"/>
    <cellStyle name="Bol 1 4 2 5" xfId="18997"/>
    <cellStyle name="Bol 1 4 3" xfId="18996"/>
    <cellStyle name="Bol 1 4 3 2" xfId="18995"/>
    <cellStyle name="Bol 1 4 3 2 2" xfId="18994"/>
    <cellStyle name="Bol 1 4 3 3" xfId="18993"/>
    <cellStyle name="Bol 1 4 3 4" xfId="18992"/>
    <cellStyle name="Bol 1 4 3 5" xfId="18991"/>
    <cellStyle name="Bol 1 4 4" xfId="18990"/>
    <cellStyle name="Bol 1 4 4 2" xfId="18989"/>
    <cellStyle name="Bol 1 4 4 2 2" xfId="18988"/>
    <cellStyle name="Bol 1 4 4 3" xfId="18987"/>
    <cellStyle name="Bol 1 4 4 4" xfId="18986"/>
    <cellStyle name="Bol 1 4 4 5" xfId="18985"/>
    <cellStyle name="Bol 1 4 5" xfId="18984"/>
    <cellStyle name="Bol 1 4 5 2" xfId="18983"/>
    <cellStyle name="Bol 1 4 5 2 2" xfId="18982"/>
    <cellStyle name="Bol 1 4 5 3" xfId="18981"/>
    <cellStyle name="Bol 1 4 5 4" xfId="18980"/>
    <cellStyle name="Bol 1 4 5 5" xfId="18979"/>
    <cellStyle name="Bol 1 4 6" xfId="18978"/>
    <cellStyle name="Bol 1 4 6 2" xfId="18977"/>
    <cellStyle name="Bol 1 4 6 2 2" xfId="18976"/>
    <cellStyle name="Bol 1 4 6 3" xfId="18975"/>
    <cellStyle name="Bol 1 4 6 4" xfId="18974"/>
    <cellStyle name="Bol 1 4 6 5" xfId="18973"/>
    <cellStyle name="Bol 1 4 7" xfId="18972"/>
    <cellStyle name="Bol 1 4 7 2" xfId="18971"/>
    <cellStyle name="Bol 1 4 7 2 2" xfId="18970"/>
    <cellStyle name="Bol 1 4 7 3" xfId="18969"/>
    <cellStyle name="Bol 1 4 7 4" xfId="18968"/>
    <cellStyle name="Bol 1 4 7 5" xfId="18967"/>
    <cellStyle name="Bol 1 4 8" xfId="18966"/>
    <cellStyle name="Bol 1 4 8 2" xfId="18965"/>
    <cellStyle name="Bol 1 4 8 2 2" xfId="18964"/>
    <cellStyle name="Bol 1 4 8 3" xfId="18963"/>
    <cellStyle name="Bol 1 4 8 4" xfId="18962"/>
    <cellStyle name="Bol 1 4 8 5" xfId="18961"/>
    <cellStyle name="Bol 1 4 9" xfId="18960"/>
    <cellStyle name="Bol 1 4 9 2" xfId="18959"/>
    <cellStyle name="Bol 1 5" xfId="18958"/>
    <cellStyle name="Bol 1 5 2" xfId="18957"/>
    <cellStyle name="Bol 1 5 2 2" xfId="18956"/>
    <cellStyle name="Bol 1 5 3" xfId="18955"/>
    <cellStyle name="Bol 1 5 4" xfId="18954"/>
    <cellStyle name="Bol 1 5 5" xfId="18953"/>
    <cellStyle name="Bol 1 6" xfId="18952"/>
    <cellStyle name="Bol 1 6 2" xfId="18951"/>
    <cellStyle name="Bol 1 6 2 2" xfId="18950"/>
    <cellStyle name="Bol 1 6 3" xfId="18949"/>
    <cellStyle name="Bol 1 6 4" xfId="18948"/>
    <cellStyle name="Bol 1 6 5" xfId="18947"/>
    <cellStyle name="Bol 1 7" xfId="18946"/>
    <cellStyle name="Bol 1 7 2" xfId="18945"/>
    <cellStyle name="Bol 1 7 2 2" xfId="18944"/>
    <cellStyle name="Bol 1 7 3" xfId="18943"/>
    <cellStyle name="Bol 1 7 4" xfId="18942"/>
    <cellStyle name="Bol 1 7 5" xfId="18941"/>
    <cellStyle name="Bol 1 8" xfId="18940"/>
    <cellStyle name="Bol 1 8 2" xfId="18939"/>
    <cellStyle name="Bol 1 8 2 2" xfId="18938"/>
    <cellStyle name="Bol 1 8 3" xfId="18937"/>
    <cellStyle name="Bol 1 8 4" xfId="18936"/>
    <cellStyle name="Bol 1 8 5" xfId="18935"/>
    <cellStyle name="Bol 1 9" xfId="18934"/>
    <cellStyle name="Bol 1 9 2" xfId="18933"/>
    <cellStyle name="Bol 1 9 2 2" xfId="18932"/>
    <cellStyle name="Bol 1 9 3" xfId="18931"/>
    <cellStyle name="Bol 1 9 4" xfId="18930"/>
    <cellStyle name="Bol 1 9 5" xfId="18929"/>
    <cellStyle name="bol 2" xfId="18928"/>
    <cellStyle name="bol_08 - 2143 - E - AHS - 090617" xfId="18927"/>
    <cellStyle name="bol1" xfId="18926"/>
    <cellStyle name="bol1 2" xfId="18925"/>
    <cellStyle name="Border" xfId="18924"/>
    <cellStyle name="Border 10" xfId="18923"/>
    <cellStyle name="Border 10 2" xfId="18922"/>
    <cellStyle name="Border 11" xfId="18921"/>
    <cellStyle name="Border 11 2" xfId="18920"/>
    <cellStyle name="Border 12" xfId="18919"/>
    <cellStyle name="Border 12 2" xfId="18918"/>
    <cellStyle name="Border 13" xfId="18917"/>
    <cellStyle name="Border 2" xfId="18916"/>
    <cellStyle name="Border 2 10" xfId="18915"/>
    <cellStyle name="Border 2 10 2" xfId="18914"/>
    <cellStyle name="Border 2 11" xfId="18913"/>
    <cellStyle name="Border 2 2" xfId="18912"/>
    <cellStyle name="Border 2 2 2" xfId="18911"/>
    <cellStyle name="Border 2 2 2 2" xfId="18910"/>
    <cellStyle name="Border 2 2 3" xfId="18909"/>
    <cellStyle name="Border 2 2 3 2" xfId="18908"/>
    <cellStyle name="Border 2 2 4" xfId="18907"/>
    <cellStyle name="Border 2 2 4 2" xfId="18906"/>
    <cellStyle name="Border 2 2 5" xfId="18905"/>
    <cellStyle name="Border 2 2 5 2" xfId="18904"/>
    <cellStyle name="Border 2 2 6" xfId="18903"/>
    <cellStyle name="Border 2 2 6 2" xfId="18902"/>
    <cellStyle name="Border 2 2 7" xfId="18901"/>
    <cellStyle name="Border 2 2 7 2" xfId="18900"/>
    <cellStyle name="Border 2 2 8" xfId="18899"/>
    <cellStyle name="Border 2 2 8 2" xfId="18898"/>
    <cellStyle name="Border 2 2 9" xfId="18897"/>
    <cellStyle name="Border 2 3" xfId="18896"/>
    <cellStyle name="Border 2 3 2" xfId="18895"/>
    <cellStyle name="Border 2 4" xfId="18894"/>
    <cellStyle name="Border 2 4 2" xfId="18893"/>
    <cellStyle name="Border 2 5" xfId="18892"/>
    <cellStyle name="Border 2 5 2" xfId="18891"/>
    <cellStyle name="Border 2 6" xfId="18890"/>
    <cellStyle name="Border 2 6 2" xfId="18889"/>
    <cellStyle name="Border 2 7" xfId="18888"/>
    <cellStyle name="Border 2 7 2" xfId="18887"/>
    <cellStyle name="Border 2 8" xfId="18886"/>
    <cellStyle name="Border 2 8 2" xfId="18885"/>
    <cellStyle name="Border 2 9" xfId="18884"/>
    <cellStyle name="Border 2 9 2" xfId="18883"/>
    <cellStyle name="Border 3" xfId="18882"/>
    <cellStyle name="Border 3 10" xfId="18881"/>
    <cellStyle name="Border 3 10 2" xfId="18880"/>
    <cellStyle name="Border 3 11" xfId="18879"/>
    <cellStyle name="Border 3 2" xfId="18878"/>
    <cellStyle name="Border 3 2 2" xfId="18877"/>
    <cellStyle name="Border 3 2 2 2" xfId="18876"/>
    <cellStyle name="Border 3 2 3" xfId="18875"/>
    <cellStyle name="Border 3 2 3 2" xfId="18874"/>
    <cellStyle name="Border 3 2 4" xfId="18873"/>
    <cellStyle name="Border 3 2 4 2" xfId="18872"/>
    <cellStyle name="Border 3 2 5" xfId="18871"/>
    <cellStyle name="Border 3 2 5 2" xfId="18870"/>
    <cellStyle name="Border 3 2 6" xfId="18869"/>
    <cellStyle name="Border 3 2 6 2" xfId="18868"/>
    <cellStyle name="Border 3 2 7" xfId="18867"/>
    <cellStyle name="Border 3 2 7 2" xfId="18866"/>
    <cellStyle name="Border 3 2 8" xfId="18865"/>
    <cellStyle name="Border 3 2 8 2" xfId="18864"/>
    <cellStyle name="Border 3 2 9" xfId="18863"/>
    <cellStyle name="Border 3 3" xfId="18862"/>
    <cellStyle name="Border 3 3 2" xfId="18861"/>
    <cellStyle name="Border 3 4" xfId="18860"/>
    <cellStyle name="Border 3 4 2" xfId="18859"/>
    <cellStyle name="Border 3 5" xfId="18858"/>
    <cellStyle name="Border 3 5 2" xfId="18857"/>
    <cellStyle name="Border 3 6" xfId="18856"/>
    <cellStyle name="Border 3 6 2" xfId="18855"/>
    <cellStyle name="Border 3 7" xfId="18854"/>
    <cellStyle name="Border 3 7 2" xfId="18853"/>
    <cellStyle name="Border 3 8" xfId="18852"/>
    <cellStyle name="Border 3 8 2" xfId="18851"/>
    <cellStyle name="Border 3 9" xfId="18850"/>
    <cellStyle name="Border 3 9 2" xfId="18849"/>
    <cellStyle name="Border 4" xfId="18848"/>
    <cellStyle name="Border 4 2" xfId="18847"/>
    <cellStyle name="Border 4 2 2" xfId="18846"/>
    <cellStyle name="Border 4 3" xfId="18845"/>
    <cellStyle name="Border 4 3 2" xfId="18844"/>
    <cellStyle name="Border 4 4" xfId="18843"/>
    <cellStyle name="Border 4 4 2" xfId="18842"/>
    <cellStyle name="Border 4 5" xfId="18841"/>
    <cellStyle name="Border 4 5 2" xfId="18840"/>
    <cellStyle name="Border 4 6" xfId="18839"/>
    <cellStyle name="Border 4 6 2" xfId="18838"/>
    <cellStyle name="Border 4 7" xfId="18837"/>
    <cellStyle name="Border 4 7 2" xfId="18836"/>
    <cellStyle name="Border 4 8" xfId="18835"/>
    <cellStyle name="Border 4 8 2" xfId="18834"/>
    <cellStyle name="Border 4 9" xfId="18833"/>
    <cellStyle name="Border 5" xfId="18832"/>
    <cellStyle name="Border 5 2" xfId="18831"/>
    <cellStyle name="Border 6" xfId="18830"/>
    <cellStyle name="Border 6 2" xfId="18829"/>
    <cellStyle name="Border 7" xfId="18828"/>
    <cellStyle name="Border 7 2" xfId="18827"/>
    <cellStyle name="Border 8" xfId="18826"/>
    <cellStyle name="Border 8 2" xfId="18825"/>
    <cellStyle name="Border 9" xfId="18824"/>
    <cellStyle name="Border 9 2" xfId="18823"/>
    <cellStyle name="bottom" xfId="18822"/>
    <cellStyle name="bottom 2" xfId="18821"/>
    <cellStyle name="Buena" xfId="18820"/>
    <cellStyle name="๺b댜ōຊb댸ōບb뷬ōສb븄ō຺b블ō໊b븨ō໚b븼ō໪b덐ō໺b덠ō༊b델ō༚b뎔ō༪b뎬ō༺b빘ōཊb빰ōཚb뺌ōཪb뻘ōེb뻴ōྊb돌ōྚb돴ōྪ" xfId="18819"/>
    <cellStyle name="c" xfId="18818"/>
    <cellStyle name="c 2" xfId="18817"/>
    <cellStyle name="C?AØ_¿?¾÷CoE² " xfId="18816"/>
    <cellStyle name="c_Analisa Bapelkes Full" xfId="18815"/>
    <cellStyle name="c_Analisa Bapelkes Full 2" xfId="18814"/>
    <cellStyle name="C¡IA¨ª_¡ic¨u¡A¨￢I¨￢¡Æ AN¡Æe " xfId="18813"/>
    <cellStyle name="C￥AØ_(A¤º¸ºI¹R)¿uº°AI¿ø°eE¹" xfId="18812"/>
    <cellStyle name="Ç¥ÁØ_´çÃÊ±¸ÀÔ»ý»ê" xfId="18811"/>
    <cellStyle name="C￥AØ_´e³≫°ø¹R (2)" xfId="18810"/>
    <cellStyle name="Ç¥ÁØ_¿¬°£´©°è¿¹»ó" xfId="18809"/>
    <cellStyle name="C￥AØ_¿uº°A¸≫c½CAu_³≫ºI°eE¹´e AßA¤A÷AI " xfId="18808"/>
    <cellStyle name="Ç¥ÁØ_»ç¾÷ºÎº° ÃÑ°è " xfId="18807"/>
    <cellStyle name="C￥AØ_≫c¾÷ºIº° AN°e " xfId="18806"/>
    <cellStyle name="Ç¥ÁØ_0N-HANDLING " xfId="18805"/>
    <cellStyle name="C￥AØ_¼±AoAc°i_1_³≫ºI°eE¹´e AßA¤A÷AI " xfId="18804"/>
    <cellStyle name="Ç¥ÁØ_5-1±¤°í " xfId="18803"/>
    <cellStyle name="C￥AØ_5-1±¤°i _6RCB1 " xfId="18802"/>
    <cellStyle name="Ç¥ÁØ_7°èÈ¹ " xfId="18801"/>
    <cellStyle name="C￥AØ_CoAo¹yAI °A¾×¿ⓒ½A " xfId="18800"/>
    <cellStyle name="Ç¥ÁØ_S" xfId="18799"/>
    <cellStyle name="C￥AØ_Sheet1_¿μ¾÷CoE² " xfId="18798"/>
    <cellStyle name="Ç¥ÁØ_Sheet1_0N-HANDLING " xfId="18797"/>
    <cellStyle name="C￥AØ_Sheet1_Ay°eC￥(2¿u) " xfId="18796"/>
    <cellStyle name="Ç¥ÁØ_Sheet1_Áý°èÇ¥(2¿ù) " xfId="18795"/>
    <cellStyle name="Calc Currency (0)" xfId="18794"/>
    <cellStyle name="Calc Currency (0) 10" xfId="18793"/>
    <cellStyle name="Calc Currency (0) 11" xfId="18792"/>
    <cellStyle name="Calc Currency (0) 12" xfId="18791"/>
    <cellStyle name="Calc Currency (0) 13" xfId="18790"/>
    <cellStyle name="Calc Currency (0) 14" xfId="18789"/>
    <cellStyle name="Calc Currency (0) 15" xfId="18788"/>
    <cellStyle name="Calc Currency (0) 2" xfId="18787"/>
    <cellStyle name="Calc Currency (0) 2 2" xfId="18786"/>
    <cellStyle name="Calc Currency (0) 2 3" xfId="18785"/>
    <cellStyle name="Calc Currency (0) 3" xfId="18784"/>
    <cellStyle name="Calc Currency (0) 3 2" xfId="18783"/>
    <cellStyle name="Calc Currency (0) 3 3" xfId="18782"/>
    <cellStyle name="Calc Currency (0) 3 4" xfId="18781"/>
    <cellStyle name="Calc Currency (0) 3 5" xfId="18780"/>
    <cellStyle name="Calc Currency (0) 4" xfId="18779"/>
    <cellStyle name="Calc Currency (0) 4 2" xfId="18778"/>
    <cellStyle name="Calc Currency (0) 5" xfId="18777"/>
    <cellStyle name="Calc Currency (0) 5 2" xfId="18776"/>
    <cellStyle name="Calc Currency (0) 5 3" xfId="18775"/>
    <cellStyle name="Calc Currency (0) 6" xfId="18774"/>
    <cellStyle name="Calc Currency (0) 6 2" xfId="18773"/>
    <cellStyle name="Calc Currency (0) 6 3" xfId="18772"/>
    <cellStyle name="Calc Currency (0) 7" xfId="18771"/>
    <cellStyle name="Calc Currency (0) 7 2" xfId="18770"/>
    <cellStyle name="Calc Currency (0) 7 3" xfId="18769"/>
    <cellStyle name="Calc Currency (0) 8" xfId="18768"/>
    <cellStyle name="Calc Currency (0) 9" xfId="18767"/>
    <cellStyle name="Calc Currency (2)" xfId="18766"/>
    <cellStyle name="Calc Currency (2) 2" xfId="18765"/>
    <cellStyle name="Calc Percent (0)" xfId="18764"/>
    <cellStyle name="Calc Percent (0) 2" xfId="18763"/>
    <cellStyle name="Calc Percent (1)" xfId="18762"/>
    <cellStyle name="Calc Percent (1) 2" xfId="18761"/>
    <cellStyle name="Calc Percent (2)" xfId="18760"/>
    <cellStyle name="Calc Percent (2) 2" xfId="18759"/>
    <cellStyle name="Calc Units (0)" xfId="18758"/>
    <cellStyle name="Calc Units (0) 2" xfId="18757"/>
    <cellStyle name="Calc Units (1)" xfId="18756"/>
    <cellStyle name="Calc Units (1) 2" xfId="18755"/>
    <cellStyle name="Calc Units (2)" xfId="18754"/>
    <cellStyle name="Calc Units (2) 2" xfId="18753"/>
    <cellStyle name="Calculation 2" xfId="18752"/>
    <cellStyle name="Calculation 2 10" xfId="18751"/>
    <cellStyle name="Calculation 2 10 2" xfId="18750"/>
    <cellStyle name="Calculation 2 11" xfId="18749"/>
    <cellStyle name="Calculation 2 12" xfId="18748"/>
    <cellStyle name="Calculation 2 13" xfId="18747"/>
    <cellStyle name="Calculation 2 2" xfId="18746"/>
    <cellStyle name="Calculation 2 2 2" xfId="18745"/>
    <cellStyle name="Calculation 2 2 2 2" xfId="18744"/>
    <cellStyle name="Calculation 2 2 2 2 2" xfId="18743"/>
    <cellStyle name="Calculation 2 2 2 2 2 2" xfId="18742"/>
    <cellStyle name="Calculation 2 2 2 2 3" xfId="18741"/>
    <cellStyle name="Calculation 2 2 2 3" xfId="18740"/>
    <cellStyle name="Calculation 2 2 2 3 2" xfId="18739"/>
    <cellStyle name="Calculation 2 2 2 4" xfId="18738"/>
    <cellStyle name="Calculation 2 2 3" xfId="18737"/>
    <cellStyle name="Calculation 2 2 3 2" xfId="18736"/>
    <cellStyle name="Calculation 2 2 3 2 2" xfId="18735"/>
    <cellStyle name="Calculation 2 2 3 2 2 2" xfId="18734"/>
    <cellStyle name="Calculation 2 2 3 2 3" xfId="18733"/>
    <cellStyle name="Calculation 2 2 3 3" xfId="18732"/>
    <cellStyle name="Calculation 2 2 3 3 2" xfId="18731"/>
    <cellStyle name="Calculation 2 2 3 4" xfId="18730"/>
    <cellStyle name="Calculation 2 2 4" xfId="18729"/>
    <cellStyle name="Calculation 2 2 4 2" xfId="18728"/>
    <cellStyle name="Calculation 2 2 4 2 2" xfId="18727"/>
    <cellStyle name="Calculation 2 2 4 2 2 2" xfId="18726"/>
    <cellStyle name="Calculation 2 2 4 2 3" xfId="18725"/>
    <cellStyle name="Calculation 2 2 4 3" xfId="18724"/>
    <cellStyle name="Calculation 2 2 4 3 2" xfId="18723"/>
    <cellStyle name="Calculation 2 2 4 4" xfId="18722"/>
    <cellStyle name="Calculation 2 2 5" xfId="18721"/>
    <cellStyle name="Calculation 2 2 5 2" xfId="18720"/>
    <cellStyle name="Calculation 2 2 5 2 2" xfId="18719"/>
    <cellStyle name="Calculation 2 2 5 3" xfId="18718"/>
    <cellStyle name="Calculation 2 2 6" xfId="18717"/>
    <cellStyle name="Calculation 2 2 6 2" xfId="18716"/>
    <cellStyle name="Calculation 2 2 7" xfId="18715"/>
    <cellStyle name="Calculation 2 3" xfId="18714"/>
    <cellStyle name="Calculation 2 3 2" xfId="18713"/>
    <cellStyle name="Calculation 2 3 2 2" xfId="18712"/>
    <cellStyle name="Calculation 2 3 2 2 2" xfId="18711"/>
    <cellStyle name="Calculation 2 3 2 3" xfId="18710"/>
    <cellStyle name="Calculation 2 3 3" xfId="18709"/>
    <cellStyle name="Calculation 2 3 3 2" xfId="18708"/>
    <cellStyle name="Calculation 2 3 4" xfId="18707"/>
    <cellStyle name="Calculation 2 3 5" xfId="18706"/>
    <cellStyle name="Calculation 2 3 6" xfId="18705"/>
    <cellStyle name="Calculation 2 4" xfId="18704"/>
    <cellStyle name="Calculation 2 4 2" xfId="18703"/>
    <cellStyle name="Calculation 2 4 2 2" xfId="18702"/>
    <cellStyle name="Calculation 2 4 2 2 2" xfId="18701"/>
    <cellStyle name="Calculation 2 4 2 3" xfId="18700"/>
    <cellStyle name="Calculation 2 4 3" xfId="18699"/>
    <cellStyle name="Calculation 2 4 3 2" xfId="18698"/>
    <cellStyle name="Calculation 2 4 4" xfId="18697"/>
    <cellStyle name="Calculation 2 4 5" xfId="18696"/>
    <cellStyle name="Calculation 2 4 6" xfId="18695"/>
    <cellStyle name="Calculation 2 5" xfId="18694"/>
    <cellStyle name="Calculation 2 5 2" xfId="18693"/>
    <cellStyle name="Calculation 2 5 2 2" xfId="18692"/>
    <cellStyle name="Calculation 2 5 2 2 2" xfId="18691"/>
    <cellStyle name="Calculation 2 5 2 3" xfId="18690"/>
    <cellStyle name="Calculation 2 5 3" xfId="18689"/>
    <cellStyle name="Calculation 2 5 3 2" xfId="18688"/>
    <cellStyle name="Calculation 2 5 4" xfId="18687"/>
    <cellStyle name="Calculation 2 5 5" xfId="18686"/>
    <cellStyle name="Calculation 2 5 6" xfId="18685"/>
    <cellStyle name="Calculation 2 6" xfId="18684"/>
    <cellStyle name="Calculation 2 6 2" xfId="18683"/>
    <cellStyle name="Calculation 2 6 2 2" xfId="18682"/>
    <cellStyle name="Calculation 2 6 2 2 2" xfId="18681"/>
    <cellStyle name="Calculation 2 6 2 3" xfId="18680"/>
    <cellStyle name="Calculation 2 6 3" xfId="18679"/>
    <cellStyle name="Calculation 2 6 3 2" xfId="18678"/>
    <cellStyle name="Calculation 2 6 4" xfId="18677"/>
    <cellStyle name="Calculation 2 6 5" xfId="18676"/>
    <cellStyle name="Calculation 2 6 6" xfId="18675"/>
    <cellStyle name="Calculation 2 7" xfId="18674"/>
    <cellStyle name="Calculation 2 7 2" xfId="18673"/>
    <cellStyle name="Calculation 2 7 2 2" xfId="18672"/>
    <cellStyle name="Calculation 2 7 2 2 2" xfId="18671"/>
    <cellStyle name="Calculation 2 7 2 3" xfId="18670"/>
    <cellStyle name="Calculation 2 7 3" xfId="18669"/>
    <cellStyle name="Calculation 2 7 3 2" xfId="18668"/>
    <cellStyle name="Calculation 2 7 4" xfId="18667"/>
    <cellStyle name="Calculation 2 7 5" xfId="18666"/>
    <cellStyle name="Calculation 2 7 6" xfId="18665"/>
    <cellStyle name="Calculation 2 8" xfId="18664"/>
    <cellStyle name="Calculation 2 8 2" xfId="18663"/>
    <cellStyle name="Calculation 2 8 2 2" xfId="18662"/>
    <cellStyle name="Calculation 2 8 2 2 2" xfId="18661"/>
    <cellStyle name="Calculation 2 8 2 3" xfId="18660"/>
    <cellStyle name="Calculation 2 8 3" xfId="18659"/>
    <cellStyle name="Calculation 2 8 3 2" xfId="18658"/>
    <cellStyle name="Calculation 2 8 4" xfId="18657"/>
    <cellStyle name="Calculation 2 8 5" xfId="18656"/>
    <cellStyle name="Calculation 2 8 6" xfId="18655"/>
    <cellStyle name="Calculation 2 9" xfId="18654"/>
    <cellStyle name="Calculation 2 9 2" xfId="18653"/>
    <cellStyle name="Calculation 2 9 2 2" xfId="18652"/>
    <cellStyle name="Calculation 2 9 3" xfId="18651"/>
    <cellStyle name="Calculation 3" xfId="18650"/>
    <cellStyle name="Calculation 3 2" xfId="18649"/>
    <cellStyle name="Calculation 3 2 2" xfId="18648"/>
    <cellStyle name="Calculation 3 2 2 2" xfId="18647"/>
    <cellStyle name="Calculation 3 2 2 2 2" xfId="18646"/>
    <cellStyle name="Calculation 3 2 2 2 2 2" xfId="18645"/>
    <cellStyle name="Calculation 3 2 2 2 3" xfId="18644"/>
    <cellStyle name="Calculation 3 2 2 3" xfId="18643"/>
    <cellStyle name="Calculation 3 2 2 3 2" xfId="18642"/>
    <cellStyle name="Calculation 3 2 2 4" xfId="18641"/>
    <cellStyle name="Calculation 3 2 3" xfId="18640"/>
    <cellStyle name="Calculation 3 2 3 2" xfId="18639"/>
    <cellStyle name="Calculation 3 2 3 2 2" xfId="18638"/>
    <cellStyle name="Calculation 3 2 3 3" xfId="18637"/>
    <cellStyle name="Calculation 3 2 4" xfId="18636"/>
    <cellStyle name="Calculation 3 2 4 2" xfId="18635"/>
    <cellStyle name="Calculation 3 2 5" xfId="18634"/>
    <cellStyle name="Calculation 3 3" xfId="18633"/>
    <cellStyle name="Calculation 3 3 2" xfId="18632"/>
    <cellStyle name="Calculation 3 3 2 2" xfId="18631"/>
    <cellStyle name="Calculation 3 3 2 2 2" xfId="18630"/>
    <cellStyle name="Calculation 3 3 2 3" xfId="18629"/>
    <cellStyle name="Calculation 3 3 3" xfId="18628"/>
    <cellStyle name="Calculation 3 3 3 2" xfId="18627"/>
    <cellStyle name="Calculation 3 3 4" xfId="18626"/>
    <cellStyle name="Calculation 3 4" xfId="18625"/>
    <cellStyle name="Calculation 3 4 2" xfId="18624"/>
    <cellStyle name="Calculation 3 4 2 2" xfId="18623"/>
    <cellStyle name="Calculation 3 4 2 2 2" xfId="18622"/>
    <cellStyle name="Calculation 3 4 2 3" xfId="18621"/>
    <cellStyle name="Calculation 3 4 3" xfId="18620"/>
    <cellStyle name="Calculation 3 4 3 2" xfId="18619"/>
    <cellStyle name="Calculation 3 4 4" xfId="18618"/>
    <cellStyle name="Calculation 3 5" xfId="18617"/>
    <cellStyle name="Calculation 3 5 2" xfId="18616"/>
    <cellStyle name="Calculation 3 5 2 2" xfId="18615"/>
    <cellStyle name="Calculation 3 5 3" xfId="18614"/>
    <cellStyle name="Calculation 3 6" xfId="18613"/>
    <cellStyle name="Calculation 3 6 2" xfId="18612"/>
    <cellStyle name="Calculation 3 7" xfId="18611"/>
    <cellStyle name="Calculation 4" xfId="18610"/>
    <cellStyle name="Calculation 4 2" xfId="18609"/>
    <cellStyle name="Calculation 4 2 2" xfId="18608"/>
    <cellStyle name="Calculation 4 2 2 2" xfId="18607"/>
    <cellStyle name="Calculation 4 2 2 2 2" xfId="18606"/>
    <cellStyle name="Calculation 4 2 2 2 2 2" xfId="18605"/>
    <cellStyle name="Calculation 4 2 2 2 3" xfId="18604"/>
    <cellStyle name="Calculation 4 2 2 3" xfId="18603"/>
    <cellStyle name="Calculation 4 2 2 3 2" xfId="18602"/>
    <cellStyle name="Calculation 4 2 2 4" xfId="18601"/>
    <cellStyle name="Calculation 4 2 3" xfId="18600"/>
    <cellStyle name="Calculation 4 2 3 2" xfId="18599"/>
    <cellStyle name="Calculation 4 2 3 2 2" xfId="18598"/>
    <cellStyle name="Calculation 4 2 3 3" xfId="18597"/>
    <cellStyle name="Calculation 4 2 4" xfId="18596"/>
    <cellStyle name="Calculation 4 2 4 2" xfId="18595"/>
    <cellStyle name="Calculation 4 2 5" xfId="18594"/>
    <cellStyle name="Calculation 4 3" xfId="18593"/>
    <cellStyle name="Calculation 4 3 2" xfId="18592"/>
    <cellStyle name="Calculation 4 3 2 2" xfId="18591"/>
    <cellStyle name="Calculation 4 3 2 2 2" xfId="18590"/>
    <cellStyle name="Calculation 4 3 2 3" xfId="18589"/>
    <cellStyle name="Calculation 4 3 3" xfId="18588"/>
    <cellStyle name="Calculation 4 3 3 2" xfId="18587"/>
    <cellStyle name="Calculation 4 3 4" xfId="18586"/>
    <cellStyle name="Calculation 4 4" xfId="18585"/>
    <cellStyle name="Calculation 4 4 2" xfId="18584"/>
    <cellStyle name="Calculation 4 4 2 2" xfId="18583"/>
    <cellStyle name="Calculation 4 4 2 2 2" xfId="18582"/>
    <cellStyle name="Calculation 4 4 2 3" xfId="18581"/>
    <cellStyle name="Calculation 4 4 3" xfId="18580"/>
    <cellStyle name="Calculation 4 4 3 2" xfId="18579"/>
    <cellStyle name="Calculation 4 4 4" xfId="18578"/>
    <cellStyle name="Calculation 4 5" xfId="18577"/>
    <cellStyle name="Calculation 4 5 2" xfId="18576"/>
    <cellStyle name="Calculation 4 5 2 2" xfId="18575"/>
    <cellStyle name="Calculation 4 5 3" xfId="18574"/>
    <cellStyle name="Calculation 4 6" xfId="18573"/>
    <cellStyle name="Calculation 4 6 2" xfId="18572"/>
    <cellStyle name="Calculation 4 7" xfId="18571"/>
    <cellStyle name="Calculation 5" xfId="18570"/>
    <cellStyle name="Calculation 5 2" xfId="18569"/>
    <cellStyle name="Calculation 5 2 2" xfId="18568"/>
    <cellStyle name="Calculation 5 2 2 2" xfId="18567"/>
    <cellStyle name="Calculation 5 2 2 2 2" xfId="18566"/>
    <cellStyle name="Calculation 5 2 2 2 2 2" xfId="18565"/>
    <cellStyle name="Calculation 5 2 2 2 3" xfId="18564"/>
    <cellStyle name="Calculation 5 2 2 3" xfId="18563"/>
    <cellStyle name="Calculation 5 2 2 3 2" xfId="18562"/>
    <cellStyle name="Calculation 5 2 2 4" xfId="18561"/>
    <cellStyle name="Calculation 5 2 3" xfId="18560"/>
    <cellStyle name="Calculation 5 2 3 2" xfId="18559"/>
    <cellStyle name="Calculation 5 2 3 2 2" xfId="18558"/>
    <cellStyle name="Calculation 5 2 3 3" xfId="18557"/>
    <cellStyle name="Calculation 5 2 4" xfId="18556"/>
    <cellStyle name="Calculation 5 2 4 2" xfId="18555"/>
    <cellStyle name="Calculation 5 2 5" xfId="18554"/>
    <cellStyle name="Calculation 5 3" xfId="18553"/>
    <cellStyle name="Calculation 5 3 2" xfId="18552"/>
    <cellStyle name="Calculation 5 3 2 2" xfId="18551"/>
    <cellStyle name="Calculation 5 3 2 2 2" xfId="18550"/>
    <cellStyle name="Calculation 5 3 2 3" xfId="18549"/>
    <cellStyle name="Calculation 5 3 3" xfId="18548"/>
    <cellStyle name="Calculation 5 3 3 2" xfId="18547"/>
    <cellStyle name="Calculation 5 3 4" xfId="18546"/>
    <cellStyle name="Calculation 5 4" xfId="18545"/>
    <cellStyle name="Calculation 5 4 2" xfId="18544"/>
    <cellStyle name="Calculation 5 4 2 2" xfId="18543"/>
    <cellStyle name="Calculation 5 4 2 2 2" xfId="18542"/>
    <cellStyle name="Calculation 5 4 2 3" xfId="18541"/>
    <cellStyle name="Calculation 5 4 3" xfId="18540"/>
    <cellStyle name="Calculation 5 4 3 2" xfId="18539"/>
    <cellStyle name="Calculation 5 4 4" xfId="18538"/>
    <cellStyle name="Calculation 5 5" xfId="18537"/>
    <cellStyle name="Calculation 5 5 2" xfId="18536"/>
    <cellStyle name="Calculation 5 5 2 2" xfId="18535"/>
    <cellStyle name="Calculation 5 5 3" xfId="18534"/>
    <cellStyle name="Calculation 5 6" xfId="18533"/>
    <cellStyle name="Calculation 5 6 2" xfId="18532"/>
    <cellStyle name="Calculation 5 7" xfId="18531"/>
    <cellStyle name="Calculation 6" xfId="18530"/>
    <cellStyle name="Calculation 6 2" xfId="18529"/>
    <cellStyle name="Calculation 6 2 2" xfId="18528"/>
    <cellStyle name="Calculation 6 2 2 2" xfId="18527"/>
    <cellStyle name="Calculation 6 2 2 2 2" xfId="18526"/>
    <cellStyle name="Calculation 6 2 2 2 2 2" xfId="18525"/>
    <cellStyle name="Calculation 6 2 2 2 3" xfId="18524"/>
    <cellStyle name="Calculation 6 2 2 3" xfId="18523"/>
    <cellStyle name="Calculation 6 2 2 3 2" xfId="18522"/>
    <cellStyle name="Calculation 6 2 2 4" xfId="18521"/>
    <cellStyle name="Calculation 6 2 3" xfId="18520"/>
    <cellStyle name="Calculation 6 2 3 2" xfId="18519"/>
    <cellStyle name="Calculation 6 2 3 2 2" xfId="18518"/>
    <cellStyle name="Calculation 6 2 3 3" xfId="18517"/>
    <cellStyle name="Calculation 6 2 4" xfId="18516"/>
    <cellStyle name="Calculation 6 2 4 2" xfId="18515"/>
    <cellStyle name="Calculation 6 2 5" xfId="18514"/>
    <cellStyle name="Calculation 6 3" xfId="18513"/>
    <cellStyle name="Calculation 6 3 2" xfId="18512"/>
    <cellStyle name="Calculation 6 3 2 2" xfId="18511"/>
    <cellStyle name="Calculation 6 3 2 2 2" xfId="18510"/>
    <cellStyle name="Calculation 6 3 2 3" xfId="18509"/>
    <cellStyle name="Calculation 6 3 3" xfId="18508"/>
    <cellStyle name="Calculation 6 3 3 2" xfId="18507"/>
    <cellStyle name="Calculation 6 3 4" xfId="18506"/>
    <cellStyle name="Calculation 6 4" xfId="18505"/>
    <cellStyle name="Calculation 6 4 2" xfId="18504"/>
    <cellStyle name="Calculation 6 4 2 2" xfId="18503"/>
    <cellStyle name="Calculation 6 4 2 2 2" xfId="18502"/>
    <cellStyle name="Calculation 6 4 2 3" xfId="18501"/>
    <cellStyle name="Calculation 6 4 3" xfId="18500"/>
    <cellStyle name="Calculation 6 4 3 2" xfId="18499"/>
    <cellStyle name="Calculation 6 4 4" xfId="18498"/>
    <cellStyle name="Calculation 6 5" xfId="18497"/>
    <cellStyle name="Calculation 6 5 2" xfId="18496"/>
    <cellStyle name="Calculation 6 5 2 2" xfId="18495"/>
    <cellStyle name="Calculation 6 5 3" xfId="18494"/>
    <cellStyle name="Calculation 6 6" xfId="18493"/>
    <cellStyle name="Calculation 6 6 2" xfId="18492"/>
    <cellStyle name="Calculation 6 7" xfId="18491"/>
    <cellStyle name="Calculation 7" xfId="18490"/>
    <cellStyle name="Calculation 7 2" xfId="18489"/>
    <cellStyle name="Calculation 7 2 2" xfId="18488"/>
    <cellStyle name="Calculation 7 2 2 2" xfId="18487"/>
    <cellStyle name="Calculation 7 2 2 2 2" xfId="18486"/>
    <cellStyle name="Calculation 7 2 2 2 2 2" xfId="18485"/>
    <cellStyle name="Calculation 7 2 2 2 3" xfId="18484"/>
    <cellStyle name="Calculation 7 2 2 3" xfId="18483"/>
    <cellStyle name="Calculation 7 2 2 3 2" xfId="18482"/>
    <cellStyle name="Calculation 7 2 2 4" xfId="18481"/>
    <cellStyle name="Calculation 7 2 3" xfId="18480"/>
    <cellStyle name="Calculation 7 2 3 2" xfId="18479"/>
    <cellStyle name="Calculation 7 2 3 2 2" xfId="18478"/>
    <cellStyle name="Calculation 7 2 3 3" xfId="18477"/>
    <cellStyle name="Calculation 7 2 4" xfId="18476"/>
    <cellStyle name="Calculation 7 2 4 2" xfId="18475"/>
    <cellStyle name="Calculation 7 2 5" xfId="18474"/>
    <cellStyle name="Calculation 7 3" xfId="18473"/>
    <cellStyle name="Calculation 7 3 2" xfId="18472"/>
    <cellStyle name="Calculation 7 3 2 2" xfId="18471"/>
    <cellStyle name="Calculation 7 3 2 2 2" xfId="18470"/>
    <cellStyle name="Calculation 7 3 2 3" xfId="18469"/>
    <cellStyle name="Calculation 7 3 3" xfId="18468"/>
    <cellStyle name="Calculation 7 3 3 2" xfId="18467"/>
    <cellStyle name="Calculation 7 3 4" xfId="18466"/>
    <cellStyle name="Calculation 7 4" xfId="18465"/>
    <cellStyle name="Calculation 7 4 2" xfId="18464"/>
    <cellStyle name="Calculation 7 4 2 2" xfId="18463"/>
    <cellStyle name="Calculation 7 4 2 2 2" xfId="18462"/>
    <cellStyle name="Calculation 7 4 2 3" xfId="18461"/>
    <cellStyle name="Calculation 7 4 3" xfId="18460"/>
    <cellStyle name="Calculation 7 4 3 2" xfId="18459"/>
    <cellStyle name="Calculation 7 4 4" xfId="18458"/>
    <cellStyle name="Calculation 7 5" xfId="18457"/>
    <cellStyle name="Calculation 7 5 2" xfId="18456"/>
    <cellStyle name="Calculation 7 5 2 2" xfId="18455"/>
    <cellStyle name="Calculation 7 5 3" xfId="18454"/>
    <cellStyle name="Calculation 7 6" xfId="18453"/>
    <cellStyle name="Calculation 7 6 2" xfId="18452"/>
    <cellStyle name="Calculation 7 7" xfId="18451"/>
    <cellStyle name="Calculation 8" xfId="18450"/>
    <cellStyle name="Calculation 8 2" xfId="18449"/>
    <cellStyle name="Calculation 8 2 2" xfId="18448"/>
    <cellStyle name="Calculation 8 2 2 2" xfId="18447"/>
    <cellStyle name="Calculation 8 2 2 2 2" xfId="18446"/>
    <cellStyle name="Calculation 8 2 2 3" xfId="18445"/>
    <cellStyle name="Calculation 8 2 3" xfId="18444"/>
    <cellStyle name="Calculation 8 2 3 2" xfId="18443"/>
    <cellStyle name="Calculation 8 2 4" xfId="18442"/>
    <cellStyle name="Calculation 8 3" xfId="18441"/>
    <cellStyle name="Calculation 8 3 2" xfId="18440"/>
    <cellStyle name="Calculation 8 3 2 2" xfId="18439"/>
    <cellStyle name="Calculation 8 3 3" xfId="18438"/>
    <cellStyle name="Calculation 8 4" xfId="18437"/>
    <cellStyle name="Calculation 8 4 2" xfId="18436"/>
    <cellStyle name="Calculation 8 5" xfId="18435"/>
    <cellStyle name="Calculation 9" xfId="18434"/>
    <cellStyle name="Cálculo" xfId="18433"/>
    <cellStyle name="category" xfId="18432"/>
    <cellStyle name="Celda de comprobación" xfId="18431"/>
    <cellStyle name="Celda vinculada" xfId="18430"/>
    <cellStyle name="Check Cell 2" xfId="18429"/>
    <cellStyle name="Check Cell 2 2" xfId="18428"/>
    <cellStyle name="Check Cell 2 2 2" xfId="18427"/>
    <cellStyle name="Check Cell 2 2 2 2" xfId="18426"/>
    <cellStyle name="Check Cell 2 2 2 2 2" xfId="18425"/>
    <cellStyle name="Check Cell 2 2 3" xfId="18424"/>
    <cellStyle name="Check Cell 2 2 3 2" xfId="18423"/>
    <cellStyle name="Check Cell 2 2 3 2 2" xfId="18422"/>
    <cellStyle name="Check Cell 2 2 4" xfId="18421"/>
    <cellStyle name="Check Cell 2 2 4 2" xfId="18420"/>
    <cellStyle name="Check Cell 2 2 4 2 2" xfId="18419"/>
    <cellStyle name="Check Cell 2 2 5" xfId="18418"/>
    <cellStyle name="Check Cell 2 2 5 2" xfId="18417"/>
    <cellStyle name="Check Cell 2 3" xfId="18416"/>
    <cellStyle name="Check Cell 2 3 2" xfId="18415"/>
    <cellStyle name="Check Cell 2 3 2 2" xfId="18414"/>
    <cellStyle name="Check Cell 2 4" xfId="18413"/>
    <cellStyle name="Check Cell 2 4 2" xfId="18412"/>
    <cellStyle name="Check Cell 3" xfId="18411"/>
    <cellStyle name="Check Cell 3 2" xfId="18410"/>
    <cellStyle name="Check Cell 3 2 2" xfId="18409"/>
    <cellStyle name="Check Cell 3 2 2 2" xfId="18408"/>
    <cellStyle name="Check Cell 3 3" xfId="18407"/>
    <cellStyle name="Check Cell 3 3 2" xfId="18406"/>
    <cellStyle name="Check Cell 4" xfId="18405"/>
    <cellStyle name="Check Cell 4 2" xfId="18404"/>
    <cellStyle name="Check Cell 4 2 2" xfId="18403"/>
    <cellStyle name="Check Cell 4 2 2 2" xfId="18402"/>
    <cellStyle name="Check Cell 4 3" xfId="18401"/>
    <cellStyle name="Check Cell 4 3 2" xfId="18400"/>
    <cellStyle name="Check Cell 5" xfId="18399"/>
    <cellStyle name="Check Cell 5 2" xfId="18398"/>
    <cellStyle name="Check Cell 5 2 2" xfId="18397"/>
    <cellStyle name="Check Cell 5 2 2 2" xfId="18396"/>
    <cellStyle name="Check Cell 5 3" xfId="18395"/>
    <cellStyle name="Check Cell 5 3 2" xfId="18394"/>
    <cellStyle name="Check Cell 6" xfId="18393"/>
    <cellStyle name="Check Cell 6 2" xfId="18392"/>
    <cellStyle name="Check Cell 6 2 2" xfId="18391"/>
    <cellStyle name="Check Cell 6 2 2 2" xfId="18390"/>
    <cellStyle name="Check Cell 6 3" xfId="18389"/>
    <cellStyle name="Check Cell 6 3 2" xfId="18388"/>
    <cellStyle name="Check Cell 7" xfId="18387"/>
    <cellStyle name="Check Cell 7 2" xfId="18386"/>
    <cellStyle name="Check Cell 7 2 2" xfId="18385"/>
    <cellStyle name="Check Cell 7 2 2 2" xfId="18384"/>
    <cellStyle name="Check Cell 7 3" xfId="18383"/>
    <cellStyle name="Check Cell 7 3 2" xfId="18382"/>
    <cellStyle name="Check Cell 8" xfId="18381"/>
    <cellStyle name="Check Cell 8 2" xfId="18380"/>
    <cellStyle name="Check Cell 8 2 2" xfId="18379"/>
    <cellStyle name="Check Cell 8 2 2 2" xfId="18378"/>
    <cellStyle name="Check Cell 8 3" xfId="18377"/>
    <cellStyle name="Check Cell 8 3 2" xfId="18376"/>
    <cellStyle name="Check Cell 9" xfId="18375"/>
    <cellStyle name="CIAIÆU¸μAⓒ" xfId="18374"/>
    <cellStyle name="coba" xfId="18373"/>
    <cellStyle name="coba 10" xfId="18372"/>
    <cellStyle name="coba 2" xfId="18371"/>
    <cellStyle name="coba 2 2" xfId="18370"/>
    <cellStyle name="coba 2 3" xfId="18369"/>
    <cellStyle name="coba 3" xfId="18368"/>
    <cellStyle name="coba 3 2" xfId="18367"/>
    <cellStyle name="coba 3 3" xfId="18366"/>
    <cellStyle name="coba 4" xfId="18365"/>
    <cellStyle name="coba 4 2" xfId="18364"/>
    <cellStyle name="coba 4 3" xfId="18363"/>
    <cellStyle name="coba 5" xfId="18362"/>
    <cellStyle name="coba 5 2" xfId="18361"/>
    <cellStyle name="coba 5 3" xfId="18360"/>
    <cellStyle name="coba 6" xfId="18359"/>
    <cellStyle name="coba 6 2" xfId="18358"/>
    <cellStyle name="coba 6 3" xfId="18357"/>
    <cellStyle name="coba 7" xfId="18356"/>
    <cellStyle name="coba 7 2" xfId="18355"/>
    <cellStyle name="coba 7 3" xfId="18354"/>
    <cellStyle name="coba 8" xfId="18353"/>
    <cellStyle name="coba 8 2" xfId="18352"/>
    <cellStyle name="coba 8 3" xfId="18351"/>
    <cellStyle name="coba 9" xfId="18350"/>
    <cellStyle name="coba2" xfId="18349"/>
    <cellStyle name="coba2 10" xfId="18348"/>
    <cellStyle name="coba2 2" xfId="18347"/>
    <cellStyle name="coba2 2 2" xfId="18346"/>
    <cellStyle name="coba2 2 3" xfId="18345"/>
    <cellStyle name="coba2 3" xfId="18344"/>
    <cellStyle name="coba2 3 2" xfId="18343"/>
    <cellStyle name="coba2 3 3" xfId="18342"/>
    <cellStyle name="coba2 4" xfId="18341"/>
    <cellStyle name="coba2 4 2" xfId="18340"/>
    <cellStyle name="coba2 4 3" xfId="18339"/>
    <cellStyle name="coba2 5" xfId="18338"/>
    <cellStyle name="coba2 5 2" xfId="18337"/>
    <cellStyle name="coba2 5 3" xfId="18336"/>
    <cellStyle name="coba2 6" xfId="18335"/>
    <cellStyle name="coba2 6 2" xfId="18334"/>
    <cellStyle name="coba2 6 3" xfId="18333"/>
    <cellStyle name="coba2 7" xfId="18332"/>
    <cellStyle name="coba2 7 2" xfId="18331"/>
    <cellStyle name="coba2 7 3" xfId="18330"/>
    <cellStyle name="coba2 8" xfId="18329"/>
    <cellStyle name="coba2 8 2" xfId="18328"/>
    <cellStyle name="coba2 8 3" xfId="18327"/>
    <cellStyle name="coba2 9" xfId="18326"/>
    <cellStyle name="Comma" xfId="26365" builtinId="3"/>
    <cellStyle name="Comma  - Style1" xfId="18325"/>
    <cellStyle name="Comma  - Style1 2" xfId="18324"/>
    <cellStyle name="Comma  - Style2" xfId="18323"/>
    <cellStyle name="Comma  - Style2 2" xfId="18322"/>
    <cellStyle name="Comma  - Style3" xfId="18321"/>
    <cellStyle name="Comma  - Style3 2" xfId="18320"/>
    <cellStyle name="Comma  - Style4" xfId="18319"/>
    <cellStyle name="Comma  - Style4 2" xfId="18318"/>
    <cellStyle name="Comma  - Style5" xfId="18317"/>
    <cellStyle name="Comma  - Style5 2" xfId="18316"/>
    <cellStyle name="Comma  - Style6" xfId="18315"/>
    <cellStyle name="Comma  - Style6 2" xfId="18314"/>
    <cellStyle name="Comma  - Style7" xfId="18313"/>
    <cellStyle name="Comma  - Style7 2" xfId="18312"/>
    <cellStyle name="Comma  - Style8" xfId="18311"/>
    <cellStyle name="Comma  - Style8 2" xfId="18310"/>
    <cellStyle name="Comma [0]" xfId="26364" builtinId="6"/>
    <cellStyle name="Comma [0] 10" xfId="18309"/>
    <cellStyle name="Comma [0] 10 2" xfId="18308"/>
    <cellStyle name="Comma [0] 10 3" xfId="18307"/>
    <cellStyle name="Comma [0] 10 3 2" xfId="18306"/>
    <cellStyle name="Comma [0] 10 3 2 2" xfId="18305"/>
    <cellStyle name="Comma [0] 10 3 3" xfId="18304"/>
    <cellStyle name="Comma [0] 10 4" xfId="18303"/>
    <cellStyle name="Comma [0] 10 4 2" xfId="18302"/>
    <cellStyle name="Comma [0] 10 4 2 2" xfId="18301"/>
    <cellStyle name="Comma [0] 10 5" xfId="18300"/>
    <cellStyle name="Comma [0] 11" xfId="18299"/>
    <cellStyle name="Comma [0] 11 2" xfId="18298"/>
    <cellStyle name="Comma [0] 11 2 2" xfId="18297"/>
    <cellStyle name="Comma [0] 11 2 3" xfId="18296"/>
    <cellStyle name="Comma [0] 11 3" xfId="18295"/>
    <cellStyle name="Comma [0] 11 4" xfId="18294"/>
    <cellStyle name="Comma [0] 12" xfId="18293"/>
    <cellStyle name="Comma [0] 12 2" xfId="18292"/>
    <cellStyle name="Comma [0] 12 3" xfId="18291"/>
    <cellStyle name="Comma [0] 12 4" xfId="18290"/>
    <cellStyle name="Comma [0] 12 5" xfId="18289"/>
    <cellStyle name="Comma [0] 12 6" xfId="18288"/>
    <cellStyle name="Comma [0] 12 7" xfId="18287"/>
    <cellStyle name="Comma [0] 13" xfId="18286"/>
    <cellStyle name="Comma [0] 13 2" xfId="18285"/>
    <cellStyle name="Comma [0] 14" xfId="18284"/>
    <cellStyle name="Comma [0] 14 2" xfId="18283"/>
    <cellStyle name="Comma [0] 15" xfId="18282"/>
    <cellStyle name="Comma [0] 15 2" xfId="18281"/>
    <cellStyle name="Comma [0] 16" xfId="18280"/>
    <cellStyle name="Comma [0] 16 2" xfId="18279"/>
    <cellStyle name="Comma [0] 17" xfId="18278"/>
    <cellStyle name="Comma [0] 17 2" xfId="18277"/>
    <cellStyle name="Comma [0] 18" xfId="18276"/>
    <cellStyle name="Comma [0] 18 2" xfId="18275"/>
    <cellStyle name="Comma [0] 19" xfId="18274"/>
    <cellStyle name="Comma [0] 19 2" xfId="18273"/>
    <cellStyle name="Comma [0] 19 2 2" xfId="18272"/>
    <cellStyle name="Comma [0] 19 3" xfId="18271"/>
    <cellStyle name="Comma [0] 2" xfId="18270"/>
    <cellStyle name="Comma [0] 2 10" xfId="18269"/>
    <cellStyle name="Comma [0] 2 11" xfId="18268"/>
    <cellStyle name="Comma [0] 2 12" xfId="18267"/>
    <cellStyle name="Comma [0] 2 13" xfId="18266"/>
    <cellStyle name="Comma [0] 2 14" xfId="18265"/>
    <cellStyle name="Comma [0] 2 17" xfId="18264"/>
    <cellStyle name="Comma [0] 2 2" xfId="18263"/>
    <cellStyle name="Comma [0] 2 2 10" xfId="18262"/>
    <cellStyle name="Comma [0] 2 2 11" xfId="18261"/>
    <cellStyle name="Comma [0] 2 2 12" xfId="18260"/>
    <cellStyle name="Comma [0] 2 2 13" xfId="18259"/>
    <cellStyle name="Comma [0] 2 2 14" xfId="18258"/>
    <cellStyle name="Comma [0] 2 2 15" xfId="18257"/>
    <cellStyle name="Comma [0] 2 2 16" xfId="18256"/>
    <cellStyle name="Comma [0] 2 2 17" xfId="18255"/>
    <cellStyle name="Comma [0] 2 2 18" xfId="18254"/>
    <cellStyle name="Comma [0] 2 2 19" xfId="18253"/>
    <cellStyle name="Comma [0] 2 2 2" xfId="18252"/>
    <cellStyle name="Comma [0] 2 2 2 10" xfId="18251"/>
    <cellStyle name="Comma [0] 2 2 2 11" xfId="18250"/>
    <cellStyle name="Comma [0] 2 2 2 12" xfId="18249"/>
    <cellStyle name="Comma [0] 2 2 2 13" xfId="18248"/>
    <cellStyle name="Comma [0] 2 2 2 14" xfId="18247"/>
    <cellStyle name="Comma [0] 2 2 2 15" xfId="18246"/>
    <cellStyle name="Comma [0] 2 2 2 16" xfId="18245"/>
    <cellStyle name="Comma [0] 2 2 2 17" xfId="18244"/>
    <cellStyle name="Comma [0] 2 2 2 18" xfId="18243"/>
    <cellStyle name="Comma [0] 2 2 2 19" xfId="18242"/>
    <cellStyle name="Comma [0] 2 2 2 2" xfId="18241"/>
    <cellStyle name="Comma [0] 2 2 2 2 2" xfId="18240"/>
    <cellStyle name="Comma [0] 2 2 2 2 3" xfId="18239"/>
    <cellStyle name="Comma [0] 2 2 2 2 4" xfId="18238"/>
    <cellStyle name="Comma [0] 2 2 2 20" xfId="18237"/>
    <cellStyle name="Comma [0] 2 2 2 21" xfId="18236"/>
    <cellStyle name="Comma [0] 2 2 2 22" xfId="18235"/>
    <cellStyle name="Comma [0] 2 2 2 23" xfId="18234"/>
    <cellStyle name="Comma [0] 2 2 2 24" xfId="18233"/>
    <cellStyle name="Comma [0] 2 2 2 25" xfId="18232"/>
    <cellStyle name="Comma [0] 2 2 2 26" xfId="18231"/>
    <cellStyle name="Comma [0] 2 2 2 27" xfId="18230"/>
    <cellStyle name="Comma [0] 2 2 2 28" xfId="18229"/>
    <cellStyle name="Comma [0] 2 2 2 29" xfId="18228"/>
    <cellStyle name="Comma [0] 2 2 2 3" xfId="18227"/>
    <cellStyle name="Comma [0] 2 2 2 30" xfId="18226"/>
    <cellStyle name="Comma [0] 2 2 2 31" xfId="18225"/>
    <cellStyle name="Comma [0] 2 2 2 32" xfId="18224"/>
    <cellStyle name="Comma [0] 2 2 2 33" xfId="18223"/>
    <cellStyle name="Comma [0] 2 2 2 34" xfId="18222"/>
    <cellStyle name="Comma [0] 2 2 2 35" xfId="18221"/>
    <cellStyle name="Comma [0] 2 2 2 36" xfId="18220"/>
    <cellStyle name="Comma [0] 2 2 2 37" xfId="18219"/>
    <cellStyle name="Comma [0] 2 2 2 38" xfId="18218"/>
    <cellStyle name="Comma [0] 2 2 2 39" xfId="18217"/>
    <cellStyle name="Comma [0] 2 2 2 4" xfId="18216"/>
    <cellStyle name="Comma [0] 2 2 2 40" xfId="18215"/>
    <cellStyle name="Comma [0] 2 2 2 41" xfId="18214"/>
    <cellStyle name="Comma [0] 2 2 2 42" xfId="18213"/>
    <cellStyle name="Comma [0] 2 2 2 5" xfId="18212"/>
    <cellStyle name="Comma [0] 2 2 2 6" xfId="18211"/>
    <cellStyle name="Comma [0] 2 2 2 7" xfId="18210"/>
    <cellStyle name="Comma [0] 2 2 2 8" xfId="18209"/>
    <cellStyle name="Comma [0] 2 2 2 9" xfId="18208"/>
    <cellStyle name="Comma [0] 2 2 20" xfId="18207"/>
    <cellStyle name="Comma [0] 2 2 21" xfId="18206"/>
    <cellStyle name="Comma [0] 2 2 22" xfId="18205"/>
    <cellStyle name="Comma [0] 2 2 23" xfId="18204"/>
    <cellStyle name="Comma [0] 2 2 24" xfId="18203"/>
    <cellStyle name="Comma [0] 2 2 25" xfId="18202"/>
    <cellStyle name="Comma [0] 2 2 26" xfId="18201"/>
    <cellStyle name="Comma [0] 2 2 27" xfId="18200"/>
    <cellStyle name="Comma [0] 2 2 28" xfId="18199"/>
    <cellStyle name="Comma [0] 2 2 29" xfId="18198"/>
    <cellStyle name="Comma [0] 2 2 3" xfId="18197"/>
    <cellStyle name="Comma [0] 2 2 3 2" xfId="18196"/>
    <cellStyle name="Comma [0] 2 2 3 3" xfId="18195"/>
    <cellStyle name="Comma [0] 2 2 4" xfId="18194"/>
    <cellStyle name="Comma [0] 2 2 5" xfId="18193"/>
    <cellStyle name="Comma [0] 2 2 6" xfId="18192"/>
    <cellStyle name="Comma [0] 2 2 7" xfId="18191"/>
    <cellStyle name="Comma [0] 2 2 8" xfId="18190"/>
    <cellStyle name="Comma [0] 2 2 9" xfId="18189"/>
    <cellStyle name="Comma [0] 2 2_Analisa Harga Satuan RAB" xfId="18188"/>
    <cellStyle name="Comma [0] 2 3" xfId="18187"/>
    <cellStyle name="Comma [0] 2 3 10" xfId="18186"/>
    <cellStyle name="Comma [0] 2 3 11" xfId="18185"/>
    <cellStyle name="Comma [0] 2 3 12" xfId="18184"/>
    <cellStyle name="Comma [0] 2 3 13" xfId="18183"/>
    <cellStyle name="Comma [0] 2 3 14" xfId="18182"/>
    <cellStyle name="Comma [0] 2 3 15" xfId="18181"/>
    <cellStyle name="Comma [0] 2 3 16" xfId="18180"/>
    <cellStyle name="Comma [0] 2 3 17" xfId="18179"/>
    <cellStyle name="Comma [0] 2 3 18" xfId="18178"/>
    <cellStyle name="Comma [0] 2 3 19" xfId="18177"/>
    <cellStyle name="Comma [0] 2 3 2" xfId="18176"/>
    <cellStyle name="Comma [0] 2 3 2 2" xfId="18175"/>
    <cellStyle name="Comma [0] 2 3 2 3" xfId="18174"/>
    <cellStyle name="Comma [0] 2 3 20" xfId="18173"/>
    <cellStyle name="Comma [0] 2 3 21" xfId="18172"/>
    <cellStyle name="Comma [0] 2 3 22" xfId="18171"/>
    <cellStyle name="Comma [0] 2 3 23" xfId="18170"/>
    <cellStyle name="Comma [0] 2 3 24" xfId="18169"/>
    <cellStyle name="Comma [0] 2 3 25" xfId="18168"/>
    <cellStyle name="Comma [0] 2 3 26" xfId="18167"/>
    <cellStyle name="Comma [0] 2 3 27" xfId="18166"/>
    <cellStyle name="Comma [0] 2 3 28" xfId="18165"/>
    <cellStyle name="Comma [0] 2 3 29" xfId="18164"/>
    <cellStyle name="Comma [0] 2 3 3" xfId="18163"/>
    <cellStyle name="Comma [0] 2 3 30" xfId="18162"/>
    <cellStyle name="Comma [0] 2 3 4" xfId="18161"/>
    <cellStyle name="Comma [0] 2 3 5" xfId="18160"/>
    <cellStyle name="Comma [0] 2 3 6" xfId="18159"/>
    <cellStyle name="Comma [0] 2 3 7" xfId="18158"/>
    <cellStyle name="Comma [0] 2 3 8" xfId="18157"/>
    <cellStyle name="Comma [0] 2 3 9" xfId="18156"/>
    <cellStyle name="Comma [0] 2 4" xfId="18155"/>
    <cellStyle name="Comma [0] 2 4 2" xfId="18154"/>
    <cellStyle name="Comma [0] 2 4 3" xfId="18153"/>
    <cellStyle name="Comma [0] 2 4 4" xfId="18152"/>
    <cellStyle name="Comma [0] 2 5" xfId="18151"/>
    <cellStyle name="Comma [0] 2 5 2" xfId="18150"/>
    <cellStyle name="Comma [0] 2 5 3" xfId="18149"/>
    <cellStyle name="Comma [0] 2 6" xfId="18148"/>
    <cellStyle name="Comma [0] 2 6 2" xfId="18147"/>
    <cellStyle name="Comma [0] 2 7" xfId="18146"/>
    <cellStyle name="Comma [0] 2 8" xfId="18145"/>
    <cellStyle name="Comma [0] 2 9" xfId="18144"/>
    <cellStyle name="Comma [0] 2_APP Namu Sira-sira (Rev 9) utk APP ke  Pusat" xfId="18143"/>
    <cellStyle name="Comma [0] 20" xfId="18142"/>
    <cellStyle name="Comma [0] 21" xfId="18141"/>
    <cellStyle name="Comma [0] 21 2" xfId="18140"/>
    <cellStyle name="Comma [0] 22" xfId="18139"/>
    <cellStyle name="Comma [0] 22 2" xfId="18138"/>
    <cellStyle name="Comma [0] 23" xfId="18137"/>
    <cellStyle name="Comma [0] 23 2" xfId="18136"/>
    <cellStyle name="Comma [0] 24" xfId="18135"/>
    <cellStyle name="Comma [0] 25" xfId="18134"/>
    <cellStyle name="Comma [0] 26" xfId="18133"/>
    <cellStyle name="Comma [0] 27" xfId="18132"/>
    <cellStyle name="Comma [0] 28" xfId="18131"/>
    <cellStyle name="Comma [0] 29" xfId="18130"/>
    <cellStyle name="Comma [0] 29 2" xfId="18129"/>
    <cellStyle name="Comma [0] 3" xfId="18128"/>
    <cellStyle name="Comma [0] 3 10" xfId="18127"/>
    <cellStyle name="Comma [0] 3 11" xfId="18126"/>
    <cellStyle name="Comma [0] 3 12" xfId="18125"/>
    <cellStyle name="Comma [0] 3 13" xfId="18124"/>
    <cellStyle name="Comma [0] 3 14" xfId="18123"/>
    <cellStyle name="Comma [0] 3 15" xfId="18122"/>
    <cellStyle name="Comma [0] 3 16" xfId="18121"/>
    <cellStyle name="Comma [0] 3 17" xfId="18120"/>
    <cellStyle name="Comma [0] 3 18" xfId="18119"/>
    <cellStyle name="Comma [0] 3 19" xfId="18118"/>
    <cellStyle name="Comma [0] 3 2" xfId="18117"/>
    <cellStyle name="Comma [0] 3 2 2" xfId="18116"/>
    <cellStyle name="Comma [0] 3 2 2 2" xfId="18115"/>
    <cellStyle name="Comma [0] 3 2 3" xfId="18114"/>
    <cellStyle name="Comma [0] 3 2 4" xfId="18113"/>
    <cellStyle name="Comma [0] 3 2 5" xfId="18112"/>
    <cellStyle name="Comma [0] 3 2 6" xfId="18111"/>
    <cellStyle name="Comma [0] 3 20" xfId="18110"/>
    <cellStyle name="Comma [0] 3 21" xfId="18109"/>
    <cellStyle name="Comma [0] 3 22" xfId="18108"/>
    <cellStyle name="Comma [0] 3 23" xfId="18107"/>
    <cellStyle name="Comma [0] 3 24" xfId="18106"/>
    <cellStyle name="Comma [0] 3 25" xfId="18105"/>
    <cellStyle name="Comma [0] 3 26" xfId="18104"/>
    <cellStyle name="Comma [0] 3 27" xfId="18103"/>
    <cellStyle name="Comma [0] 3 28" xfId="18102"/>
    <cellStyle name="Comma [0] 3 29" xfId="18101"/>
    <cellStyle name="Comma [0] 3 3" xfId="18100"/>
    <cellStyle name="Comma [0] 3 3 2" xfId="18099"/>
    <cellStyle name="Comma [0] 3 3 3" xfId="18098"/>
    <cellStyle name="Comma [0] 3 3 4" xfId="18097"/>
    <cellStyle name="Comma [0] 3 30" xfId="18096"/>
    <cellStyle name="Comma [0] 3 31" xfId="18095"/>
    <cellStyle name="Comma [0] 3 32" xfId="18094"/>
    <cellStyle name="Comma [0] 3 33" xfId="18093"/>
    <cellStyle name="Comma [0] 3 34" xfId="18092"/>
    <cellStyle name="Comma [0] 3 35" xfId="18091"/>
    <cellStyle name="Comma [0] 3 36" xfId="18090"/>
    <cellStyle name="Comma [0] 3 37" xfId="18089"/>
    <cellStyle name="Comma [0] 3 38" xfId="18088"/>
    <cellStyle name="Comma [0] 3 39" xfId="18087"/>
    <cellStyle name="Comma [0] 3 4" xfId="18086"/>
    <cellStyle name="Comma [0] 3 4 10" xfId="18085"/>
    <cellStyle name="Comma [0] 3 4 11" xfId="18084"/>
    <cellStyle name="Comma [0] 3 4 12" xfId="18083"/>
    <cellStyle name="Comma [0] 3 4 13" xfId="18082"/>
    <cellStyle name="Comma [0] 3 4 14" xfId="18081"/>
    <cellStyle name="Comma [0] 3 4 15" xfId="18080"/>
    <cellStyle name="Comma [0] 3 4 2" xfId="18079"/>
    <cellStyle name="Comma [0] 3 4 3" xfId="18078"/>
    <cellStyle name="Comma [0] 3 4 4" xfId="18077"/>
    <cellStyle name="Comma [0] 3 4 5" xfId="18076"/>
    <cellStyle name="Comma [0] 3 4 6" xfId="18075"/>
    <cellStyle name="Comma [0] 3 4 7" xfId="18074"/>
    <cellStyle name="Comma [0] 3 4 8" xfId="18073"/>
    <cellStyle name="Comma [0] 3 4 9" xfId="18072"/>
    <cellStyle name="Comma [0] 3 40" xfId="18071"/>
    <cellStyle name="Comma [0] 3 41" xfId="18070"/>
    <cellStyle name="Comma [0] 3 42" xfId="18069"/>
    <cellStyle name="Comma [0] 3 43" xfId="18068"/>
    <cellStyle name="Comma [0] 3 44" xfId="18067"/>
    <cellStyle name="Comma [0] 3 45" xfId="18066"/>
    <cellStyle name="Comma [0] 3 45 2" xfId="18065"/>
    <cellStyle name="Comma [0] 3 46" xfId="18064"/>
    <cellStyle name="Comma [0] 3 47" xfId="18063"/>
    <cellStyle name="Comma [0] 3 5" xfId="18062"/>
    <cellStyle name="Comma [0] 3 5 10" xfId="18061"/>
    <cellStyle name="Comma [0] 3 5 11" xfId="18060"/>
    <cellStyle name="Comma [0] 3 5 12" xfId="18059"/>
    <cellStyle name="Comma [0] 3 5 13" xfId="18058"/>
    <cellStyle name="Comma [0] 3 5 14" xfId="18057"/>
    <cellStyle name="Comma [0] 3 5 2" xfId="18056"/>
    <cellStyle name="Comma [0] 3 5 3" xfId="18055"/>
    <cellStyle name="Comma [0] 3 5 4" xfId="18054"/>
    <cellStyle name="Comma [0] 3 5 5" xfId="18053"/>
    <cellStyle name="Comma [0] 3 5 6" xfId="18052"/>
    <cellStyle name="Comma [0] 3 5 7" xfId="18051"/>
    <cellStyle name="Comma [0] 3 5 8" xfId="18050"/>
    <cellStyle name="Comma [0] 3 5 9" xfId="18049"/>
    <cellStyle name="Comma [0] 3 6" xfId="18048"/>
    <cellStyle name="Comma [0] 3 7" xfId="18047"/>
    <cellStyle name="Comma [0] 3 8" xfId="18046"/>
    <cellStyle name="Comma [0] 3 9" xfId="18045"/>
    <cellStyle name="Comma [0] 3_Analisa Harga Satuan RAB" xfId="18044"/>
    <cellStyle name="Comma [0] 30" xfId="18043"/>
    <cellStyle name="Comma [0] 30 2" xfId="18042"/>
    <cellStyle name="Comma [0] 31" xfId="18041"/>
    <cellStyle name="Comma [0] 32" xfId="18040"/>
    <cellStyle name="Comma [0] 33" xfId="18039"/>
    <cellStyle name="Comma [0] 34" xfId="18038"/>
    <cellStyle name="Comma [0] 34 2" xfId="18037"/>
    <cellStyle name="Comma [0] 34 3" xfId="18036"/>
    <cellStyle name="Comma [0] 35" xfId="18035"/>
    <cellStyle name="Comma [0] 36" xfId="18034"/>
    <cellStyle name="Comma [0] 37" xfId="18033"/>
    <cellStyle name="Comma [0] 38" xfId="18032"/>
    <cellStyle name="Comma [0] 39" xfId="18031"/>
    <cellStyle name="Comma [0] 4" xfId="18030"/>
    <cellStyle name="Comma [0] 4 10" xfId="18029"/>
    <cellStyle name="Comma [0] 4 11" xfId="18028"/>
    <cellStyle name="Comma [0] 4 12" xfId="18027"/>
    <cellStyle name="Comma [0] 4 13" xfId="18026"/>
    <cellStyle name="Comma [0] 4 14" xfId="18025"/>
    <cellStyle name="Comma [0] 4 15" xfId="18024"/>
    <cellStyle name="Comma [0] 4 16" xfId="18023"/>
    <cellStyle name="Comma [0] 4 17" xfId="18022"/>
    <cellStyle name="Comma [0] 4 18" xfId="18021"/>
    <cellStyle name="Comma [0] 4 19" xfId="18020"/>
    <cellStyle name="Comma [0] 4 2" xfId="18019"/>
    <cellStyle name="Comma [0] 4 2 10" xfId="18018"/>
    <cellStyle name="Comma [0] 4 2 10 2" xfId="18017"/>
    <cellStyle name="Comma [0] 4 2 11" xfId="18016"/>
    <cellStyle name="Comma [0] 4 2 11 2" xfId="18015"/>
    <cellStyle name="Comma [0] 4 2 12" xfId="18014"/>
    <cellStyle name="Comma [0] 4 2 12 2" xfId="18013"/>
    <cellStyle name="Comma [0] 4 2 13" xfId="18012"/>
    <cellStyle name="Comma [0] 4 2 13 2" xfId="18011"/>
    <cellStyle name="Comma [0] 4 2 14" xfId="18010"/>
    <cellStyle name="Comma [0] 4 2 14 2" xfId="18009"/>
    <cellStyle name="Comma [0] 4 2 15" xfId="18008"/>
    <cellStyle name="Comma [0] 4 2 16" xfId="18007"/>
    <cellStyle name="Comma [0] 4 2 17" xfId="18006"/>
    <cellStyle name="Comma [0] 4 2 18" xfId="18005"/>
    <cellStyle name="Comma [0] 4 2 19" xfId="18004"/>
    <cellStyle name="Comma [0] 4 2 2" xfId="18003"/>
    <cellStyle name="Comma [0] 4 2 2 2" xfId="18002"/>
    <cellStyle name="Comma [0] 4 2 20" xfId="18001"/>
    <cellStyle name="Comma [0] 4 2 21" xfId="18000"/>
    <cellStyle name="Comma [0] 4 2 22" xfId="17999"/>
    <cellStyle name="Comma [0] 4 2 23" xfId="17998"/>
    <cellStyle name="Comma [0] 4 2 24" xfId="17997"/>
    <cellStyle name="Comma [0] 4 2 25" xfId="17996"/>
    <cellStyle name="Comma [0] 4 2 26" xfId="17995"/>
    <cellStyle name="Comma [0] 4 2 27" xfId="17994"/>
    <cellStyle name="Comma [0] 4 2 28" xfId="17993"/>
    <cellStyle name="Comma [0] 4 2 29" xfId="17992"/>
    <cellStyle name="Comma [0] 4 2 3" xfId="17991"/>
    <cellStyle name="Comma [0] 4 2 3 2" xfId="17990"/>
    <cellStyle name="Comma [0] 4 2 30" xfId="17989"/>
    <cellStyle name="Comma [0] 4 2 31" xfId="17988"/>
    <cellStyle name="Comma [0] 4 2 32" xfId="17987"/>
    <cellStyle name="Comma [0] 4 2 33" xfId="17986"/>
    <cellStyle name="Comma [0] 4 2 34" xfId="17985"/>
    <cellStyle name="Comma [0] 4 2 35" xfId="17984"/>
    <cellStyle name="Comma [0] 4 2 36" xfId="17983"/>
    <cellStyle name="Comma [0] 4 2 37" xfId="17982"/>
    <cellStyle name="Comma [0] 4 2 38" xfId="17981"/>
    <cellStyle name="Comma [0] 4 2 39" xfId="17980"/>
    <cellStyle name="Comma [0] 4 2 4" xfId="17979"/>
    <cellStyle name="Comma [0] 4 2 4 2" xfId="17978"/>
    <cellStyle name="Comma [0] 4 2 40" xfId="17977"/>
    <cellStyle name="Comma [0] 4 2 41" xfId="17976"/>
    <cellStyle name="Comma [0] 4 2 42" xfId="17975"/>
    <cellStyle name="Comma [0] 4 2 5" xfId="17974"/>
    <cellStyle name="Comma [0] 4 2 5 2" xfId="17973"/>
    <cellStyle name="Comma [0] 4 2 6" xfId="17972"/>
    <cellStyle name="Comma [0] 4 2 6 2" xfId="17971"/>
    <cellStyle name="Comma [0] 4 2 7" xfId="17970"/>
    <cellStyle name="Comma [0] 4 2 7 2" xfId="17969"/>
    <cellStyle name="Comma [0] 4 2 8" xfId="17968"/>
    <cellStyle name="Comma [0] 4 2 8 2" xfId="17967"/>
    <cellStyle name="Comma [0] 4 2 9" xfId="17966"/>
    <cellStyle name="Comma [0] 4 2 9 2" xfId="17965"/>
    <cellStyle name="Comma [0] 4 20" xfId="17964"/>
    <cellStyle name="Comma [0] 4 21" xfId="17963"/>
    <cellStyle name="Comma [0] 4 22" xfId="17962"/>
    <cellStyle name="Comma [0] 4 22 2" xfId="17961"/>
    <cellStyle name="Comma [0] 4 23" xfId="17960"/>
    <cellStyle name="Comma [0] 4 3" xfId="17959"/>
    <cellStyle name="Comma [0] 4 3 10" xfId="17958"/>
    <cellStyle name="Comma [0] 4 3 11" xfId="17957"/>
    <cellStyle name="Comma [0] 4 3 12" xfId="17956"/>
    <cellStyle name="Comma [0] 4 3 13" xfId="17955"/>
    <cellStyle name="Comma [0] 4 3 14" xfId="17954"/>
    <cellStyle name="Comma [0] 4 3 2" xfId="17953"/>
    <cellStyle name="Comma [0] 4 3 3" xfId="17952"/>
    <cellStyle name="Comma [0] 4 3 4" xfId="17951"/>
    <cellStyle name="Comma [0] 4 3 5" xfId="17950"/>
    <cellStyle name="Comma [0] 4 3 6" xfId="17949"/>
    <cellStyle name="Comma [0] 4 3 7" xfId="17948"/>
    <cellStyle name="Comma [0] 4 3 8" xfId="17947"/>
    <cellStyle name="Comma [0] 4 3 9" xfId="17946"/>
    <cellStyle name="Comma [0] 4 4" xfId="17945"/>
    <cellStyle name="Comma [0] 4 5" xfId="17944"/>
    <cellStyle name="Comma [0] 4 6" xfId="17943"/>
    <cellStyle name="Comma [0] 4 7" xfId="17942"/>
    <cellStyle name="Comma [0] 4 8" xfId="17941"/>
    <cellStyle name="Comma [0] 4 9" xfId="17940"/>
    <cellStyle name="Comma [0] 40" xfId="17939"/>
    <cellStyle name="Comma [0] 41" xfId="17938"/>
    <cellStyle name="Comma [0] 42" xfId="17937"/>
    <cellStyle name="Comma [0] 43" xfId="17936"/>
    <cellStyle name="Comma [0] 44" xfId="17935"/>
    <cellStyle name="Comma [0] 5" xfId="17934"/>
    <cellStyle name="Comma [0] 5 10" xfId="17933"/>
    <cellStyle name="Comma [0] 5 11" xfId="17932"/>
    <cellStyle name="Comma [0] 5 12" xfId="17931"/>
    <cellStyle name="Comma [0] 5 13" xfId="17930"/>
    <cellStyle name="Comma [0] 5 14" xfId="17929"/>
    <cellStyle name="Comma [0] 5 15" xfId="17928"/>
    <cellStyle name="Comma [0] 5 16" xfId="17927"/>
    <cellStyle name="Comma [0] 5 17" xfId="17926"/>
    <cellStyle name="Comma [0] 5 18" xfId="17925"/>
    <cellStyle name="Comma [0] 5 19" xfId="17924"/>
    <cellStyle name="Comma [0] 5 2" xfId="17923"/>
    <cellStyle name="Comma [0] 5 2 10" xfId="17922"/>
    <cellStyle name="Comma [0] 5 2 11" xfId="17921"/>
    <cellStyle name="Comma [0] 5 2 12" xfId="17920"/>
    <cellStyle name="Comma [0] 5 2 13" xfId="17919"/>
    <cellStyle name="Comma [0] 5 2 14" xfId="17918"/>
    <cellStyle name="Comma [0] 5 2 15" xfId="17917"/>
    <cellStyle name="Comma [0] 5 2 2" xfId="17916"/>
    <cellStyle name="Comma [0] 5 2 2 2" xfId="17915"/>
    <cellStyle name="Comma [0] 5 2 3" xfId="17914"/>
    <cellStyle name="Comma [0] 5 2 4" xfId="17913"/>
    <cellStyle name="Comma [0] 5 2 5" xfId="17912"/>
    <cellStyle name="Comma [0] 5 2 6" xfId="17911"/>
    <cellStyle name="Comma [0] 5 2 7" xfId="17910"/>
    <cellStyle name="Comma [0] 5 2 8" xfId="17909"/>
    <cellStyle name="Comma [0] 5 2 9" xfId="17908"/>
    <cellStyle name="Comma [0] 5 20" xfId="17907"/>
    <cellStyle name="Comma [0] 5 21" xfId="17906"/>
    <cellStyle name="Comma [0] 5 22" xfId="17905"/>
    <cellStyle name="Comma [0] 5 23" xfId="17904"/>
    <cellStyle name="Comma [0] 5 24" xfId="17903"/>
    <cellStyle name="Comma [0] 5 25" xfId="17902"/>
    <cellStyle name="Comma [0] 5 26" xfId="17901"/>
    <cellStyle name="Comma [0] 5 27" xfId="17900"/>
    <cellStyle name="Comma [0] 5 28" xfId="17899"/>
    <cellStyle name="Comma [0] 5 29" xfId="17898"/>
    <cellStyle name="Comma [0] 5 3" xfId="17897"/>
    <cellStyle name="Comma [0] 5 3 2" xfId="17896"/>
    <cellStyle name="Comma [0] 5 3 3" xfId="17895"/>
    <cellStyle name="Comma [0] 5 3 4" xfId="17894"/>
    <cellStyle name="Comma [0] 5 30" xfId="17893"/>
    <cellStyle name="Comma [0] 5 4" xfId="17892"/>
    <cellStyle name="Comma [0] 5 5" xfId="17891"/>
    <cellStyle name="Comma [0] 5 5 2" xfId="17890"/>
    <cellStyle name="Comma [0] 5 6" xfId="17889"/>
    <cellStyle name="Comma [0] 5 7" xfId="17888"/>
    <cellStyle name="Comma [0] 5 8" xfId="17887"/>
    <cellStyle name="Comma [0] 5 9" xfId="17886"/>
    <cellStyle name="Comma [0] 5_BQ &amp; An Entrnce &amp; Genset (R-0)" xfId="17885"/>
    <cellStyle name="Comma [0] 6" xfId="17884"/>
    <cellStyle name="Comma [0] 6 10" xfId="17883"/>
    <cellStyle name="Comma [0] 6 11" xfId="17882"/>
    <cellStyle name="Comma [0] 6 12" xfId="17881"/>
    <cellStyle name="Comma [0] 6 13" xfId="17880"/>
    <cellStyle name="Comma [0] 6 14" xfId="17879"/>
    <cellStyle name="Comma [0] 6 15" xfId="17878"/>
    <cellStyle name="Comma [0] 6 2" xfId="17877"/>
    <cellStyle name="Comma [0] 6 2 2" xfId="17876"/>
    <cellStyle name="Comma [0] 6 2 3" xfId="17875"/>
    <cellStyle name="Comma [0] 6 3" xfId="17874"/>
    <cellStyle name="Comma [0] 6 4" xfId="17873"/>
    <cellStyle name="Comma [0] 6 5" xfId="17872"/>
    <cellStyle name="Comma [0] 6 6" xfId="17871"/>
    <cellStyle name="Comma [0] 6 7" xfId="17870"/>
    <cellStyle name="Comma [0] 6 8" xfId="17869"/>
    <cellStyle name="Comma [0] 6 9" xfId="17868"/>
    <cellStyle name="Comma [0] 7" xfId="17867"/>
    <cellStyle name="Comma [0] 7 10" xfId="17866"/>
    <cellStyle name="Comma [0] 7 11" xfId="17865"/>
    <cellStyle name="Comma [0] 7 12" xfId="17864"/>
    <cellStyle name="Comma [0] 7 13" xfId="17863"/>
    <cellStyle name="Comma [0] 7 14" xfId="17862"/>
    <cellStyle name="Comma [0] 7 15" xfId="17861"/>
    <cellStyle name="Comma [0] 7 15 2" xfId="17860"/>
    <cellStyle name="Comma [0] 7 15 3" xfId="17859"/>
    <cellStyle name="Comma [0] 7 16" xfId="17858"/>
    <cellStyle name="Comma [0] 7 17" xfId="17857"/>
    <cellStyle name="Comma [0] 7 2" xfId="17856"/>
    <cellStyle name="Comma [0] 7 2 2" xfId="17855"/>
    <cellStyle name="Comma [0] 7 2 3" xfId="17854"/>
    <cellStyle name="Comma [0] 7 2 4" xfId="17853"/>
    <cellStyle name="Comma [0] 7 3" xfId="17852"/>
    <cellStyle name="Comma [0] 7 4" xfId="17851"/>
    <cellStyle name="Comma [0] 7 5" xfId="17850"/>
    <cellStyle name="Comma [0] 7 6" xfId="17849"/>
    <cellStyle name="Comma [0] 7 7" xfId="17848"/>
    <cellStyle name="Comma [0] 7 8" xfId="17847"/>
    <cellStyle name="Comma [0] 7 9" xfId="17846"/>
    <cellStyle name="Comma [0] 8" xfId="17845"/>
    <cellStyle name="Comma [0] 8 2" xfId="17844"/>
    <cellStyle name="Comma [0] 8 2 2" xfId="17843"/>
    <cellStyle name="Comma [0] 8 2 3" xfId="17842"/>
    <cellStyle name="Comma [0] 8 2 4" xfId="17841"/>
    <cellStyle name="Comma [0] 8 3" xfId="17840"/>
    <cellStyle name="Comma [0] 8 4" xfId="17839"/>
    <cellStyle name="Comma [0] 8 5" xfId="17838"/>
    <cellStyle name="Comma [0] 8 6" xfId="17837"/>
    <cellStyle name="Comma [0] 9" xfId="17836"/>
    <cellStyle name="Comma [0] 9 2" xfId="17835"/>
    <cellStyle name="Comma [0] 9 2 2" xfId="17834"/>
    <cellStyle name="Comma [0] 9 3" xfId="17833"/>
    <cellStyle name="Comma [0] 9 4" xfId="17832"/>
    <cellStyle name="Comma [0] 9 4 2" xfId="17831"/>
    <cellStyle name="Comma [0] 9 4 3" xfId="17830"/>
    <cellStyle name="Comma [00]" xfId="17829"/>
    <cellStyle name="Comma [00] 2" xfId="17828"/>
    <cellStyle name="Comma [1]" xfId="17827"/>
    <cellStyle name="Comma [2]" xfId="17826"/>
    <cellStyle name="Comma [2] 10" xfId="17825"/>
    <cellStyle name="Comma [2] 10 2" xfId="17824"/>
    <cellStyle name="Comma [2] 10 2 2" xfId="17823"/>
    <cellStyle name="Comma [2] 10 3" xfId="17822"/>
    <cellStyle name="Comma [2] 11" xfId="17821"/>
    <cellStyle name="Comma [2] 11 2" xfId="17820"/>
    <cellStyle name="Comma [2] 11 2 2" xfId="17819"/>
    <cellStyle name="Comma [2] 11 3" xfId="17818"/>
    <cellStyle name="Comma [2] 12" xfId="17817"/>
    <cellStyle name="Comma [2] 12 2" xfId="17816"/>
    <cellStyle name="Comma [2] 13" xfId="17815"/>
    <cellStyle name="Comma [2] 2" xfId="17814"/>
    <cellStyle name="Comma [2] 2 10" xfId="17813"/>
    <cellStyle name="Comma [2] 2 10 2" xfId="17812"/>
    <cellStyle name="Comma [2] 2 11" xfId="17811"/>
    <cellStyle name="Comma [2] 2 2" xfId="17810"/>
    <cellStyle name="Comma [2] 2 2 2" xfId="17809"/>
    <cellStyle name="Comma [2] 2 2 2 2" xfId="17808"/>
    <cellStyle name="Comma [2] 2 2 2 2 2" xfId="17807"/>
    <cellStyle name="Comma [2] 2 2 2 3" xfId="17806"/>
    <cellStyle name="Comma [2] 2 2 3" xfId="17805"/>
    <cellStyle name="Comma [2] 2 2 3 2" xfId="17804"/>
    <cellStyle name="Comma [2] 2 2 3 2 2" xfId="17803"/>
    <cellStyle name="Comma [2] 2 2 3 3" xfId="17802"/>
    <cellStyle name="Comma [2] 2 2 4" xfId="17801"/>
    <cellStyle name="Comma [2] 2 2 4 2" xfId="17800"/>
    <cellStyle name="Comma [2] 2 2 4 2 2" xfId="17799"/>
    <cellStyle name="Comma [2] 2 2 4 3" xfId="17798"/>
    <cellStyle name="Comma [2] 2 2 5" xfId="17797"/>
    <cellStyle name="Comma [2] 2 2 5 2" xfId="17796"/>
    <cellStyle name="Comma [2] 2 2 5 2 2" xfId="17795"/>
    <cellStyle name="Comma [2] 2 2 5 3" xfId="17794"/>
    <cellStyle name="Comma [2] 2 2 6" xfId="17793"/>
    <cellStyle name="Comma [2] 2 2 6 2" xfId="17792"/>
    <cellStyle name="Comma [2] 2 2 6 2 2" xfId="17791"/>
    <cellStyle name="Comma [2] 2 2 6 3" xfId="17790"/>
    <cellStyle name="Comma [2] 2 2 7" xfId="17789"/>
    <cellStyle name="Comma [2] 2 2 7 2" xfId="17788"/>
    <cellStyle name="Comma [2] 2 2 7 2 2" xfId="17787"/>
    <cellStyle name="Comma [2] 2 2 7 3" xfId="17786"/>
    <cellStyle name="Comma [2] 2 2 8" xfId="17785"/>
    <cellStyle name="Comma [2] 2 2 8 2" xfId="17784"/>
    <cellStyle name="Comma [2] 2 2 9" xfId="17783"/>
    <cellStyle name="Comma [2] 2 3" xfId="17782"/>
    <cellStyle name="Comma [2] 2 3 2" xfId="17781"/>
    <cellStyle name="Comma [2] 2 3 2 2" xfId="17780"/>
    <cellStyle name="Comma [2] 2 3 3" xfId="17779"/>
    <cellStyle name="Comma [2] 2 4" xfId="17778"/>
    <cellStyle name="Comma [2] 2 4 2" xfId="17777"/>
    <cellStyle name="Comma [2] 2 4 2 2" xfId="17776"/>
    <cellStyle name="Comma [2] 2 4 3" xfId="17775"/>
    <cellStyle name="Comma [2] 2 5" xfId="17774"/>
    <cellStyle name="Comma [2] 2 5 2" xfId="17773"/>
    <cellStyle name="Comma [2] 2 5 2 2" xfId="17772"/>
    <cellStyle name="Comma [2] 2 5 3" xfId="17771"/>
    <cellStyle name="Comma [2] 2 6" xfId="17770"/>
    <cellStyle name="Comma [2] 2 6 2" xfId="17769"/>
    <cellStyle name="Comma [2] 2 6 2 2" xfId="17768"/>
    <cellStyle name="Comma [2] 2 6 3" xfId="17767"/>
    <cellStyle name="Comma [2] 2 7" xfId="17766"/>
    <cellStyle name="Comma [2] 2 7 2" xfId="17765"/>
    <cellStyle name="Comma [2] 2 7 2 2" xfId="17764"/>
    <cellStyle name="Comma [2] 2 7 3" xfId="17763"/>
    <cellStyle name="Comma [2] 2 8" xfId="17762"/>
    <cellStyle name="Comma [2] 2 8 2" xfId="17761"/>
    <cellStyle name="Comma [2] 2 8 2 2" xfId="17760"/>
    <cellStyle name="Comma [2] 2 8 3" xfId="17759"/>
    <cellStyle name="Comma [2] 2 9" xfId="17758"/>
    <cellStyle name="Comma [2] 2 9 2" xfId="17757"/>
    <cellStyle name="Comma [2] 2 9 2 2" xfId="17756"/>
    <cellStyle name="Comma [2] 2 9 3" xfId="17755"/>
    <cellStyle name="Comma [2] 3" xfId="17754"/>
    <cellStyle name="Comma [2] 3 10" xfId="17753"/>
    <cellStyle name="Comma [2] 3 10 2" xfId="17752"/>
    <cellStyle name="Comma [2] 3 11" xfId="17751"/>
    <cellStyle name="Comma [2] 3 2" xfId="17750"/>
    <cellStyle name="Comma [2] 3 2 2" xfId="17749"/>
    <cellStyle name="Comma [2] 3 2 2 2" xfId="17748"/>
    <cellStyle name="Comma [2] 3 2 2 2 2" xfId="17747"/>
    <cellStyle name="Comma [2] 3 2 2 3" xfId="17746"/>
    <cellStyle name="Comma [2] 3 2 3" xfId="17745"/>
    <cellStyle name="Comma [2] 3 2 3 2" xfId="17744"/>
    <cellStyle name="Comma [2] 3 2 3 2 2" xfId="17743"/>
    <cellStyle name="Comma [2] 3 2 3 3" xfId="17742"/>
    <cellStyle name="Comma [2] 3 2 4" xfId="17741"/>
    <cellStyle name="Comma [2] 3 2 4 2" xfId="17740"/>
    <cellStyle name="Comma [2] 3 2 4 2 2" xfId="17739"/>
    <cellStyle name="Comma [2] 3 2 4 3" xfId="17738"/>
    <cellStyle name="Comma [2] 3 2 5" xfId="17737"/>
    <cellStyle name="Comma [2] 3 2 5 2" xfId="17736"/>
    <cellStyle name="Comma [2] 3 2 5 2 2" xfId="17735"/>
    <cellStyle name="Comma [2] 3 2 5 3" xfId="17734"/>
    <cellStyle name="Comma [2] 3 2 6" xfId="17733"/>
    <cellStyle name="Comma [2] 3 2 6 2" xfId="17732"/>
    <cellStyle name="Comma [2] 3 2 6 2 2" xfId="17731"/>
    <cellStyle name="Comma [2] 3 2 6 3" xfId="17730"/>
    <cellStyle name="Comma [2] 3 2 7" xfId="17729"/>
    <cellStyle name="Comma [2] 3 2 7 2" xfId="17728"/>
    <cellStyle name="Comma [2] 3 2 7 2 2" xfId="17727"/>
    <cellStyle name="Comma [2] 3 2 7 3" xfId="17726"/>
    <cellStyle name="Comma [2] 3 2 8" xfId="17725"/>
    <cellStyle name="Comma [2] 3 2 8 2" xfId="17724"/>
    <cellStyle name="Comma [2] 3 2 9" xfId="17723"/>
    <cellStyle name="Comma [2] 3 3" xfId="17722"/>
    <cellStyle name="Comma [2] 3 3 2" xfId="17721"/>
    <cellStyle name="Comma [2] 3 3 2 2" xfId="17720"/>
    <cellStyle name="Comma [2] 3 3 3" xfId="17719"/>
    <cellStyle name="Comma [2] 3 4" xfId="17718"/>
    <cellStyle name="Comma [2] 3 4 2" xfId="17717"/>
    <cellStyle name="Comma [2] 3 4 2 2" xfId="17716"/>
    <cellStyle name="Comma [2] 3 4 3" xfId="17715"/>
    <cellStyle name="Comma [2] 3 5" xfId="17714"/>
    <cellStyle name="Comma [2] 3 5 2" xfId="17713"/>
    <cellStyle name="Comma [2] 3 5 2 2" xfId="17712"/>
    <cellStyle name="Comma [2] 3 5 3" xfId="17711"/>
    <cellStyle name="Comma [2] 3 6" xfId="17710"/>
    <cellStyle name="Comma [2] 3 6 2" xfId="17709"/>
    <cellStyle name="Comma [2] 3 6 2 2" xfId="17708"/>
    <cellStyle name="Comma [2] 3 6 3" xfId="17707"/>
    <cellStyle name="Comma [2] 3 7" xfId="17706"/>
    <cellStyle name="Comma [2] 3 7 2" xfId="17705"/>
    <cellStyle name="Comma [2] 3 7 2 2" xfId="17704"/>
    <cellStyle name="Comma [2] 3 7 3" xfId="17703"/>
    <cellStyle name="Comma [2] 3 8" xfId="17702"/>
    <cellStyle name="Comma [2] 3 8 2" xfId="17701"/>
    <cellStyle name="Comma [2] 3 8 2 2" xfId="17700"/>
    <cellStyle name="Comma [2] 3 8 3" xfId="17699"/>
    <cellStyle name="Comma [2] 3 9" xfId="17698"/>
    <cellStyle name="Comma [2] 3 9 2" xfId="17697"/>
    <cellStyle name="Comma [2] 3 9 2 2" xfId="17696"/>
    <cellStyle name="Comma [2] 3 9 3" xfId="17695"/>
    <cellStyle name="Comma [2] 4" xfId="17694"/>
    <cellStyle name="Comma [2] 4 2" xfId="17693"/>
    <cellStyle name="Comma [2] 4 2 2" xfId="17692"/>
    <cellStyle name="Comma [2] 4 2 2 2" xfId="17691"/>
    <cellStyle name="Comma [2] 4 2 3" xfId="17690"/>
    <cellStyle name="Comma [2] 4 3" xfId="17689"/>
    <cellStyle name="Comma [2] 4 3 2" xfId="17688"/>
    <cellStyle name="Comma [2] 4 3 2 2" xfId="17687"/>
    <cellStyle name="Comma [2] 4 3 3" xfId="17686"/>
    <cellStyle name="Comma [2] 4 4" xfId="17685"/>
    <cellStyle name="Comma [2] 4 4 2" xfId="17684"/>
    <cellStyle name="Comma [2] 4 4 2 2" xfId="17683"/>
    <cellStyle name="Comma [2] 4 4 3" xfId="17682"/>
    <cellStyle name="Comma [2] 4 5" xfId="17681"/>
    <cellStyle name="Comma [2] 4 5 2" xfId="17680"/>
    <cellStyle name="Comma [2] 4 5 2 2" xfId="17679"/>
    <cellStyle name="Comma [2] 4 5 3" xfId="17678"/>
    <cellStyle name="Comma [2] 4 6" xfId="17677"/>
    <cellStyle name="Comma [2] 4 6 2" xfId="17676"/>
    <cellStyle name="Comma [2] 4 6 2 2" xfId="17675"/>
    <cellStyle name="Comma [2] 4 6 3" xfId="17674"/>
    <cellStyle name="Comma [2] 4 7" xfId="17673"/>
    <cellStyle name="Comma [2] 4 7 2" xfId="17672"/>
    <cellStyle name="Comma [2] 4 7 2 2" xfId="17671"/>
    <cellStyle name="Comma [2] 4 7 3" xfId="17670"/>
    <cellStyle name="Comma [2] 4 8" xfId="17669"/>
    <cellStyle name="Comma [2] 4 8 2" xfId="17668"/>
    <cellStyle name="Comma [2] 4 9" xfId="17667"/>
    <cellStyle name="Comma [2] 5" xfId="17666"/>
    <cellStyle name="Comma [2] 5 2" xfId="17665"/>
    <cellStyle name="Comma [2] 5 2 2" xfId="17664"/>
    <cellStyle name="Comma [2] 5 3" xfId="17663"/>
    <cellStyle name="Comma [2] 6" xfId="17662"/>
    <cellStyle name="Comma [2] 6 2" xfId="17661"/>
    <cellStyle name="Comma [2] 6 2 2" xfId="17660"/>
    <cellStyle name="Comma [2] 6 3" xfId="17659"/>
    <cellStyle name="Comma [2] 7" xfId="17658"/>
    <cellStyle name="Comma [2] 7 2" xfId="17657"/>
    <cellStyle name="Comma [2] 7 2 2" xfId="17656"/>
    <cellStyle name="Comma [2] 7 3" xfId="17655"/>
    <cellStyle name="Comma [2] 8" xfId="17654"/>
    <cellStyle name="Comma [2] 8 2" xfId="17653"/>
    <cellStyle name="Comma [2] 8 2 2" xfId="17652"/>
    <cellStyle name="Comma [2] 8 3" xfId="17651"/>
    <cellStyle name="Comma [2] 9" xfId="17650"/>
    <cellStyle name="Comma [2] 9 2" xfId="17649"/>
    <cellStyle name="Comma [2] 9 2 2" xfId="17648"/>
    <cellStyle name="Comma [2] 9 3" xfId="17647"/>
    <cellStyle name="Comma [3]" xfId="17646"/>
    <cellStyle name="Comma [3] 10" xfId="17645"/>
    <cellStyle name="Comma [3] 11" xfId="17644"/>
    <cellStyle name="Comma [3] 12" xfId="17643"/>
    <cellStyle name="Comma [3] 13" xfId="17642"/>
    <cellStyle name="Comma [3] 14" xfId="17641"/>
    <cellStyle name="Comma [3] 2" xfId="17640"/>
    <cellStyle name="Comma [3] 2 2" xfId="17639"/>
    <cellStyle name="Comma [3] 3" xfId="17638"/>
    <cellStyle name="Comma [3] 3 2" xfId="17637"/>
    <cellStyle name="Comma [3] 3 3" xfId="17636"/>
    <cellStyle name="Comma [3] 3 4" xfId="17635"/>
    <cellStyle name="Comma [3] 4" xfId="17634"/>
    <cellStyle name="Comma [3] 4 2" xfId="17633"/>
    <cellStyle name="Comma [3] 5" xfId="17632"/>
    <cellStyle name="Comma [3] 6" xfId="17631"/>
    <cellStyle name="Comma [3] 7" xfId="17630"/>
    <cellStyle name="Comma [3] 8" xfId="17629"/>
    <cellStyle name="Comma [3] 9" xfId="17628"/>
    <cellStyle name="Comma 0" xfId="17627"/>
    <cellStyle name="Comma 00" xfId="17626"/>
    <cellStyle name="Comma 10" xfId="17625"/>
    <cellStyle name="Comma 10 2" xfId="17624"/>
    <cellStyle name="Comma 10 2 2" xfId="17623"/>
    <cellStyle name="Comma 10 2 2 2" xfId="17622"/>
    <cellStyle name="Comma 10 2 3" xfId="17621"/>
    <cellStyle name="Comma 10 3" xfId="17620"/>
    <cellStyle name="Comma 10 3 2" xfId="17619"/>
    <cellStyle name="Comma 10 3 3" xfId="26361"/>
    <cellStyle name="Comma 10 4" xfId="17618"/>
    <cellStyle name="Comma 10 5" xfId="17617"/>
    <cellStyle name="Comma 100" xfId="17616"/>
    <cellStyle name="Comma 101" xfId="17615"/>
    <cellStyle name="Comma 102" xfId="17614"/>
    <cellStyle name="Comma 102 2" xfId="17613"/>
    <cellStyle name="Comma 103" xfId="17612"/>
    <cellStyle name="Comma 104" xfId="17611"/>
    <cellStyle name="Comma 105" xfId="17610"/>
    <cellStyle name="Comma 106" xfId="17609"/>
    <cellStyle name="Comma 11" xfId="17608"/>
    <cellStyle name="Comma 11 10" xfId="17607"/>
    <cellStyle name="Comma 11 11" xfId="17606"/>
    <cellStyle name="Comma 11 12" xfId="17605"/>
    <cellStyle name="Comma 11 13" xfId="17604"/>
    <cellStyle name="Comma 11 14" xfId="17603"/>
    <cellStyle name="Comma 11 15" xfId="17602"/>
    <cellStyle name="Comma 11 16" xfId="17601"/>
    <cellStyle name="Comma 11 17" xfId="17600"/>
    <cellStyle name="Comma 11 18" xfId="17599"/>
    <cellStyle name="Comma 11 19" xfId="17598"/>
    <cellStyle name="Comma 11 2" xfId="17597"/>
    <cellStyle name="Comma 11 2 2" xfId="17596"/>
    <cellStyle name="Comma 11 2 3" xfId="17595"/>
    <cellStyle name="Comma 11 20" xfId="17594"/>
    <cellStyle name="Comma 11 20 2" xfId="17593"/>
    <cellStyle name="Comma 11 21" xfId="17592"/>
    <cellStyle name="Comma 11 22" xfId="17591"/>
    <cellStyle name="Comma 11 23" xfId="17590"/>
    <cellStyle name="Comma 11 3" xfId="17589"/>
    <cellStyle name="Comma 11 3 2" xfId="17588"/>
    <cellStyle name="Comma 11 4" xfId="17587"/>
    <cellStyle name="Comma 11 4 2" xfId="17586"/>
    <cellStyle name="Comma 11 5" xfId="17585"/>
    <cellStyle name="Comma 11 5 2" xfId="17584"/>
    <cellStyle name="Comma 11 6" xfId="17583"/>
    <cellStyle name="Comma 11 7" xfId="17582"/>
    <cellStyle name="Comma 11 8" xfId="17581"/>
    <cellStyle name="Comma 11 9" xfId="17580"/>
    <cellStyle name="Comma 12" xfId="17579"/>
    <cellStyle name="Comma 12 10" xfId="17578"/>
    <cellStyle name="Comma 12 11" xfId="17577"/>
    <cellStyle name="Comma 12 12" xfId="17576"/>
    <cellStyle name="Comma 12 13" xfId="17575"/>
    <cellStyle name="Comma 12 14" xfId="17574"/>
    <cellStyle name="Comma 12 15" xfId="17573"/>
    <cellStyle name="Comma 12 2" xfId="17572"/>
    <cellStyle name="Comma 12 2 2" xfId="17571"/>
    <cellStyle name="Comma 12 3" xfId="17570"/>
    <cellStyle name="Comma 12 3 2" xfId="17569"/>
    <cellStyle name="Comma 12 4" xfId="17568"/>
    <cellStyle name="Comma 12 5" xfId="17567"/>
    <cellStyle name="Comma 12 6" xfId="17566"/>
    <cellStyle name="Comma 12 7" xfId="17565"/>
    <cellStyle name="Comma 12 8" xfId="17564"/>
    <cellStyle name="Comma 12 9" xfId="17563"/>
    <cellStyle name="Comma 13" xfId="17562"/>
    <cellStyle name="Comma 13 2" xfId="17561"/>
    <cellStyle name="Comma 13 2 2" xfId="17560"/>
    <cellStyle name="Comma 13 3" xfId="17559"/>
    <cellStyle name="Comma 13 3 2" xfId="17558"/>
    <cellStyle name="Comma 13 3 2 2" xfId="17557"/>
    <cellStyle name="Comma 13 4" xfId="17556"/>
    <cellStyle name="Comma 13 5" xfId="17555"/>
    <cellStyle name="Comma 13 6" xfId="17554"/>
    <cellStyle name="Comma 14" xfId="17553"/>
    <cellStyle name="Comma 14 2" xfId="17552"/>
    <cellStyle name="Comma 14 2 2" xfId="17551"/>
    <cellStyle name="Comma 14 3" xfId="17550"/>
    <cellStyle name="Comma 14 3 2" xfId="17549"/>
    <cellStyle name="Comma 14 4" xfId="17548"/>
    <cellStyle name="Comma 14 5" xfId="17547"/>
    <cellStyle name="Comma 15" xfId="17546"/>
    <cellStyle name="Comma 15 2" xfId="17545"/>
    <cellStyle name="Comma 15 2 2" xfId="17544"/>
    <cellStyle name="Comma 15 2 3" xfId="17543"/>
    <cellStyle name="Comma 15 3" xfId="17542"/>
    <cellStyle name="Comma 15 3 2" xfId="17541"/>
    <cellStyle name="Comma 15 4" xfId="17540"/>
    <cellStyle name="Comma 15 5" xfId="17539"/>
    <cellStyle name="Comma 16" xfId="17538"/>
    <cellStyle name="Comma 16 10" xfId="17537"/>
    <cellStyle name="Comma 16 11" xfId="17536"/>
    <cellStyle name="Comma 16 12" xfId="17535"/>
    <cellStyle name="Comma 16 13" xfId="17534"/>
    <cellStyle name="Comma 16 14" xfId="17533"/>
    <cellStyle name="Comma 16 15" xfId="17532"/>
    <cellStyle name="Comma 16 2" xfId="17531"/>
    <cellStyle name="Comma 16 2 2" xfId="17530"/>
    <cellStyle name="Comma 16 3" xfId="17529"/>
    <cellStyle name="Comma 16 3 2" xfId="17528"/>
    <cellStyle name="Comma 16 3 2 2" xfId="17527"/>
    <cellStyle name="Comma 16 4" xfId="17526"/>
    <cellStyle name="Comma 16 5" xfId="17525"/>
    <cellStyle name="Comma 16 6" xfId="17524"/>
    <cellStyle name="Comma 16 7" xfId="17523"/>
    <cellStyle name="Comma 16 8" xfId="17522"/>
    <cellStyle name="Comma 16 9" xfId="17521"/>
    <cellStyle name="Comma 17" xfId="17520"/>
    <cellStyle name="Comma 17 10" xfId="17519"/>
    <cellStyle name="Comma 17 11" xfId="17518"/>
    <cellStyle name="Comma 17 12" xfId="17517"/>
    <cellStyle name="Comma 17 13" xfId="17516"/>
    <cellStyle name="Comma 17 14" xfId="17515"/>
    <cellStyle name="Comma 17 15" xfId="17514"/>
    <cellStyle name="Comma 17 16" xfId="17513"/>
    <cellStyle name="Comma 17 2" xfId="17512"/>
    <cellStyle name="Comma 17 2 10" xfId="17511"/>
    <cellStyle name="Comma 17 2 11" xfId="17510"/>
    <cellStyle name="Comma 17 2 12" xfId="17509"/>
    <cellStyle name="Comma 17 2 13" xfId="17508"/>
    <cellStyle name="Comma 17 2 14" xfId="17507"/>
    <cellStyle name="Comma 17 2 2" xfId="17506"/>
    <cellStyle name="Comma 17 2 3" xfId="17505"/>
    <cellStyle name="Comma 17 2 4" xfId="17504"/>
    <cellStyle name="Comma 17 2 5" xfId="17503"/>
    <cellStyle name="Comma 17 2 6" xfId="17502"/>
    <cellStyle name="Comma 17 2 7" xfId="17501"/>
    <cellStyle name="Comma 17 2 8" xfId="17500"/>
    <cellStyle name="Comma 17 2 9" xfId="17499"/>
    <cellStyle name="Comma 17 3" xfId="17498"/>
    <cellStyle name="Comma 17 3 2" xfId="17497"/>
    <cellStyle name="Comma 17 4" xfId="17496"/>
    <cellStyle name="Comma 17 5" xfId="17495"/>
    <cellStyle name="Comma 17 6" xfId="17494"/>
    <cellStyle name="Comma 17 7" xfId="17493"/>
    <cellStyle name="Comma 17 8" xfId="17492"/>
    <cellStyle name="Comma 17 9" xfId="17491"/>
    <cellStyle name="Comma 18" xfId="17490"/>
    <cellStyle name="Comma 18 2" xfId="17489"/>
    <cellStyle name="Comma 18 2 2" xfId="17488"/>
    <cellStyle name="Comma 18 3" xfId="17487"/>
    <cellStyle name="Comma 18 3 2" xfId="17486"/>
    <cellStyle name="Comma 18 4" xfId="17485"/>
    <cellStyle name="Comma 18 5" xfId="17484"/>
    <cellStyle name="Comma 19" xfId="17483"/>
    <cellStyle name="Comma 19 10" xfId="17482"/>
    <cellStyle name="Comma 19 11" xfId="17481"/>
    <cellStyle name="Comma 19 12" xfId="17480"/>
    <cellStyle name="Comma 19 13" xfId="17479"/>
    <cellStyle name="Comma 19 14" xfId="17478"/>
    <cellStyle name="Comma 19 2" xfId="17477"/>
    <cellStyle name="Comma 19 2 2" xfId="17476"/>
    <cellStyle name="Comma 19 3" xfId="17475"/>
    <cellStyle name="Comma 19 3 2" xfId="17474"/>
    <cellStyle name="Comma 19 4" xfId="17473"/>
    <cellStyle name="Comma 19 5" xfId="17472"/>
    <cellStyle name="Comma 19 6" xfId="17471"/>
    <cellStyle name="Comma 19 7" xfId="17470"/>
    <cellStyle name="Comma 19 8" xfId="17469"/>
    <cellStyle name="Comma 19 9" xfId="17468"/>
    <cellStyle name="Comma 2" xfId="17467"/>
    <cellStyle name="Comma 2 10" xfId="17466"/>
    <cellStyle name="Comma 2 10 2" xfId="17465"/>
    <cellStyle name="Comma 2 11" xfId="17464"/>
    <cellStyle name="Comma 2 12" xfId="17463"/>
    <cellStyle name="Comma 2 13" xfId="17462"/>
    <cellStyle name="Comma 2 14" xfId="17461"/>
    <cellStyle name="Comma 2 14 2" xfId="26360"/>
    <cellStyle name="Comma 2 15" xfId="17460"/>
    <cellStyle name="Comma 2 16" xfId="17459"/>
    <cellStyle name="Comma 2 17" xfId="17458"/>
    <cellStyle name="Comma 2 18" xfId="17457"/>
    <cellStyle name="Comma 2 19" xfId="17456"/>
    <cellStyle name="Comma 2 2" xfId="17455"/>
    <cellStyle name="Comma 2 2 10" xfId="17454"/>
    <cellStyle name="Comma 2 2 11" xfId="17453"/>
    <cellStyle name="Comma 2 2 12" xfId="17452"/>
    <cellStyle name="Comma 2 2 13" xfId="17451"/>
    <cellStyle name="Comma 2 2 14" xfId="17450"/>
    <cellStyle name="Comma 2 2 2" xfId="17449"/>
    <cellStyle name="Comma 2 2 2 10" xfId="17448"/>
    <cellStyle name="Comma 2 2 2 11" xfId="17447"/>
    <cellStyle name="Comma 2 2 2 12" xfId="17446"/>
    <cellStyle name="Comma 2 2 2 13" xfId="17445"/>
    <cellStyle name="Comma 2 2 2 14" xfId="17444"/>
    <cellStyle name="Comma 2 2 2 15" xfId="17443"/>
    <cellStyle name="Comma 2 2 2 2" xfId="17442"/>
    <cellStyle name="Comma 2 2 2 2 10" xfId="17441"/>
    <cellStyle name="Comma 2 2 2 2 2" xfId="17440"/>
    <cellStyle name="Comma 2 2 2 2 2 2" xfId="17439"/>
    <cellStyle name="Comma 2 2 2 2 2 3" xfId="17438"/>
    <cellStyle name="Comma 2 2 2 2 3" xfId="17437"/>
    <cellStyle name="Comma 2 2 2 2 4" xfId="17436"/>
    <cellStyle name="Comma 2 2 2 2 5" xfId="17435"/>
    <cellStyle name="Comma 2 2 2 2 6" xfId="17434"/>
    <cellStyle name="Comma 2 2 2 2 7" xfId="17433"/>
    <cellStyle name="Comma 2 2 2 2 8" xfId="17432"/>
    <cellStyle name="Comma 2 2 2 2 9" xfId="17431"/>
    <cellStyle name="Comma 2 2 2 3" xfId="17430"/>
    <cellStyle name="Comma 2 2 2 3 2" xfId="17429"/>
    <cellStyle name="Comma 2 2 2 3 2 2" xfId="17428"/>
    <cellStyle name="Comma 2 2 2 3 3" xfId="17427"/>
    <cellStyle name="Comma 2 2 2 3 4" xfId="17426"/>
    <cellStyle name="Comma 2 2 2 4" xfId="17425"/>
    <cellStyle name="Comma 2 2 2 4 2" xfId="17424"/>
    <cellStyle name="Comma 2 2 2 5" xfId="17423"/>
    <cellStyle name="Comma 2 2 2 6" xfId="17422"/>
    <cellStyle name="Comma 2 2 2 7" xfId="17421"/>
    <cellStyle name="Comma 2 2 2 8" xfId="17420"/>
    <cellStyle name="Comma 2 2 2 9" xfId="17419"/>
    <cellStyle name="Comma 2 2 3" xfId="17418"/>
    <cellStyle name="Comma 2 2 3 2" xfId="17417"/>
    <cellStyle name="Comma 2 2 4" xfId="17416"/>
    <cellStyle name="Comma 2 2 4 2" xfId="17415"/>
    <cellStyle name="Comma 2 2 5" xfId="17414"/>
    <cellStyle name="Comma 2 2 6" xfId="17413"/>
    <cellStyle name="Comma 2 2 7" xfId="17412"/>
    <cellStyle name="Comma 2 2 8" xfId="17411"/>
    <cellStyle name="Comma 2 2 9" xfId="17410"/>
    <cellStyle name="Comma 2 2_QTT Sal Lao Tengis" xfId="17409"/>
    <cellStyle name="Comma 2 20" xfId="17408"/>
    <cellStyle name="Comma 2 21" xfId="17407"/>
    <cellStyle name="Comma 2 3" xfId="17406"/>
    <cellStyle name="Comma 2 3 10" xfId="17405"/>
    <cellStyle name="Comma 2 3 11" xfId="17404"/>
    <cellStyle name="Comma 2 3 12" xfId="17403"/>
    <cellStyle name="Comma 2 3 13" xfId="17402"/>
    <cellStyle name="Comma 2 3 14" xfId="17401"/>
    <cellStyle name="Comma 2 3 15" xfId="17400"/>
    <cellStyle name="Comma 2 3 2" xfId="17399"/>
    <cellStyle name="Comma 2 3 3" xfId="17398"/>
    <cellStyle name="Comma 2 3 4" xfId="17397"/>
    <cellStyle name="Comma 2 3 5" xfId="17396"/>
    <cellStyle name="Comma 2 3 6" xfId="17395"/>
    <cellStyle name="Comma 2 3 7" xfId="17394"/>
    <cellStyle name="Comma 2 3 8" xfId="17393"/>
    <cellStyle name="Comma 2 3 9" xfId="17392"/>
    <cellStyle name="Comma 2 3_QTT Sal Lao Tengis" xfId="17391"/>
    <cellStyle name="Comma 2 4" xfId="17390"/>
    <cellStyle name="Comma 2 4 10" xfId="17389"/>
    <cellStyle name="Comma 2 4 11" xfId="17388"/>
    <cellStyle name="Comma 2 4 12" xfId="17387"/>
    <cellStyle name="Comma 2 4 13" xfId="17386"/>
    <cellStyle name="Comma 2 4 14" xfId="17385"/>
    <cellStyle name="Comma 2 4 15" xfId="17384"/>
    <cellStyle name="Comma 2 4 2" xfId="17383"/>
    <cellStyle name="Comma 2 4 2 2" xfId="17382"/>
    <cellStyle name="Comma 2 4 3" xfId="17381"/>
    <cellStyle name="Comma 2 4 4" xfId="17380"/>
    <cellStyle name="Comma 2 4 5" xfId="17379"/>
    <cellStyle name="Comma 2 4 6" xfId="17378"/>
    <cellStyle name="Comma 2 4 7" xfId="17377"/>
    <cellStyle name="Comma 2 4 8" xfId="17376"/>
    <cellStyle name="Comma 2 4 9" xfId="17375"/>
    <cellStyle name="Comma 2 5" xfId="17374"/>
    <cellStyle name="Comma 2 5 2" xfId="17373"/>
    <cellStyle name="Comma 2 5 2 2" xfId="17372"/>
    <cellStyle name="Comma 2 5 3" xfId="17371"/>
    <cellStyle name="Comma 2 6" xfId="17370"/>
    <cellStyle name="Comma 2 6 2" xfId="17369"/>
    <cellStyle name="Comma 2 6 3" xfId="17368"/>
    <cellStyle name="Comma 2 7" xfId="17367"/>
    <cellStyle name="Comma 2 8" xfId="17366"/>
    <cellStyle name="Comma 2 8 2" xfId="17365"/>
    <cellStyle name="Comma 2 9" xfId="17364"/>
    <cellStyle name="Comma 2_02.RAB ARSITEKTUR W-PELATIH" xfId="17363"/>
    <cellStyle name="Comma 20" xfId="17362"/>
    <cellStyle name="Comma 20 2" xfId="17361"/>
    <cellStyle name="Comma 20 2 2" xfId="17360"/>
    <cellStyle name="Comma 20 3" xfId="17359"/>
    <cellStyle name="Comma 20 3 2" xfId="17358"/>
    <cellStyle name="Comma 20 4" xfId="17357"/>
    <cellStyle name="Comma 20 5" xfId="17356"/>
    <cellStyle name="Comma 21" xfId="17355"/>
    <cellStyle name="Comma 21 2" xfId="17354"/>
    <cellStyle name="Comma 21 2 2" xfId="17353"/>
    <cellStyle name="Comma 21 3" xfId="17352"/>
    <cellStyle name="Comma 21 3 2" xfId="17351"/>
    <cellStyle name="Comma 21 4" xfId="17350"/>
    <cellStyle name="Comma 21 5" xfId="17349"/>
    <cellStyle name="Comma 22" xfId="17348"/>
    <cellStyle name="Comma 22 10" xfId="17347"/>
    <cellStyle name="Comma 22 11" xfId="17346"/>
    <cellStyle name="Comma 22 12" xfId="17345"/>
    <cellStyle name="Comma 22 13" xfId="17344"/>
    <cellStyle name="Comma 22 14" xfId="17343"/>
    <cellStyle name="Comma 22 2" xfId="17342"/>
    <cellStyle name="Comma 22 2 2" xfId="17341"/>
    <cellStyle name="Comma 22 3" xfId="17340"/>
    <cellStyle name="Comma 22 3 2" xfId="17339"/>
    <cellStyle name="Comma 22 4" xfId="17338"/>
    <cellStyle name="Comma 22 5" xfId="17337"/>
    <cellStyle name="Comma 22 6" xfId="17336"/>
    <cellStyle name="Comma 22 7" xfId="17335"/>
    <cellStyle name="Comma 22 8" xfId="17334"/>
    <cellStyle name="Comma 22 9" xfId="17333"/>
    <cellStyle name="Comma 23" xfId="17332"/>
    <cellStyle name="Comma 23 2" xfId="17331"/>
    <cellStyle name="Comma 23 2 2" xfId="17330"/>
    <cellStyle name="Comma 23 3" xfId="17329"/>
    <cellStyle name="Comma 23 3 2" xfId="17328"/>
    <cellStyle name="Comma 23 4" xfId="17327"/>
    <cellStyle name="Comma 23 5" xfId="17326"/>
    <cellStyle name="Comma 24" xfId="17325"/>
    <cellStyle name="Comma 24 2" xfId="17324"/>
    <cellStyle name="Comma 24 2 2" xfId="17323"/>
    <cellStyle name="Comma 24 3" xfId="17322"/>
    <cellStyle name="Comma 24 3 2" xfId="17321"/>
    <cellStyle name="Comma 24 4" xfId="17320"/>
    <cellStyle name="Comma 24 5" xfId="17319"/>
    <cellStyle name="Comma 25" xfId="17318"/>
    <cellStyle name="Comma 25 2" xfId="17317"/>
    <cellStyle name="Comma 25 2 2" xfId="17316"/>
    <cellStyle name="Comma 25 3" xfId="17315"/>
    <cellStyle name="Comma 25 3 2" xfId="17314"/>
    <cellStyle name="Comma 25 4" xfId="17313"/>
    <cellStyle name="Comma 25 5" xfId="17312"/>
    <cellStyle name="Comma 26" xfId="17311"/>
    <cellStyle name="Comma 26 2" xfId="17310"/>
    <cellStyle name="Comma 26 2 2" xfId="17309"/>
    <cellStyle name="Comma 26 2 3" xfId="17308"/>
    <cellStyle name="Comma 26 2 3 2" xfId="17307"/>
    <cellStyle name="Comma 26 3" xfId="17306"/>
    <cellStyle name="Comma 26 3 2" xfId="17305"/>
    <cellStyle name="Comma 26 4" xfId="17304"/>
    <cellStyle name="Comma 26 5" xfId="17303"/>
    <cellStyle name="Comma 27" xfId="17302"/>
    <cellStyle name="Comma 27 2" xfId="17301"/>
    <cellStyle name="Comma 27 2 2" xfId="17300"/>
    <cellStyle name="Comma 27 3" xfId="17299"/>
    <cellStyle name="Comma 27 3 2" xfId="17298"/>
    <cellStyle name="Comma 27 4" xfId="17297"/>
    <cellStyle name="Comma 27 5" xfId="17296"/>
    <cellStyle name="Comma 28" xfId="17295"/>
    <cellStyle name="Comma 28 2" xfId="17294"/>
    <cellStyle name="Comma 28 2 2" xfId="17293"/>
    <cellStyle name="Comma 28 3" xfId="17292"/>
    <cellStyle name="Comma 28 3 2" xfId="17291"/>
    <cellStyle name="Comma 28 4" xfId="17290"/>
    <cellStyle name="Comma 28 5" xfId="17289"/>
    <cellStyle name="Comma 29" xfId="17288"/>
    <cellStyle name="Comma 29 2" xfId="17287"/>
    <cellStyle name="Comma 29 2 2" xfId="17286"/>
    <cellStyle name="Comma 29 3" xfId="17285"/>
    <cellStyle name="Comma 29 3 2" xfId="17284"/>
    <cellStyle name="Comma 29 4" xfId="17283"/>
    <cellStyle name="Comma 29 5" xfId="17282"/>
    <cellStyle name="Comma 3" xfId="17281"/>
    <cellStyle name="Comma 3 10" xfId="17280"/>
    <cellStyle name="Comma 3 11" xfId="17279"/>
    <cellStyle name="Comma 3 12" xfId="17278"/>
    <cellStyle name="Comma 3 13" xfId="17277"/>
    <cellStyle name="Comma 3 14" xfId="17276"/>
    <cellStyle name="Comma 3 15" xfId="17275"/>
    <cellStyle name="Comma 3 16" xfId="17274"/>
    <cellStyle name="Comma 3 17" xfId="17273"/>
    <cellStyle name="Comma 3 18" xfId="17272"/>
    <cellStyle name="Comma 3 19" xfId="17271"/>
    <cellStyle name="Comma 3 2" xfId="17270"/>
    <cellStyle name="Comma 3 2 2" xfId="17269"/>
    <cellStyle name="Comma 3 2 2 2" xfId="17268"/>
    <cellStyle name="Comma 3 2 3" xfId="17267"/>
    <cellStyle name="Comma 3 2 3 2" xfId="17266"/>
    <cellStyle name="Comma 3 2 3 2 2" xfId="17265"/>
    <cellStyle name="Comma 3 2 4" xfId="17264"/>
    <cellStyle name="Comma 3 2 5" xfId="17263"/>
    <cellStyle name="Comma 3 2 6" xfId="17262"/>
    <cellStyle name="Comma 3 20" xfId="17261"/>
    <cellStyle name="Comma 3 21" xfId="17260"/>
    <cellStyle name="Comma 3 22" xfId="17259"/>
    <cellStyle name="Comma 3 23" xfId="17258"/>
    <cellStyle name="Comma 3 24" xfId="17257"/>
    <cellStyle name="Comma 3 25" xfId="17256"/>
    <cellStyle name="Comma 3 26" xfId="17255"/>
    <cellStyle name="Comma 3 27" xfId="17254"/>
    <cellStyle name="Comma 3 28" xfId="17253"/>
    <cellStyle name="Comma 3 29" xfId="17252"/>
    <cellStyle name="Comma 3 3" xfId="17251"/>
    <cellStyle name="Comma 3 3 2" xfId="17250"/>
    <cellStyle name="Comma 3 3 2 2" xfId="17249"/>
    <cellStyle name="Comma 3 3 2 3" xfId="17248"/>
    <cellStyle name="Comma 3 3 3" xfId="17247"/>
    <cellStyle name="Comma 3 3 3 2" xfId="17246"/>
    <cellStyle name="Comma 3 3 4" xfId="17245"/>
    <cellStyle name="Comma 3 3 4 2" xfId="17244"/>
    <cellStyle name="Comma 3 3 5" xfId="17243"/>
    <cellStyle name="Comma 3 30" xfId="17242"/>
    <cellStyle name="Comma 3 31" xfId="17241"/>
    <cellStyle name="Comma 3 32" xfId="17240"/>
    <cellStyle name="Comma 3 33" xfId="17239"/>
    <cellStyle name="Comma 3 34" xfId="17238"/>
    <cellStyle name="Comma 3 35" xfId="17237"/>
    <cellStyle name="Comma 3 36" xfId="17236"/>
    <cellStyle name="Comma 3 37" xfId="17235"/>
    <cellStyle name="Comma 3 38" xfId="17234"/>
    <cellStyle name="Comma 3 39" xfId="17233"/>
    <cellStyle name="Comma 3 4" xfId="17232"/>
    <cellStyle name="Comma 3 40" xfId="17231"/>
    <cellStyle name="Comma 3 41" xfId="17230"/>
    <cellStyle name="Comma 3 42" xfId="17229"/>
    <cellStyle name="Comma 3 43" xfId="17228"/>
    <cellStyle name="Comma 3 44" xfId="17227"/>
    <cellStyle name="Comma 3 44 2" xfId="17226"/>
    <cellStyle name="Comma 3 45" xfId="17225"/>
    <cellStyle name="Comma 3 5" xfId="17224"/>
    <cellStyle name="Comma 3 6" xfId="17223"/>
    <cellStyle name="Comma 3 7" xfId="17222"/>
    <cellStyle name="Comma 3 8" xfId="17221"/>
    <cellStyle name="Comma 3 9" xfId="17220"/>
    <cellStyle name="Comma 3_Alternatif#1_Semua Alexindo_Opt_123" xfId="17219"/>
    <cellStyle name="Comma 30" xfId="17218"/>
    <cellStyle name="Comma 30 2" xfId="17217"/>
    <cellStyle name="Comma 30 2 2" xfId="17216"/>
    <cellStyle name="Comma 30 3" xfId="17215"/>
    <cellStyle name="Comma 30 3 2" xfId="17214"/>
    <cellStyle name="Comma 30 4" xfId="17213"/>
    <cellStyle name="Comma 30 5" xfId="17212"/>
    <cellStyle name="Comma 31" xfId="17211"/>
    <cellStyle name="Comma 31 2" xfId="17210"/>
    <cellStyle name="Comma 31 2 2" xfId="17209"/>
    <cellStyle name="Comma 31 2 2 2" xfId="17208"/>
    <cellStyle name="Comma 31 2 3" xfId="17207"/>
    <cellStyle name="Comma 31 3" xfId="17206"/>
    <cellStyle name="Comma 31 3 2" xfId="17205"/>
    <cellStyle name="Comma 31 4" xfId="17204"/>
    <cellStyle name="Comma 31 5" xfId="17203"/>
    <cellStyle name="Comma 32" xfId="17202"/>
    <cellStyle name="Comma 32 2" xfId="17201"/>
    <cellStyle name="Comma 32 2 2" xfId="17200"/>
    <cellStyle name="Comma 32 3" xfId="17199"/>
    <cellStyle name="Comma 32 3 2" xfId="17198"/>
    <cellStyle name="Comma 32 4" xfId="17197"/>
    <cellStyle name="Comma 32 5" xfId="17196"/>
    <cellStyle name="Comma 33" xfId="17195"/>
    <cellStyle name="Comma 33 2" xfId="17194"/>
    <cellStyle name="Comma 33 2 2" xfId="17193"/>
    <cellStyle name="Comma 33 3" xfId="17192"/>
    <cellStyle name="Comma 33 3 2" xfId="17191"/>
    <cellStyle name="Comma 33 4" xfId="17190"/>
    <cellStyle name="Comma 33 5" xfId="17189"/>
    <cellStyle name="Comma 34" xfId="17188"/>
    <cellStyle name="Comma 34 2" xfId="17187"/>
    <cellStyle name="Comma 34 2 2" xfId="17186"/>
    <cellStyle name="Comma 34 3" xfId="17185"/>
    <cellStyle name="Comma 34 3 2" xfId="17184"/>
    <cellStyle name="Comma 34 4" xfId="17183"/>
    <cellStyle name="Comma 34 5" xfId="17182"/>
    <cellStyle name="Comma 35" xfId="17181"/>
    <cellStyle name="Comma 35 2" xfId="17180"/>
    <cellStyle name="Comma 35 2 2" xfId="17179"/>
    <cellStyle name="Comma 35 3" xfId="17178"/>
    <cellStyle name="Comma 35 3 2" xfId="17177"/>
    <cellStyle name="Comma 35 4" xfId="17176"/>
    <cellStyle name="Comma 35 5" xfId="17175"/>
    <cellStyle name="Comma 36" xfId="17174"/>
    <cellStyle name="Comma 36 2" xfId="17173"/>
    <cellStyle name="Comma 36 2 2" xfId="17172"/>
    <cellStyle name="Comma 36 3" xfId="17171"/>
    <cellStyle name="Comma 36 3 2" xfId="17170"/>
    <cellStyle name="Comma 36 4" xfId="17169"/>
    <cellStyle name="Comma 36 5" xfId="17168"/>
    <cellStyle name="Comma 37" xfId="17167"/>
    <cellStyle name="Comma 37 2" xfId="17166"/>
    <cellStyle name="Comma 37 2 2" xfId="17165"/>
    <cellStyle name="Comma 37 3" xfId="17164"/>
    <cellStyle name="Comma 37 3 2" xfId="17163"/>
    <cellStyle name="Comma 37 4" xfId="17162"/>
    <cellStyle name="Comma 37 5" xfId="17161"/>
    <cellStyle name="Comma 38" xfId="17160"/>
    <cellStyle name="Comma 38 2" xfId="17159"/>
    <cellStyle name="Comma 38 2 2" xfId="17158"/>
    <cellStyle name="Comma 38 3" xfId="17157"/>
    <cellStyle name="Comma 38 3 2" xfId="17156"/>
    <cellStyle name="Comma 38 4" xfId="17155"/>
    <cellStyle name="Comma 38 5" xfId="17154"/>
    <cellStyle name="Comma 39" xfId="17153"/>
    <cellStyle name="Comma 39 2" xfId="17152"/>
    <cellStyle name="Comma 39 2 2" xfId="17151"/>
    <cellStyle name="Comma 39 3" xfId="17150"/>
    <cellStyle name="Comma 39 3 2" xfId="17149"/>
    <cellStyle name="Comma 39 4" xfId="17148"/>
    <cellStyle name="Comma 39 5" xfId="17147"/>
    <cellStyle name="Comma 4" xfId="17146"/>
    <cellStyle name="Comma 4 10" xfId="17145"/>
    <cellStyle name="Comma 4 11" xfId="17144"/>
    <cellStyle name="Comma 4 12" xfId="17143"/>
    <cellStyle name="Comma 4 13" xfId="17142"/>
    <cellStyle name="Comma 4 14" xfId="17141"/>
    <cellStyle name="Comma 4 15" xfId="17140"/>
    <cellStyle name="Comma 4 16" xfId="17139"/>
    <cellStyle name="Comma 4 17" xfId="17138"/>
    <cellStyle name="Comma 4 2" xfId="17137"/>
    <cellStyle name="Comma 4 2 2" xfId="17136"/>
    <cellStyle name="Comma 4 2 3" xfId="17135"/>
    <cellStyle name="Comma 4 2 4" xfId="17134"/>
    <cellStyle name="Comma 4 2 5" xfId="17133"/>
    <cellStyle name="Comma 4 2 6" xfId="17132"/>
    <cellStyle name="Comma 4 2 7" xfId="17131"/>
    <cellStyle name="Comma 4 3" xfId="17130"/>
    <cellStyle name="Comma 4 3 2" xfId="17129"/>
    <cellStyle name="Comma 4 3 2 2" xfId="17128"/>
    <cellStyle name="Comma 4 3 3" xfId="17127"/>
    <cellStyle name="Comma 4 4" xfId="17126"/>
    <cellStyle name="Comma 4 4 2" xfId="17125"/>
    <cellStyle name="Comma 4 5" xfId="17124"/>
    <cellStyle name="Comma 4 6" xfId="17123"/>
    <cellStyle name="Comma 4 7" xfId="17122"/>
    <cellStyle name="Comma 4 8" xfId="17121"/>
    <cellStyle name="Comma 4 9" xfId="17120"/>
    <cellStyle name="Comma 4_Analisa Harga Satuan RAB" xfId="17119"/>
    <cellStyle name="Comma 40" xfId="17118"/>
    <cellStyle name="Comma 40 2" xfId="17117"/>
    <cellStyle name="Comma 40 2 2" xfId="17116"/>
    <cellStyle name="Comma 40 3" xfId="17115"/>
    <cellStyle name="Comma 40 3 2" xfId="17114"/>
    <cellStyle name="Comma 40 4" xfId="17113"/>
    <cellStyle name="Comma 40 5" xfId="17112"/>
    <cellStyle name="Comma 41" xfId="17111"/>
    <cellStyle name="Comma 41 2" xfId="17110"/>
    <cellStyle name="Comma 41 2 2" xfId="17109"/>
    <cellStyle name="Comma 41 3" xfId="17108"/>
    <cellStyle name="Comma 41 3 2" xfId="17107"/>
    <cellStyle name="Comma 41 4" xfId="17106"/>
    <cellStyle name="Comma 41 5" xfId="17105"/>
    <cellStyle name="Comma 42" xfId="17104"/>
    <cellStyle name="Comma 42 2" xfId="17103"/>
    <cellStyle name="Comma 42 2 2" xfId="17102"/>
    <cellStyle name="Comma 42 3" xfId="17101"/>
    <cellStyle name="Comma 42 3 2" xfId="17100"/>
    <cellStyle name="Comma 42 4" xfId="17099"/>
    <cellStyle name="Comma 42 5" xfId="17098"/>
    <cellStyle name="Comma 43" xfId="17097"/>
    <cellStyle name="Comma 43 2" xfId="17096"/>
    <cellStyle name="Comma 43 2 2" xfId="17095"/>
    <cellStyle name="Comma 43 3" xfId="17094"/>
    <cellStyle name="Comma 43 3 2" xfId="17093"/>
    <cellStyle name="Comma 43 4" xfId="17092"/>
    <cellStyle name="Comma 43 5" xfId="17091"/>
    <cellStyle name="Comma 44" xfId="17090"/>
    <cellStyle name="Comma 44 2" xfId="17089"/>
    <cellStyle name="Comma 44 2 2" xfId="17088"/>
    <cellStyle name="Comma 44 3" xfId="17087"/>
    <cellStyle name="Comma 44 3 2" xfId="17086"/>
    <cellStyle name="Comma 44 4" xfId="17085"/>
    <cellStyle name="Comma 44 5" xfId="17084"/>
    <cellStyle name="Comma 45" xfId="17083"/>
    <cellStyle name="Comma 45 2" xfId="17082"/>
    <cellStyle name="Comma 45 2 2" xfId="17081"/>
    <cellStyle name="Comma 45 3" xfId="17080"/>
    <cellStyle name="Comma 45 3 2" xfId="17079"/>
    <cellStyle name="Comma 45 4" xfId="17078"/>
    <cellStyle name="Comma 45 5" xfId="17077"/>
    <cellStyle name="Comma 46" xfId="17076"/>
    <cellStyle name="Comma 46 2" xfId="17075"/>
    <cellStyle name="Comma 46 2 2" xfId="17074"/>
    <cellStyle name="Comma 46 3" xfId="17073"/>
    <cellStyle name="Comma 46 3 2" xfId="17072"/>
    <cellStyle name="Comma 46 4" xfId="17071"/>
    <cellStyle name="Comma 46 5" xfId="17070"/>
    <cellStyle name="Comma 47" xfId="17069"/>
    <cellStyle name="Comma 47 2" xfId="17068"/>
    <cellStyle name="Comma 47 2 2" xfId="17067"/>
    <cellStyle name="Comma 47 3" xfId="17066"/>
    <cellStyle name="Comma 47 3 2" xfId="17065"/>
    <cellStyle name="Comma 47 4" xfId="17064"/>
    <cellStyle name="Comma 47 5" xfId="17063"/>
    <cellStyle name="Comma 48" xfId="17062"/>
    <cellStyle name="Comma 48 2" xfId="17061"/>
    <cellStyle name="Comma 48 2 2" xfId="17060"/>
    <cellStyle name="Comma 48 3" xfId="17059"/>
    <cellStyle name="Comma 48 3 2" xfId="17058"/>
    <cellStyle name="Comma 48 4" xfId="17057"/>
    <cellStyle name="Comma 48 5" xfId="17056"/>
    <cellStyle name="Comma 49" xfId="17055"/>
    <cellStyle name="Comma 49 2" xfId="17054"/>
    <cellStyle name="Comma 49 2 2" xfId="17053"/>
    <cellStyle name="Comma 49 3" xfId="17052"/>
    <cellStyle name="Comma 49 3 2" xfId="17051"/>
    <cellStyle name="Comma 49 4" xfId="17050"/>
    <cellStyle name="Comma 49 5" xfId="17049"/>
    <cellStyle name="Comma 5" xfId="17048"/>
    <cellStyle name="Comma 5 2" xfId="17047"/>
    <cellStyle name="Comma 5 2 2" xfId="17046"/>
    <cellStyle name="Comma 5 3" xfId="17045"/>
    <cellStyle name="Comma 5 3 2" xfId="17044"/>
    <cellStyle name="Comma 5 3 3" xfId="17043"/>
    <cellStyle name="Comma 5 4" xfId="17042"/>
    <cellStyle name="Comma 5 5" xfId="17041"/>
    <cellStyle name="Comma 5_HPS GI 275 kV SARULLA rev201011" xfId="17040"/>
    <cellStyle name="Comma 50" xfId="17039"/>
    <cellStyle name="Comma 50 2" xfId="17038"/>
    <cellStyle name="Comma 50 2 2" xfId="17037"/>
    <cellStyle name="Comma 50 3" xfId="17036"/>
    <cellStyle name="Comma 50 3 2" xfId="17035"/>
    <cellStyle name="Comma 50 4" xfId="17034"/>
    <cellStyle name="Comma 50 5" xfId="17033"/>
    <cellStyle name="Comma 51" xfId="17032"/>
    <cellStyle name="Comma 51 2" xfId="17031"/>
    <cellStyle name="Comma 51 2 2" xfId="17030"/>
    <cellStyle name="Comma 51 3" xfId="17029"/>
    <cellStyle name="Comma 51 3 2" xfId="17028"/>
    <cellStyle name="Comma 51 4" xfId="17027"/>
    <cellStyle name="Comma 51 5" xfId="17026"/>
    <cellStyle name="Comma 52" xfId="17025"/>
    <cellStyle name="Comma 52 2" xfId="17024"/>
    <cellStyle name="Comma 53" xfId="17023"/>
    <cellStyle name="Comma 53 2" xfId="17022"/>
    <cellStyle name="Comma 54" xfId="17021"/>
    <cellStyle name="Comma 54 2" xfId="17020"/>
    <cellStyle name="Comma 55" xfId="17019"/>
    <cellStyle name="Comma 55 2" xfId="17018"/>
    <cellStyle name="Comma 56" xfId="17017"/>
    <cellStyle name="Comma 56 2" xfId="17016"/>
    <cellStyle name="Comma 57" xfId="17015"/>
    <cellStyle name="Comma 57 2" xfId="17014"/>
    <cellStyle name="Comma 58" xfId="17013"/>
    <cellStyle name="Comma 58 2" xfId="17012"/>
    <cellStyle name="Comma 59" xfId="17011"/>
    <cellStyle name="Comma 59 2" xfId="17010"/>
    <cellStyle name="Comma 6" xfId="17009"/>
    <cellStyle name="Comma 6 2" xfId="17008"/>
    <cellStyle name="Comma 6 2 2" xfId="17007"/>
    <cellStyle name="Comma 6 2 2 2" xfId="17006"/>
    <cellStyle name="Comma 6 2 3" xfId="17005"/>
    <cellStyle name="Comma 6 2 4" xfId="17004"/>
    <cellStyle name="Comma 6 2 5" xfId="17003"/>
    <cellStyle name="Comma 6 3" xfId="17002"/>
    <cellStyle name="Comma 6 3 2" xfId="17001"/>
    <cellStyle name="Comma 6 4" xfId="17000"/>
    <cellStyle name="Comma 6 4 2" xfId="16999"/>
    <cellStyle name="Comma 6 5" xfId="16998"/>
    <cellStyle name="Comma 60" xfId="16997"/>
    <cellStyle name="Comma 60 2" xfId="16996"/>
    <cellStyle name="Comma 60 2 2" xfId="16995"/>
    <cellStyle name="Comma 60 2 3" xfId="16994"/>
    <cellStyle name="Comma 60 3" xfId="16993"/>
    <cellStyle name="Comma 60 4" xfId="16992"/>
    <cellStyle name="Comma 61" xfId="16991"/>
    <cellStyle name="Comma 61 2" xfId="16990"/>
    <cellStyle name="Comma 62" xfId="16989"/>
    <cellStyle name="Comma 63" xfId="16988"/>
    <cellStyle name="Comma 63 2" xfId="16987"/>
    <cellStyle name="Comma 63 3" xfId="16986"/>
    <cellStyle name="Comma 63 4" xfId="16985"/>
    <cellStyle name="Comma 63 5" xfId="16984"/>
    <cellStyle name="Comma 64" xfId="16983"/>
    <cellStyle name="Comma 64 2" xfId="16982"/>
    <cellStyle name="Comma 65" xfId="16981"/>
    <cellStyle name="Comma 65 2" xfId="16980"/>
    <cellStyle name="Comma 66" xfId="16979"/>
    <cellStyle name="Comma 66 2" xfId="16978"/>
    <cellStyle name="Comma 67" xfId="16977"/>
    <cellStyle name="Comma 67 2" xfId="16976"/>
    <cellStyle name="Comma 68" xfId="16975"/>
    <cellStyle name="Comma 68 2" xfId="16974"/>
    <cellStyle name="Comma 69" xfId="16973"/>
    <cellStyle name="Comma 69 2" xfId="16972"/>
    <cellStyle name="Comma 7" xfId="16971"/>
    <cellStyle name="Comma 7 10" xfId="16970"/>
    <cellStyle name="Comma 7 11" xfId="16969"/>
    <cellStyle name="Comma 7 12" xfId="16968"/>
    <cellStyle name="Comma 7 13" xfId="16967"/>
    <cellStyle name="Comma 7 14" xfId="16966"/>
    <cellStyle name="Comma 7 15" xfId="16965"/>
    <cellStyle name="Comma 7 16" xfId="16964"/>
    <cellStyle name="Comma 7 17" xfId="16963"/>
    <cellStyle name="Comma 7 2" xfId="16962"/>
    <cellStyle name="Comma 7 2 2" xfId="16961"/>
    <cellStyle name="Comma 7 3" xfId="16960"/>
    <cellStyle name="Comma 7 3 2" xfId="16959"/>
    <cellStyle name="Comma 7 4" xfId="16958"/>
    <cellStyle name="Comma 7 5" xfId="16957"/>
    <cellStyle name="Comma 7 6" xfId="16956"/>
    <cellStyle name="Comma 7 7" xfId="16955"/>
    <cellStyle name="Comma 7 8" xfId="16954"/>
    <cellStyle name="Comma 7 9" xfId="16953"/>
    <cellStyle name="Comma 70" xfId="16952"/>
    <cellStyle name="Comma 70 2" xfId="16951"/>
    <cellStyle name="Comma 71" xfId="16950"/>
    <cellStyle name="Comma 71 2" xfId="16949"/>
    <cellStyle name="Comma 72" xfId="16948"/>
    <cellStyle name="Comma 72 2" xfId="16947"/>
    <cellStyle name="Comma 73" xfId="16946"/>
    <cellStyle name="Comma 73 2" xfId="16945"/>
    <cellStyle name="Comma 74" xfId="16944"/>
    <cellStyle name="Comma 74 2" xfId="16943"/>
    <cellStyle name="Comma 75" xfId="16942"/>
    <cellStyle name="Comma 76" xfId="16941"/>
    <cellStyle name="Comma 77" xfId="16940"/>
    <cellStyle name="Comma 78" xfId="16939"/>
    <cellStyle name="Comma 79" xfId="16938"/>
    <cellStyle name="Comma 79 2" xfId="16937"/>
    <cellStyle name="Comma 8" xfId="16936"/>
    <cellStyle name="Comma 8 10" xfId="16935"/>
    <cellStyle name="Comma 8 11" xfId="16934"/>
    <cellStyle name="Comma 8 12" xfId="16933"/>
    <cellStyle name="Comma 8 13" xfId="16932"/>
    <cellStyle name="Comma 8 14" xfId="16931"/>
    <cellStyle name="Comma 8 15" xfId="16930"/>
    <cellStyle name="Comma 8 16" xfId="16929"/>
    <cellStyle name="Comma 8 17" xfId="16928"/>
    <cellStyle name="Comma 8 18" xfId="16927"/>
    <cellStyle name="Comma 8 2" xfId="16926"/>
    <cellStyle name="Comma 8 2 10" xfId="16925"/>
    <cellStyle name="Comma 8 2 11" xfId="16924"/>
    <cellStyle name="Comma 8 2 12" xfId="16923"/>
    <cellStyle name="Comma 8 2 13" xfId="16922"/>
    <cellStyle name="Comma 8 2 14" xfId="16921"/>
    <cellStyle name="Comma 8 2 2" xfId="16920"/>
    <cellStyle name="Comma 8 2 3" xfId="16919"/>
    <cellStyle name="Comma 8 2 4" xfId="16918"/>
    <cellStyle name="Comma 8 2 5" xfId="16917"/>
    <cellStyle name="Comma 8 2 6" xfId="16916"/>
    <cellStyle name="Comma 8 2 7" xfId="16915"/>
    <cellStyle name="Comma 8 2 8" xfId="16914"/>
    <cellStyle name="Comma 8 2 9" xfId="16913"/>
    <cellStyle name="Comma 8 3" xfId="16912"/>
    <cellStyle name="Comma 8 3 2" xfId="16911"/>
    <cellStyle name="Comma 8 4" xfId="16910"/>
    <cellStyle name="Comma 8 5" xfId="16909"/>
    <cellStyle name="Comma 8 6" xfId="16908"/>
    <cellStyle name="Comma 8 7" xfId="16907"/>
    <cellStyle name="Comma 8 8" xfId="16906"/>
    <cellStyle name="Comma 8 9" xfId="16905"/>
    <cellStyle name="Comma 80" xfId="16904"/>
    <cellStyle name="Comma 81" xfId="16903"/>
    <cellStyle name="Comma 82" xfId="16902"/>
    <cellStyle name="Comma 83" xfId="16901"/>
    <cellStyle name="Comma 84" xfId="16900"/>
    <cellStyle name="Comma 85" xfId="16899"/>
    <cellStyle name="Comma 86" xfId="16898"/>
    <cellStyle name="Comma 87" xfId="16897"/>
    <cellStyle name="Comma 88" xfId="16896"/>
    <cellStyle name="Comma 89" xfId="16895"/>
    <cellStyle name="Comma 9" xfId="16894"/>
    <cellStyle name="Comma 9 2" xfId="16893"/>
    <cellStyle name="Comma 9 2 2" xfId="16892"/>
    <cellStyle name="Comma 9 2 3" xfId="16891"/>
    <cellStyle name="Comma 9 3" xfId="16890"/>
    <cellStyle name="Comma 9 3 2" xfId="16889"/>
    <cellStyle name="Comma 9 4" xfId="16888"/>
    <cellStyle name="Comma 9 5" xfId="16887"/>
    <cellStyle name="Comma 9 6" xfId="16886"/>
    <cellStyle name="Comma 90" xfId="16885"/>
    <cellStyle name="Comma 91" xfId="16884"/>
    <cellStyle name="Comma 92" xfId="16883"/>
    <cellStyle name="Comma 93" xfId="16882"/>
    <cellStyle name="Comma 94" xfId="16881"/>
    <cellStyle name="Comma 94 2" xfId="16880"/>
    <cellStyle name="Comma 95" xfId="16879"/>
    <cellStyle name="Comma 96" xfId="16878"/>
    <cellStyle name="Comma 97" xfId="16877"/>
    <cellStyle name="Comma 98" xfId="16876"/>
    <cellStyle name="Comma 99" xfId="16875"/>
    <cellStyle name="comma zerodec" xfId="16874"/>
    <cellStyle name="Comma0" xfId="16873"/>
    <cellStyle name="Comma0 10" xfId="16872"/>
    <cellStyle name="Comma0 11" xfId="16871"/>
    <cellStyle name="Comma0 12" xfId="16870"/>
    <cellStyle name="Comma0 13" xfId="16869"/>
    <cellStyle name="Comma0 14" xfId="16868"/>
    <cellStyle name="Comma0 15" xfId="16867"/>
    <cellStyle name="Comma0 2" xfId="16866"/>
    <cellStyle name="Comma0 2 2" xfId="16865"/>
    <cellStyle name="Comma0 2 2 2" xfId="16864"/>
    <cellStyle name="Comma0 2 3" xfId="16863"/>
    <cellStyle name="Comma0 3" xfId="16862"/>
    <cellStyle name="Comma0 3 2" xfId="16861"/>
    <cellStyle name="Comma0 3 2 2" xfId="16860"/>
    <cellStyle name="Comma0 3 3" xfId="16859"/>
    <cellStyle name="Comma0 3 4" xfId="16858"/>
    <cellStyle name="Comma0 3 5" xfId="16857"/>
    <cellStyle name="Comma0 4" xfId="16856"/>
    <cellStyle name="Comma0 4 2" xfId="16855"/>
    <cellStyle name="Comma0 4 3" xfId="16854"/>
    <cellStyle name="Comma0 5" xfId="16853"/>
    <cellStyle name="Comma0 6" xfId="16852"/>
    <cellStyle name="Comma0 7" xfId="16851"/>
    <cellStyle name="Comma0 8" xfId="16850"/>
    <cellStyle name="Comma0 9" xfId="16849"/>
    <cellStyle name="company_title" xfId="16848"/>
    <cellStyle name="Copied" xfId="16847"/>
    <cellStyle name="Copied 10" xfId="16846"/>
    <cellStyle name="Copied 11" xfId="16845"/>
    <cellStyle name="Copied 12" xfId="16844"/>
    <cellStyle name="Copied 13" xfId="16843"/>
    <cellStyle name="Copied 14" xfId="16842"/>
    <cellStyle name="Copied 2" xfId="16841"/>
    <cellStyle name="Copied 2 2" xfId="16840"/>
    <cellStyle name="Copied 3" xfId="16839"/>
    <cellStyle name="Copied 3 2" xfId="16838"/>
    <cellStyle name="Copied 3 3" xfId="16837"/>
    <cellStyle name="Copied 3 4" xfId="16836"/>
    <cellStyle name="Copied 4" xfId="16835"/>
    <cellStyle name="Copied 5" xfId="16834"/>
    <cellStyle name="Copied 6" xfId="16833"/>
    <cellStyle name="Copied 7" xfId="16832"/>
    <cellStyle name="Copied 8" xfId="16831"/>
    <cellStyle name="Copied 9" xfId="16830"/>
    <cellStyle name="corlt1" xfId="16829"/>
    <cellStyle name="COST1" xfId="16828"/>
    <cellStyle name="country" xfId="16827"/>
    <cellStyle name="CSI" xfId="16826"/>
    <cellStyle name="Curren - Style3" xfId="16825"/>
    <cellStyle name="Curren - Style4" xfId="16824"/>
    <cellStyle name="Curren - Style7" xfId="16823"/>
    <cellStyle name="Curren - Style8" xfId="16822"/>
    <cellStyle name="Curren?_x0012_퐀_x0017_?" xfId="16821"/>
    <cellStyle name="Currency (0.00)" xfId="16820"/>
    <cellStyle name="Currency (0.00) 2" xfId="16819"/>
    <cellStyle name="Currency (0.00) 2 2" xfId="16818"/>
    <cellStyle name="Currency (0.00) 2 2 2" xfId="16817"/>
    <cellStyle name="Currency (0.00) 2 2 2 2" xfId="16816"/>
    <cellStyle name="Currency (0.00) 2 2 3" xfId="16815"/>
    <cellStyle name="Currency (0.00) 2 3" xfId="16814"/>
    <cellStyle name="Currency (0.00) 2 3 2" xfId="16813"/>
    <cellStyle name="Currency (0.00) 2 4" xfId="16812"/>
    <cellStyle name="Currency (0.00) 3" xfId="16811"/>
    <cellStyle name="Currency (0.00) 3 2" xfId="16810"/>
    <cellStyle name="Currency (0.00) 3 2 2" xfId="16809"/>
    <cellStyle name="Currency (0.00) 3 2 2 2" xfId="16808"/>
    <cellStyle name="Currency (0.00) 3 2 3" xfId="16807"/>
    <cellStyle name="Currency (0.00) 3 3" xfId="16806"/>
    <cellStyle name="Currency (0.00) 3 3 2" xfId="16805"/>
    <cellStyle name="Currency (0.00) 3 4" xfId="16804"/>
    <cellStyle name="Currency (0.00) 4" xfId="16803"/>
    <cellStyle name="Currency (0.00) 4 2" xfId="16802"/>
    <cellStyle name="Currency (0.00) 4 2 2" xfId="16801"/>
    <cellStyle name="Currency (0.00) 4 3" xfId="16800"/>
    <cellStyle name="Currency (0.00) 5" xfId="16799"/>
    <cellStyle name="Currency (0.00) 5 2" xfId="16798"/>
    <cellStyle name="Currency (0.00) 6" xfId="16797"/>
    <cellStyle name="Currency [0] 2" xfId="16796"/>
    <cellStyle name="Currency [00]" xfId="16795"/>
    <cellStyle name="Currency [1]" xfId="16794"/>
    <cellStyle name="Currency [2]" xfId="16793"/>
    <cellStyle name="Currency 2" xfId="16792"/>
    <cellStyle name="Currency 2 2" xfId="16791"/>
    <cellStyle name="Currency 2 2 2" xfId="16790"/>
    <cellStyle name="Currency 2 2 2 2" xfId="16789"/>
    <cellStyle name="Currency 2 2 3" xfId="16788"/>
    <cellStyle name="Currency 2 2 4" xfId="16787"/>
    <cellStyle name="Currency 2 3" xfId="16786"/>
    <cellStyle name="Currency 2 3 2" xfId="16785"/>
    <cellStyle name="Currency 2 4" xfId="16784"/>
    <cellStyle name="Currency 2 4 2" xfId="16783"/>
    <cellStyle name="Currency 2 5" xfId="16782"/>
    <cellStyle name="Currency 2 5 2" xfId="16781"/>
    <cellStyle name="Currency 2 6" xfId="16780"/>
    <cellStyle name="Currency 2 6 2" xfId="16779"/>
    <cellStyle name="Currency 2 7" xfId="16778"/>
    <cellStyle name="Currency 2 8" xfId="16777"/>
    <cellStyle name="Currency 2 9" xfId="16776"/>
    <cellStyle name="Currency 3" xfId="16775"/>
    <cellStyle name="Currency 3 2" xfId="16774"/>
    <cellStyle name="Currency 3 3" xfId="16773"/>
    <cellStyle name="Currency 3 3 2" xfId="16772"/>
    <cellStyle name="Currency 3 4" xfId="16771"/>
    <cellStyle name="Currency 4" xfId="16770"/>
    <cellStyle name="Currency 4 2" xfId="16769"/>
    <cellStyle name="Currency 4 2 2" xfId="16768"/>
    <cellStyle name="Currency 4 3" xfId="16767"/>
    <cellStyle name="Currency 4 4" xfId="16766"/>
    <cellStyle name="Currency 5" xfId="16765"/>
    <cellStyle name="Currency 5 2" xfId="16764"/>
    <cellStyle name="Currency 6" xfId="16763"/>
    <cellStyle name="Currency 6 2" xfId="16762"/>
    <cellStyle name="Currency 7" xfId="16761"/>
    <cellStyle name="Currency 8" xfId="16760"/>
    <cellStyle name="Currency 8 2" xfId="16759"/>
    <cellStyle name="Currency 9" xfId="16758"/>
    <cellStyle name="Currency0" xfId="16757"/>
    <cellStyle name="Currency0 10" xfId="16756"/>
    <cellStyle name="Currency0 11" xfId="16755"/>
    <cellStyle name="Currency0 12" xfId="16754"/>
    <cellStyle name="Currency0 13" xfId="16753"/>
    <cellStyle name="Currency0 14" xfId="16752"/>
    <cellStyle name="Currency0 15" xfId="16751"/>
    <cellStyle name="Currency0 2" xfId="16750"/>
    <cellStyle name="Currency0 2 2" xfId="16749"/>
    <cellStyle name="Currency0 2 2 2" xfId="16748"/>
    <cellStyle name="Currency0 2 3" xfId="16747"/>
    <cellStyle name="Currency0 3" xfId="16746"/>
    <cellStyle name="Currency0 3 2" xfId="16745"/>
    <cellStyle name="Currency0 3 2 2" xfId="16744"/>
    <cellStyle name="Currency0 3 3" xfId="16743"/>
    <cellStyle name="Currency0 3 4" xfId="16742"/>
    <cellStyle name="Currency0 3 5" xfId="16741"/>
    <cellStyle name="Currency0 4" xfId="16740"/>
    <cellStyle name="Currency0 4 2" xfId="16739"/>
    <cellStyle name="Currency0 4 3" xfId="16738"/>
    <cellStyle name="Currency0 5" xfId="16737"/>
    <cellStyle name="Currency0 6" xfId="16736"/>
    <cellStyle name="Currency0 7" xfId="16735"/>
    <cellStyle name="Currency0 8" xfId="16734"/>
    <cellStyle name="Currency0 9" xfId="16733"/>
    <cellStyle name="Currency1" xfId="16732"/>
    <cellStyle name="Currency㺘OTD thru NOR " xfId="16731"/>
    <cellStyle name="Custom" xfId="16730"/>
    <cellStyle name="Custom - Style1" xfId="16729"/>
    <cellStyle name="Custom - Style8" xfId="16728"/>
    <cellStyle name="Custom - Style8 2" xfId="16727"/>
    <cellStyle name="Custom - 유형8" xfId="16726"/>
    <cellStyle name="custom 10" xfId="16725"/>
    <cellStyle name="custom 11" xfId="16724"/>
    <cellStyle name="custom 12" xfId="16723"/>
    <cellStyle name="custom 13" xfId="16722"/>
    <cellStyle name="custom 14" xfId="16721"/>
    <cellStyle name="custom 15" xfId="16720"/>
    <cellStyle name="custom 16" xfId="16719"/>
    <cellStyle name="custom 17" xfId="16718"/>
    <cellStyle name="custom 18" xfId="16717"/>
    <cellStyle name="custom 19" xfId="16716"/>
    <cellStyle name="Custom 2" xfId="16715"/>
    <cellStyle name="custom 2 2" xfId="16714"/>
    <cellStyle name="custom 2 3" xfId="16713"/>
    <cellStyle name="custom 20" xfId="16712"/>
    <cellStyle name="custom 21" xfId="16711"/>
    <cellStyle name="custom 22" xfId="16710"/>
    <cellStyle name="custom 23" xfId="16709"/>
    <cellStyle name="custom 24" xfId="16708"/>
    <cellStyle name="custom 25" xfId="16707"/>
    <cellStyle name="custom 26" xfId="16706"/>
    <cellStyle name="custom 27" xfId="16705"/>
    <cellStyle name="custom 28" xfId="16704"/>
    <cellStyle name="custom 29" xfId="16703"/>
    <cellStyle name="custom 3" xfId="16702"/>
    <cellStyle name="custom 3 2" xfId="16701"/>
    <cellStyle name="custom 30" xfId="16700"/>
    <cellStyle name="custom 31" xfId="16699"/>
    <cellStyle name="custom 32" xfId="16698"/>
    <cellStyle name="custom 33" xfId="16697"/>
    <cellStyle name="custom 34" xfId="16696"/>
    <cellStyle name="custom 35" xfId="16695"/>
    <cellStyle name="custom 36" xfId="16694"/>
    <cellStyle name="custom 37" xfId="16693"/>
    <cellStyle name="custom 38" xfId="16692"/>
    <cellStyle name="custom 39" xfId="16691"/>
    <cellStyle name="custom 4" xfId="16690"/>
    <cellStyle name="custom 4 2" xfId="16689"/>
    <cellStyle name="custom 40" xfId="16688"/>
    <cellStyle name="custom 41" xfId="16687"/>
    <cellStyle name="custom 42" xfId="16686"/>
    <cellStyle name="custom 43" xfId="16685"/>
    <cellStyle name="custom 44" xfId="16684"/>
    <cellStyle name="custom 45" xfId="16683"/>
    <cellStyle name="custom 46" xfId="16682"/>
    <cellStyle name="custom 47" xfId="16681"/>
    <cellStyle name="custom 48" xfId="16680"/>
    <cellStyle name="custom 49" xfId="16679"/>
    <cellStyle name="custom 5" xfId="16678"/>
    <cellStyle name="custom 50" xfId="16677"/>
    <cellStyle name="custom 51" xfId="16676"/>
    <cellStyle name="custom 52" xfId="16675"/>
    <cellStyle name="custom 53" xfId="16674"/>
    <cellStyle name="custom 54" xfId="16673"/>
    <cellStyle name="custom 55" xfId="16672"/>
    <cellStyle name="custom 56" xfId="16671"/>
    <cellStyle name="custom 6" xfId="16670"/>
    <cellStyle name="custom 7" xfId="16669"/>
    <cellStyle name="custom 8" xfId="16668"/>
    <cellStyle name="custom 9" xfId="16667"/>
    <cellStyle name="Data  " xfId="16666"/>
    <cellStyle name="Data   - Style2" xfId="16665"/>
    <cellStyle name="Data   - Style2 10" xfId="16664"/>
    <cellStyle name="Data   - Style2 10 10" xfId="16663"/>
    <cellStyle name="Data   - Style2 10 2" xfId="16662"/>
    <cellStyle name="Data   - Style2 10 2 2" xfId="16661"/>
    <cellStyle name="Data   - Style2 10 2 2 2" xfId="16660"/>
    <cellStyle name="Data   - Style2 10 2 3" xfId="16659"/>
    <cellStyle name="Data   - Style2 10 3" xfId="16658"/>
    <cellStyle name="Data   - Style2 10 3 2" xfId="16657"/>
    <cellStyle name="Data   - Style2 10 4" xfId="16656"/>
    <cellStyle name="Data   - Style2 10 5" xfId="16655"/>
    <cellStyle name="Data   - Style2 10 6" xfId="16654"/>
    <cellStyle name="Data   - Style2 10 7" xfId="16653"/>
    <cellStyle name="Data   - Style2 10 8" xfId="16652"/>
    <cellStyle name="Data   - Style2 10 9" xfId="16651"/>
    <cellStyle name="Data   - Style2 11" xfId="16650"/>
    <cellStyle name="Data   - Style2 11 10" xfId="16649"/>
    <cellStyle name="Data   - Style2 11 2" xfId="16648"/>
    <cellStyle name="Data   - Style2 11 2 2" xfId="16647"/>
    <cellStyle name="Data   - Style2 11 2 2 2" xfId="16646"/>
    <cellStyle name="Data   - Style2 11 2 3" xfId="16645"/>
    <cellStyle name="Data   - Style2 11 3" xfId="16644"/>
    <cellStyle name="Data   - Style2 11 3 2" xfId="16643"/>
    <cellStyle name="Data   - Style2 11 4" xfId="16642"/>
    <cellStyle name="Data   - Style2 11 5" xfId="16641"/>
    <cellStyle name="Data   - Style2 11 6" xfId="16640"/>
    <cellStyle name="Data   - Style2 11 7" xfId="16639"/>
    <cellStyle name="Data   - Style2 11 8" xfId="16638"/>
    <cellStyle name="Data   - Style2 11 9" xfId="16637"/>
    <cellStyle name="Data   - Style2 12" xfId="16636"/>
    <cellStyle name="Data   - Style2 12 10" xfId="16635"/>
    <cellStyle name="Data   - Style2 12 2" xfId="16634"/>
    <cellStyle name="Data   - Style2 12 2 2" xfId="16633"/>
    <cellStyle name="Data   - Style2 12 2 2 2" xfId="16632"/>
    <cellStyle name="Data   - Style2 12 2 3" xfId="16631"/>
    <cellStyle name="Data   - Style2 12 3" xfId="16630"/>
    <cellStyle name="Data   - Style2 12 3 2" xfId="16629"/>
    <cellStyle name="Data   - Style2 12 4" xfId="16628"/>
    <cellStyle name="Data   - Style2 12 5" xfId="16627"/>
    <cellStyle name="Data   - Style2 12 6" xfId="16626"/>
    <cellStyle name="Data   - Style2 12 7" xfId="16625"/>
    <cellStyle name="Data   - Style2 12 8" xfId="16624"/>
    <cellStyle name="Data   - Style2 12 9" xfId="16623"/>
    <cellStyle name="Data   - Style2 13" xfId="16622"/>
    <cellStyle name="Data   - Style2 13 10" xfId="16621"/>
    <cellStyle name="Data   - Style2 13 2" xfId="16620"/>
    <cellStyle name="Data   - Style2 13 2 2" xfId="16619"/>
    <cellStyle name="Data   - Style2 13 2 2 2" xfId="16618"/>
    <cellStyle name="Data   - Style2 13 2 3" xfId="16617"/>
    <cellStyle name="Data   - Style2 13 3" xfId="16616"/>
    <cellStyle name="Data   - Style2 13 3 2" xfId="16615"/>
    <cellStyle name="Data   - Style2 13 4" xfId="16614"/>
    <cellStyle name="Data   - Style2 13 5" xfId="16613"/>
    <cellStyle name="Data   - Style2 13 6" xfId="16612"/>
    <cellStyle name="Data   - Style2 13 7" xfId="16611"/>
    <cellStyle name="Data   - Style2 13 8" xfId="16610"/>
    <cellStyle name="Data   - Style2 13 9" xfId="16609"/>
    <cellStyle name="Data   - Style2 14" xfId="16608"/>
    <cellStyle name="Data   - Style2 14 10" xfId="16607"/>
    <cellStyle name="Data   - Style2 14 2" xfId="16606"/>
    <cellStyle name="Data   - Style2 14 2 2" xfId="16605"/>
    <cellStyle name="Data   - Style2 14 2 2 2" xfId="16604"/>
    <cellStyle name="Data   - Style2 14 2 3" xfId="16603"/>
    <cellStyle name="Data   - Style2 14 3" xfId="16602"/>
    <cellStyle name="Data   - Style2 14 3 2" xfId="16601"/>
    <cellStyle name="Data   - Style2 14 4" xfId="16600"/>
    <cellStyle name="Data   - Style2 14 5" xfId="16599"/>
    <cellStyle name="Data   - Style2 14 6" xfId="16598"/>
    <cellStyle name="Data   - Style2 14 7" xfId="16597"/>
    <cellStyle name="Data   - Style2 14 8" xfId="16596"/>
    <cellStyle name="Data   - Style2 14 9" xfId="16595"/>
    <cellStyle name="Data   - Style2 15" xfId="16594"/>
    <cellStyle name="Data   - Style2 15 2" xfId="16593"/>
    <cellStyle name="Data   - Style2 15 2 2" xfId="16592"/>
    <cellStyle name="Data   - Style2 15 3" xfId="16591"/>
    <cellStyle name="Data   - Style2 16" xfId="16590"/>
    <cellStyle name="Data   - Style2 16 2" xfId="16589"/>
    <cellStyle name="Data   - Style2 17" xfId="16588"/>
    <cellStyle name="Data   - Style2 18" xfId="16587"/>
    <cellStyle name="Data   - Style2 19" xfId="16586"/>
    <cellStyle name="Data   - Style2 2" xfId="16585"/>
    <cellStyle name="Data   - Style2 2 10" xfId="16584"/>
    <cellStyle name="Data   - Style2 2 10 2" xfId="16583"/>
    <cellStyle name="Data   - Style2 2 10 3" xfId="16582"/>
    <cellStyle name="Data   - Style2 2 10 4" xfId="16581"/>
    <cellStyle name="Data   - Style2 2 10 5" xfId="16580"/>
    <cellStyle name="Data   - Style2 2 10 6" xfId="16579"/>
    <cellStyle name="Data   - Style2 2 10 7" xfId="16578"/>
    <cellStyle name="Data   - Style2 2 11" xfId="16577"/>
    <cellStyle name="Data   - Style2 2 12" xfId="16576"/>
    <cellStyle name="Data   - Style2 2 13" xfId="16575"/>
    <cellStyle name="Data   - Style2 2 14" xfId="16574"/>
    <cellStyle name="Data   - Style2 2 15" xfId="16573"/>
    <cellStyle name="Data   - Style2 2 16" xfId="16572"/>
    <cellStyle name="Data   - Style2 2 2" xfId="16571"/>
    <cellStyle name="Data   - Style2 2 2 10" xfId="16570"/>
    <cellStyle name="Data   - Style2 2 2 11" xfId="16569"/>
    <cellStyle name="Data   - Style2 2 2 12" xfId="16568"/>
    <cellStyle name="Data   - Style2 2 2 13" xfId="16567"/>
    <cellStyle name="Data   - Style2 2 2 14" xfId="16566"/>
    <cellStyle name="Data   - Style2 2 2 2" xfId="16565"/>
    <cellStyle name="Data   - Style2 2 2 2 2" xfId="16564"/>
    <cellStyle name="Data   - Style2 2 2 2 3" xfId="16563"/>
    <cellStyle name="Data   - Style2 2 2 2 4" xfId="16562"/>
    <cellStyle name="Data   - Style2 2 2 2 5" xfId="16561"/>
    <cellStyle name="Data   - Style2 2 2 2 6" xfId="16560"/>
    <cellStyle name="Data   - Style2 2 2 2 7" xfId="16559"/>
    <cellStyle name="Data   - Style2 2 2 3" xfId="16558"/>
    <cellStyle name="Data   - Style2 2 2 3 2" xfId="16557"/>
    <cellStyle name="Data   - Style2 2 2 3 3" xfId="16556"/>
    <cellStyle name="Data   - Style2 2 2 3 4" xfId="16555"/>
    <cellStyle name="Data   - Style2 2 2 3 5" xfId="16554"/>
    <cellStyle name="Data   - Style2 2 2 3 6" xfId="16553"/>
    <cellStyle name="Data   - Style2 2 2 3 7" xfId="16552"/>
    <cellStyle name="Data   - Style2 2 2 4" xfId="16551"/>
    <cellStyle name="Data   - Style2 2 2 4 2" xfId="16550"/>
    <cellStyle name="Data   - Style2 2 2 4 3" xfId="16549"/>
    <cellStyle name="Data   - Style2 2 2 4 4" xfId="16548"/>
    <cellStyle name="Data   - Style2 2 2 4 5" xfId="16547"/>
    <cellStyle name="Data   - Style2 2 2 4 6" xfId="16546"/>
    <cellStyle name="Data   - Style2 2 2 4 7" xfId="16545"/>
    <cellStyle name="Data   - Style2 2 2 5" xfId="16544"/>
    <cellStyle name="Data   - Style2 2 2 5 2" xfId="16543"/>
    <cellStyle name="Data   - Style2 2 2 5 3" xfId="16542"/>
    <cellStyle name="Data   - Style2 2 2 5 4" xfId="16541"/>
    <cellStyle name="Data   - Style2 2 2 5 5" xfId="16540"/>
    <cellStyle name="Data   - Style2 2 2 5 6" xfId="16539"/>
    <cellStyle name="Data   - Style2 2 2 5 7" xfId="16538"/>
    <cellStyle name="Data   - Style2 2 2 6" xfId="16537"/>
    <cellStyle name="Data   - Style2 2 2 6 2" xfId="16536"/>
    <cellStyle name="Data   - Style2 2 2 6 3" xfId="16535"/>
    <cellStyle name="Data   - Style2 2 2 6 4" xfId="16534"/>
    <cellStyle name="Data   - Style2 2 2 6 5" xfId="16533"/>
    <cellStyle name="Data   - Style2 2 2 6 6" xfId="16532"/>
    <cellStyle name="Data   - Style2 2 2 6 7" xfId="16531"/>
    <cellStyle name="Data   - Style2 2 2 7" xfId="16530"/>
    <cellStyle name="Data   - Style2 2 2 7 2" xfId="16529"/>
    <cellStyle name="Data   - Style2 2 2 7 3" xfId="16528"/>
    <cellStyle name="Data   - Style2 2 2 7 4" xfId="16527"/>
    <cellStyle name="Data   - Style2 2 2 7 5" xfId="16526"/>
    <cellStyle name="Data   - Style2 2 2 7 6" xfId="16525"/>
    <cellStyle name="Data   - Style2 2 2 7 7" xfId="16524"/>
    <cellStyle name="Data   - Style2 2 2 8" xfId="16523"/>
    <cellStyle name="Data   - Style2 2 2 8 2" xfId="16522"/>
    <cellStyle name="Data   - Style2 2 2 8 3" xfId="16521"/>
    <cellStyle name="Data   - Style2 2 2 8 4" xfId="16520"/>
    <cellStyle name="Data   - Style2 2 2 8 5" xfId="16519"/>
    <cellStyle name="Data   - Style2 2 2 8 6" xfId="16518"/>
    <cellStyle name="Data   - Style2 2 2 8 7" xfId="16517"/>
    <cellStyle name="Data   - Style2 2 2 9" xfId="16516"/>
    <cellStyle name="Data   - Style2 2 3" xfId="16515"/>
    <cellStyle name="Data   - Style2 2 3 2" xfId="16514"/>
    <cellStyle name="Data   - Style2 2 3 3" xfId="16513"/>
    <cellStyle name="Data   - Style2 2 3 4" xfId="16512"/>
    <cellStyle name="Data   - Style2 2 3 5" xfId="16511"/>
    <cellStyle name="Data   - Style2 2 3 6" xfId="16510"/>
    <cellStyle name="Data   - Style2 2 3 7" xfId="16509"/>
    <cellStyle name="Data   - Style2 2 4" xfId="16508"/>
    <cellStyle name="Data   - Style2 2 4 2" xfId="16507"/>
    <cellStyle name="Data   - Style2 2 4 3" xfId="16506"/>
    <cellStyle name="Data   - Style2 2 4 4" xfId="16505"/>
    <cellStyle name="Data   - Style2 2 4 5" xfId="16504"/>
    <cellStyle name="Data   - Style2 2 4 6" xfId="16503"/>
    <cellStyle name="Data   - Style2 2 4 7" xfId="16502"/>
    <cellStyle name="Data   - Style2 2 5" xfId="16501"/>
    <cellStyle name="Data   - Style2 2 5 2" xfId="16500"/>
    <cellStyle name="Data   - Style2 2 5 3" xfId="16499"/>
    <cellStyle name="Data   - Style2 2 5 4" xfId="16498"/>
    <cellStyle name="Data   - Style2 2 5 5" xfId="16497"/>
    <cellStyle name="Data   - Style2 2 5 6" xfId="16496"/>
    <cellStyle name="Data   - Style2 2 5 7" xfId="16495"/>
    <cellStyle name="Data   - Style2 2 6" xfId="16494"/>
    <cellStyle name="Data   - Style2 2 6 2" xfId="16493"/>
    <cellStyle name="Data   - Style2 2 6 3" xfId="16492"/>
    <cellStyle name="Data   - Style2 2 6 4" xfId="16491"/>
    <cellStyle name="Data   - Style2 2 6 5" xfId="16490"/>
    <cellStyle name="Data   - Style2 2 6 6" xfId="16489"/>
    <cellStyle name="Data   - Style2 2 6 7" xfId="16488"/>
    <cellStyle name="Data   - Style2 2 7" xfId="16487"/>
    <cellStyle name="Data   - Style2 2 7 2" xfId="16486"/>
    <cellStyle name="Data   - Style2 2 7 3" xfId="16485"/>
    <cellStyle name="Data   - Style2 2 7 4" xfId="16484"/>
    <cellStyle name="Data   - Style2 2 7 5" xfId="16483"/>
    <cellStyle name="Data   - Style2 2 7 6" xfId="16482"/>
    <cellStyle name="Data   - Style2 2 7 7" xfId="16481"/>
    <cellStyle name="Data   - Style2 2 8" xfId="16480"/>
    <cellStyle name="Data   - Style2 2 8 2" xfId="16479"/>
    <cellStyle name="Data   - Style2 2 8 3" xfId="16478"/>
    <cellStyle name="Data   - Style2 2 8 4" xfId="16477"/>
    <cellStyle name="Data   - Style2 2 8 5" xfId="16476"/>
    <cellStyle name="Data   - Style2 2 8 6" xfId="16475"/>
    <cellStyle name="Data   - Style2 2 8 7" xfId="16474"/>
    <cellStyle name="Data   - Style2 2 9" xfId="16473"/>
    <cellStyle name="Data   - Style2 2 9 2" xfId="16472"/>
    <cellStyle name="Data   - Style2 2 9 3" xfId="16471"/>
    <cellStyle name="Data   - Style2 2 9 4" xfId="16470"/>
    <cellStyle name="Data   - Style2 2 9 5" xfId="16469"/>
    <cellStyle name="Data   - Style2 2 9 6" xfId="16468"/>
    <cellStyle name="Data   - Style2 2 9 7" xfId="16467"/>
    <cellStyle name="Data   - Style2 20" xfId="16466"/>
    <cellStyle name="Data   - Style2 21" xfId="16465"/>
    <cellStyle name="Data   - Style2 22" xfId="16464"/>
    <cellStyle name="Data   - Style2 23" xfId="16463"/>
    <cellStyle name="Data   - Style2 3" xfId="16462"/>
    <cellStyle name="Data   - Style2 3 10" xfId="16461"/>
    <cellStyle name="Data   - Style2 3 10 2" xfId="16460"/>
    <cellStyle name="Data   - Style2 3 10 3" xfId="16459"/>
    <cellStyle name="Data   - Style2 3 10 4" xfId="16458"/>
    <cellStyle name="Data   - Style2 3 10 5" xfId="16457"/>
    <cellStyle name="Data   - Style2 3 10 6" xfId="16456"/>
    <cellStyle name="Data   - Style2 3 10 7" xfId="16455"/>
    <cellStyle name="Data   - Style2 3 11" xfId="16454"/>
    <cellStyle name="Data   - Style2 3 12" xfId="16453"/>
    <cellStyle name="Data   - Style2 3 13" xfId="16452"/>
    <cellStyle name="Data   - Style2 3 14" xfId="16451"/>
    <cellStyle name="Data   - Style2 3 15" xfId="16450"/>
    <cellStyle name="Data   - Style2 3 16" xfId="16449"/>
    <cellStyle name="Data   - Style2 3 2" xfId="16448"/>
    <cellStyle name="Data   - Style2 3 2 10" xfId="16447"/>
    <cellStyle name="Data   - Style2 3 2 11" xfId="16446"/>
    <cellStyle name="Data   - Style2 3 2 12" xfId="16445"/>
    <cellStyle name="Data   - Style2 3 2 13" xfId="16444"/>
    <cellStyle name="Data   - Style2 3 2 14" xfId="16443"/>
    <cellStyle name="Data   - Style2 3 2 2" xfId="16442"/>
    <cellStyle name="Data   - Style2 3 2 2 2" xfId="16441"/>
    <cellStyle name="Data   - Style2 3 2 2 3" xfId="16440"/>
    <cellStyle name="Data   - Style2 3 2 2 4" xfId="16439"/>
    <cellStyle name="Data   - Style2 3 2 2 5" xfId="16438"/>
    <cellStyle name="Data   - Style2 3 2 2 6" xfId="16437"/>
    <cellStyle name="Data   - Style2 3 2 2 7" xfId="16436"/>
    <cellStyle name="Data   - Style2 3 2 3" xfId="16435"/>
    <cellStyle name="Data   - Style2 3 2 3 2" xfId="16434"/>
    <cellStyle name="Data   - Style2 3 2 3 3" xfId="16433"/>
    <cellStyle name="Data   - Style2 3 2 3 4" xfId="16432"/>
    <cellStyle name="Data   - Style2 3 2 3 5" xfId="16431"/>
    <cellStyle name="Data   - Style2 3 2 3 6" xfId="16430"/>
    <cellStyle name="Data   - Style2 3 2 3 7" xfId="16429"/>
    <cellStyle name="Data   - Style2 3 2 4" xfId="16428"/>
    <cellStyle name="Data   - Style2 3 2 4 2" xfId="16427"/>
    <cellStyle name="Data   - Style2 3 2 4 3" xfId="16426"/>
    <cellStyle name="Data   - Style2 3 2 4 4" xfId="16425"/>
    <cellStyle name="Data   - Style2 3 2 4 5" xfId="16424"/>
    <cellStyle name="Data   - Style2 3 2 4 6" xfId="16423"/>
    <cellStyle name="Data   - Style2 3 2 4 7" xfId="16422"/>
    <cellStyle name="Data   - Style2 3 2 5" xfId="16421"/>
    <cellStyle name="Data   - Style2 3 2 5 2" xfId="16420"/>
    <cellStyle name="Data   - Style2 3 2 5 3" xfId="16419"/>
    <cellStyle name="Data   - Style2 3 2 5 4" xfId="16418"/>
    <cellStyle name="Data   - Style2 3 2 5 5" xfId="16417"/>
    <cellStyle name="Data   - Style2 3 2 5 6" xfId="16416"/>
    <cellStyle name="Data   - Style2 3 2 5 7" xfId="16415"/>
    <cellStyle name="Data   - Style2 3 2 6" xfId="16414"/>
    <cellStyle name="Data   - Style2 3 2 6 2" xfId="16413"/>
    <cellStyle name="Data   - Style2 3 2 6 3" xfId="16412"/>
    <cellStyle name="Data   - Style2 3 2 6 4" xfId="16411"/>
    <cellStyle name="Data   - Style2 3 2 6 5" xfId="16410"/>
    <cellStyle name="Data   - Style2 3 2 6 6" xfId="16409"/>
    <cellStyle name="Data   - Style2 3 2 6 7" xfId="16408"/>
    <cellStyle name="Data   - Style2 3 2 7" xfId="16407"/>
    <cellStyle name="Data   - Style2 3 2 7 2" xfId="16406"/>
    <cellStyle name="Data   - Style2 3 2 7 3" xfId="16405"/>
    <cellStyle name="Data   - Style2 3 2 7 4" xfId="16404"/>
    <cellStyle name="Data   - Style2 3 2 7 5" xfId="16403"/>
    <cellStyle name="Data   - Style2 3 2 7 6" xfId="16402"/>
    <cellStyle name="Data   - Style2 3 2 7 7" xfId="16401"/>
    <cellStyle name="Data   - Style2 3 2 8" xfId="16400"/>
    <cellStyle name="Data   - Style2 3 2 8 2" xfId="16399"/>
    <cellStyle name="Data   - Style2 3 2 8 3" xfId="16398"/>
    <cellStyle name="Data   - Style2 3 2 8 4" xfId="16397"/>
    <cellStyle name="Data   - Style2 3 2 8 5" xfId="16396"/>
    <cellStyle name="Data   - Style2 3 2 8 6" xfId="16395"/>
    <cellStyle name="Data   - Style2 3 2 8 7" xfId="16394"/>
    <cellStyle name="Data   - Style2 3 2 9" xfId="16393"/>
    <cellStyle name="Data   - Style2 3 3" xfId="16392"/>
    <cellStyle name="Data   - Style2 3 3 2" xfId="16391"/>
    <cellStyle name="Data   - Style2 3 3 3" xfId="16390"/>
    <cellStyle name="Data   - Style2 3 3 4" xfId="16389"/>
    <cellStyle name="Data   - Style2 3 3 5" xfId="16388"/>
    <cellStyle name="Data   - Style2 3 3 6" xfId="16387"/>
    <cellStyle name="Data   - Style2 3 3 7" xfId="16386"/>
    <cellStyle name="Data   - Style2 3 4" xfId="16385"/>
    <cellStyle name="Data   - Style2 3 4 2" xfId="16384"/>
    <cellStyle name="Data   - Style2 3 4 3" xfId="16383"/>
    <cellStyle name="Data   - Style2 3 4 4" xfId="16382"/>
    <cellStyle name="Data   - Style2 3 4 5" xfId="16381"/>
    <cellStyle name="Data   - Style2 3 4 6" xfId="16380"/>
    <cellStyle name="Data   - Style2 3 4 7" xfId="16379"/>
    <cellStyle name="Data   - Style2 3 5" xfId="16378"/>
    <cellStyle name="Data   - Style2 3 5 2" xfId="16377"/>
    <cellStyle name="Data   - Style2 3 5 3" xfId="16376"/>
    <cellStyle name="Data   - Style2 3 5 4" xfId="16375"/>
    <cellStyle name="Data   - Style2 3 5 5" xfId="16374"/>
    <cellStyle name="Data   - Style2 3 5 6" xfId="16373"/>
    <cellStyle name="Data   - Style2 3 5 7" xfId="16372"/>
    <cellStyle name="Data   - Style2 3 6" xfId="16371"/>
    <cellStyle name="Data   - Style2 3 6 2" xfId="16370"/>
    <cellStyle name="Data   - Style2 3 6 3" xfId="16369"/>
    <cellStyle name="Data   - Style2 3 6 4" xfId="16368"/>
    <cellStyle name="Data   - Style2 3 6 5" xfId="16367"/>
    <cellStyle name="Data   - Style2 3 6 6" xfId="16366"/>
    <cellStyle name="Data   - Style2 3 6 7" xfId="16365"/>
    <cellStyle name="Data   - Style2 3 7" xfId="16364"/>
    <cellStyle name="Data   - Style2 3 7 2" xfId="16363"/>
    <cellStyle name="Data   - Style2 3 7 3" xfId="16362"/>
    <cellStyle name="Data   - Style2 3 7 4" xfId="16361"/>
    <cellStyle name="Data   - Style2 3 7 5" xfId="16360"/>
    <cellStyle name="Data   - Style2 3 7 6" xfId="16359"/>
    <cellStyle name="Data   - Style2 3 7 7" xfId="16358"/>
    <cellStyle name="Data   - Style2 3 8" xfId="16357"/>
    <cellStyle name="Data   - Style2 3 8 2" xfId="16356"/>
    <cellStyle name="Data   - Style2 3 8 3" xfId="16355"/>
    <cellStyle name="Data   - Style2 3 8 4" xfId="16354"/>
    <cellStyle name="Data   - Style2 3 8 5" xfId="16353"/>
    <cellStyle name="Data   - Style2 3 8 6" xfId="16352"/>
    <cellStyle name="Data   - Style2 3 8 7" xfId="16351"/>
    <cellStyle name="Data   - Style2 3 9" xfId="16350"/>
    <cellStyle name="Data   - Style2 3 9 2" xfId="16349"/>
    <cellStyle name="Data   - Style2 3 9 3" xfId="16348"/>
    <cellStyle name="Data   - Style2 3 9 4" xfId="16347"/>
    <cellStyle name="Data   - Style2 3 9 5" xfId="16346"/>
    <cellStyle name="Data   - Style2 3 9 6" xfId="16345"/>
    <cellStyle name="Data   - Style2 3 9 7" xfId="16344"/>
    <cellStyle name="Data   - Style2 4" xfId="16343"/>
    <cellStyle name="Data   - Style2 4 10" xfId="16342"/>
    <cellStyle name="Data   - Style2 4 11" xfId="16341"/>
    <cellStyle name="Data   - Style2 4 12" xfId="16340"/>
    <cellStyle name="Data   - Style2 4 13" xfId="16339"/>
    <cellStyle name="Data   - Style2 4 14" xfId="16338"/>
    <cellStyle name="Data   - Style2 4 2" xfId="16337"/>
    <cellStyle name="Data   - Style2 4 2 2" xfId="16336"/>
    <cellStyle name="Data   - Style2 4 2 2 2" xfId="16335"/>
    <cellStyle name="Data   - Style2 4 2 3" xfId="16334"/>
    <cellStyle name="Data   - Style2 4 2 4" xfId="16333"/>
    <cellStyle name="Data   - Style2 4 2 5" xfId="16332"/>
    <cellStyle name="Data   - Style2 4 2 6" xfId="16331"/>
    <cellStyle name="Data   - Style2 4 2 7" xfId="16330"/>
    <cellStyle name="Data   - Style2 4 3" xfId="16329"/>
    <cellStyle name="Data   - Style2 4 3 2" xfId="16328"/>
    <cellStyle name="Data   - Style2 4 3 3" xfId="16327"/>
    <cellStyle name="Data   - Style2 4 3 4" xfId="16326"/>
    <cellStyle name="Data   - Style2 4 3 5" xfId="16325"/>
    <cellStyle name="Data   - Style2 4 3 6" xfId="16324"/>
    <cellStyle name="Data   - Style2 4 3 7" xfId="16323"/>
    <cellStyle name="Data   - Style2 4 4" xfId="16322"/>
    <cellStyle name="Data   - Style2 4 4 2" xfId="16321"/>
    <cellStyle name="Data   - Style2 4 4 3" xfId="16320"/>
    <cellStyle name="Data   - Style2 4 4 4" xfId="16319"/>
    <cellStyle name="Data   - Style2 4 4 5" xfId="16318"/>
    <cellStyle name="Data   - Style2 4 4 6" xfId="16317"/>
    <cellStyle name="Data   - Style2 4 4 7" xfId="16316"/>
    <cellStyle name="Data   - Style2 4 5" xfId="16315"/>
    <cellStyle name="Data   - Style2 4 5 2" xfId="16314"/>
    <cellStyle name="Data   - Style2 4 5 3" xfId="16313"/>
    <cellStyle name="Data   - Style2 4 5 4" xfId="16312"/>
    <cellStyle name="Data   - Style2 4 5 5" xfId="16311"/>
    <cellStyle name="Data   - Style2 4 5 6" xfId="16310"/>
    <cellStyle name="Data   - Style2 4 5 7" xfId="16309"/>
    <cellStyle name="Data   - Style2 4 6" xfId="16308"/>
    <cellStyle name="Data   - Style2 4 6 2" xfId="16307"/>
    <cellStyle name="Data   - Style2 4 6 3" xfId="16306"/>
    <cellStyle name="Data   - Style2 4 6 4" xfId="16305"/>
    <cellStyle name="Data   - Style2 4 6 5" xfId="16304"/>
    <cellStyle name="Data   - Style2 4 6 6" xfId="16303"/>
    <cellStyle name="Data   - Style2 4 6 7" xfId="16302"/>
    <cellStyle name="Data   - Style2 4 7" xfId="16301"/>
    <cellStyle name="Data   - Style2 4 7 2" xfId="16300"/>
    <cellStyle name="Data   - Style2 4 7 3" xfId="16299"/>
    <cellStyle name="Data   - Style2 4 7 4" xfId="16298"/>
    <cellStyle name="Data   - Style2 4 7 5" xfId="16297"/>
    <cellStyle name="Data   - Style2 4 7 6" xfId="16296"/>
    <cellStyle name="Data   - Style2 4 7 7" xfId="16295"/>
    <cellStyle name="Data   - Style2 4 8" xfId="16294"/>
    <cellStyle name="Data   - Style2 4 8 2" xfId="16293"/>
    <cellStyle name="Data   - Style2 4 8 3" xfId="16292"/>
    <cellStyle name="Data   - Style2 4 8 4" xfId="16291"/>
    <cellStyle name="Data   - Style2 4 8 5" xfId="16290"/>
    <cellStyle name="Data   - Style2 4 8 6" xfId="16289"/>
    <cellStyle name="Data   - Style2 4 8 7" xfId="16288"/>
    <cellStyle name="Data   - Style2 4 9" xfId="16287"/>
    <cellStyle name="Data   - Style2 5" xfId="16286"/>
    <cellStyle name="Data   - Style2 5 10" xfId="16285"/>
    <cellStyle name="Data   - Style2 5 2" xfId="16284"/>
    <cellStyle name="Data   - Style2 5 2 2" xfId="16283"/>
    <cellStyle name="Data   - Style2 5 2 2 2" xfId="16282"/>
    <cellStyle name="Data   - Style2 5 2 3" xfId="16281"/>
    <cellStyle name="Data   - Style2 5 3" xfId="16280"/>
    <cellStyle name="Data   - Style2 5 3 2" xfId="16279"/>
    <cellStyle name="Data   - Style2 5 4" xfId="16278"/>
    <cellStyle name="Data   - Style2 5 5" xfId="16277"/>
    <cellStyle name="Data   - Style2 5 6" xfId="16276"/>
    <cellStyle name="Data   - Style2 5 7" xfId="16275"/>
    <cellStyle name="Data   - Style2 5 8" xfId="16274"/>
    <cellStyle name="Data   - Style2 5 9" xfId="16273"/>
    <cellStyle name="Data   - Style2 6" xfId="16272"/>
    <cellStyle name="Data   - Style2 6 10" xfId="16271"/>
    <cellStyle name="Data   - Style2 6 2" xfId="16270"/>
    <cellStyle name="Data   - Style2 6 2 2" xfId="16269"/>
    <cellStyle name="Data   - Style2 6 2 2 2" xfId="16268"/>
    <cellStyle name="Data   - Style2 6 2 3" xfId="16267"/>
    <cellStyle name="Data   - Style2 6 3" xfId="16266"/>
    <cellStyle name="Data   - Style2 6 3 2" xfId="16265"/>
    <cellStyle name="Data   - Style2 6 4" xfId="16264"/>
    <cellStyle name="Data   - Style2 6 5" xfId="16263"/>
    <cellStyle name="Data   - Style2 6 6" xfId="16262"/>
    <cellStyle name="Data   - Style2 6 7" xfId="16261"/>
    <cellStyle name="Data   - Style2 6 8" xfId="16260"/>
    <cellStyle name="Data   - Style2 6 9" xfId="16259"/>
    <cellStyle name="Data   - Style2 7" xfId="16258"/>
    <cellStyle name="Data   - Style2 7 10" xfId="16257"/>
    <cellStyle name="Data   - Style2 7 2" xfId="16256"/>
    <cellStyle name="Data   - Style2 7 2 2" xfId="16255"/>
    <cellStyle name="Data   - Style2 7 2 2 2" xfId="16254"/>
    <cellStyle name="Data   - Style2 7 2 3" xfId="16253"/>
    <cellStyle name="Data   - Style2 7 3" xfId="16252"/>
    <cellStyle name="Data   - Style2 7 3 2" xfId="16251"/>
    <cellStyle name="Data   - Style2 7 4" xfId="16250"/>
    <cellStyle name="Data   - Style2 7 5" xfId="16249"/>
    <cellStyle name="Data   - Style2 7 6" xfId="16248"/>
    <cellStyle name="Data   - Style2 7 7" xfId="16247"/>
    <cellStyle name="Data   - Style2 7 8" xfId="16246"/>
    <cellStyle name="Data   - Style2 7 9" xfId="16245"/>
    <cellStyle name="Data   - Style2 8" xfId="16244"/>
    <cellStyle name="Data   - Style2 8 10" xfId="16243"/>
    <cellStyle name="Data   - Style2 8 2" xfId="16242"/>
    <cellStyle name="Data   - Style2 8 2 2" xfId="16241"/>
    <cellStyle name="Data   - Style2 8 2 2 2" xfId="16240"/>
    <cellStyle name="Data   - Style2 8 2 3" xfId="16239"/>
    <cellStyle name="Data   - Style2 8 3" xfId="16238"/>
    <cellStyle name="Data   - Style2 8 3 2" xfId="16237"/>
    <cellStyle name="Data   - Style2 8 4" xfId="16236"/>
    <cellStyle name="Data   - Style2 8 5" xfId="16235"/>
    <cellStyle name="Data   - Style2 8 6" xfId="16234"/>
    <cellStyle name="Data   - Style2 8 7" xfId="16233"/>
    <cellStyle name="Data   - Style2 8 8" xfId="16232"/>
    <cellStyle name="Data   - Style2 8 9" xfId="16231"/>
    <cellStyle name="Data   - Style2 9" xfId="16230"/>
    <cellStyle name="Data   - Style2 9 10" xfId="16229"/>
    <cellStyle name="Data   - Style2 9 2" xfId="16228"/>
    <cellStyle name="Data   - Style2 9 2 2" xfId="16227"/>
    <cellStyle name="Data   - Style2 9 2 2 2" xfId="16226"/>
    <cellStyle name="Data   - Style2 9 2 3" xfId="16225"/>
    <cellStyle name="Data   - Style2 9 3" xfId="16224"/>
    <cellStyle name="Data   - Style2 9 3 2" xfId="16223"/>
    <cellStyle name="Data   - Style2 9 4" xfId="16222"/>
    <cellStyle name="Data   - Style2 9 5" xfId="16221"/>
    <cellStyle name="Data   - Style2 9 6" xfId="16220"/>
    <cellStyle name="Data   - Style2 9 7" xfId="16219"/>
    <cellStyle name="Data   - Style2 9 8" xfId="16218"/>
    <cellStyle name="Data   - Style2 9 9" xfId="16217"/>
    <cellStyle name="Data   - 유형2" xfId="16216"/>
    <cellStyle name="Data   - 유형2 10" xfId="16215"/>
    <cellStyle name="Data   - 유형2 10 2" xfId="16214"/>
    <cellStyle name="Data   - 유형2 11" xfId="16213"/>
    <cellStyle name="Data   - 유형2 2" xfId="16212"/>
    <cellStyle name="Data   - 유형2 2 2" xfId="16211"/>
    <cellStyle name="Data   - 유형2 2 2 2" xfId="16210"/>
    <cellStyle name="Data   - 유형2 2 2 2 2" xfId="16209"/>
    <cellStyle name="Data   - 유형2 2 2 3" xfId="16208"/>
    <cellStyle name="Data   - 유형2 2 3" xfId="16207"/>
    <cellStyle name="Data   - 유형2 2 3 2" xfId="16206"/>
    <cellStyle name="Data   - 유형2 2 4" xfId="16205"/>
    <cellStyle name="Data   - 유형2 3" xfId="16204"/>
    <cellStyle name="Data   - 유형2 3 2" xfId="16203"/>
    <cellStyle name="Data   - 유형2 3 2 2" xfId="16202"/>
    <cellStyle name="Data   - 유형2 3 2 2 2" xfId="16201"/>
    <cellStyle name="Data   - 유형2 3 2 3" xfId="16200"/>
    <cellStyle name="Data   - 유형2 3 3" xfId="16199"/>
    <cellStyle name="Data   - 유형2 3 3 2" xfId="16198"/>
    <cellStyle name="Data   - 유형2 3 4" xfId="16197"/>
    <cellStyle name="Data   - 유형2 4" xfId="16196"/>
    <cellStyle name="Data   - 유형2 4 2" xfId="16195"/>
    <cellStyle name="Data   - 유형2 4 2 2" xfId="16194"/>
    <cellStyle name="Data   - 유형2 4 2 2 2" xfId="16193"/>
    <cellStyle name="Data   - 유형2 4 2 3" xfId="16192"/>
    <cellStyle name="Data   - 유형2 4 3" xfId="16191"/>
    <cellStyle name="Data   - 유형2 4 3 2" xfId="16190"/>
    <cellStyle name="Data   - 유형2 4 4" xfId="16189"/>
    <cellStyle name="Data   - 유형2 5" xfId="16188"/>
    <cellStyle name="Data   - 유형2 5 2" xfId="16187"/>
    <cellStyle name="Data   - 유형2 5 2 2" xfId="16186"/>
    <cellStyle name="Data   - 유형2 5 2 2 2" xfId="16185"/>
    <cellStyle name="Data   - 유형2 5 2 3" xfId="16184"/>
    <cellStyle name="Data   - 유형2 5 3" xfId="16183"/>
    <cellStyle name="Data   - 유형2 5 3 2" xfId="16182"/>
    <cellStyle name="Data   - 유형2 5 4" xfId="16181"/>
    <cellStyle name="Data   - 유형2 6" xfId="16180"/>
    <cellStyle name="Data   - 유형2 6 2" xfId="16179"/>
    <cellStyle name="Data   - 유형2 6 2 2" xfId="16178"/>
    <cellStyle name="Data   - 유형2 6 2 2 2" xfId="16177"/>
    <cellStyle name="Data   - 유형2 6 2 3" xfId="16176"/>
    <cellStyle name="Data   - 유형2 6 3" xfId="16175"/>
    <cellStyle name="Data   - 유형2 6 3 2" xfId="16174"/>
    <cellStyle name="Data   - 유형2 6 4" xfId="16173"/>
    <cellStyle name="Data   - 유형2 7" xfId="16172"/>
    <cellStyle name="Data   - 유형2 7 2" xfId="16171"/>
    <cellStyle name="Data   - 유형2 7 2 2" xfId="16170"/>
    <cellStyle name="Data   - 유형2 7 2 2 2" xfId="16169"/>
    <cellStyle name="Data   - 유형2 7 2 3" xfId="16168"/>
    <cellStyle name="Data   - 유형2 7 3" xfId="16167"/>
    <cellStyle name="Data   - 유형2 7 3 2" xfId="16166"/>
    <cellStyle name="Data   - 유형2 7 4" xfId="16165"/>
    <cellStyle name="Data   - 유형2 8" xfId="16164"/>
    <cellStyle name="Data   - 유형2 8 2" xfId="16163"/>
    <cellStyle name="Data   - 유형2 8 2 2" xfId="16162"/>
    <cellStyle name="Data   - 유형2 8 2 2 2" xfId="16161"/>
    <cellStyle name="Data   - 유형2 8 2 3" xfId="16160"/>
    <cellStyle name="Data   - 유형2 8 3" xfId="16159"/>
    <cellStyle name="Data   - 유형2 8 3 2" xfId="16158"/>
    <cellStyle name="Data   - 유형2 8 4" xfId="16157"/>
    <cellStyle name="Data   - 유형2 9" xfId="16156"/>
    <cellStyle name="Data   - 유형2 9 2" xfId="16155"/>
    <cellStyle name="Data   - 유형2 9 2 2" xfId="16154"/>
    <cellStyle name="Data   - 유형2 9 3" xfId="16153"/>
    <cellStyle name="Data   10" xfId="16152"/>
    <cellStyle name="Data   10 2" xfId="16151"/>
    <cellStyle name="Data   10 3" xfId="16150"/>
    <cellStyle name="Data   10 4" xfId="16149"/>
    <cellStyle name="Data   10 5" xfId="16148"/>
    <cellStyle name="Data   10 6" xfId="16147"/>
    <cellStyle name="Data   10 7" xfId="16146"/>
    <cellStyle name="Data   11" xfId="16145"/>
    <cellStyle name="Data   11 2" xfId="16144"/>
    <cellStyle name="Data   11 3" xfId="16143"/>
    <cellStyle name="Data   11 4" xfId="16142"/>
    <cellStyle name="Data   11 5" xfId="16141"/>
    <cellStyle name="Data   11 6" xfId="16140"/>
    <cellStyle name="Data   11 7" xfId="16139"/>
    <cellStyle name="Data   12" xfId="16138"/>
    <cellStyle name="Data   12 2" xfId="16137"/>
    <cellStyle name="Data   12 3" xfId="16136"/>
    <cellStyle name="Data   12 4" xfId="16135"/>
    <cellStyle name="Data   12 5" xfId="16134"/>
    <cellStyle name="Data   12 6" xfId="16133"/>
    <cellStyle name="Data   12 7" xfId="16132"/>
    <cellStyle name="Data   13" xfId="16131"/>
    <cellStyle name="Data   14" xfId="16130"/>
    <cellStyle name="Data   15" xfId="16129"/>
    <cellStyle name="Data   16" xfId="16128"/>
    <cellStyle name="Data   2" xfId="16127"/>
    <cellStyle name="Data   2 10" xfId="16126"/>
    <cellStyle name="Data   2 10 2" xfId="16125"/>
    <cellStyle name="Data   2 10 3" xfId="16124"/>
    <cellStyle name="Data   2 10 4" xfId="16123"/>
    <cellStyle name="Data   2 10 5" xfId="16122"/>
    <cellStyle name="Data   2 10 6" xfId="16121"/>
    <cellStyle name="Data   2 10 7" xfId="16120"/>
    <cellStyle name="Data   2 11" xfId="16119"/>
    <cellStyle name="Data   2 12" xfId="16118"/>
    <cellStyle name="Data   2 13" xfId="16117"/>
    <cellStyle name="Data   2 14" xfId="16116"/>
    <cellStyle name="Data   2 15" xfId="16115"/>
    <cellStyle name="Data   2 16" xfId="16114"/>
    <cellStyle name="Data   2 2" xfId="16113"/>
    <cellStyle name="Data   2 2 10" xfId="16112"/>
    <cellStyle name="Data   2 2 11" xfId="16111"/>
    <cellStyle name="Data   2 2 12" xfId="16110"/>
    <cellStyle name="Data   2 2 13" xfId="16109"/>
    <cellStyle name="Data   2 2 14" xfId="16108"/>
    <cellStyle name="Data   2 2 2" xfId="16107"/>
    <cellStyle name="Data   2 2 2 2" xfId="16106"/>
    <cellStyle name="Data   2 2 2 3" xfId="16105"/>
    <cellStyle name="Data   2 2 2 4" xfId="16104"/>
    <cellStyle name="Data   2 2 2 5" xfId="16103"/>
    <cellStyle name="Data   2 2 2 6" xfId="16102"/>
    <cellStyle name="Data   2 2 2 7" xfId="16101"/>
    <cellStyle name="Data   2 2 3" xfId="16100"/>
    <cellStyle name="Data   2 2 3 2" xfId="16099"/>
    <cellStyle name="Data   2 2 3 3" xfId="16098"/>
    <cellStyle name="Data   2 2 3 4" xfId="16097"/>
    <cellStyle name="Data   2 2 3 5" xfId="16096"/>
    <cellStyle name="Data   2 2 3 6" xfId="16095"/>
    <cellStyle name="Data   2 2 3 7" xfId="16094"/>
    <cellStyle name="Data   2 2 4" xfId="16093"/>
    <cellStyle name="Data   2 2 4 2" xfId="16092"/>
    <cellStyle name="Data   2 2 4 3" xfId="16091"/>
    <cellStyle name="Data   2 2 4 4" xfId="16090"/>
    <cellStyle name="Data   2 2 4 5" xfId="16089"/>
    <cellStyle name="Data   2 2 4 6" xfId="16088"/>
    <cellStyle name="Data   2 2 4 7" xfId="16087"/>
    <cellStyle name="Data   2 2 5" xfId="16086"/>
    <cellStyle name="Data   2 2 5 2" xfId="16085"/>
    <cellStyle name="Data   2 2 5 3" xfId="16084"/>
    <cellStyle name="Data   2 2 5 4" xfId="16083"/>
    <cellStyle name="Data   2 2 5 5" xfId="16082"/>
    <cellStyle name="Data   2 2 5 6" xfId="16081"/>
    <cellStyle name="Data   2 2 5 7" xfId="16080"/>
    <cellStyle name="Data   2 2 6" xfId="16079"/>
    <cellStyle name="Data   2 2 6 2" xfId="16078"/>
    <cellStyle name="Data   2 2 6 3" xfId="16077"/>
    <cellStyle name="Data   2 2 6 4" xfId="16076"/>
    <cellStyle name="Data   2 2 6 5" xfId="16075"/>
    <cellStyle name="Data   2 2 6 6" xfId="16074"/>
    <cellStyle name="Data   2 2 6 7" xfId="16073"/>
    <cellStyle name="Data   2 2 7" xfId="16072"/>
    <cellStyle name="Data   2 2 7 2" xfId="16071"/>
    <cellStyle name="Data   2 2 7 3" xfId="16070"/>
    <cellStyle name="Data   2 2 7 4" xfId="16069"/>
    <cellStyle name="Data   2 2 7 5" xfId="16068"/>
    <cellStyle name="Data   2 2 7 6" xfId="16067"/>
    <cellStyle name="Data   2 2 7 7" xfId="16066"/>
    <cellStyle name="Data   2 2 8" xfId="16065"/>
    <cellStyle name="Data   2 2 8 2" xfId="16064"/>
    <cellStyle name="Data   2 2 8 3" xfId="16063"/>
    <cellStyle name="Data   2 2 8 4" xfId="16062"/>
    <cellStyle name="Data   2 2 8 5" xfId="16061"/>
    <cellStyle name="Data   2 2 8 6" xfId="16060"/>
    <cellStyle name="Data   2 2 8 7" xfId="16059"/>
    <cellStyle name="Data   2 2 9" xfId="16058"/>
    <cellStyle name="Data   2 3" xfId="16057"/>
    <cellStyle name="Data   2 3 2" xfId="16056"/>
    <cellStyle name="Data   2 3 3" xfId="16055"/>
    <cellStyle name="Data   2 3 4" xfId="16054"/>
    <cellStyle name="Data   2 3 5" xfId="16053"/>
    <cellStyle name="Data   2 3 6" xfId="16052"/>
    <cellStyle name="Data   2 3 7" xfId="16051"/>
    <cellStyle name="Data   2 4" xfId="16050"/>
    <cellStyle name="Data   2 4 2" xfId="16049"/>
    <cellStyle name="Data   2 4 3" xfId="16048"/>
    <cellStyle name="Data   2 4 4" xfId="16047"/>
    <cellStyle name="Data   2 4 5" xfId="16046"/>
    <cellStyle name="Data   2 4 6" xfId="16045"/>
    <cellStyle name="Data   2 4 7" xfId="16044"/>
    <cellStyle name="Data   2 5" xfId="16043"/>
    <cellStyle name="Data   2 5 2" xfId="16042"/>
    <cellStyle name="Data   2 5 3" xfId="16041"/>
    <cellStyle name="Data   2 5 4" xfId="16040"/>
    <cellStyle name="Data   2 5 5" xfId="16039"/>
    <cellStyle name="Data   2 5 6" xfId="16038"/>
    <cellStyle name="Data   2 5 7" xfId="16037"/>
    <cellStyle name="Data   2 6" xfId="16036"/>
    <cellStyle name="Data   2 6 2" xfId="16035"/>
    <cellStyle name="Data   2 6 3" xfId="16034"/>
    <cellStyle name="Data   2 6 4" xfId="16033"/>
    <cellStyle name="Data   2 6 5" xfId="16032"/>
    <cellStyle name="Data   2 6 6" xfId="16031"/>
    <cellStyle name="Data   2 6 7" xfId="16030"/>
    <cellStyle name="Data   2 7" xfId="16029"/>
    <cellStyle name="Data   2 7 2" xfId="16028"/>
    <cellStyle name="Data   2 7 3" xfId="16027"/>
    <cellStyle name="Data   2 7 4" xfId="16026"/>
    <cellStyle name="Data   2 7 5" xfId="16025"/>
    <cellStyle name="Data   2 7 6" xfId="16024"/>
    <cellStyle name="Data   2 7 7" xfId="16023"/>
    <cellStyle name="Data   2 8" xfId="16022"/>
    <cellStyle name="Data   2 8 2" xfId="16021"/>
    <cellStyle name="Data   2 8 3" xfId="16020"/>
    <cellStyle name="Data   2 8 4" xfId="16019"/>
    <cellStyle name="Data   2 8 5" xfId="16018"/>
    <cellStyle name="Data   2 8 6" xfId="16017"/>
    <cellStyle name="Data   2 8 7" xfId="16016"/>
    <cellStyle name="Data   2 9" xfId="16015"/>
    <cellStyle name="Data   2 9 2" xfId="16014"/>
    <cellStyle name="Data   2 9 3" xfId="16013"/>
    <cellStyle name="Data   2 9 4" xfId="16012"/>
    <cellStyle name="Data   2 9 5" xfId="16011"/>
    <cellStyle name="Data   2 9 6" xfId="16010"/>
    <cellStyle name="Data   2 9 7" xfId="16009"/>
    <cellStyle name="Data   3" xfId="16008"/>
    <cellStyle name="Data   3 10" xfId="16007"/>
    <cellStyle name="Data   3 10 2" xfId="16006"/>
    <cellStyle name="Data   3 10 3" xfId="16005"/>
    <cellStyle name="Data   3 10 4" xfId="16004"/>
    <cellStyle name="Data   3 10 5" xfId="16003"/>
    <cellStyle name="Data   3 10 6" xfId="16002"/>
    <cellStyle name="Data   3 10 7" xfId="16001"/>
    <cellStyle name="Data   3 11" xfId="16000"/>
    <cellStyle name="Data   3 12" xfId="15999"/>
    <cellStyle name="Data   3 13" xfId="15998"/>
    <cellStyle name="Data   3 14" xfId="15997"/>
    <cellStyle name="Data   3 15" xfId="15996"/>
    <cellStyle name="Data   3 16" xfId="15995"/>
    <cellStyle name="Data   3 2" xfId="15994"/>
    <cellStyle name="Data   3 2 10" xfId="15993"/>
    <cellStyle name="Data   3 2 11" xfId="15992"/>
    <cellStyle name="Data   3 2 12" xfId="15991"/>
    <cellStyle name="Data   3 2 13" xfId="15990"/>
    <cellStyle name="Data   3 2 14" xfId="15989"/>
    <cellStyle name="Data   3 2 2" xfId="15988"/>
    <cellStyle name="Data   3 2 2 2" xfId="15987"/>
    <cellStyle name="Data   3 2 2 3" xfId="15986"/>
    <cellStyle name="Data   3 2 2 4" xfId="15985"/>
    <cellStyle name="Data   3 2 2 5" xfId="15984"/>
    <cellStyle name="Data   3 2 2 6" xfId="15983"/>
    <cellStyle name="Data   3 2 2 7" xfId="15982"/>
    <cellStyle name="Data   3 2 3" xfId="15981"/>
    <cellStyle name="Data   3 2 3 2" xfId="15980"/>
    <cellStyle name="Data   3 2 3 3" xfId="15979"/>
    <cellStyle name="Data   3 2 3 4" xfId="15978"/>
    <cellStyle name="Data   3 2 3 5" xfId="15977"/>
    <cellStyle name="Data   3 2 3 6" xfId="15976"/>
    <cellStyle name="Data   3 2 3 7" xfId="15975"/>
    <cellStyle name="Data   3 2 4" xfId="15974"/>
    <cellStyle name="Data   3 2 4 2" xfId="15973"/>
    <cellStyle name="Data   3 2 4 3" xfId="15972"/>
    <cellStyle name="Data   3 2 4 4" xfId="15971"/>
    <cellStyle name="Data   3 2 4 5" xfId="15970"/>
    <cellStyle name="Data   3 2 4 6" xfId="15969"/>
    <cellStyle name="Data   3 2 4 7" xfId="15968"/>
    <cellStyle name="Data   3 2 5" xfId="15967"/>
    <cellStyle name="Data   3 2 5 2" xfId="15966"/>
    <cellStyle name="Data   3 2 5 3" xfId="15965"/>
    <cellStyle name="Data   3 2 5 4" xfId="15964"/>
    <cellStyle name="Data   3 2 5 5" xfId="15963"/>
    <cellStyle name="Data   3 2 5 6" xfId="15962"/>
    <cellStyle name="Data   3 2 5 7" xfId="15961"/>
    <cellStyle name="Data   3 2 6" xfId="15960"/>
    <cellStyle name="Data   3 2 6 2" xfId="15959"/>
    <cellStyle name="Data   3 2 6 3" xfId="15958"/>
    <cellStyle name="Data   3 2 6 4" xfId="15957"/>
    <cellStyle name="Data   3 2 6 5" xfId="15956"/>
    <cellStyle name="Data   3 2 6 6" xfId="15955"/>
    <cellStyle name="Data   3 2 6 7" xfId="15954"/>
    <cellStyle name="Data   3 2 7" xfId="15953"/>
    <cellStyle name="Data   3 2 7 2" xfId="15952"/>
    <cellStyle name="Data   3 2 7 3" xfId="15951"/>
    <cellStyle name="Data   3 2 7 4" xfId="15950"/>
    <cellStyle name="Data   3 2 7 5" xfId="15949"/>
    <cellStyle name="Data   3 2 7 6" xfId="15948"/>
    <cellStyle name="Data   3 2 7 7" xfId="15947"/>
    <cellStyle name="Data   3 2 8" xfId="15946"/>
    <cellStyle name="Data   3 2 8 2" xfId="15945"/>
    <cellStyle name="Data   3 2 8 3" xfId="15944"/>
    <cellStyle name="Data   3 2 8 4" xfId="15943"/>
    <cellStyle name="Data   3 2 8 5" xfId="15942"/>
    <cellStyle name="Data   3 2 8 6" xfId="15941"/>
    <cellStyle name="Data   3 2 8 7" xfId="15940"/>
    <cellStyle name="Data   3 2 9" xfId="15939"/>
    <cellStyle name="Data   3 3" xfId="15938"/>
    <cellStyle name="Data   3 3 2" xfId="15937"/>
    <cellStyle name="Data   3 3 3" xfId="15936"/>
    <cellStyle name="Data   3 3 4" xfId="15935"/>
    <cellStyle name="Data   3 3 5" xfId="15934"/>
    <cellStyle name="Data   3 3 6" xfId="15933"/>
    <cellStyle name="Data   3 3 7" xfId="15932"/>
    <cellStyle name="Data   3 4" xfId="15931"/>
    <cellStyle name="Data   3 4 2" xfId="15930"/>
    <cellStyle name="Data   3 4 3" xfId="15929"/>
    <cellStyle name="Data   3 4 4" xfId="15928"/>
    <cellStyle name="Data   3 4 5" xfId="15927"/>
    <cellStyle name="Data   3 4 6" xfId="15926"/>
    <cellStyle name="Data   3 4 7" xfId="15925"/>
    <cellStyle name="Data   3 5" xfId="15924"/>
    <cellStyle name="Data   3 5 2" xfId="15923"/>
    <cellStyle name="Data   3 5 3" xfId="15922"/>
    <cellStyle name="Data   3 5 4" xfId="15921"/>
    <cellStyle name="Data   3 5 5" xfId="15920"/>
    <cellStyle name="Data   3 5 6" xfId="15919"/>
    <cellStyle name="Data   3 5 7" xfId="15918"/>
    <cellStyle name="Data   3 6" xfId="15917"/>
    <cellStyle name="Data   3 6 2" xfId="15916"/>
    <cellStyle name="Data   3 6 3" xfId="15915"/>
    <cellStyle name="Data   3 6 4" xfId="15914"/>
    <cellStyle name="Data   3 6 5" xfId="15913"/>
    <cellStyle name="Data   3 6 6" xfId="15912"/>
    <cellStyle name="Data   3 6 7" xfId="15911"/>
    <cellStyle name="Data   3 7" xfId="15910"/>
    <cellStyle name="Data   3 7 2" xfId="15909"/>
    <cellStyle name="Data   3 7 3" xfId="15908"/>
    <cellStyle name="Data   3 7 4" xfId="15907"/>
    <cellStyle name="Data   3 7 5" xfId="15906"/>
    <cellStyle name="Data   3 7 6" xfId="15905"/>
    <cellStyle name="Data   3 7 7" xfId="15904"/>
    <cellStyle name="Data   3 8" xfId="15903"/>
    <cellStyle name="Data   3 8 2" xfId="15902"/>
    <cellStyle name="Data   3 8 3" xfId="15901"/>
    <cellStyle name="Data   3 8 4" xfId="15900"/>
    <cellStyle name="Data   3 8 5" xfId="15899"/>
    <cellStyle name="Data   3 8 6" xfId="15898"/>
    <cellStyle name="Data   3 8 7" xfId="15897"/>
    <cellStyle name="Data   3 9" xfId="15896"/>
    <cellStyle name="Data   3 9 2" xfId="15895"/>
    <cellStyle name="Data   3 9 3" xfId="15894"/>
    <cellStyle name="Data   3 9 4" xfId="15893"/>
    <cellStyle name="Data   3 9 5" xfId="15892"/>
    <cellStyle name="Data   3 9 6" xfId="15891"/>
    <cellStyle name="Data   3 9 7" xfId="15890"/>
    <cellStyle name="Data   4" xfId="15889"/>
    <cellStyle name="Data   4 10" xfId="15888"/>
    <cellStyle name="Data   4 11" xfId="15887"/>
    <cellStyle name="Data   4 12" xfId="15886"/>
    <cellStyle name="Data   4 13" xfId="15885"/>
    <cellStyle name="Data   4 14" xfId="15884"/>
    <cellStyle name="Data   4 2" xfId="15883"/>
    <cellStyle name="Data   4 2 2" xfId="15882"/>
    <cellStyle name="Data   4 2 3" xfId="15881"/>
    <cellStyle name="Data   4 2 4" xfId="15880"/>
    <cellStyle name="Data   4 2 5" xfId="15879"/>
    <cellStyle name="Data   4 2 6" xfId="15878"/>
    <cellStyle name="Data   4 2 7" xfId="15877"/>
    <cellStyle name="Data   4 3" xfId="15876"/>
    <cellStyle name="Data   4 3 2" xfId="15875"/>
    <cellStyle name="Data   4 3 3" xfId="15874"/>
    <cellStyle name="Data   4 3 4" xfId="15873"/>
    <cellStyle name="Data   4 3 5" xfId="15872"/>
    <cellStyle name="Data   4 3 6" xfId="15871"/>
    <cellStyle name="Data   4 3 7" xfId="15870"/>
    <cellStyle name="Data   4 4" xfId="15869"/>
    <cellStyle name="Data   4 4 2" xfId="15868"/>
    <cellStyle name="Data   4 4 3" xfId="15867"/>
    <cellStyle name="Data   4 4 4" xfId="15866"/>
    <cellStyle name="Data   4 4 5" xfId="15865"/>
    <cellStyle name="Data   4 4 6" xfId="15864"/>
    <cellStyle name="Data   4 4 7" xfId="15863"/>
    <cellStyle name="Data   4 5" xfId="15862"/>
    <cellStyle name="Data   4 5 2" xfId="15861"/>
    <cellStyle name="Data   4 5 3" xfId="15860"/>
    <cellStyle name="Data   4 5 4" xfId="15859"/>
    <cellStyle name="Data   4 5 5" xfId="15858"/>
    <cellStyle name="Data   4 5 6" xfId="15857"/>
    <cellStyle name="Data   4 5 7" xfId="15856"/>
    <cellStyle name="Data   4 6" xfId="15855"/>
    <cellStyle name="Data   4 6 2" xfId="15854"/>
    <cellStyle name="Data   4 6 3" xfId="15853"/>
    <cellStyle name="Data   4 6 4" xfId="15852"/>
    <cellStyle name="Data   4 6 5" xfId="15851"/>
    <cellStyle name="Data   4 6 6" xfId="15850"/>
    <cellStyle name="Data   4 6 7" xfId="15849"/>
    <cellStyle name="Data   4 7" xfId="15848"/>
    <cellStyle name="Data   4 7 2" xfId="15847"/>
    <cellStyle name="Data   4 7 3" xfId="15846"/>
    <cellStyle name="Data   4 7 4" xfId="15845"/>
    <cellStyle name="Data   4 7 5" xfId="15844"/>
    <cellStyle name="Data   4 7 6" xfId="15843"/>
    <cellStyle name="Data   4 7 7" xfId="15842"/>
    <cellStyle name="Data   4 8" xfId="15841"/>
    <cellStyle name="Data   4 8 2" xfId="15840"/>
    <cellStyle name="Data   4 8 3" xfId="15839"/>
    <cellStyle name="Data   4 8 4" xfId="15838"/>
    <cellStyle name="Data   4 8 5" xfId="15837"/>
    <cellStyle name="Data   4 8 6" xfId="15836"/>
    <cellStyle name="Data   4 8 7" xfId="15835"/>
    <cellStyle name="Data   4 9" xfId="15834"/>
    <cellStyle name="Data   5" xfId="15833"/>
    <cellStyle name="Data   5 2" xfId="15832"/>
    <cellStyle name="Data   5 3" xfId="15831"/>
    <cellStyle name="Data   5 4" xfId="15830"/>
    <cellStyle name="Data   5 5" xfId="15829"/>
    <cellStyle name="Data   5 6" xfId="15828"/>
    <cellStyle name="Data   5 7" xfId="15827"/>
    <cellStyle name="Data   6" xfId="15826"/>
    <cellStyle name="Data   6 2" xfId="15825"/>
    <cellStyle name="Data   6 3" xfId="15824"/>
    <cellStyle name="Data   6 4" xfId="15823"/>
    <cellStyle name="Data   6 5" xfId="15822"/>
    <cellStyle name="Data   6 6" xfId="15821"/>
    <cellStyle name="Data   6 7" xfId="15820"/>
    <cellStyle name="Data   7" xfId="15819"/>
    <cellStyle name="Data   7 2" xfId="15818"/>
    <cellStyle name="Data   7 3" xfId="15817"/>
    <cellStyle name="Data   7 4" xfId="15816"/>
    <cellStyle name="Data   7 5" xfId="15815"/>
    <cellStyle name="Data   7 6" xfId="15814"/>
    <cellStyle name="Data   7 7" xfId="15813"/>
    <cellStyle name="Data   8" xfId="15812"/>
    <cellStyle name="Data   8 2" xfId="15811"/>
    <cellStyle name="Data   8 3" xfId="15810"/>
    <cellStyle name="Data   8 4" xfId="15809"/>
    <cellStyle name="Data   8 5" xfId="15808"/>
    <cellStyle name="Data   8 6" xfId="15807"/>
    <cellStyle name="Data   8 7" xfId="15806"/>
    <cellStyle name="Data   9" xfId="15805"/>
    <cellStyle name="Data   9 2" xfId="15804"/>
    <cellStyle name="Data   9 3" xfId="15803"/>
    <cellStyle name="Data   9 4" xfId="15802"/>
    <cellStyle name="Data   9 5" xfId="15801"/>
    <cellStyle name="Data   9 6" xfId="15800"/>
    <cellStyle name="Data   9 7" xfId="15799"/>
    <cellStyle name="Date" xfId="15798"/>
    <cellStyle name="Date [d-mmm-yy]" xfId="15797"/>
    <cellStyle name="Date [mm-d-yy]" xfId="15796"/>
    <cellStyle name="Date [mm-d-yyyy]" xfId="15795"/>
    <cellStyle name="Date [mm-d-yyyy] 2" xfId="15794"/>
    <cellStyle name="Date [mm-d-yyyy] 2 2" xfId="15793"/>
    <cellStyle name="Date [mm-d-yyyy] 2 2 2" xfId="15792"/>
    <cellStyle name="Date [mm-d-yyyy] 3" xfId="15791"/>
    <cellStyle name="Date [mm-d-yyyy] 3 2" xfId="15790"/>
    <cellStyle name="Date [mmm-yy]" xfId="15789"/>
    <cellStyle name="Date 10" xfId="15788"/>
    <cellStyle name="Date 11" xfId="15787"/>
    <cellStyle name="Date 12" xfId="15786"/>
    <cellStyle name="Date 13" xfId="15785"/>
    <cellStyle name="Date 14" xfId="15784"/>
    <cellStyle name="Date 15" xfId="15783"/>
    <cellStyle name="Date 16" xfId="15782"/>
    <cellStyle name="Date 2" xfId="15781"/>
    <cellStyle name="Date 2 2" xfId="15780"/>
    <cellStyle name="Date 2 2 2" xfId="15779"/>
    <cellStyle name="Date 2 3" xfId="15778"/>
    <cellStyle name="Date 3" xfId="15777"/>
    <cellStyle name="Date 3 2" xfId="15776"/>
    <cellStyle name="Date 3 2 2" xfId="15775"/>
    <cellStyle name="Date 3 3" xfId="15774"/>
    <cellStyle name="Date 3 4" xfId="15773"/>
    <cellStyle name="Date 3 5" xfId="15772"/>
    <cellStyle name="Date 4" xfId="15771"/>
    <cellStyle name="Date 4 2" xfId="15770"/>
    <cellStyle name="Date 4 3" xfId="15769"/>
    <cellStyle name="Date 5" xfId="15768"/>
    <cellStyle name="Date 6" xfId="15767"/>
    <cellStyle name="Date 7" xfId="15766"/>
    <cellStyle name="Date 8" xfId="15765"/>
    <cellStyle name="Date 9" xfId="15764"/>
    <cellStyle name="Date Short" xfId="15763"/>
    <cellStyle name="Date_ALTERNATIF - I KBI (Kyoraku Blow molding)" xfId="15762"/>
    <cellStyle name="date1" xfId="15761"/>
    <cellStyle name="date1 2" xfId="15760"/>
    <cellStyle name="date1 3" xfId="15759"/>
    <cellStyle name="date1 4" xfId="15758"/>
    <cellStyle name="Define your own named style" xfId="15757"/>
    <cellStyle name="Description" xfId="15756"/>
    <cellStyle name="Description 2" xfId="15755"/>
    <cellStyle name="Description 3" xfId="15754"/>
    <cellStyle name="Dezimal [0]_35ERI8T2gbIEMixb4v26icuOo" xfId="15753"/>
    <cellStyle name="Dezimal_35ERI8T2gbIEMixb4v26icuOo" xfId="15752"/>
    <cellStyle name="Dollar (zero dec)" xfId="15751"/>
    <cellStyle name="Draw lines around data in range" xfId="15750"/>
    <cellStyle name="Draw lines around data in range 10" xfId="15749"/>
    <cellStyle name="Draw lines around data in range 10 2" xfId="15748"/>
    <cellStyle name="Draw lines around data in range 11" xfId="15747"/>
    <cellStyle name="Draw lines around data in range 2" xfId="15746"/>
    <cellStyle name="Draw lines around data in range 2 2" xfId="15745"/>
    <cellStyle name="Draw lines around data in range 2 2 2" xfId="15744"/>
    <cellStyle name="Draw lines around data in range 2 2 2 2" xfId="15743"/>
    <cellStyle name="Draw lines around data in range 2 2 3" xfId="15742"/>
    <cellStyle name="Draw lines around data in range 2 3" xfId="15741"/>
    <cellStyle name="Draw lines around data in range 2 3 2" xfId="15740"/>
    <cellStyle name="Draw lines around data in range 2 4" xfId="15739"/>
    <cellStyle name="Draw lines around data in range 3" xfId="15738"/>
    <cellStyle name="Draw lines around data in range 3 2" xfId="15737"/>
    <cellStyle name="Draw lines around data in range 3 2 2" xfId="15736"/>
    <cellStyle name="Draw lines around data in range 3 2 2 2" xfId="15735"/>
    <cellStyle name="Draw lines around data in range 3 2 3" xfId="15734"/>
    <cellStyle name="Draw lines around data in range 3 3" xfId="15733"/>
    <cellStyle name="Draw lines around data in range 3 3 2" xfId="15732"/>
    <cellStyle name="Draw lines around data in range 3 4" xfId="15731"/>
    <cellStyle name="Draw lines around data in range 4" xfId="15730"/>
    <cellStyle name="Draw lines around data in range 4 2" xfId="15729"/>
    <cellStyle name="Draw lines around data in range 4 2 2" xfId="15728"/>
    <cellStyle name="Draw lines around data in range 4 2 2 2" xfId="15727"/>
    <cellStyle name="Draw lines around data in range 4 2 3" xfId="15726"/>
    <cellStyle name="Draw lines around data in range 4 3" xfId="15725"/>
    <cellStyle name="Draw lines around data in range 4 3 2" xfId="15724"/>
    <cellStyle name="Draw lines around data in range 4 4" xfId="15723"/>
    <cellStyle name="Draw lines around data in range 5" xfId="15722"/>
    <cellStyle name="Draw lines around data in range 5 2" xfId="15721"/>
    <cellStyle name="Draw lines around data in range 5 2 2" xfId="15720"/>
    <cellStyle name="Draw lines around data in range 5 2 2 2" xfId="15719"/>
    <cellStyle name="Draw lines around data in range 5 2 3" xfId="15718"/>
    <cellStyle name="Draw lines around data in range 5 3" xfId="15717"/>
    <cellStyle name="Draw lines around data in range 5 3 2" xfId="15716"/>
    <cellStyle name="Draw lines around data in range 5 4" xfId="15715"/>
    <cellStyle name="Draw lines around data in range 6" xfId="15714"/>
    <cellStyle name="Draw lines around data in range 6 2" xfId="15713"/>
    <cellStyle name="Draw lines around data in range 6 2 2" xfId="15712"/>
    <cellStyle name="Draw lines around data in range 6 2 2 2" xfId="15711"/>
    <cellStyle name="Draw lines around data in range 6 2 3" xfId="15710"/>
    <cellStyle name="Draw lines around data in range 6 3" xfId="15709"/>
    <cellStyle name="Draw lines around data in range 6 3 2" xfId="15708"/>
    <cellStyle name="Draw lines around data in range 6 4" xfId="15707"/>
    <cellStyle name="Draw lines around data in range 7" xfId="15706"/>
    <cellStyle name="Draw lines around data in range 7 2" xfId="15705"/>
    <cellStyle name="Draw lines around data in range 7 2 2" xfId="15704"/>
    <cellStyle name="Draw lines around data in range 7 2 2 2" xfId="15703"/>
    <cellStyle name="Draw lines around data in range 7 2 3" xfId="15702"/>
    <cellStyle name="Draw lines around data in range 7 3" xfId="15701"/>
    <cellStyle name="Draw lines around data in range 7 3 2" xfId="15700"/>
    <cellStyle name="Draw lines around data in range 7 4" xfId="15699"/>
    <cellStyle name="Draw lines around data in range 8" xfId="15698"/>
    <cellStyle name="Draw lines around data in range 8 2" xfId="15697"/>
    <cellStyle name="Draw lines around data in range 8 2 2" xfId="15696"/>
    <cellStyle name="Draw lines around data in range 8 2 2 2" xfId="15695"/>
    <cellStyle name="Draw lines around data in range 8 2 3" xfId="15694"/>
    <cellStyle name="Draw lines around data in range 8 3" xfId="15693"/>
    <cellStyle name="Draw lines around data in range 8 3 2" xfId="15692"/>
    <cellStyle name="Draw lines around data in range 8 4" xfId="15691"/>
    <cellStyle name="Draw lines around data in range 9" xfId="15690"/>
    <cellStyle name="Draw lines around data in range 9 2" xfId="15689"/>
    <cellStyle name="Draw lines around data in range 9 2 2" xfId="15688"/>
    <cellStyle name="Draw lines around data in range 9 3" xfId="15687"/>
    <cellStyle name="Draw shadow and lines within range" xfId="15686"/>
    <cellStyle name="Draw shadow and lines within range 10" xfId="15685"/>
    <cellStyle name="Draw shadow and lines within range 10 2" xfId="15684"/>
    <cellStyle name="Draw shadow and lines within range 11" xfId="15683"/>
    <cellStyle name="Draw shadow and lines within range 2" xfId="15682"/>
    <cellStyle name="Draw shadow and lines within range 2 2" xfId="15681"/>
    <cellStyle name="Draw shadow and lines within range 2 2 2" xfId="15680"/>
    <cellStyle name="Draw shadow and lines within range 2 2 2 2" xfId="15679"/>
    <cellStyle name="Draw shadow and lines within range 2 2 3" xfId="15678"/>
    <cellStyle name="Draw shadow and lines within range 2 3" xfId="15677"/>
    <cellStyle name="Draw shadow and lines within range 2 3 2" xfId="15676"/>
    <cellStyle name="Draw shadow and lines within range 2 4" xfId="15675"/>
    <cellStyle name="Draw shadow and lines within range 3" xfId="15674"/>
    <cellStyle name="Draw shadow and lines within range 3 2" xfId="15673"/>
    <cellStyle name="Draw shadow and lines within range 3 2 2" xfId="15672"/>
    <cellStyle name="Draw shadow and lines within range 3 2 2 2" xfId="15671"/>
    <cellStyle name="Draw shadow and lines within range 3 2 3" xfId="15670"/>
    <cellStyle name="Draw shadow and lines within range 3 3" xfId="15669"/>
    <cellStyle name="Draw shadow and lines within range 3 3 2" xfId="15668"/>
    <cellStyle name="Draw shadow and lines within range 3 4" xfId="15667"/>
    <cellStyle name="Draw shadow and lines within range 4" xfId="15666"/>
    <cellStyle name="Draw shadow and lines within range 4 2" xfId="15665"/>
    <cellStyle name="Draw shadow and lines within range 4 2 2" xfId="15664"/>
    <cellStyle name="Draw shadow and lines within range 4 2 2 2" xfId="15663"/>
    <cellStyle name="Draw shadow and lines within range 4 2 3" xfId="15662"/>
    <cellStyle name="Draw shadow and lines within range 4 3" xfId="15661"/>
    <cellStyle name="Draw shadow and lines within range 4 3 2" xfId="15660"/>
    <cellStyle name="Draw shadow and lines within range 4 4" xfId="15659"/>
    <cellStyle name="Draw shadow and lines within range 5" xfId="15658"/>
    <cellStyle name="Draw shadow and lines within range 5 2" xfId="15657"/>
    <cellStyle name="Draw shadow and lines within range 5 2 2" xfId="15656"/>
    <cellStyle name="Draw shadow and lines within range 5 2 2 2" xfId="15655"/>
    <cellStyle name="Draw shadow and lines within range 5 2 3" xfId="15654"/>
    <cellStyle name="Draw shadow and lines within range 5 3" xfId="15653"/>
    <cellStyle name="Draw shadow and lines within range 5 3 2" xfId="15652"/>
    <cellStyle name="Draw shadow and lines within range 5 4" xfId="15651"/>
    <cellStyle name="Draw shadow and lines within range 6" xfId="15650"/>
    <cellStyle name="Draw shadow and lines within range 6 2" xfId="15649"/>
    <cellStyle name="Draw shadow and lines within range 6 2 2" xfId="15648"/>
    <cellStyle name="Draw shadow and lines within range 6 2 2 2" xfId="15647"/>
    <cellStyle name="Draw shadow and lines within range 6 2 3" xfId="15646"/>
    <cellStyle name="Draw shadow and lines within range 6 3" xfId="15645"/>
    <cellStyle name="Draw shadow and lines within range 6 3 2" xfId="15644"/>
    <cellStyle name="Draw shadow and lines within range 6 4" xfId="15643"/>
    <cellStyle name="Draw shadow and lines within range 7" xfId="15642"/>
    <cellStyle name="Draw shadow and lines within range 7 2" xfId="15641"/>
    <cellStyle name="Draw shadow and lines within range 7 2 2" xfId="15640"/>
    <cellStyle name="Draw shadow and lines within range 7 2 2 2" xfId="15639"/>
    <cellStyle name="Draw shadow and lines within range 7 2 3" xfId="15638"/>
    <cellStyle name="Draw shadow and lines within range 7 3" xfId="15637"/>
    <cellStyle name="Draw shadow and lines within range 7 3 2" xfId="15636"/>
    <cellStyle name="Draw shadow and lines within range 7 4" xfId="15635"/>
    <cellStyle name="Draw shadow and lines within range 8" xfId="15634"/>
    <cellStyle name="Draw shadow and lines within range 8 2" xfId="15633"/>
    <cellStyle name="Draw shadow and lines within range 8 2 2" xfId="15632"/>
    <cellStyle name="Draw shadow and lines within range 8 2 2 2" xfId="15631"/>
    <cellStyle name="Draw shadow and lines within range 8 2 3" xfId="15630"/>
    <cellStyle name="Draw shadow and lines within range 8 3" xfId="15629"/>
    <cellStyle name="Draw shadow and lines within range 8 3 2" xfId="15628"/>
    <cellStyle name="Draw shadow and lines within range 8 4" xfId="15627"/>
    <cellStyle name="Draw shadow and lines within range 9" xfId="15626"/>
    <cellStyle name="Draw shadow and lines within range 9 2" xfId="15625"/>
    <cellStyle name="Draw shadow and lines within range 9 2 2" xfId="15624"/>
    <cellStyle name="Draw shadow and lines within range 9 3" xfId="15623"/>
    <cellStyle name="DUA" xfId="15622"/>
    <cellStyle name="DUA 2" xfId="15621"/>
    <cellStyle name="DUA 2 2" xfId="15620"/>
    <cellStyle name="DUA 3" xfId="15619"/>
    <cellStyle name="Eko" xfId="15618"/>
    <cellStyle name="Emphasis 1" xfId="15617"/>
    <cellStyle name="Emphasis 1 2" xfId="15616"/>
    <cellStyle name="Emphasis 2" xfId="15615"/>
    <cellStyle name="Emphasis 2 2" xfId="15614"/>
    <cellStyle name="Emphasis 3" xfId="15613"/>
    <cellStyle name="Emphasis 3 2" xfId="15612"/>
    <cellStyle name="Encabezado 4" xfId="15611"/>
    <cellStyle name="Énfasis1" xfId="15610"/>
    <cellStyle name="Énfasis2" xfId="15609"/>
    <cellStyle name="Énfasis3" xfId="15608"/>
    <cellStyle name="Énfasis4" xfId="15607"/>
    <cellStyle name="Énfasis5" xfId="15606"/>
    <cellStyle name="Énfasis6" xfId="15605"/>
    <cellStyle name="Enlarge title text, yellow on blue" xfId="15604"/>
    <cellStyle name="Enter Currency (0)" xfId="15603"/>
    <cellStyle name="Enter Currency (2)" xfId="15602"/>
    <cellStyle name="Enter Units (0)" xfId="15601"/>
    <cellStyle name="Enter Units (1)" xfId="15600"/>
    <cellStyle name="Enter Units (1) 2" xfId="15599"/>
    <cellStyle name="Enter Units (2)" xfId="15598"/>
    <cellStyle name="Entered" xfId="15597"/>
    <cellStyle name="Entered 10" xfId="15596"/>
    <cellStyle name="Entered 11" xfId="15595"/>
    <cellStyle name="Entered 12" xfId="15594"/>
    <cellStyle name="Entered 13" xfId="15593"/>
    <cellStyle name="Entered 14" xfId="15592"/>
    <cellStyle name="Entered 2" xfId="15591"/>
    <cellStyle name="Entered 2 2" xfId="15590"/>
    <cellStyle name="Entered 3" xfId="15589"/>
    <cellStyle name="Entered 3 2" xfId="15588"/>
    <cellStyle name="Entered 3 3" xfId="15587"/>
    <cellStyle name="Entered 3 4" xfId="15586"/>
    <cellStyle name="Entered 4" xfId="15585"/>
    <cellStyle name="Entered 5" xfId="15584"/>
    <cellStyle name="Entered 6" xfId="15583"/>
    <cellStyle name="Entered 7" xfId="15582"/>
    <cellStyle name="Entered 8" xfId="15581"/>
    <cellStyle name="Entered 9" xfId="15580"/>
    <cellStyle name="Entrada" xfId="15579"/>
    <cellStyle name="Euro" xfId="15578"/>
    <cellStyle name="Euro 10" xfId="15577"/>
    <cellStyle name="Euro 11" xfId="15576"/>
    <cellStyle name="Euro 12" xfId="15575"/>
    <cellStyle name="Euro 13" xfId="15574"/>
    <cellStyle name="Euro 14" xfId="15573"/>
    <cellStyle name="Euro 15" xfId="15572"/>
    <cellStyle name="Euro 16" xfId="15571"/>
    <cellStyle name="Euro 2" xfId="15570"/>
    <cellStyle name="Euro 2 10" xfId="15569"/>
    <cellStyle name="Euro 2 11" xfId="15568"/>
    <cellStyle name="Euro 2 12" xfId="15567"/>
    <cellStyle name="Euro 2 13" xfId="15566"/>
    <cellStyle name="Euro 2 14" xfId="15565"/>
    <cellStyle name="Euro 2 2" xfId="15564"/>
    <cellStyle name="Euro 2 3" xfId="15563"/>
    <cellStyle name="Euro 2 4" xfId="15562"/>
    <cellStyle name="Euro 2 5" xfId="15561"/>
    <cellStyle name="Euro 2 6" xfId="15560"/>
    <cellStyle name="Euro 2 7" xfId="15559"/>
    <cellStyle name="Euro 2 8" xfId="15558"/>
    <cellStyle name="Euro 2 9" xfId="15557"/>
    <cellStyle name="Euro 3" xfId="15556"/>
    <cellStyle name="Euro 4" xfId="15555"/>
    <cellStyle name="Euro 5" xfId="15554"/>
    <cellStyle name="Euro 6" xfId="15553"/>
    <cellStyle name="Euro 7" xfId="15552"/>
    <cellStyle name="Euro 8" xfId="15551"/>
    <cellStyle name="Euro 9" xfId="15550"/>
    <cellStyle name="Excel Built-in Comma [0]" xfId="15549"/>
    <cellStyle name="Excel Built-in Normal" xfId="15548"/>
    <cellStyle name="Explanatory Text 2" xfId="15547"/>
    <cellStyle name="Explanatory Text 2 2" xfId="15546"/>
    <cellStyle name="Explanatory Text 3" xfId="15545"/>
    <cellStyle name="Explanatory Text 3 2" xfId="15544"/>
    <cellStyle name="Explanatory Text 4" xfId="15543"/>
    <cellStyle name="Explanatory Text 4 2" xfId="15542"/>
    <cellStyle name="Explanatory Text 5" xfId="15541"/>
    <cellStyle name="Explanatory Text 5 2" xfId="15540"/>
    <cellStyle name="Explanatory Text 6" xfId="15539"/>
    <cellStyle name="Explanatory Text 6 2" xfId="15538"/>
    <cellStyle name="Explanatory Text 7" xfId="15537"/>
    <cellStyle name="Explanatory Text 7 2" xfId="15536"/>
    <cellStyle name="Explanatory Text 8" xfId="15535"/>
    <cellStyle name="Explanatory Text 8 2" xfId="15534"/>
    <cellStyle name="Explanatory Text 9" xfId="15533"/>
    <cellStyle name="f" xfId="15532"/>
    <cellStyle name="ƒ" xfId="15531"/>
    <cellStyle name="f 10" xfId="15530"/>
    <cellStyle name="f 10 2" xfId="15529"/>
    <cellStyle name="f 10 3" xfId="15528"/>
    <cellStyle name="f 11" xfId="15527"/>
    <cellStyle name="f 11 2" xfId="15526"/>
    <cellStyle name="f 11 3" xfId="15525"/>
    <cellStyle name="f 12" xfId="15524"/>
    <cellStyle name="f 12 2" xfId="15523"/>
    <cellStyle name="f 12 3" xfId="15522"/>
    <cellStyle name="f 13" xfId="15521"/>
    <cellStyle name="f 14" xfId="15520"/>
    <cellStyle name="f 15" xfId="15519"/>
    <cellStyle name="f 16" xfId="15518"/>
    <cellStyle name="f 2" xfId="15517"/>
    <cellStyle name="ƒ 2" xfId="15516"/>
    <cellStyle name="f 2 10" xfId="15515"/>
    <cellStyle name="f 2 10 2" xfId="15514"/>
    <cellStyle name="f 2 10 3" xfId="15513"/>
    <cellStyle name="f 2 11" xfId="15512"/>
    <cellStyle name="f 2 12" xfId="15511"/>
    <cellStyle name="f 2 13" xfId="15510"/>
    <cellStyle name="f 2 14" xfId="15509"/>
    <cellStyle name="f 2 2" xfId="15508"/>
    <cellStyle name="f 2 2 10" xfId="15507"/>
    <cellStyle name="f 2 2 2" xfId="15506"/>
    <cellStyle name="f 2 2 2 2" xfId="15505"/>
    <cellStyle name="f 2 2 2 3" xfId="15504"/>
    <cellStyle name="f 2 2 3" xfId="15503"/>
    <cellStyle name="f 2 2 3 2" xfId="15502"/>
    <cellStyle name="f 2 2 3 3" xfId="15501"/>
    <cellStyle name="f 2 2 4" xfId="15500"/>
    <cellStyle name="f 2 2 4 2" xfId="15499"/>
    <cellStyle name="f 2 2 4 3" xfId="15498"/>
    <cellStyle name="f 2 2 5" xfId="15497"/>
    <cellStyle name="f 2 2 5 2" xfId="15496"/>
    <cellStyle name="f 2 2 5 3" xfId="15495"/>
    <cellStyle name="f 2 2 6" xfId="15494"/>
    <cellStyle name="f 2 2 6 2" xfId="15493"/>
    <cellStyle name="f 2 2 6 3" xfId="15492"/>
    <cellStyle name="f 2 2 7" xfId="15491"/>
    <cellStyle name="f 2 2 7 2" xfId="15490"/>
    <cellStyle name="f 2 2 7 3" xfId="15489"/>
    <cellStyle name="f 2 2 8" xfId="15488"/>
    <cellStyle name="f 2 2 8 2" xfId="15487"/>
    <cellStyle name="f 2 2 8 3" xfId="15486"/>
    <cellStyle name="f 2 2 9" xfId="15485"/>
    <cellStyle name="f 2 3" xfId="15484"/>
    <cellStyle name="f 2 3 2" xfId="15483"/>
    <cellStyle name="f 2 3 3" xfId="15482"/>
    <cellStyle name="f 2 4" xfId="15481"/>
    <cellStyle name="f 2 4 2" xfId="15480"/>
    <cellStyle name="f 2 4 3" xfId="15479"/>
    <cellStyle name="f 2 5" xfId="15478"/>
    <cellStyle name="f 2 5 2" xfId="15477"/>
    <cellStyle name="f 2 5 3" xfId="15476"/>
    <cellStyle name="f 2 6" xfId="15475"/>
    <cellStyle name="f 2 6 2" xfId="15474"/>
    <cellStyle name="f 2 6 3" xfId="15473"/>
    <cellStyle name="f 2 7" xfId="15472"/>
    <cellStyle name="f 2 7 2" xfId="15471"/>
    <cellStyle name="f 2 7 3" xfId="15470"/>
    <cellStyle name="f 2 8" xfId="15469"/>
    <cellStyle name="f 2 8 2" xfId="15468"/>
    <cellStyle name="f 2 8 3" xfId="15467"/>
    <cellStyle name="f 2 9" xfId="15466"/>
    <cellStyle name="f 2 9 2" xfId="15465"/>
    <cellStyle name="f 2 9 3" xfId="15464"/>
    <cellStyle name="f 3" xfId="15463"/>
    <cellStyle name="f 3 10" xfId="15462"/>
    <cellStyle name="f 3 10 2" xfId="15461"/>
    <cellStyle name="f 3 10 3" xfId="15460"/>
    <cellStyle name="f 3 11" xfId="15459"/>
    <cellStyle name="f 3 12" xfId="15458"/>
    <cellStyle name="f 3 2" xfId="15457"/>
    <cellStyle name="f 3 2 10" xfId="15456"/>
    <cellStyle name="f 3 2 2" xfId="15455"/>
    <cellStyle name="f 3 2 2 2" xfId="15454"/>
    <cellStyle name="f 3 2 2 3" xfId="15453"/>
    <cellStyle name="f 3 2 3" xfId="15452"/>
    <cellStyle name="f 3 2 3 2" xfId="15451"/>
    <cellStyle name="f 3 2 3 3" xfId="15450"/>
    <cellStyle name="f 3 2 4" xfId="15449"/>
    <cellStyle name="f 3 2 4 2" xfId="15448"/>
    <cellStyle name="f 3 2 4 3" xfId="15447"/>
    <cellStyle name="f 3 2 5" xfId="15446"/>
    <cellStyle name="f 3 2 5 2" xfId="15445"/>
    <cellStyle name="f 3 2 5 3" xfId="15444"/>
    <cellStyle name="f 3 2 6" xfId="15443"/>
    <cellStyle name="f 3 2 6 2" xfId="15442"/>
    <cellStyle name="f 3 2 6 3" xfId="15441"/>
    <cellStyle name="f 3 2 7" xfId="15440"/>
    <cellStyle name="f 3 2 7 2" xfId="15439"/>
    <cellStyle name="f 3 2 7 3" xfId="15438"/>
    <cellStyle name="f 3 2 8" xfId="15437"/>
    <cellStyle name="f 3 2 8 2" xfId="15436"/>
    <cellStyle name="f 3 2 8 3" xfId="15435"/>
    <cellStyle name="f 3 2 9" xfId="15434"/>
    <cellStyle name="f 3 3" xfId="15433"/>
    <cellStyle name="f 3 3 2" xfId="15432"/>
    <cellStyle name="f 3 3 3" xfId="15431"/>
    <cellStyle name="f 3 4" xfId="15430"/>
    <cellStyle name="f 3 4 2" xfId="15429"/>
    <cellStyle name="f 3 4 3" xfId="15428"/>
    <cellStyle name="f 3 5" xfId="15427"/>
    <cellStyle name="f 3 5 2" xfId="15426"/>
    <cellStyle name="f 3 5 3" xfId="15425"/>
    <cellStyle name="f 3 6" xfId="15424"/>
    <cellStyle name="f 3 6 2" xfId="15423"/>
    <cellStyle name="f 3 6 3" xfId="15422"/>
    <cellStyle name="f 3 7" xfId="15421"/>
    <cellStyle name="f 3 7 2" xfId="15420"/>
    <cellStyle name="f 3 7 3" xfId="15419"/>
    <cellStyle name="f 3 8" xfId="15418"/>
    <cellStyle name="f 3 8 2" xfId="15417"/>
    <cellStyle name="f 3 8 3" xfId="15416"/>
    <cellStyle name="f 3 9" xfId="15415"/>
    <cellStyle name="f 3 9 2" xfId="15414"/>
    <cellStyle name="f 3 9 3" xfId="15413"/>
    <cellStyle name="f 4" xfId="15412"/>
    <cellStyle name="f 4 10" xfId="15411"/>
    <cellStyle name="f 4 2" xfId="15410"/>
    <cellStyle name="f 4 2 2" xfId="15409"/>
    <cellStyle name="f 4 2 3" xfId="15408"/>
    <cellStyle name="f 4 3" xfId="15407"/>
    <cellStyle name="f 4 3 2" xfId="15406"/>
    <cellStyle name="f 4 3 3" xfId="15405"/>
    <cellStyle name="f 4 4" xfId="15404"/>
    <cellStyle name="f 4 4 2" xfId="15403"/>
    <cellStyle name="f 4 4 3" xfId="15402"/>
    <cellStyle name="f 4 5" xfId="15401"/>
    <cellStyle name="f 4 5 2" xfId="15400"/>
    <cellStyle name="f 4 5 3" xfId="15399"/>
    <cellStyle name="f 4 6" xfId="15398"/>
    <cellStyle name="f 4 6 2" xfId="15397"/>
    <cellStyle name="f 4 6 3" xfId="15396"/>
    <cellStyle name="f 4 7" xfId="15395"/>
    <cellStyle name="f 4 7 2" xfId="15394"/>
    <cellStyle name="f 4 7 3" xfId="15393"/>
    <cellStyle name="f 4 8" xfId="15392"/>
    <cellStyle name="f 4 8 2" xfId="15391"/>
    <cellStyle name="f 4 8 3" xfId="15390"/>
    <cellStyle name="f 4 9" xfId="15389"/>
    <cellStyle name="f 5" xfId="15388"/>
    <cellStyle name="f 5 2" xfId="15387"/>
    <cellStyle name="f 5 3" xfId="15386"/>
    <cellStyle name="f 6" xfId="15385"/>
    <cellStyle name="f 6 2" xfId="15384"/>
    <cellStyle name="f 6 3" xfId="15383"/>
    <cellStyle name="f 7" xfId="15382"/>
    <cellStyle name="f 7 2" xfId="15381"/>
    <cellStyle name="f 7 3" xfId="15380"/>
    <cellStyle name="f 8" xfId="15379"/>
    <cellStyle name="f 8 2" xfId="15378"/>
    <cellStyle name="f 8 3" xfId="15377"/>
    <cellStyle name="f 9" xfId="15376"/>
    <cellStyle name="f 9 2" xfId="15375"/>
    <cellStyle name="f 9 3" xfId="15374"/>
    <cellStyle name="ƒ_0.Bidakara RAP" xfId="15373"/>
    <cellStyle name="ƒ_1.Cost Plan Bapelkes Depkes Batam 2008. xls" xfId="15372"/>
    <cellStyle name="ƒ_3.BU - Alat Pakai (Merah)" xfId="15371"/>
    <cellStyle name="ƒ_ALAT-BU-SPP-CIPUTARA-ok" xfId="15370"/>
    <cellStyle name="ƒ_ALAT-SPP-BU-BPK" xfId="15369"/>
    <cellStyle name="ƒ_ALTERNATIF - I KBI (Kyoraku Blow molding)" xfId="15368"/>
    <cellStyle name="ƒ_ALTERNATIF - I KBI (Kyoraku Blow molding) 2" xfId="15367"/>
    <cellStyle name="ƒ_Alternatif#1_Semua Alexindo_Opt_123" xfId="15366"/>
    <cellStyle name="ƒ_Alternatif#1_Semua Alexindo_Opt_123_rc kantor dinas tanjung pinang 5 lantai" xfId="15365"/>
    <cellStyle name="ƒ_Analisa Bapelkes Full" xfId="15364"/>
    <cellStyle name="ƒ_ANALISA BPK DG" xfId="15363"/>
    <cellStyle name="ƒ_ANALISA BPK DG_Analisa Bapelkes Full" xfId="15362"/>
    <cellStyle name="ƒ_ANALISA BPK DG_SKBDN Batam" xfId="15361"/>
    <cellStyle name="ƒ_ANALISA HARGA SATUAN RAB" xfId="15360"/>
    <cellStyle name="ƒ_analisa rab" xfId="15359"/>
    <cellStyle name="ƒ_ANALISA RAB_SKBDN Batam" xfId="15358"/>
    <cellStyle name="ƒ_Bill of Quantity BPK 03082007" xfId="15357"/>
    <cellStyle name="ƒ_Bill of Quantity BPK 03082007_Analisa Bapelkes Full" xfId="15356"/>
    <cellStyle name="ƒ_BQ ACP ALUCOBOND ECO_OPT_RAPP_1" xfId="15355"/>
    <cellStyle name="ƒ_BQ ACP ALUCOBOND ECO_OPT_RAPP_1_rc kantor dinas tanjung pinang 5 lantai" xfId="15354"/>
    <cellStyle name="ƒ_BQ ACP ALUCOBOND ECO_OPT_RAPP_1_Realisasi Kontrak Kampar 31 agustus 2009" xfId="15353"/>
    <cellStyle name="ƒ_BQ ALUM_ALT#1" xfId="15352"/>
    <cellStyle name="ƒ_BQ Alumn_BPK Bengkulu_3_Komplit" xfId="15351"/>
    <cellStyle name="ƒ_BQ Alumn_BPK Bengkulu_3_Komplit_rc kantor dinas tanjung pinang 5 lantai" xfId="15350"/>
    <cellStyle name="ƒ_BQ Facade Astra" xfId="15349"/>
    <cellStyle name="ƒ_BQ FACADE_Rev#2" xfId="15348"/>
    <cellStyle name="ƒ_BQ FACADE_Rev#2_rc kantor dinas tanjung pinang 5 lantai" xfId="15347"/>
    <cellStyle name="ƒ_BQ FACADE_Rev#2_Realisasi Kontrak Kampar 31 agustus 2009" xfId="15346"/>
    <cellStyle name="ƒ_bq gor bangkinang" xfId="15345"/>
    <cellStyle name="ƒ_BQ KISI-KISI" xfId="15344"/>
    <cellStyle name="ƒ_BQ KISI-KISI_rc kantor dinas tanjung pinang 5 lantai" xfId="15343"/>
    <cellStyle name="ƒ_BQ KUSEN SMA PINTAR" xfId="15342"/>
    <cellStyle name="ƒ_BQ KUSEN SMA PINTAR_Rev#1_Opt_Abiz_1_rapp" xfId="15341"/>
    <cellStyle name="ƒ_BQ ME Sebagian R2" xfId="15340"/>
    <cellStyle name="ƒ_BQ PINTU DAN JENDELA" xfId="15339"/>
    <cellStyle name="ƒ_BQ PINTU DAN JENDELA_rc kantor dinas tanjung pinang 5 lantai" xfId="15338"/>
    <cellStyle name="ƒ_BQ Realisasi Kontrak_RAPP" xfId="15337"/>
    <cellStyle name="ƒ_BQ Realisasi Kontrak_RAPP_rc kantor dinas tanjung pinang 5 lantai" xfId="15336"/>
    <cellStyle name="ƒ_BQ+Hit. Lt 10, atap (Dago 27-06-2007 )" xfId="15335"/>
    <cellStyle name="ƒ_BQ-E" xfId="15334"/>
    <cellStyle name="ƒ_BQ-E 2" xfId="15333"/>
    <cellStyle name="ƒ_BQ-E_Bq-M-23 August 2004" xfId="15332"/>
    <cellStyle name="ƒ_BQ-E_Bq-M-23 August 2004 2" xfId="15331"/>
    <cellStyle name="ƒ_BQ-elec-kiic4(D) " xfId="15330"/>
    <cellStyle name="ƒ_BQ-elec-kiic4(D)  2" xfId="15329"/>
    <cellStyle name="ƒ_Bq-Form Mech ( Baru ) 05" xfId="15328"/>
    <cellStyle name="ƒ_Bq-Form Mech ( Baru ) 05 2" xfId="15327"/>
    <cellStyle name="ƒ_BQ-Mech. Summitmas II" xfId="15326"/>
    <cellStyle name="ƒ_BQ-Mech. Summitmas II 2" xfId="15325"/>
    <cellStyle name="ƒ_BQ-Moric-Elec (A)" xfId="15324"/>
    <cellStyle name="ƒ_BQ-Moric-Elec (A) 2" xfId="15323"/>
    <cellStyle name="ƒ_BQ-SHIBAURA SHEARING" xfId="15322"/>
    <cellStyle name="ƒ_BQ-SHIBAURA SHEARING 2" xfId="15321"/>
    <cellStyle name="ƒ_BQ-SHIBAURA SHEARING(Cancel)" xfId="15320"/>
    <cellStyle name="ƒ_BQ-SHIBAURA SHEARING(Cancel) 2" xfId="15319"/>
    <cellStyle name="ƒ_BQ-YAMAHA FLAGSHIP-A" xfId="15318"/>
    <cellStyle name="ƒ_BQ-YAMAHA FLAGSHIP-A 2" xfId="15317"/>
    <cellStyle name="ƒ_BU-Alat-Spp Bapelkes Thp II" xfId="15316"/>
    <cellStyle name="ƒ_Dephan (YKPP)_Rev#31" xfId="15315"/>
    <cellStyle name="ƒ_EVALUASI HARGA_OPT" xfId="15314"/>
    <cellStyle name="ƒ_Expense" xfId="15313"/>
    <cellStyle name="ƒ_Expense 2" xfId="15312"/>
    <cellStyle name="ƒ_FORM MONITORING SUB" xfId="15311"/>
    <cellStyle name="ƒ_FORM MONITORING SUB_D0C. RECORD PROGRESS INDOKOMAS" xfId="15310"/>
    <cellStyle name="ƒ_Hit SKBDN" xfId="15309"/>
    <cellStyle name="ƒ_Hit. Hotel Sutan Raja Minahasa (MYO)" xfId="15308"/>
    <cellStyle name="ƒ_Hit. Hotel Sutan Raja Minahasa (MYO)_Analisa Bapelkes Full" xfId="15307"/>
    <cellStyle name="ƒ_Hit. Lantai - 1" xfId="15306"/>
    <cellStyle name="ƒ_KONTRAK KAMPAR" xfId="15305"/>
    <cellStyle name="ƒ_KURVA S (DETAIL TYPE 2)" xfId="15304"/>
    <cellStyle name="ƒ_MAKER LIST" xfId="15303"/>
    <cellStyle name="ƒ_MAKER LIST 2" xfId="15302"/>
    <cellStyle name="ƒ_pek yang di sub kan" xfId="15301"/>
    <cellStyle name="ƒ_Penawaran harga rumah DPR_Revisi#3_Opt" xfId="15300"/>
    <cellStyle name="ƒ_Penawaran harga rumah DPR_Revisi#3_Opt_rc kantor dinas tanjung pinang 5 lantai" xfId="15299"/>
    <cellStyle name="ƒ_Penawaran harga rumah DPR_Revisi#3_Opt_Realisasi Kontrak Kampar 31 agustus 2009" xfId="15298"/>
    <cellStyle name="ƒ_RAB 2007_2008 6,5 M R8" xfId="15297"/>
    <cellStyle name="ƒ_RAB EE-ELEK BI SMRD" xfId="15296"/>
    <cellStyle name="ƒ_RAB EE-ELEK BI SMRD 2" xfId="15295"/>
    <cellStyle name="ƒ_RAB gr PP setelah direvisi  31 okt 07l " xfId="15294"/>
    <cellStyle name="ƒ_RAB gr PP setelah direvisi  31 okt 07l _ANALISA HARGA SATUAN" xfId="15293"/>
    <cellStyle name="ƒ_RAB gr PP setelah direvisi  31 okt 07l _BQ ASITEKTUR BTN BATAM dan sipil" xfId="15292"/>
    <cellStyle name="ƒ_RAB gr PP setelah direvisi  31 okt 07l _c bpk batam 24,5 M" xfId="15291"/>
    <cellStyle name="ƒ_RAB gr PP setelah direvisi  31 okt 07l _rc bpk batamm" xfId="15290"/>
    <cellStyle name="ƒ_RAB gr PP setelah direvisi  31 okt 07l _rc bpk batamm_BQ ASITEKTUR BTN BATAM dan sipil" xfId="15289"/>
    <cellStyle name="ƒ_RAB gr PP setelah direvisi  31 okt 07l _rc bpk batamm_c bpk batam 24,5 M" xfId="15288"/>
    <cellStyle name="ƒ_RAB gr PP setelah direvisi  31 okt 07l _rc bpk batamm_rc gor dalam kota bangkinang" xfId="15287"/>
    <cellStyle name="ƒ_RAB gr PP setelah direvisi  31 okt 07l _rc bpk batamm_rc kantor dinas tanjung pinang 5 lantai" xfId="15286"/>
    <cellStyle name="ƒ_RAB gr PP setelah direvisi  31 okt 07l _rc bpk batamm_rc kantor dinas tanjung pinang 5 lantai R" xfId="15285"/>
    <cellStyle name="ƒ_RAB gr PP setelah direvisi  31 okt 07l _rc bpk batammm" xfId="15284"/>
    <cellStyle name="ƒ_RAB gr PP setelah direvisi  31 okt 07l _rc gor dalam kota bangkinang" xfId="15283"/>
    <cellStyle name="ƒ_RAB gr PP setelah direvisi  31 okt 07l _rc kantor dinas tanjung pinang 5 lantai" xfId="15282"/>
    <cellStyle name="ƒ_RAB gr PP setelah direvisi  31 okt 07l _rc kantor dinas tanjung pinang 5 lantai R" xfId="15281"/>
    <cellStyle name="ƒ_RAB gr PP setelah direvisi  31 okt 07l _Rc SIJUNJUNG" xfId="15280"/>
    <cellStyle name="ƒ_rab proyek bpk" xfId="15279"/>
    <cellStyle name="ƒ_rab proyek bpk_BQ ASITEKTUR BTN BATAM dan sipil" xfId="15278"/>
    <cellStyle name="ƒ_rab proyek bpk_c bpk batam 24,5 M" xfId="15277"/>
    <cellStyle name="ƒ_rab proyek bpk_rc bpk batamm" xfId="15276"/>
    <cellStyle name="ƒ_rab proyek bpk_rc bpk batamm_BQ ASITEKTUR BTN BATAM dan sipil" xfId="15275"/>
    <cellStyle name="ƒ_rab proyek bpk_rc bpk batamm_c bpk batam 24,5 M" xfId="15274"/>
    <cellStyle name="ƒ_rab proyek bpk_rc bpk batamm_rc gor dalam kota bangkinang" xfId="15273"/>
    <cellStyle name="ƒ_rab proyek bpk_rc bpk batamm_rc kantor dinas tanjung pinang 5 lantai" xfId="15272"/>
    <cellStyle name="ƒ_rab proyek bpk_rc bpk batamm_rc kantor dinas tanjung pinang 5 lantai R" xfId="15271"/>
    <cellStyle name="ƒ_rab proyek bpk_rc bpk batammm" xfId="15270"/>
    <cellStyle name="ƒ_rab proyek bpk_rc gor dalam kota bangkinang" xfId="15269"/>
    <cellStyle name="ƒ_rab proyek bpk_rc kantor dinas tanjung pinang 5 lantai" xfId="15268"/>
    <cellStyle name="ƒ_rab proyek bpk_rc kantor dinas tanjung pinang 5 lantai R" xfId="15267"/>
    <cellStyle name="ƒ_RAB_ELEKTRIKAL_SPORT CENTRE 2008" xfId="15266"/>
    <cellStyle name="ƒ_RAB_ELEKTRIKAL_SPORT CENTRE 2008 2" xfId="15265"/>
    <cellStyle name="ƒ_RAB_ELRKTRIKAL_KANTOR DINAS &amp; GUB._Final. R.II, BENAR KABEL TRAY.REV. JACON 30.04.2009xls" xfId="15264"/>
    <cellStyle name="ƒ_RAB_ELRKTRIKAL_KANTOR DINAS &amp; GUB._Final. R.II, BENAR KABEL TRAY.REV. JACON 30.04.2009xls 2" xfId="15263"/>
    <cellStyle name="ƒ_RAP_r1" xfId="15262"/>
    <cellStyle name="ƒ_rc 6 agus 081" xfId="15261"/>
    <cellStyle name="ƒ_sex" xfId="15260"/>
    <cellStyle name="ƒ_sex 2" xfId="15259"/>
    <cellStyle name="ƒ_sex_b1.57.1417.2004(B)" xfId="15258"/>
    <cellStyle name="ƒ_sex_b1.57.1417.2004(B) 2" xfId="15257"/>
    <cellStyle name="ƒ_sex_b1.57.1417.2004(B)_Bq-M-23 August 2004" xfId="15256"/>
    <cellStyle name="ƒ_sex_b1.57.1417.2004(B)_Bq-M-23 August 2004 2" xfId="15255"/>
    <cellStyle name="ƒ_sex_Bq-M-23 August 2004" xfId="15254"/>
    <cellStyle name="ƒ_sex_Bq-M-23 August 2004 2" xfId="15253"/>
    <cellStyle name="ƒ_SKBDN Batam" xfId="15252"/>
    <cellStyle name="ƒ_SPESIFIKASI TEKNIS GR" xfId="15251"/>
    <cellStyle name="ƒ_UIN (NEW)" xfId="15250"/>
    <cellStyle name="ƒ_Vol. Bapelkes blok C ( Myo 07.12.07)" xfId="15249"/>
    <cellStyle name="ƒ_Vol. Precast" xfId="15248"/>
    <cellStyle name="F2" xfId="15247"/>
    <cellStyle name="F2 10" xfId="15246"/>
    <cellStyle name="F2 11" xfId="15245"/>
    <cellStyle name="F2 12" xfId="15244"/>
    <cellStyle name="F2 13" xfId="15243"/>
    <cellStyle name="F2 14" xfId="15242"/>
    <cellStyle name="F2 2" xfId="15241"/>
    <cellStyle name="F2 2 2" xfId="15240"/>
    <cellStyle name="F2 2 2 2" xfId="15239"/>
    <cellStyle name="F2 2 3" xfId="15238"/>
    <cellStyle name="F2 3" xfId="15237"/>
    <cellStyle name="F2 3 2" xfId="15236"/>
    <cellStyle name="F2 3 2 2" xfId="15235"/>
    <cellStyle name="F2 3 3" xfId="15234"/>
    <cellStyle name="F2 3 4" xfId="15233"/>
    <cellStyle name="F2 3 5" xfId="15232"/>
    <cellStyle name="F2 4" xfId="15231"/>
    <cellStyle name="F2 4 2" xfId="15230"/>
    <cellStyle name="F2 4 3" xfId="15229"/>
    <cellStyle name="F2 5" xfId="15228"/>
    <cellStyle name="F2 6" xfId="15227"/>
    <cellStyle name="F2 7" xfId="15226"/>
    <cellStyle name="F2 8" xfId="15225"/>
    <cellStyle name="F2 9" xfId="15224"/>
    <cellStyle name="F3" xfId="15223"/>
    <cellStyle name="F3 10" xfId="15222"/>
    <cellStyle name="F3 11" xfId="15221"/>
    <cellStyle name="F3 12" xfId="15220"/>
    <cellStyle name="F3 13" xfId="15219"/>
    <cellStyle name="F3 14" xfId="15218"/>
    <cellStyle name="F3 2" xfId="15217"/>
    <cellStyle name="F3 2 2" xfId="15216"/>
    <cellStyle name="F3 2 2 2" xfId="15215"/>
    <cellStyle name="F3 2 3" xfId="15214"/>
    <cellStyle name="F3 3" xfId="15213"/>
    <cellStyle name="F3 3 2" xfId="15212"/>
    <cellStyle name="F3 3 2 2" xfId="15211"/>
    <cellStyle name="F3 3 3" xfId="15210"/>
    <cellStyle name="F3 3 4" xfId="15209"/>
    <cellStyle name="F3 3 5" xfId="15208"/>
    <cellStyle name="F3 4" xfId="15207"/>
    <cellStyle name="F3 4 2" xfId="15206"/>
    <cellStyle name="F3 4 3" xfId="15205"/>
    <cellStyle name="F3 5" xfId="15204"/>
    <cellStyle name="F3 6" xfId="15203"/>
    <cellStyle name="F3 7" xfId="15202"/>
    <cellStyle name="F3 8" xfId="15201"/>
    <cellStyle name="F3 9" xfId="15200"/>
    <cellStyle name="F4" xfId="15199"/>
    <cellStyle name="F4 10" xfId="15198"/>
    <cellStyle name="F4 11" xfId="15197"/>
    <cellStyle name="F4 12" xfId="15196"/>
    <cellStyle name="F4 13" xfId="15195"/>
    <cellStyle name="F4 14" xfId="15194"/>
    <cellStyle name="F4 2" xfId="15193"/>
    <cellStyle name="F4 2 2" xfId="15192"/>
    <cellStyle name="F4 2 2 2" xfId="15191"/>
    <cellStyle name="F4 2 3" xfId="15190"/>
    <cellStyle name="F4 3" xfId="15189"/>
    <cellStyle name="F4 3 2" xfId="15188"/>
    <cellStyle name="F4 3 2 2" xfId="15187"/>
    <cellStyle name="F4 3 3" xfId="15186"/>
    <cellStyle name="F4 3 4" xfId="15185"/>
    <cellStyle name="F4 3 5" xfId="15184"/>
    <cellStyle name="F4 4" xfId="15183"/>
    <cellStyle name="F4 4 2" xfId="15182"/>
    <cellStyle name="F4 4 3" xfId="15181"/>
    <cellStyle name="F4 5" xfId="15180"/>
    <cellStyle name="F4 6" xfId="15179"/>
    <cellStyle name="F4 7" xfId="15178"/>
    <cellStyle name="F4 8" xfId="15177"/>
    <cellStyle name="F4 9" xfId="15176"/>
    <cellStyle name="F5" xfId="15175"/>
    <cellStyle name="F5 10" xfId="15174"/>
    <cellStyle name="F5 11" xfId="15173"/>
    <cellStyle name="F5 12" xfId="15172"/>
    <cellStyle name="F5 13" xfId="15171"/>
    <cellStyle name="F5 14" xfId="15170"/>
    <cellStyle name="F5 2" xfId="15169"/>
    <cellStyle name="F5 2 2" xfId="15168"/>
    <cellStyle name="F5 2 2 2" xfId="15167"/>
    <cellStyle name="F5 2 3" xfId="15166"/>
    <cellStyle name="F5 3" xfId="15165"/>
    <cellStyle name="F5 3 2" xfId="15164"/>
    <cellStyle name="F5 3 2 2" xfId="15163"/>
    <cellStyle name="F5 3 3" xfId="15162"/>
    <cellStyle name="F5 3 4" xfId="15161"/>
    <cellStyle name="F5 3 5" xfId="15160"/>
    <cellStyle name="F5 4" xfId="15159"/>
    <cellStyle name="F5 4 2" xfId="15158"/>
    <cellStyle name="F5 4 3" xfId="15157"/>
    <cellStyle name="F5 5" xfId="15156"/>
    <cellStyle name="F5 6" xfId="15155"/>
    <cellStyle name="F5 7" xfId="15154"/>
    <cellStyle name="F5 8" xfId="15153"/>
    <cellStyle name="F5 9" xfId="15152"/>
    <cellStyle name="F6" xfId="15151"/>
    <cellStyle name="F6 10" xfId="15150"/>
    <cellStyle name="F6 11" xfId="15149"/>
    <cellStyle name="F6 12" xfId="15148"/>
    <cellStyle name="F6 13" xfId="15147"/>
    <cellStyle name="F6 14" xfId="15146"/>
    <cellStyle name="F6 2" xfId="15145"/>
    <cellStyle name="F6 2 2" xfId="15144"/>
    <cellStyle name="F6 2 2 2" xfId="15143"/>
    <cellStyle name="F6 2 3" xfId="15142"/>
    <cellStyle name="F6 3" xfId="15141"/>
    <cellStyle name="F6 3 2" xfId="15140"/>
    <cellStyle name="F6 3 2 2" xfId="15139"/>
    <cellStyle name="F6 3 3" xfId="15138"/>
    <cellStyle name="F6 3 4" xfId="15137"/>
    <cellStyle name="F6 3 5" xfId="15136"/>
    <cellStyle name="F6 4" xfId="15135"/>
    <cellStyle name="F6 4 2" xfId="15134"/>
    <cellStyle name="F6 4 3" xfId="15133"/>
    <cellStyle name="F6 5" xfId="15132"/>
    <cellStyle name="F6 6" xfId="15131"/>
    <cellStyle name="F6 7" xfId="15130"/>
    <cellStyle name="F6 8" xfId="15129"/>
    <cellStyle name="F6 9" xfId="15128"/>
    <cellStyle name="F7" xfId="15127"/>
    <cellStyle name="F7 10" xfId="15126"/>
    <cellStyle name="F7 11" xfId="15125"/>
    <cellStyle name="F7 12" xfId="15124"/>
    <cellStyle name="F7 13" xfId="15123"/>
    <cellStyle name="F7 14" xfId="15122"/>
    <cellStyle name="F7 2" xfId="15121"/>
    <cellStyle name="F7 2 2" xfId="15120"/>
    <cellStyle name="F7 2 2 2" xfId="15119"/>
    <cellStyle name="F7 2 3" xfId="15118"/>
    <cellStyle name="F7 3" xfId="15117"/>
    <cellStyle name="F7 3 2" xfId="15116"/>
    <cellStyle name="F7 3 2 2" xfId="15115"/>
    <cellStyle name="F7 3 3" xfId="15114"/>
    <cellStyle name="F7 3 4" xfId="15113"/>
    <cellStyle name="F7 3 5" xfId="15112"/>
    <cellStyle name="F7 4" xfId="15111"/>
    <cellStyle name="F7 4 2" xfId="15110"/>
    <cellStyle name="F7 4 3" xfId="15109"/>
    <cellStyle name="F7 5" xfId="15108"/>
    <cellStyle name="F7 6" xfId="15107"/>
    <cellStyle name="F7 7" xfId="15106"/>
    <cellStyle name="F7 8" xfId="15105"/>
    <cellStyle name="F7 9" xfId="15104"/>
    <cellStyle name="F8" xfId="15103"/>
    <cellStyle name="F8 10" xfId="15102"/>
    <cellStyle name="F8 11" xfId="15101"/>
    <cellStyle name="F8 12" xfId="15100"/>
    <cellStyle name="F8 13" xfId="15099"/>
    <cellStyle name="F8 14" xfId="15098"/>
    <cellStyle name="F8 2" xfId="15097"/>
    <cellStyle name="F8 2 2" xfId="15096"/>
    <cellStyle name="F8 2 2 2" xfId="15095"/>
    <cellStyle name="F8 2 3" xfId="15094"/>
    <cellStyle name="F8 3" xfId="15093"/>
    <cellStyle name="F8 3 2" xfId="15092"/>
    <cellStyle name="F8 3 2 2" xfId="15091"/>
    <cellStyle name="F8 3 3" xfId="15090"/>
    <cellStyle name="F8 3 4" xfId="15089"/>
    <cellStyle name="F8 3 5" xfId="15088"/>
    <cellStyle name="F8 4" xfId="15087"/>
    <cellStyle name="F8 4 2" xfId="15086"/>
    <cellStyle name="F8 4 3" xfId="15085"/>
    <cellStyle name="F8 5" xfId="15084"/>
    <cellStyle name="F8 6" xfId="15083"/>
    <cellStyle name="F8 7" xfId="15082"/>
    <cellStyle name="F8 8" xfId="15081"/>
    <cellStyle name="F8 9" xfId="15080"/>
    <cellStyle name="Fixed" xfId="15079"/>
    <cellStyle name="Fixed [0]" xfId="15078"/>
    <cellStyle name="Fixed 10" xfId="15077"/>
    <cellStyle name="Fixed 11" xfId="15076"/>
    <cellStyle name="Fixed 12" xfId="15075"/>
    <cellStyle name="Fixed 13" xfId="15074"/>
    <cellStyle name="Fixed 14" xfId="15073"/>
    <cellStyle name="Fixed 15" xfId="15072"/>
    <cellStyle name="Fixed 16" xfId="15071"/>
    <cellStyle name="Fixed 2" xfId="15070"/>
    <cellStyle name="Fixed 2 2" xfId="15069"/>
    <cellStyle name="Fixed 2 2 2" xfId="15068"/>
    <cellStyle name="Fixed 2 3" xfId="15067"/>
    <cellStyle name="Fixed 3" xfId="15066"/>
    <cellStyle name="Fixed 3 2" xfId="15065"/>
    <cellStyle name="Fixed 3 2 2" xfId="15064"/>
    <cellStyle name="Fixed 3 3" xfId="15063"/>
    <cellStyle name="Fixed 3 4" xfId="15062"/>
    <cellStyle name="Fixed 3 5" xfId="15061"/>
    <cellStyle name="Fixed 4" xfId="15060"/>
    <cellStyle name="Fixed 4 2" xfId="15059"/>
    <cellStyle name="Fixed 4 3" xfId="15058"/>
    <cellStyle name="Fixed 5" xfId="15057"/>
    <cellStyle name="Fixed 6" xfId="15056"/>
    <cellStyle name="Fixed 7" xfId="15055"/>
    <cellStyle name="Fixed 8" xfId="15054"/>
    <cellStyle name="Fixed 9" xfId="15053"/>
    <cellStyle name="Fixed_ANALISA-2" xfId="15052"/>
    <cellStyle name="ƒnƒCƒp[ƒŠƒ“ƒN" xfId="15051"/>
    <cellStyle name="ƒnƒCƒp[ƒŠƒ“ƒN 2" xfId="15050"/>
    <cellStyle name="Foottitle" xfId="15049"/>
    <cellStyle name="Format a column of totals" xfId="15048"/>
    <cellStyle name="Format a column of totals 2" xfId="15047"/>
    <cellStyle name="Format a column of totals 2 2" xfId="15046"/>
    <cellStyle name="Format a row of totals" xfId="15045"/>
    <cellStyle name="Format a row of totals 10" xfId="15044"/>
    <cellStyle name="Format a row of totals 10 2" xfId="15043"/>
    <cellStyle name="Format a row of totals 11" xfId="15042"/>
    <cellStyle name="Format a row of totals 2" xfId="15041"/>
    <cellStyle name="Format a row of totals 2 2" xfId="15040"/>
    <cellStyle name="Format a row of totals 2 2 2" xfId="15039"/>
    <cellStyle name="Format a row of totals 2 2 2 2" xfId="15038"/>
    <cellStyle name="Format a row of totals 2 2 3" xfId="15037"/>
    <cellStyle name="Format a row of totals 2 3" xfId="15036"/>
    <cellStyle name="Format a row of totals 2 3 2" xfId="15035"/>
    <cellStyle name="Format a row of totals 2 4" xfId="15034"/>
    <cellStyle name="Format a row of totals 3" xfId="15033"/>
    <cellStyle name="Format a row of totals 3 2" xfId="15032"/>
    <cellStyle name="Format a row of totals 3 2 2" xfId="15031"/>
    <cellStyle name="Format a row of totals 3 2 2 2" xfId="15030"/>
    <cellStyle name="Format a row of totals 3 2 3" xfId="15029"/>
    <cellStyle name="Format a row of totals 3 3" xfId="15028"/>
    <cellStyle name="Format a row of totals 3 3 2" xfId="15027"/>
    <cellStyle name="Format a row of totals 3 4" xfId="15026"/>
    <cellStyle name="Format a row of totals 4" xfId="15025"/>
    <cellStyle name="Format a row of totals 4 2" xfId="15024"/>
    <cellStyle name="Format a row of totals 4 2 2" xfId="15023"/>
    <cellStyle name="Format a row of totals 4 2 2 2" xfId="15022"/>
    <cellStyle name="Format a row of totals 4 2 3" xfId="15021"/>
    <cellStyle name="Format a row of totals 4 3" xfId="15020"/>
    <cellStyle name="Format a row of totals 4 3 2" xfId="15019"/>
    <cellStyle name="Format a row of totals 4 4" xfId="15018"/>
    <cellStyle name="Format a row of totals 5" xfId="15017"/>
    <cellStyle name="Format a row of totals 5 2" xfId="15016"/>
    <cellStyle name="Format a row of totals 5 2 2" xfId="15015"/>
    <cellStyle name="Format a row of totals 5 2 2 2" xfId="15014"/>
    <cellStyle name="Format a row of totals 5 2 3" xfId="15013"/>
    <cellStyle name="Format a row of totals 5 3" xfId="15012"/>
    <cellStyle name="Format a row of totals 5 3 2" xfId="15011"/>
    <cellStyle name="Format a row of totals 5 4" xfId="15010"/>
    <cellStyle name="Format a row of totals 6" xfId="15009"/>
    <cellStyle name="Format a row of totals 6 2" xfId="15008"/>
    <cellStyle name="Format a row of totals 6 2 2" xfId="15007"/>
    <cellStyle name="Format a row of totals 6 2 2 2" xfId="15006"/>
    <cellStyle name="Format a row of totals 6 2 3" xfId="15005"/>
    <cellStyle name="Format a row of totals 6 3" xfId="15004"/>
    <cellStyle name="Format a row of totals 6 3 2" xfId="15003"/>
    <cellStyle name="Format a row of totals 6 4" xfId="15002"/>
    <cellStyle name="Format a row of totals 7" xfId="15001"/>
    <cellStyle name="Format a row of totals 7 2" xfId="15000"/>
    <cellStyle name="Format a row of totals 7 2 2" xfId="14999"/>
    <cellStyle name="Format a row of totals 7 2 2 2" xfId="14998"/>
    <cellStyle name="Format a row of totals 7 2 3" xfId="14997"/>
    <cellStyle name="Format a row of totals 7 3" xfId="14996"/>
    <cellStyle name="Format a row of totals 7 3 2" xfId="14995"/>
    <cellStyle name="Format a row of totals 7 4" xfId="14994"/>
    <cellStyle name="Format a row of totals 8" xfId="14993"/>
    <cellStyle name="Format a row of totals 8 2" xfId="14992"/>
    <cellStyle name="Format a row of totals 8 2 2" xfId="14991"/>
    <cellStyle name="Format a row of totals 8 2 2 2" xfId="14990"/>
    <cellStyle name="Format a row of totals 8 2 3" xfId="14989"/>
    <cellStyle name="Format a row of totals 8 3" xfId="14988"/>
    <cellStyle name="Format a row of totals 8 3 2" xfId="14987"/>
    <cellStyle name="Format a row of totals 8 4" xfId="14986"/>
    <cellStyle name="Format a row of totals 9" xfId="14985"/>
    <cellStyle name="Format a row of totals 9 2" xfId="14984"/>
    <cellStyle name="Format a row of totals 9 2 2" xfId="14983"/>
    <cellStyle name="Format a row of totals 9 3" xfId="14982"/>
    <cellStyle name="Format text as bold, black on yello" xfId="14981"/>
    <cellStyle name="Format text as bold, black on yello 2" xfId="14980"/>
    <cellStyle name="Format text as bold, black on yello 3" xfId="14979"/>
    <cellStyle name="Format text as bold, black on yello 4" xfId="14978"/>
    <cellStyle name="Format text as bold, black on yellow" xfId="14977"/>
    <cellStyle name="Format text as bold, black on yellow 10" xfId="14976"/>
    <cellStyle name="Format text as bold, black on yellow 10 2" xfId="14975"/>
    <cellStyle name="Format text as bold, black on yellow 11" xfId="14974"/>
    <cellStyle name="Format text as bold, black on yellow 2" xfId="14973"/>
    <cellStyle name="Format text as bold, black on yellow 2 2" xfId="14972"/>
    <cellStyle name="Format text as bold, black on yellow 2 2 2" xfId="14971"/>
    <cellStyle name="Format text as bold, black on yellow 2 2 2 2" xfId="14970"/>
    <cellStyle name="Format text as bold, black on yellow 2 2 3" xfId="14969"/>
    <cellStyle name="Format text as bold, black on yellow 2 3" xfId="14968"/>
    <cellStyle name="Format text as bold, black on yellow 2 3 2" xfId="14967"/>
    <cellStyle name="Format text as bold, black on yellow 2 4" xfId="14966"/>
    <cellStyle name="Format text as bold, black on yellow 3" xfId="14965"/>
    <cellStyle name="Format text as bold, black on yellow 3 2" xfId="14964"/>
    <cellStyle name="Format text as bold, black on yellow 3 2 2" xfId="14963"/>
    <cellStyle name="Format text as bold, black on yellow 3 2 2 2" xfId="14962"/>
    <cellStyle name="Format text as bold, black on yellow 3 2 3" xfId="14961"/>
    <cellStyle name="Format text as bold, black on yellow 3 3" xfId="14960"/>
    <cellStyle name="Format text as bold, black on yellow 3 3 2" xfId="14959"/>
    <cellStyle name="Format text as bold, black on yellow 3 4" xfId="14958"/>
    <cellStyle name="Format text as bold, black on yellow 4" xfId="14957"/>
    <cellStyle name="Format text as bold, black on yellow 4 2" xfId="14956"/>
    <cellStyle name="Format text as bold, black on yellow 4 2 2" xfId="14955"/>
    <cellStyle name="Format text as bold, black on yellow 4 2 2 2" xfId="14954"/>
    <cellStyle name="Format text as bold, black on yellow 4 2 3" xfId="14953"/>
    <cellStyle name="Format text as bold, black on yellow 4 3" xfId="14952"/>
    <cellStyle name="Format text as bold, black on yellow 4 3 2" xfId="14951"/>
    <cellStyle name="Format text as bold, black on yellow 4 4" xfId="14950"/>
    <cellStyle name="Format text as bold, black on yellow 5" xfId="14949"/>
    <cellStyle name="Format text as bold, black on yellow 5 2" xfId="14948"/>
    <cellStyle name="Format text as bold, black on yellow 5 2 2" xfId="14947"/>
    <cellStyle name="Format text as bold, black on yellow 5 2 2 2" xfId="14946"/>
    <cellStyle name="Format text as bold, black on yellow 5 2 3" xfId="14945"/>
    <cellStyle name="Format text as bold, black on yellow 5 3" xfId="14944"/>
    <cellStyle name="Format text as bold, black on yellow 5 3 2" xfId="14943"/>
    <cellStyle name="Format text as bold, black on yellow 5 4" xfId="14942"/>
    <cellStyle name="Format text as bold, black on yellow 6" xfId="14941"/>
    <cellStyle name="Format text as bold, black on yellow 6 2" xfId="14940"/>
    <cellStyle name="Format text as bold, black on yellow 6 2 2" xfId="14939"/>
    <cellStyle name="Format text as bold, black on yellow 6 2 2 2" xfId="14938"/>
    <cellStyle name="Format text as bold, black on yellow 6 2 3" xfId="14937"/>
    <cellStyle name="Format text as bold, black on yellow 6 3" xfId="14936"/>
    <cellStyle name="Format text as bold, black on yellow 6 3 2" xfId="14935"/>
    <cellStyle name="Format text as bold, black on yellow 6 4" xfId="14934"/>
    <cellStyle name="Format text as bold, black on yellow 7" xfId="14933"/>
    <cellStyle name="Format text as bold, black on yellow 7 2" xfId="14932"/>
    <cellStyle name="Format text as bold, black on yellow 7 2 2" xfId="14931"/>
    <cellStyle name="Format text as bold, black on yellow 7 2 2 2" xfId="14930"/>
    <cellStyle name="Format text as bold, black on yellow 7 2 3" xfId="14929"/>
    <cellStyle name="Format text as bold, black on yellow 7 3" xfId="14928"/>
    <cellStyle name="Format text as bold, black on yellow 7 3 2" xfId="14927"/>
    <cellStyle name="Format text as bold, black on yellow 7 4" xfId="14926"/>
    <cellStyle name="Format text as bold, black on yellow 8" xfId="14925"/>
    <cellStyle name="Format text as bold, black on yellow 8 2" xfId="14924"/>
    <cellStyle name="Format text as bold, black on yellow 8 2 2" xfId="14923"/>
    <cellStyle name="Format text as bold, black on yellow 8 2 2 2" xfId="14922"/>
    <cellStyle name="Format text as bold, black on yellow 8 2 3" xfId="14921"/>
    <cellStyle name="Format text as bold, black on yellow 8 3" xfId="14920"/>
    <cellStyle name="Format text as bold, black on yellow 8 3 2" xfId="14919"/>
    <cellStyle name="Format text as bold, black on yellow 8 4" xfId="14918"/>
    <cellStyle name="Format text as bold, black on yellow 9" xfId="14917"/>
    <cellStyle name="Format text as bold, black on yellow 9 2" xfId="14916"/>
    <cellStyle name="Format text as bold, black on yellow 9 2 2" xfId="14915"/>
    <cellStyle name="Format text as bold, black on yellow 9 3" xfId="14914"/>
    <cellStyle name="gali" xfId="14913"/>
    <cellStyle name="Good 2" xfId="14912"/>
    <cellStyle name="Good 2 2" xfId="14911"/>
    <cellStyle name="Good 3" xfId="14910"/>
    <cellStyle name="Good 3 2" xfId="14909"/>
    <cellStyle name="Good 4" xfId="14908"/>
    <cellStyle name="Good 4 2" xfId="14907"/>
    <cellStyle name="Good 5" xfId="14906"/>
    <cellStyle name="Good 5 2" xfId="14905"/>
    <cellStyle name="Good 6" xfId="14904"/>
    <cellStyle name="Good 6 2" xfId="14903"/>
    <cellStyle name="Good 7" xfId="14902"/>
    <cellStyle name="Good 7 2" xfId="14901"/>
    <cellStyle name="Good 8" xfId="14900"/>
    <cellStyle name="Good 8 2" xfId="14899"/>
    <cellStyle name="Good 9" xfId="14898"/>
    <cellStyle name="Grey" xfId="14897"/>
    <cellStyle name="GTT%" xfId="14896"/>
    <cellStyle name="GTT% 2" xfId="14895"/>
    <cellStyle name="GTT% 2 2" xfId="14894"/>
    <cellStyle name="GTT% 2 2 2" xfId="14893"/>
    <cellStyle name="GTT% 2 3" xfId="14892"/>
    <cellStyle name="GTT% 2 3 2" xfId="14891"/>
    <cellStyle name="GTT% 2 4" xfId="14890"/>
    <cellStyle name="GTT% 3" xfId="14889"/>
    <cellStyle name="GTT% 3 2" xfId="14888"/>
    <cellStyle name="GTT% 4" xfId="14887"/>
    <cellStyle name="GTT% 4 2" xfId="14886"/>
    <cellStyle name="GTT% 5" xfId="14885"/>
    <cellStyle name="head" xfId="14884"/>
    <cellStyle name="head 1" xfId="14883"/>
    <cellStyle name="head 1-1" xfId="14882"/>
    <cellStyle name="HEADER" xfId="14881"/>
    <cellStyle name="Header - Style1" xfId="14880"/>
    <cellStyle name="Header - Style1 2" xfId="14879"/>
    <cellStyle name="Header - Style1 2 2" xfId="14878"/>
    <cellStyle name="Header - Style1 2 2 2" xfId="14877"/>
    <cellStyle name="Header - Style1 2 3" xfId="14876"/>
    <cellStyle name="Header - Style1 3" xfId="14875"/>
    <cellStyle name="Header - Style1 3 2" xfId="14874"/>
    <cellStyle name="Header - Style1 3 2 2" xfId="14873"/>
    <cellStyle name="Header - Style1 3 3" xfId="14872"/>
    <cellStyle name="Header - Style1 4" xfId="14871"/>
    <cellStyle name="Header - Style1 4 2" xfId="14870"/>
    <cellStyle name="Header - Style1 4 2 2" xfId="14869"/>
    <cellStyle name="Header - Style1 4 3" xfId="14868"/>
    <cellStyle name="Header - Style1 5" xfId="14867"/>
    <cellStyle name="Header - Style1 5 2" xfId="14866"/>
    <cellStyle name="Header - Style1 5 2 2" xfId="14865"/>
    <cellStyle name="Header - Style1 5 3" xfId="14864"/>
    <cellStyle name="Header - Style1 6" xfId="14863"/>
    <cellStyle name="Header - Style1 6 2" xfId="14862"/>
    <cellStyle name="Header - Style1 6 2 2" xfId="14861"/>
    <cellStyle name="Header - Style1 6 3" xfId="14860"/>
    <cellStyle name="Header - Style1 7" xfId="14859"/>
    <cellStyle name="Header - Style1 7 2" xfId="14858"/>
    <cellStyle name="Header - Style1 7 2 2" xfId="14857"/>
    <cellStyle name="Header - Style1 7 3" xfId="14856"/>
    <cellStyle name="Header - Style1 8" xfId="14855"/>
    <cellStyle name="Header - Style1 8 2" xfId="14854"/>
    <cellStyle name="Header - Style1 9" xfId="14853"/>
    <cellStyle name="HEADER 2" xfId="14852"/>
    <cellStyle name="Header1" xfId="14851"/>
    <cellStyle name="Header1 10" xfId="14850"/>
    <cellStyle name="Header1 2" xfId="14849"/>
    <cellStyle name="Header1 2 2" xfId="14848"/>
    <cellStyle name="Header1 3" xfId="14847"/>
    <cellStyle name="Header1 3 2" xfId="14846"/>
    <cellStyle name="Header1 4" xfId="14845"/>
    <cellStyle name="Header1 4 2" xfId="14844"/>
    <cellStyle name="Header1 5" xfId="14843"/>
    <cellStyle name="Header1 5 2" xfId="14842"/>
    <cellStyle name="Header1 6" xfId="14841"/>
    <cellStyle name="Header1 6 2" xfId="14840"/>
    <cellStyle name="Header1 7" xfId="14839"/>
    <cellStyle name="Header1 7 2" xfId="14838"/>
    <cellStyle name="Header1 8" xfId="14837"/>
    <cellStyle name="Header1 8 2" xfId="14836"/>
    <cellStyle name="Header1 9" xfId="14835"/>
    <cellStyle name="Header1 9 2" xfId="14834"/>
    <cellStyle name="Header2" xfId="14833"/>
    <cellStyle name="Header2 10" xfId="14832"/>
    <cellStyle name="Header2 10 2" xfId="14831"/>
    <cellStyle name="Header2 10 3" xfId="14830"/>
    <cellStyle name="Header2 10 4" xfId="14829"/>
    <cellStyle name="Header2 11" xfId="14828"/>
    <cellStyle name="Header2 11 2" xfId="14827"/>
    <cellStyle name="Header2 11 3" xfId="14826"/>
    <cellStyle name="Header2 11 4" xfId="14825"/>
    <cellStyle name="Header2 12" xfId="14824"/>
    <cellStyle name="Header2 12 2" xfId="14823"/>
    <cellStyle name="Header2 12 3" xfId="14822"/>
    <cellStyle name="Header2 12 4" xfId="14821"/>
    <cellStyle name="Header2 13" xfId="14820"/>
    <cellStyle name="Header2 14" xfId="14819"/>
    <cellStyle name="Header2 15" xfId="14818"/>
    <cellStyle name="Header2 16" xfId="14817"/>
    <cellStyle name="Header2 17" xfId="14816"/>
    <cellStyle name="Header2 18" xfId="14815"/>
    <cellStyle name="Header2 2" xfId="14814"/>
    <cellStyle name="Header2 2 10" xfId="14813"/>
    <cellStyle name="Header2 2 10 2" xfId="14812"/>
    <cellStyle name="Header2 2 10 3" xfId="14811"/>
    <cellStyle name="Header2 2 10 4" xfId="14810"/>
    <cellStyle name="Header2 2 11" xfId="14809"/>
    <cellStyle name="Header2 2 12" xfId="14808"/>
    <cellStyle name="Header2 2 13" xfId="14807"/>
    <cellStyle name="Header2 2 2" xfId="14806"/>
    <cellStyle name="Header2 2 2 10" xfId="14805"/>
    <cellStyle name="Header2 2 2 11" xfId="14804"/>
    <cellStyle name="Header2 2 2 2" xfId="14803"/>
    <cellStyle name="Header2 2 2 2 2" xfId="14802"/>
    <cellStyle name="Header2 2 2 2 3" xfId="14801"/>
    <cellStyle name="Header2 2 2 2 4" xfId="14800"/>
    <cellStyle name="Header2 2 2 3" xfId="14799"/>
    <cellStyle name="Header2 2 2 3 2" xfId="14798"/>
    <cellStyle name="Header2 2 2 3 3" xfId="14797"/>
    <cellStyle name="Header2 2 2 3 4" xfId="14796"/>
    <cellStyle name="Header2 2 2 4" xfId="14795"/>
    <cellStyle name="Header2 2 2 4 2" xfId="14794"/>
    <cellStyle name="Header2 2 2 4 3" xfId="14793"/>
    <cellStyle name="Header2 2 2 4 4" xfId="14792"/>
    <cellStyle name="Header2 2 2 5" xfId="14791"/>
    <cellStyle name="Header2 2 2 5 2" xfId="14790"/>
    <cellStyle name="Header2 2 2 5 3" xfId="14789"/>
    <cellStyle name="Header2 2 2 5 4" xfId="14788"/>
    <cellStyle name="Header2 2 2 6" xfId="14787"/>
    <cellStyle name="Header2 2 2 6 2" xfId="14786"/>
    <cellStyle name="Header2 2 2 6 3" xfId="14785"/>
    <cellStyle name="Header2 2 2 6 4" xfId="14784"/>
    <cellStyle name="Header2 2 2 7" xfId="14783"/>
    <cellStyle name="Header2 2 2 7 2" xfId="14782"/>
    <cellStyle name="Header2 2 2 7 3" xfId="14781"/>
    <cellStyle name="Header2 2 2 7 4" xfId="14780"/>
    <cellStyle name="Header2 2 2 8" xfId="14779"/>
    <cellStyle name="Header2 2 2 8 2" xfId="14778"/>
    <cellStyle name="Header2 2 2 8 3" xfId="14777"/>
    <cellStyle name="Header2 2 2 8 4" xfId="14776"/>
    <cellStyle name="Header2 2 2 9" xfId="14775"/>
    <cellStyle name="Header2 2 3" xfId="14774"/>
    <cellStyle name="Header2 2 3 2" xfId="14773"/>
    <cellStyle name="Header2 2 3 3" xfId="14772"/>
    <cellStyle name="Header2 2 3 4" xfId="14771"/>
    <cellStyle name="Header2 2 4" xfId="14770"/>
    <cellStyle name="Header2 2 4 2" xfId="14769"/>
    <cellStyle name="Header2 2 4 3" xfId="14768"/>
    <cellStyle name="Header2 2 4 4" xfId="14767"/>
    <cellStyle name="Header2 2 5" xfId="14766"/>
    <cellStyle name="Header2 2 5 2" xfId="14765"/>
    <cellStyle name="Header2 2 5 3" xfId="14764"/>
    <cellStyle name="Header2 2 5 4" xfId="14763"/>
    <cellStyle name="Header2 2 6" xfId="14762"/>
    <cellStyle name="Header2 2 6 2" xfId="14761"/>
    <cellStyle name="Header2 2 6 3" xfId="14760"/>
    <cellStyle name="Header2 2 6 4" xfId="14759"/>
    <cellStyle name="Header2 2 7" xfId="14758"/>
    <cellStyle name="Header2 2 7 2" xfId="14757"/>
    <cellStyle name="Header2 2 7 3" xfId="14756"/>
    <cellStyle name="Header2 2 7 4" xfId="14755"/>
    <cellStyle name="Header2 2 8" xfId="14754"/>
    <cellStyle name="Header2 2 8 2" xfId="14753"/>
    <cellStyle name="Header2 2 8 3" xfId="14752"/>
    <cellStyle name="Header2 2 8 4" xfId="14751"/>
    <cellStyle name="Header2 2 9" xfId="14750"/>
    <cellStyle name="Header2 2 9 2" xfId="14749"/>
    <cellStyle name="Header2 2 9 3" xfId="14748"/>
    <cellStyle name="Header2 2 9 4" xfId="14747"/>
    <cellStyle name="Header2 3" xfId="14746"/>
    <cellStyle name="Header2 3 10" xfId="14745"/>
    <cellStyle name="Header2 3 10 2" xfId="14744"/>
    <cellStyle name="Header2 3 10 3" xfId="14743"/>
    <cellStyle name="Header2 3 10 4" xfId="14742"/>
    <cellStyle name="Header2 3 11" xfId="14741"/>
    <cellStyle name="Header2 3 12" xfId="14740"/>
    <cellStyle name="Header2 3 13" xfId="14739"/>
    <cellStyle name="Header2 3 2" xfId="14738"/>
    <cellStyle name="Header2 3 2 10" xfId="14737"/>
    <cellStyle name="Header2 3 2 11" xfId="14736"/>
    <cellStyle name="Header2 3 2 2" xfId="14735"/>
    <cellStyle name="Header2 3 2 2 2" xfId="14734"/>
    <cellStyle name="Header2 3 2 2 3" xfId="14733"/>
    <cellStyle name="Header2 3 2 2 4" xfId="14732"/>
    <cellStyle name="Header2 3 2 3" xfId="14731"/>
    <cellStyle name="Header2 3 2 3 2" xfId="14730"/>
    <cellStyle name="Header2 3 2 3 3" xfId="14729"/>
    <cellStyle name="Header2 3 2 3 4" xfId="14728"/>
    <cellStyle name="Header2 3 2 4" xfId="14727"/>
    <cellStyle name="Header2 3 2 4 2" xfId="14726"/>
    <cellStyle name="Header2 3 2 4 3" xfId="14725"/>
    <cellStyle name="Header2 3 2 4 4" xfId="14724"/>
    <cellStyle name="Header2 3 2 5" xfId="14723"/>
    <cellStyle name="Header2 3 2 5 2" xfId="14722"/>
    <cellStyle name="Header2 3 2 5 3" xfId="14721"/>
    <cellStyle name="Header2 3 2 5 4" xfId="14720"/>
    <cellStyle name="Header2 3 2 6" xfId="14719"/>
    <cellStyle name="Header2 3 2 6 2" xfId="14718"/>
    <cellStyle name="Header2 3 2 6 3" xfId="14717"/>
    <cellStyle name="Header2 3 2 6 4" xfId="14716"/>
    <cellStyle name="Header2 3 2 7" xfId="14715"/>
    <cellStyle name="Header2 3 2 7 2" xfId="14714"/>
    <cellStyle name="Header2 3 2 7 3" xfId="14713"/>
    <cellStyle name="Header2 3 2 7 4" xfId="14712"/>
    <cellStyle name="Header2 3 2 8" xfId="14711"/>
    <cellStyle name="Header2 3 2 8 2" xfId="14710"/>
    <cellStyle name="Header2 3 2 8 3" xfId="14709"/>
    <cellStyle name="Header2 3 2 8 4" xfId="14708"/>
    <cellStyle name="Header2 3 2 9" xfId="14707"/>
    <cellStyle name="Header2 3 3" xfId="14706"/>
    <cellStyle name="Header2 3 3 2" xfId="14705"/>
    <cellStyle name="Header2 3 3 3" xfId="14704"/>
    <cellStyle name="Header2 3 3 4" xfId="14703"/>
    <cellStyle name="Header2 3 4" xfId="14702"/>
    <cellStyle name="Header2 3 4 2" xfId="14701"/>
    <cellStyle name="Header2 3 4 3" xfId="14700"/>
    <cellStyle name="Header2 3 4 4" xfId="14699"/>
    <cellStyle name="Header2 3 5" xfId="14698"/>
    <cellStyle name="Header2 3 5 2" xfId="14697"/>
    <cellStyle name="Header2 3 5 3" xfId="14696"/>
    <cellStyle name="Header2 3 5 4" xfId="14695"/>
    <cellStyle name="Header2 3 6" xfId="14694"/>
    <cellStyle name="Header2 3 6 2" xfId="14693"/>
    <cellStyle name="Header2 3 6 3" xfId="14692"/>
    <cellStyle name="Header2 3 6 4" xfId="14691"/>
    <cellStyle name="Header2 3 7" xfId="14690"/>
    <cellStyle name="Header2 3 7 2" xfId="14689"/>
    <cellStyle name="Header2 3 7 3" xfId="14688"/>
    <cellStyle name="Header2 3 7 4" xfId="14687"/>
    <cellStyle name="Header2 3 8" xfId="14686"/>
    <cellStyle name="Header2 3 8 2" xfId="14685"/>
    <cellStyle name="Header2 3 8 3" xfId="14684"/>
    <cellStyle name="Header2 3 8 4" xfId="14683"/>
    <cellStyle name="Header2 3 9" xfId="14682"/>
    <cellStyle name="Header2 3 9 2" xfId="14681"/>
    <cellStyle name="Header2 3 9 3" xfId="14680"/>
    <cellStyle name="Header2 3 9 4" xfId="14679"/>
    <cellStyle name="Header2 4" xfId="14678"/>
    <cellStyle name="Header2 4 10" xfId="14677"/>
    <cellStyle name="Header2 4 11" xfId="14676"/>
    <cellStyle name="Header2 4 2" xfId="14675"/>
    <cellStyle name="Header2 4 2 2" xfId="14674"/>
    <cellStyle name="Header2 4 2 2 2" xfId="14673"/>
    <cellStyle name="Header2 4 2 3" xfId="14672"/>
    <cellStyle name="Header2 4 2 4" xfId="14671"/>
    <cellStyle name="Header2 4 3" xfId="14670"/>
    <cellStyle name="Header2 4 3 2" xfId="14669"/>
    <cellStyle name="Header2 4 3 3" xfId="14668"/>
    <cellStyle name="Header2 4 3 4" xfId="14667"/>
    <cellStyle name="Header2 4 4" xfId="14666"/>
    <cellStyle name="Header2 4 4 2" xfId="14665"/>
    <cellStyle name="Header2 4 4 3" xfId="14664"/>
    <cellStyle name="Header2 4 4 4" xfId="14663"/>
    <cellStyle name="Header2 4 5" xfId="14662"/>
    <cellStyle name="Header2 4 5 2" xfId="14661"/>
    <cellStyle name="Header2 4 5 3" xfId="14660"/>
    <cellStyle name="Header2 4 5 4" xfId="14659"/>
    <cellStyle name="Header2 4 6" xfId="14658"/>
    <cellStyle name="Header2 4 6 2" xfId="14657"/>
    <cellStyle name="Header2 4 6 3" xfId="14656"/>
    <cellStyle name="Header2 4 6 4" xfId="14655"/>
    <cellStyle name="Header2 4 7" xfId="14654"/>
    <cellStyle name="Header2 4 7 2" xfId="14653"/>
    <cellStyle name="Header2 4 7 3" xfId="14652"/>
    <cellStyle name="Header2 4 7 4" xfId="14651"/>
    <cellStyle name="Header2 4 8" xfId="14650"/>
    <cellStyle name="Header2 4 8 2" xfId="14649"/>
    <cellStyle name="Header2 4 8 3" xfId="14648"/>
    <cellStyle name="Header2 4 8 4" xfId="14647"/>
    <cellStyle name="Header2 4 9" xfId="14646"/>
    <cellStyle name="Header2 5" xfId="14645"/>
    <cellStyle name="Header2 5 2" xfId="14644"/>
    <cellStyle name="Header2 5 2 2" xfId="14643"/>
    <cellStyle name="Header2 5 2 2 2" xfId="14642"/>
    <cellStyle name="Header2 5 2 3" xfId="14641"/>
    <cellStyle name="Header2 5 3" xfId="14640"/>
    <cellStyle name="Header2 5 3 2" xfId="14639"/>
    <cellStyle name="Header2 5 4" xfId="14638"/>
    <cellStyle name="Header2 6" xfId="14637"/>
    <cellStyle name="Header2 6 2" xfId="14636"/>
    <cellStyle name="Header2 6 2 2" xfId="14635"/>
    <cellStyle name="Header2 6 2 2 2" xfId="14634"/>
    <cellStyle name="Header2 6 2 3" xfId="14633"/>
    <cellStyle name="Header2 6 3" xfId="14632"/>
    <cellStyle name="Header2 6 3 2" xfId="14631"/>
    <cellStyle name="Header2 6 4" xfId="14630"/>
    <cellStyle name="Header2 7" xfId="14629"/>
    <cellStyle name="Header2 7 2" xfId="14628"/>
    <cellStyle name="Header2 7 2 2" xfId="14627"/>
    <cellStyle name="Header2 7 2 2 2" xfId="14626"/>
    <cellStyle name="Header2 7 2 3" xfId="14625"/>
    <cellStyle name="Header2 7 3" xfId="14624"/>
    <cellStyle name="Header2 7 3 2" xfId="14623"/>
    <cellStyle name="Header2 7 4" xfId="14622"/>
    <cellStyle name="Header2 8" xfId="14621"/>
    <cellStyle name="Header2 8 2" xfId="14620"/>
    <cellStyle name="Header2 8 2 2" xfId="14619"/>
    <cellStyle name="Header2 8 2 2 2" xfId="14618"/>
    <cellStyle name="Header2 8 2 3" xfId="14617"/>
    <cellStyle name="Header2 8 3" xfId="14616"/>
    <cellStyle name="Header2 8 3 2" xfId="14615"/>
    <cellStyle name="Header2 8 4" xfId="14614"/>
    <cellStyle name="Header2 9" xfId="14613"/>
    <cellStyle name="Header2 9 2" xfId="14612"/>
    <cellStyle name="Header2 9 2 2" xfId="14611"/>
    <cellStyle name="Header2 9 3" xfId="14610"/>
    <cellStyle name="Header2 9 4" xfId="14609"/>
    <cellStyle name="Heading" xfId="14608"/>
    <cellStyle name="Heading 1 10" xfId="14607"/>
    <cellStyle name="Heading 1 10 2" xfId="14606"/>
    <cellStyle name="Heading 1 11" xfId="14605"/>
    <cellStyle name="Heading 1 11 2" xfId="14604"/>
    <cellStyle name="Heading 1 12" xfId="14603"/>
    <cellStyle name="Heading 1 13" xfId="14602"/>
    <cellStyle name="Heading 1 14" xfId="14601"/>
    <cellStyle name="Heading 1 15" xfId="14600"/>
    <cellStyle name="Heading 1 16" xfId="14599"/>
    <cellStyle name="Heading 1 2" xfId="14598"/>
    <cellStyle name="Heading 1 2 2" xfId="14597"/>
    <cellStyle name="Heading 1 2 2 2" xfId="14596"/>
    <cellStyle name="Heading 1 2 2 3" xfId="14595"/>
    <cellStyle name="Heading 1 2 3" xfId="14594"/>
    <cellStyle name="Heading 1 2 3 2" xfId="14593"/>
    <cellStyle name="Heading 1 2 4" xfId="14592"/>
    <cellStyle name="Heading 1 2 4 2" xfId="14591"/>
    <cellStyle name="Heading 1 2 5" xfId="14590"/>
    <cellStyle name="Heading 1 2 6" xfId="14589"/>
    <cellStyle name="Heading 1 2 7" xfId="14588"/>
    <cellStyle name="Heading 1 2 8" xfId="14587"/>
    <cellStyle name="Heading 1 3" xfId="14586"/>
    <cellStyle name="Heading 1 3 2" xfId="14585"/>
    <cellStyle name="Heading 1 3 2 2" xfId="14584"/>
    <cellStyle name="Heading 1 3 3" xfId="14583"/>
    <cellStyle name="Heading 1 3 4" xfId="14582"/>
    <cellStyle name="Heading 1 3 5" xfId="14581"/>
    <cellStyle name="Heading 1 4" xfId="14580"/>
    <cellStyle name="Heading 1 4 2" xfId="14579"/>
    <cellStyle name="Heading 1 4 2 2" xfId="14578"/>
    <cellStyle name="Heading 1 5" xfId="14577"/>
    <cellStyle name="Heading 1 5 2" xfId="14576"/>
    <cellStyle name="Heading 1 5 2 2" xfId="14575"/>
    <cellStyle name="Heading 1 6" xfId="14574"/>
    <cellStyle name="Heading 1 6 2" xfId="14573"/>
    <cellStyle name="Heading 1 6 2 2" xfId="14572"/>
    <cellStyle name="Heading 1 7" xfId="14571"/>
    <cellStyle name="Heading 1 7 2" xfId="14570"/>
    <cellStyle name="Heading 1 7 2 2" xfId="14569"/>
    <cellStyle name="Heading 1 8" xfId="14568"/>
    <cellStyle name="Heading 1 8 2" xfId="14567"/>
    <cellStyle name="Heading 1 8 2 2" xfId="14566"/>
    <cellStyle name="Heading 1 8 3" xfId="14565"/>
    <cellStyle name="Heading 1 9" xfId="14564"/>
    <cellStyle name="Heading 1 9 2" xfId="14563"/>
    <cellStyle name="Heading 10" xfId="14562"/>
    <cellStyle name="Heading 10 2" xfId="14561"/>
    <cellStyle name="Heading 11" xfId="14560"/>
    <cellStyle name="Heading 11 2" xfId="14559"/>
    <cellStyle name="Heading 12" xfId="14558"/>
    <cellStyle name="Heading 2 10" xfId="14557"/>
    <cellStyle name="Heading 2 10 2" xfId="14556"/>
    <cellStyle name="Heading 2 11" xfId="14555"/>
    <cellStyle name="Heading 2 11 2" xfId="14554"/>
    <cellStyle name="Heading 2 12" xfId="14553"/>
    <cellStyle name="Heading 2 13" xfId="14552"/>
    <cellStyle name="Heading 2 14" xfId="14551"/>
    <cellStyle name="Heading 2 15" xfId="14550"/>
    <cellStyle name="Heading 2 16" xfId="14549"/>
    <cellStyle name="Heading 2 2" xfId="14548"/>
    <cellStyle name="Heading 2 2 2" xfId="14547"/>
    <cellStyle name="Heading 2 2 2 2" xfId="14546"/>
    <cellStyle name="Heading 2 2 2 3" xfId="14545"/>
    <cellStyle name="Heading 2 2 3" xfId="14544"/>
    <cellStyle name="Heading 2 2 3 2" xfId="14543"/>
    <cellStyle name="Heading 2 2 4" xfId="14542"/>
    <cellStyle name="Heading 2 2 4 2" xfId="14541"/>
    <cellStyle name="Heading 2 2 5" xfId="14540"/>
    <cellStyle name="Heading 2 2 6" xfId="14539"/>
    <cellStyle name="Heading 2 2 7" xfId="14538"/>
    <cellStyle name="Heading 2 2 8" xfId="14537"/>
    <cellStyle name="Heading 2 3" xfId="14536"/>
    <cellStyle name="Heading 2 3 2" xfId="14535"/>
    <cellStyle name="Heading 2 3 2 2" xfId="14534"/>
    <cellStyle name="Heading 2 3 3" xfId="14533"/>
    <cellStyle name="Heading 2 3 4" xfId="14532"/>
    <cellStyle name="Heading 2 3 5" xfId="14531"/>
    <cellStyle name="Heading 2 4" xfId="14530"/>
    <cellStyle name="Heading 2 4 2" xfId="14529"/>
    <cellStyle name="Heading 2 4 2 2" xfId="14528"/>
    <cellStyle name="Heading 2 5" xfId="14527"/>
    <cellStyle name="Heading 2 5 2" xfId="14526"/>
    <cellStyle name="Heading 2 5 2 2" xfId="14525"/>
    <cellStyle name="Heading 2 6" xfId="14524"/>
    <cellStyle name="Heading 2 6 2" xfId="14523"/>
    <cellStyle name="Heading 2 6 2 2" xfId="14522"/>
    <cellStyle name="Heading 2 7" xfId="14521"/>
    <cellStyle name="Heading 2 7 2" xfId="14520"/>
    <cellStyle name="Heading 2 7 2 2" xfId="14519"/>
    <cellStyle name="Heading 2 8" xfId="14518"/>
    <cellStyle name="Heading 2 8 2" xfId="14517"/>
    <cellStyle name="Heading 2 8 2 2" xfId="14516"/>
    <cellStyle name="Heading 2 8 3" xfId="14515"/>
    <cellStyle name="Heading 2 9" xfId="14514"/>
    <cellStyle name="Heading 2 9 2" xfId="14513"/>
    <cellStyle name="Heading 3 2" xfId="14512"/>
    <cellStyle name="Heading 3 2 2" xfId="14511"/>
    <cellStyle name="Heading 3 2 2 2" xfId="14510"/>
    <cellStyle name="Heading 3 2 2 2 2" xfId="14509"/>
    <cellStyle name="Heading 3 2 2 2 2 2" xfId="14508"/>
    <cellStyle name="Heading 3 2 2 3" xfId="14507"/>
    <cellStyle name="Heading 3 2 2 3 2" xfId="14506"/>
    <cellStyle name="Heading 3 2 3" xfId="14505"/>
    <cellStyle name="Heading 3 2 3 2" xfId="14504"/>
    <cellStyle name="Heading 3 2 3 2 2" xfId="14503"/>
    <cellStyle name="Heading 3 2 4" xfId="14502"/>
    <cellStyle name="Heading 3 2 4 2" xfId="14501"/>
    <cellStyle name="Heading 3 3" xfId="14500"/>
    <cellStyle name="Heading 3 3 2" xfId="14499"/>
    <cellStyle name="Heading 3 3 2 2" xfId="14498"/>
    <cellStyle name="Heading 3 3 2 2 2" xfId="14497"/>
    <cellStyle name="Heading 3 3 2 2 2 2" xfId="14496"/>
    <cellStyle name="Heading 3 3 2 3" xfId="14495"/>
    <cellStyle name="Heading 3 3 2 3 2" xfId="14494"/>
    <cellStyle name="Heading 3 3 3" xfId="14493"/>
    <cellStyle name="Heading 3 3 3 2" xfId="14492"/>
    <cellStyle name="Heading 3 3 3 2 2" xfId="14491"/>
    <cellStyle name="Heading 3 3 4" xfId="14490"/>
    <cellStyle name="Heading 3 3 4 2" xfId="14489"/>
    <cellStyle name="Heading 3 4" xfId="14488"/>
    <cellStyle name="Heading 3 4 2" xfId="14487"/>
    <cellStyle name="Heading 3 4 2 2" xfId="14486"/>
    <cellStyle name="Heading 3 4 2 2 2" xfId="14485"/>
    <cellStyle name="Heading 3 4 2 2 2 2" xfId="14484"/>
    <cellStyle name="Heading 3 4 2 3" xfId="14483"/>
    <cellStyle name="Heading 3 4 2 3 2" xfId="14482"/>
    <cellStyle name="Heading 3 4 3" xfId="14481"/>
    <cellStyle name="Heading 3 4 3 2" xfId="14480"/>
    <cellStyle name="Heading 3 4 3 2 2" xfId="14479"/>
    <cellStyle name="Heading 3 4 4" xfId="14478"/>
    <cellStyle name="Heading 3 4 4 2" xfId="14477"/>
    <cellStyle name="Heading 3 5" xfId="14476"/>
    <cellStyle name="Heading 3 5 2" xfId="14475"/>
    <cellStyle name="Heading 3 5 2 2" xfId="14474"/>
    <cellStyle name="Heading 3 5 2 2 2" xfId="14473"/>
    <cellStyle name="Heading 3 5 2 2 2 2" xfId="14472"/>
    <cellStyle name="Heading 3 5 2 3" xfId="14471"/>
    <cellStyle name="Heading 3 5 2 3 2" xfId="14470"/>
    <cellStyle name="Heading 3 5 3" xfId="14469"/>
    <cellStyle name="Heading 3 5 3 2" xfId="14468"/>
    <cellStyle name="Heading 3 5 3 2 2" xfId="14467"/>
    <cellStyle name="Heading 3 5 4" xfId="14466"/>
    <cellStyle name="Heading 3 5 4 2" xfId="14465"/>
    <cellStyle name="Heading 3 6" xfId="14464"/>
    <cellStyle name="Heading 3 6 2" xfId="14463"/>
    <cellStyle name="Heading 3 6 2 2" xfId="14462"/>
    <cellStyle name="Heading 3 6 2 2 2" xfId="14461"/>
    <cellStyle name="Heading 3 6 2 2 2 2" xfId="14460"/>
    <cellStyle name="Heading 3 6 2 3" xfId="14459"/>
    <cellStyle name="Heading 3 6 2 3 2" xfId="14458"/>
    <cellStyle name="Heading 3 6 3" xfId="14457"/>
    <cellStyle name="Heading 3 6 3 2" xfId="14456"/>
    <cellStyle name="Heading 3 6 3 2 2" xfId="14455"/>
    <cellStyle name="Heading 3 6 4" xfId="14454"/>
    <cellStyle name="Heading 3 6 4 2" xfId="14453"/>
    <cellStyle name="Heading 3 7" xfId="14452"/>
    <cellStyle name="Heading 3 7 2" xfId="14451"/>
    <cellStyle name="Heading 3 7 2 2" xfId="14450"/>
    <cellStyle name="Heading 3 7 2 2 2" xfId="14449"/>
    <cellStyle name="Heading 3 7 2 2 2 2" xfId="14448"/>
    <cellStyle name="Heading 3 7 2 3" xfId="14447"/>
    <cellStyle name="Heading 3 7 2 3 2" xfId="14446"/>
    <cellStyle name="Heading 3 7 3" xfId="14445"/>
    <cellStyle name="Heading 3 7 3 2" xfId="14444"/>
    <cellStyle name="Heading 3 7 3 2 2" xfId="14443"/>
    <cellStyle name="Heading 3 7 4" xfId="14442"/>
    <cellStyle name="Heading 3 7 4 2" xfId="14441"/>
    <cellStyle name="Heading 3 8" xfId="14440"/>
    <cellStyle name="Heading 3 8 2" xfId="14439"/>
    <cellStyle name="Heading 3 8 2 2" xfId="14438"/>
    <cellStyle name="Heading 3 8 2 2 2" xfId="14437"/>
    <cellStyle name="Heading 3 8 2 2 2 2" xfId="14436"/>
    <cellStyle name="Heading 3 8 2 3" xfId="14435"/>
    <cellStyle name="Heading 3 8 2 3 2" xfId="14434"/>
    <cellStyle name="Heading 3 8 3" xfId="14433"/>
    <cellStyle name="Heading 3 8 3 2" xfId="14432"/>
    <cellStyle name="Heading 3 8 3 2 2" xfId="14431"/>
    <cellStyle name="Heading 3 8 4" xfId="14430"/>
    <cellStyle name="Heading 3 8 4 2" xfId="14429"/>
    <cellStyle name="Heading 3 9" xfId="14428"/>
    <cellStyle name="Heading 3." xfId="14427"/>
    <cellStyle name="Heading 4 2" xfId="14426"/>
    <cellStyle name="Heading 4 2 2" xfId="14425"/>
    <cellStyle name="Heading 4 3" xfId="14424"/>
    <cellStyle name="Heading 4 3 2" xfId="14423"/>
    <cellStyle name="Heading 4 4" xfId="14422"/>
    <cellStyle name="Heading 4 4 2" xfId="14421"/>
    <cellStyle name="Heading 4 5" xfId="14420"/>
    <cellStyle name="Heading 4 5 2" xfId="14419"/>
    <cellStyle name="Heading 4 6" xfId="14418"/>
    <cellStyle name="Heading 4 6 2" xfId="14417"/>
    <cellStyle name="Heading 4 7" xfId="14416"/>
    <cellStyle name="Heading 4 7 2" xfId="14415"/>
    <cellStyle name="Heading 4 8" xfId="14414"/>
    <cellStyle name="Heading 4 8 2" xfId="14413"/>
    <cellStyle name="Heading 4 9" xfId="14412"/>
    <cellStyle name="Heading 4." xfId="14411"/>
    <cellStyle name="Heading 5" xfId="14410"/>
    <cellStyle name="Heading 5 2" xfId="14409"/>
    <cellStyle name="Heading 6" xfId="14408"/>
    <cellStyle name="Heading 6 2" xfId="14407"/>
    <cellStyle name="Heading 7" xfId="14406"/>
    <cellStyle name="Heading 7 2" xfId="14405"/>
    <cellStyle name="Heading 8" xfId="14404"/>
    <cellStyle name="Heading 8 2" xfId="14403"/>
    <cellStyle name="Heading 9" xfId="14402"/>
    <cellStyle name="Heading 9 2" xfId="14401"/>
    <cellStyle name="heading field" xfId="14400"/>
    <cellStyle name="heading field 10" xfId="14399"/>
    <cellStyle name="heading field 10 2" xfId="14398"/>
    <cellStyle name="heading field 11" xfId="14397"/>
    <cellStyle name="heading field 12" xfId="14396"/>
    <cellStyle name="heading field 13" xfId="14395"/>
    <cellStyle name="heading field 14" xfId="14394"/>
    <cellStyle name="heading field 15" xfId="14393"/>
    <cellStyle name="heading field 16" xfId="14392"/>
    <cellStyle name="heading field 2" xfId="14391"/>
    <cellStyle name="heading field 2 2" xfId="14390"/>
    <cellStyle name="heading field 2 2 2" xfId="14389"/>
    <cellStyle name="heading field 2 2 2 2" xfId="14388"/>
    <cellStyle name="heading field 2 2 3" xfId="14387"/>
    <cellStyle name="heading field 2 3" xfId="14386"/>
    <cellStyle name="heading field 2 3 2" xfId="14385"/>
    <cellStyle name="heading field 3" xfId="14384"/>
    <cellStyle name="heading field 3 2" xfId="14383"/>
    <cellStyle name="heading field 3 2 2" xfId="14382"/>
    <cellStyle name="heading field 3 2 2 2" xfId="14381"/>
    <cellStyle name="heading field 3 2 3" xfId="14380"/>
    <cellStyle name="heading field 3 3" xfId="14379"/>
    <cellStyle name="heading field 3 3 2" xfId="14378"/>
    <cellStyle name="heading field 4" xfId="14377"/>
    <cellStyle name="heading field 4 2" xfId="14376"/>
    <cellStyle name="heading field 4 2 2" xfId="14375"/>
    <cellStyle name="heading field 4 2 2 2" xfId="14374"/>
    <cellStyle name="heading field 4 2 3" xfId="14373"/>
    <cellStyle name="heading field 4 3" xfId="14372"/>
    <cellStyle name="heading field 4 3 2" xfId="14371"/>
    <cellStyle name="heading field 5" xfId="14370"/>
    <cellStyle name="heading field 5 2" xfId="14369"/>
    <cellStyle name="heading field 5 2 2" xfId="14368"/>
    <cellStyle name="heading field 5 2 2 2" xfId="14367"/>
    <cellStyle name="heading field 5 2 3" xfId="14366"/>
    <cellStyle name="heading field 5 3" xfId="14365"/>
    <cellStyle name="heading field 5 3 2" xfId="14364"/>
    <cellStyle name="heading field 6" xfId="14363"/>
    <cellStyle name="heading field 6 2" xfId="14362"/>
    <cellStyle name="heading field 6 2 2" xfId="14361"/>
    <cellStyle name="heading field 6 2 2 2" xfId="14360"/>
    <cellStyle name="heading field 6 2 3" xfId="14359"/>
    <cellStyle name="heading field 6 3" xfId="14358"/>
    <cellStyle name="heading field 6 3 2" xfId="14357"/>
    <cellStyle name="heading field 7" xfId="14356"/>
    <cellStyle name="heading field 7 2" xfId="14355"/>
    <cellStyle name="heading field 7 2 2" xfId="14354"/>
    <cellStyle name="heading field 7 2 2 2" xfId="14353"/>
    <cellStyle name="heading field 7 2 3" xfId="14352"/>
    <cellStyle name="heading field 7 3" xfId="14351"/>
    <cellStyle name="heading field 7 3 2" xfId="14350"/>
    <cellStyle name="heading field 8" xfId="14349"/>
    <cellStyle name="heading field 8 2" xfId="14348"/>
    <cellStyle name="heading field 8 2 2" xfId="14347"/>
    <cellStyle name="heading field 8 2 2 2" xfId="14346"/>
    <cellStyle name="heading field 8 2 3" xfId="14345"/>
    <cellStyle name="heading field 8 3" xfId="14344"/>
    <cellStyle name="heading field 8 3 2" xfId="14343"/>
    <cellStyle name="heading field 9" xfId="14342"/>
    <cellStyle name="heading field 9 2" xfId="14341"/>
    <cellStyle name="heading field 9 2 2" xfId="14340"/>
    <cellStyle name="heading field 9 3" xfId="14339"/>
    <cellStyle name="Heading1" xfId="14338"/>
    <cellStyle name="Heading1 1" xfId="14337"/>
    <cellStyle name="Heading1 1 1" xfId="14336"/>
    <cellStyle name="Heading1 1 2" xfId="14335"/>
    <cellStyle name="Heading1 1_BEHAESTEX PEKALONGAN" xfId="14334"/>
    <cellStyle name="HEADING1 10" xfId="14333"/>
    <cellStyle name="HEADING1 11" xfId="14332"/>
    <cellStyle name="HEADING1 12" xfId="14331"/>
    <cellStyle name="HEADING1 13" xfId="14330"/>
    <cellStyle name="Heading1 14" xfId="14329"/>
    <cellStyle name="Heading1 15" xfId="14328"/>
    <cellStyle name="Heading1 16" xfId="14327"/>
    <cellStyle name="Heading1 17" xfId="14326"/>
    <cellStyle name="HEADING1 2" xfId="14325"/>
    <cellStyle name="HEADING1 2 10" xfId="14324"/>
    <cellStyle name="HEADING1 2 2" xfId="14323"/>
    <cellStyle name="HEADING1 2 2 2" xfId="14322"/>
    <cellStyle name="HEADING1 2 3" xfId="14321"/>
    <cellStyle name="HEADING1 2 4" xfId="14320"/>
    <cellStyle name="HEADING1 2 5" xfId="14319"/>
    <cellStyle name="HEADING1 2 6" xfId="14318"/>
    <cellStyle name="HEADING1 2 7" xfId="14317"/>
    <cellStyle name="HEADING1 2 8" xfId="14316"/>
    <cellStyle name="HEADING1 2 9" xfId="14315"/>
    <cellStyle name="HEADING1 3" xfId="14314"/>
    <cellStyle name="HEADING1 3 10" xfId="14313"/>
    <cellStyle name="HEADING1 3 2" xfId="14312"/>
    <cellStyle name="HEADING1 3 2 2" xfId="14311"/>
    <cellStyle name="HEADING1 3 3" xfId="14310"/>
    <cellStyle name="HEADING1 3 4" xfId="14309"/>
    <cellStyle name="HEADING1 3 5" xfId="14308"/>
    <cellStyle name="HEADING1 3 6" xfId="14307"/>
    <cellStyle name="HEADING1 3 7" xfId="14306"/>
    <cellStyle name="HEADING1 3 8" xfId="14305"/>
    <cellStyle name="HEADING1 3 9" xfId="14304"/>
    <cellStyle name="HEADING1 4" xfId="14303"/>
    <cellStyle name="HEADING1 4 10" xfId="14302"/>
    <cellStyle name="Heading1 4 2" xfId="14301"/>
    <cellStyle name="HEADING1 4 3" xfId="14300"/>
    <cellStyle name="HEADING1 4 4" xfId="14299"/>
    <cellStyle name="HEADING1 4 5" xfId="14298"/>
    <cellStyle name="HEADING1 4 6" xfId="14297"/>
    <cellStyle name="HEADING1 4 7" xfId="14296"/>
    <cellStyle name="HEADING1 4 8" xfId="14295"/>
    <cellStyle name="HEADING1 4 9" xfId="14294"/>
    <cellStyle name="HEADING1 5" xfId="14293"/>
    <cellStyle name="HEADING1 6" xfId="14292"/>
    <cellStyle name="HEADING1 7" xfId="14291"/>
    <cellStyle name="HEADING1 8" xfId="14290"/>
    <cellStyle name="HEADING1 9" xfId="14289"/>
    <cellStyle name="Heading1_ANALISA HARGA SATUAN RAB" xfId="14288"/>
    <cellStyle name="Heading2" xfId="14287"/>
    <cellStyle name="HEADING2 10" xfId="14286"/>
    <cellStyle name="HEADING2 11" xfId="14285"/>
    <cellStyle name="HEADING2 12" xfId="14284"/>
    <cellStyle name="HEADING2 13" xfId="14283"/>
    <cellStyle name="Heading2 14" xfId="14282"/>
    <cellStyle name="Heading2 15" xfId="14281"/>
    <cellStyle name="Heading2 16" xfId="14280"/>
    <cellStyle name="Heading2 17" xfId="14279"/>
    <cellStyle name="HEADING2 2" xfId="14278"/>
    <cellStyle name="HEADING2 2 10" xfId="14277"/>
    <cellStyle name="HEADING2 2 2" xfId="14276"/>
    <cellStyle name="HEADING2 2 2 2" xfId="14275"/>
    <cellStyle name="HEADING2 2 3" xfId="14274"/>
    <cellStyle name="HEADING2 2 4" xfId="14273"/>
    <cellStyle name="HEADING2 2 5" xfId="14272"/>
    <cellStyle name="HEADING2 2 6" xfId="14271"/>
    <cellStyle name="HEADING2 2 7" xfId="14270"/>
    <cellStyle name="HEADING2 2 8" xfId="14269"/>
    <cellStyle name="HEADING2 2 9" xfId="14268"/>
    <cellStyle name="HEADING2 3" xfId="14267"/>
    <cellStyle name="HEADING2 3 10" xfId="14266"/>
    <cellStyle name="HEADING2 3 2" xfId="14265"/>
    <cellStyle name="HEADING2 3 2 2" xfId="14264"/>
    <cellStyle name="HEADING2 3 3" xfId="14263"/>
    <cellStyle name="HEADING2 3 4" xfId="14262"/>
    <cellStyle name="HEADING2 3 5" xfId="14261"/>
    <cellStyle name="HEADING2 3 6" xfId="14260"/>
    <cellStyle name="HEADING2 3 7" xfId="14259"/>
    <cellStyle name="HEADING2 3 8" xfId="14258"/>
    <cellStyle name="HEADING2 3 9" xfId="14257"/>
    <cellStyle name="HEADING2 4" xfId="14256"/>
    <cellStyle name="HEADING2 4 10" xfId="14255"/>
    <cellStyle name="Heading2 4 2" xfId="14254"/>
    <cellStyle name="HEADING2 4 3" xfId="14253"/>
    <cellStyle name="HEADING2 4 4" xfId="14252"/>
    <cellStyle name="HEADING2 4 5" xfId="14251"/>
    <cellStyle name="HEADING2 4 6" xfId="14250"/>
    <cellStyle name="HEADING2 4 7" xfId="14249"/>
    <cellStyle name="HEADING2 4 8" xfId="14248"/>
    <cellStyle name="HEADING2 4 9" xfId="14247"/>
    <cellStyle name="HEADING2 5" xfId="14246"/>
    <cellStyle name="HEADING2 6" xfId="14245"/>
    <cellStyle name="HEADING2 7" xfId="14244"/>
    <cellStyle name="HEADING2 8" xfId="14243"/>
    <cellStyle name="HEADING2 9" xfId="14242"/>
    <cellStyle name="HEADINGS" xfId="14241"/>
    <cellStyle name="HEADINGS 10" xfId="14240"/>
    <cellStyle name="HEADINGS 10 2" xfId="14239"/>
    <cellStyle name="HEADINGS 10 2 2" xfId="14238"/>
    <cellStyle name="HEADINGS 10 2 2 2" xfId="14237"/>
    <cellStyle name="HEADINGS 10 3" xfId="14236"/>
    <cellStyle name="HEADINGS 10 3 2" xfId="14235"/>
    <cellStyle name="HEADINGS 11" xfId="14234"/>
    <cellStyle name="HEADINGS 11 2" xfId="14233"/>
    <cellStyle name="HEADINGS 11 2 2" xfId="14232"/>
    <cellStyle name="HEADINGS 11 2 2 2" xfId="14231"/>
    <cellStyle name="HEADINGS 11 3" xfId="14230"/>
    <cellStyle name="HEADINGS 11 3 2" xfId="14229"/>
    <cellStyle name="HEADINGS 12" xfId="14228"/>
    <cellStyle name="HEADINGS 12 2" xfId="14227"/>
    <cellStyle name="HEADINGS 12 2 2" xfId="14226"/>
    <cellStyle name="HEADINGS 12 2 2 2" xfId="14225"/>
    <cellStyle name="HEADINGS 12 3" xfId="14224"/>
    <cellStyle name="HEADINGS 12 3 2" xfId="14223"/>
    <cellStyle name="HEADINGS 13" xfId="14222"/>
    <cellStyle name="HEADINGS 13 2" xfId="14221"/>
    <cellStyle name="HEADINGS 13 2 2" xfId="14220"/>
    <cellStyle name="HEADINGS 13 2 2 2" xfId="14219"/>
    <cellStyle name="HEADINGS 13 3" xfId="14218"/>
    <cellStyle name="HEADINGS 13 3 2" xfId="14217"/>
    <cellStyle name="HEADINGS 14" xfId="14216"/>
    <cellStyle name="HEADINGS 14 2" xfId="14215"/>
    <cellStyle name="HEADINGS 14 2 2" xfId="14214"/>
    <cellStyle name="HEADINGS 14 2 2 2" xfId="14213"/>
    <cellStyle name="HEADINGS 14 3" xfId="14212"/>
    <cellStyle name="HEADINGS 14 3 2" xfId="14211"/>
    <cellStyle name="HEADINGS 15" xfId="14210"/>
    <cellStyle name="HEADINGS 15 2" xfId="14209"/>
    <cellStyle name="HEADINGS 15 2 2" xfId="14208"/>
    <cellStyle name="HEADINGS 16" xfId="14207"/>
    <cellStyle name="HEADINGS 16 2" xfId="14206"/>
    <cellStyle name="HEADINGS 2" xfId="14205"/>
    <cellStyle name="HEADINGS 2 10" xfId="14204"/>
    <cellStyle name="HEADINGS 2 2" xfId="14203"/>
    <cellStyle name="HEADINGS 2 2 2" xfId="14202"/>
    <cellStyle name="HEADINGS 2 2 2 2" xfId="14201"/>
    <cellStyle name="HEADINGS 2 2 2 2 2" xfId="14200"/>
    <cellStyle name="HEADINGS 2 2 3" xfId="14199"/>
    <cellStyle name="HEADINGS 2 2 3 2" xfId="14198"/>
    <cellStyle name="HEADINGS 2 3" xfId="14197"/>
    <cellStyle name="HEADINGS 2 3 2" xfId="14196"/>
    <cellStyle name="HEADINGS 2 3 2 2" xfId="14195"/>
    <cellStyle name="HEADINGS 2 3 3" xfId="14194"/>
    <cellStyle name="HEADINGS 2 4" xfId="14193"/>
    <cellStyle name="HEADINGS 2 4 2" xfId="14192"/>
    <cellStyle name="HEADINGS 2 4 3" xfId="14191"/>
    <cellStyle name="HEADINGS 2 5" xfId="14190"/>
    <cellStyle name="HEADINGS 2 5 2" xfId="14189"/>
    <cellStyle name="HEADINGS 2 5 3" xfId="14188"/>
    <cellStyle name="HEADINGS 2 6" xfId="14187"/>
    <cellStyle name="HEADINGS 2 6 2" xfId="14186"/>
    <cellStyle name="HEADINGS 2 6 3" xfId="14185"/>
    <cellStyle name="HEADINGS 2 7" xfId="14184"/>
    <cellStyle name="HEADINGS 2 7 2" xfId="14183"/>
    <cellStyle name="HEADINGS 2 7 3" xfId="14182"/>
    <cellStyle name="HEADINGS 2 8" xfId="14181"/>
    <cellStyle name="HEADINGS 2 8 2" xfId="14180"/>
    <cellStyle name="HEADINGS 2 8 3" xfId="14179"/>
    <cellStyle name="HEADINGS 2 9" xfId="14178"/>
    <cellStyle name="HEADINGS 3" xfId="14177"/>
    <cellStyle name="HEADINGS 3 2" xfId="14176"/>
    <cellStyle name="HEADINGS 3 2 2" xfId="14175"/>
    <cellStyle name="HEADINGS 3 2 2 2" xfId="14174"/>
    <cellStyle name="HEADINGS 3 2 2 2 2" xfId="14173"/>
    <cellStyle name="HEADINGS 3 2 3" xfId="14172"/>
    <cellStyle name="HEADINGS 3 2 3 2" xfId="14171"/>
    <cellStyle name="HEADINGS 3 3" xfId="14170"/>
    <cellStyle name="HEADINGS 3 3 2" xfId="14169"/>
    <cellStyle name="HEADINGS 3 3 2 2" xfId="14168"/>
    <cellStyle name="HEADINGS 3 3 2 2 2" xfId="14167"/>
    <cellStyle name="HEADINGS 3 3 3" xfId="14166"/>
    <cellStyle name="HEADINGS 3 3 3 2" xfId="14165"/>
    <cellStyle name="HEADINGS 3 4" xfId="14164"/>
    <cellStyle name="HEADINGS 3 4 2" xfId="14163"/>
    <cellStyle name="HEADINGS 3 4 2 2" xfId="14162"/>
    <cellStyle name="HEADINGS 3 4 2 2 2" xfId="14161"/>
    <cellStyle name="HEADINGS 3 4 3" xfId="14160"/>
    <cellStyle name="HEADINGS 3 4 3 2" xfId="14159"/>
    <cellStyle name="HEADINGS 3 5" xfId="14158"/>
    <cellStyle name="HEADINGS 3 5 2" xfId="14157"/>
    <cellStyle name="HEADINGS 3 5 2 2" xfId="14156"/>
    <cellStyle name="HEADINGS 3 6" xfId="14155"/>
    <cellStyle name="HEADINGS 3 6 2" xfId="14154"/>
    <cellStyle name="HEADINGS 4" xfId="14153"/>
    <cellStyle name="HEADINGS 4 2" xfId="14152"/>
    <cellStyle name="HEADINGS 4 2 2" xfId="14151"/>
    <cellStyle name="HEADINGS 4 2 2 2" xfId="14150"/>
    <cellStyle name="HEADINGS 4 3" xfId="14149"/>
    <cellStyle name="HEADINGS 4 3 2" xfId="14148"/>
    <cellStyle name="HEADINGS 5" xfId="14147"/>
    <cellStyle name="HEADINGS 5 2" xfId="14146"/>
    <cellStyle name="HEADINGS 5 2 2" xfId="14145"/>
    <cellStyle name="HEADINGS 5 2 2 2" xfId="14144"/>
    <cellStyle name="HEADINGS 5 3" xfId="14143"/>
    <cellStyle name="HEADINGS 5 3 2" xfId="14142"/>
    <cellStyle name="HEADINGS 6" xfId="14141"/>
    <cellStyle name="HEADINGS 6 2" xfId="14140"/>
    <cellStyle name="HEADINGS 6 2 2" xfId="14139"/>
    <cellStyle name="HEADINGS 6 2 2 2" xfId="14138"/>
    <cellStyle name="HEADINGS 6 3" xfId="14137"/>
    <cellStyle name="HEADINGS 6 3 2" xfId="14136"/>
    <cellStyle name="HEADINGS 7" xfId="14135"/>
    <cellStyle name="HEADINGS 7 2" xfId="14134"/>
    <cellStyle name="HEADINGS 7 2 2" xfId="14133"/>
    <cellStyle name="HEADINGS 7 2 2 2" xfId="14132"/>
    <cellStyle name="HEADINGS 7 3" xfId="14131"/>
    <cellStyle name="HEADINGS 7 3 2" xfId="14130"/>
    <cellStyle name="HEADINGS 8" xfId="14129"/>
    <cellStyle name="HEADINGS 8 2" xfId="14128"/>
    <cellStyle name="HEADINGS 8 2 2" xfId="14127"/>
    <cellStyle name="HEADINGS 8 2 2 2" xfId="14126"/>
    <cellStyle name="HEADINGS 8 3" xfId="14125"/>
    <cellStyle name="HEADINGS 8 3 2" xfId="14124"/>
    <cellStyle name="HEADINGS 9" xfId="14123"/>
    <cellStyle name="HEADINGS 9 2" xfId="14122"/>
    <cellStyle name="HEADINGS 9 2 2" xfId="14121"/>
    <cellStyle name="HEADINGS 9 2 2 2" xfId="14120"/>
    <cellStyle name="HEADINGS 9 3" xfId="14119"/>
    <cellStyle name="HEADINGS 9 3 2" xfId="14118"/>
    <cellStyle name="HEADINGSTOP" xfId="14117"/>
    <cellStyle name="HEADINGSTOP 10" xfId="14116"/>
    <cellStyle name="HEADINGSTOP 11" xfId="14115"/>
    <cellStyle name="HEADINGSTOP 12" xfId="14114"/>
    <cellStyle name="HEADINGSTOP 13" xfId="14113"/>
    <cellStyle name="HEADINGSTOP 14" xfId="14112"/>
    <cellStyle name="HEADINGSTOP 2" xfId="14111"/>
    <cellStyle name="HEADINGSTOP 2 2" xfId="14110"/>
    <cellStyle name="HEADINGSTOP 3" xfId="14109"/>
    <cellStyle name="HEADINGSTOP 3 2" xfId="14108"/>
    <cellStyle name="HEADINGSTOP 3 3" xfId="14107"/>
    <cellStyle name="HEADINGSTOP 3 4" xfId="14106"/>
    <cellStyle name="HEADINGSTOP 4" xfId="14105"/>
    <cellStyle name="HEADINGSTOP 5" xfId="14104"/>
    <cellStyle name="HEADINGSTOP 6" xfId="14103"/>
    <cellStyle name="HEADINGSTOP 7" xfId="14102"/>
    <cellStyle name="HEADINGSTOP 8" xfId="14101"/>
    <cellStyle name="HEADINGSTOP 9" xfId="14100"/>
    <cellStyle name="Helv8_PFD4.XLS" xfId="14099"/>
    <cellStyle name="HIDE" xfId="14098"/>
    <cellStyle name="Hyperlink 2" xfId="26359"/>
    <cellStyle name="Hyperlink 2 2" xfId="14097"/>
    <cellStyle name="Hyperlink 3" xfId="14096"/>
    <cellStyle name="Hyperlink 3 2" xfId="14095"/>
    <cellStyle name="Hyperlink 3 3" xfId="14094"/>
    <cellStyle name="Hyperlink 4" xfId="14093"/>
    <cellStyle name="Hyperlink 4 2" xfId="14092"/>
    <cellStyle name="Hyperlink 5" xfId="14091"/>
    <cellStyle name="Hyperlink 6" xfId="14090"/>
    <cellStyle name="Hyperlink 7" xfId="14089"/>
    <cellStyle name="Hyperlink 7 2" xfId="14088"/>
    <cellStyle name="Incorrecto" xfId="14087"/>
    <cellStyle name="ing" xfId="14086"/>
    <cellStyle name="Input [yellow]" xfId="14085"/>
    <cellStyle name="Input [yellow] 10" xfId="14084"/>
    <cellStyle name="Input [yellow] 10 2" xfId="14083"/>
    <cellStyle name="Input [yellow] 10 3" xfId="14082"/>
    <cellStyle name="Input [yellow] 11" xfId="14081"/>
    <cellStyle name="Input [yellow] 11 2" xfId="14080"/>
    <cellStyle name="Input [yellow] 11 3" xfId="14079"/>
    <cellStyle name="Input [yellow] 12" xfId="14078"/>
    <cellStyle name="Input [yellow] 13" xfId="14077"/>
    <cellStyle name="Input [yellow] 14" xfId="14076"/>
    <cellStyle name="Input [yellow] 15" xfId="14075"/>
    <cellStyle name="Input [yellow] 16" xfId="14074"/>
    <cellStyle name="Input [yellow] 17" xfId="14073"/>
    <cellStyle name="Input [yellow] 2" xfId="14072"/>
    <cellStyle name="Input [yellow] 2 10" xfId="14071"/>
    <cellStyle name="Input [yellow] 2 11" xfId="14070"/>
    <cellStyle name="Input [yellow] 2 2" xfId="14069"/>
    <cellStyle name="Input [yellow] 2 2 10" xfId="14068"/>
    <cellStyle name="Input [yellow] 2 2 2" xfId="14067"/>
    <cellStyle name="Input [yellow] 2 2 2 2" xfId="14066"/>
    <cellStyle name="Input [yellow] 2 2 2 3" xfId="14065"/>
    <cellStyle name="Input [yellow] 2 2 3" xfId="14064"/>
    <cellStyle name="Input [yellow] 2 2 3 2" xfId="14063"/>
    <cellStyle name="Input [yellow] 2 2 3 3" xfId="14062"/>
    <cellStyle name="Input [yellow] 2 2 4" xfId="14061"/>
    <cellStyle name="Input [yellow] 2 2 4 2" xfId="14060"/>
    <cellStyle name="Input [yellow] 2 2 4 3" xfId="14059"/>
    <cellStyle name="Input [yellow] 2 2 5" xfId="14058"/>
    <cellStyle name="Input [yellow] 2 2 5 2" xfId="14057"/>
    <cellStyle name="Input [yellow] 2 2 5 3" xfId="14056"/>
    <cellStyle name="Input [yellow] 2 2 6" xfId="14055"/>
    <cellStyle name="Input [yellow] 2 2 6 2" xfId="14054"/>
    <cellStyle name="Input [yellow] 2 2 6 3" xfId="14053"/>
    <cellStyle name="Input [yellow] 2 2 7" xfId="14052"/>
    <cellStyle name="Input [yellow] 2 2 7 2" xfId="14051"/>
    <cellStyle name="Input [yellow] 2 2 7 3" xfId="14050"/>
    <cellStyle name="Input [yellow] 2 2 8" xfId="14049"/>
    <cellStyle name="Input [yellow] 2 2 8 2" xfId="14048"/>
    <cellStyle name="Input [yellow] 2 2 8 3" xfId="14047"/>
    <cellStyle name="Input [yellow] 2 2 9" xfId="14046"/>
    <cellStyle name="Input [yellow] 2 3" xfId="14045"/>
    <cellStyle name="Input [yellow] 2 3 2" xfId="14044"/>
    <cellStyle name="Input [yellow] 2 3 3" xfId="14043"/>
    <cellStyle name="Input [yellow] 2 4" xfId="14042"/>
    <cellStyle name="Input [yellow] 2 4 2" xfId="14041"/>
    <cellStyle name="Input [yellow] 2 4 3" xfId="14040"/>
    <cellStyle name="Input [yellow] 2 5" xfId="14039"/>
    <cellStyle name="Input [yellow] 2 5 2" xfId="14038"/>
    <cellStyle name="Input [yellow] 2 5 3" xfId="14037"/>
    <cellStyle name="Input [yellow] 2 6" xfId="14036"/>
    <cellStyle name="Input [yellow] 2 6 2" xfId="14035"/>
    <cellStyle name="Input [yellow] 2 6 3" xfId="14034"/>
    <cellStyle name="Input [yellow] 2 7" xfId="14033"/>
    <cellStyle name="Input [yellow] 2 7 2" xfId="14032"/>
    <cellStyle name="Input [yellow] 2 7 3" xfId="14031"/>
    <cellStyle name="Input [yellow] 2 8" xfId="14030"/>
    <cellStyle name="Input [yellow] 2 8 2" xfId="14029"/>
    <cellStyle name="Input [yellow] 2 8 3" xfId="14028"/>
    <cellStyle name="Input [yellow] 2 9" xfId="14027"/>
    <cellStyle name="Input [yellow] 2 9 2" xfId="14026"/>
    <cellStyle name="Input [yellow] 2 9 3" xfId="14025"/>
    <cellStyle name="Input [yellow] 3" xfId="14024"/>
    <cellStyle name="Input [yellow] 3 10" xfId="14023"/>
    <cellStyle name="Input [yellow] 3 2" xfId="14022"/>
    <cellStyle name="Input [yellow] 3 2 2" xfId="14021"/>
    <cellStyle name="Input [yellow] 3 2 2 2" xfId="14020"/>
    <cellStyle name="Input [yellow] 3 2 3" xfId="14019"/>
    <cellStyle name="Input [yellow] 3 3" xfId="14018"/>
    <cellStyle name="Input [yellow] 3 3 2" xfId="14017"/>
    <cellStyle name="Input [yellow] 3 3 3" xfId="14016"/>
    <cellStyle name="Input [yellow] 3 4" xfId="14015"/>
    <cellStyle name="Input [yellow] 3 4 2" xfId="14014"/>
    <cellStyle name="Input [yellow] 3 4 3" xfId="14013"/>
    <cellStyle name="Input [yellow] 3 5" xfId="14012"/>
    <cellStyle name="Input [yellow] 3 5 2" xfId="14011"/>
    <cellStyle name="Input [yellow] 3 5 3" xfId="14010"/>
    <cellStyle name="Input [yellow] 3 6" xfId="14009"/>
    <cellStyle name="Input [yellow] 3 6 2" xfId="14008"/>
    <cellStyle name="Input [yellow] 3 6 3" xfId="14007"/>
    <cellStyle name="Input [yellow] 3 7" xfId="14006"/>
    <cellStyle name="Input [yellow] 3 7 2" xfId="14005"/>
    <cellStyle name="Input [yellow] 3 7 3" xfId="14004"/>
    <cellStyle name="Input [yellow] 3 8" xfId="14003"/>
    <cellStyle name="Input [yellow] 3 8 2" xfId="14002"/>
    <cellStyle name="Input [yellow] 3 8 3" xfId="14001"/>
    <cellStyle name="Input [yellow] 3 9" xfId="14000"/>
    <cellStyle name="Input [yellow] 4" xfId="13999"/>
    <cellStyle name="Input [yellow] 4 2" xfId="13998"/>
    <cellStyle name="Input [yellow] 4 2 2" xfId="13997"/>
    <cellStyle name="Input [yellow] 4 2 2 2" xfId="13996"/>
    <cellStyle name="Input [yellow] 4 2 3" xfId="13995"/>
    <cellStyle name="Input [yellow] 4 3" xfId="13994"/>
    <cellStyle name="Input [yellow] 4 3 2" xfId="13993"/>
    <cellStyle name="Input [yellow] 4 4" xfId="13992"/>
    <cellStyle name="Input [yellow] 5" xfId="13991"/>
    <cellStyle name="Input [yellow] 5 2" xfId="13990"/>
    <cellStyle name="Input [yellow] 5 2 2" xfId="13989"/>
    <cellStyle name="Input [yellow] 5 2 2 2" xfId="13988"/>
    <cellStyle name="Input [yellow] 5 2 3" xfId="13987"/>
    <cellStyle name="Input [yellow] 5 3" xfId="13986"/>
    <cellStyle name="Input [yellow] 5 3 2" xfId="13985"/>
    <cellStyle name="Input [yellow] 5 4" xfId="13984"/>
    <cellStyle name="Input [yellow] 6" xfId="13983"/>
    <cellStyle name="Input [yellow] 6 2" xfId="13982"/>
    <cellStyle name="Input [yellow] 6 2 2" xfId="13981"/>
    <cellStyle name="Input [yellow] 6 2 2 2" xfId="13980"/>
    <cellStyle name="Input [yellow] 6 2 3" xfId="13979"/>
    <cellStyle name="Input [yellow] 6 3" xfId="13978"/>
    <cellStyle name="Input [yellow] 6 3 2" xfId="13977"/>
    <cellStyle name="Input [yellow] 6 4" xfId="13976"/>
    <cellStyle name="Input [yellow] 7" xfId="13975"/>
    <cellStyle name="Input [yellow] 7 2" xfId="13974"/>
    <cellStyle name="Input [yellow] 7 2 2" xfId="13973"/>
    <cellStyle name="Input [yellow] 7 2 2 2" xfId="13972"/>
    <cellStyle name="Input [yellow] 7 2 3" xfId="13971"/>
    <cellStyle name="Input [yellow] 7 3" xfId="13970"/>
    <cellStyle name="Input [yellow] 7 3 2" xfId="13969"/>
    <cellStyle name="Input [yellow] 7 4" xfId="13968"/>
    <cellStyle name="Input [yellow] 8" xfId="13967"/>
    <cellStyle name="Input [yellow] 8 2" xfId="13966"/>
    <cellStyle name="Input [yellow] 8 2 2" xfId="13965"/>
    <cellStyle name="Input [yellow] 8 2 2 2" xfId="13964"/>
    <cellStyle name="Input [yellow] 8 2 3" xfId="13963"/>
    <cellStyle name="Input [yellow] 8 3" xfId="13962"/>
    <cellStyle name="Input [yellow] 8 3 2" xfId="13961"/>
    <cellStyle name="Input [yellow] 8 4" xfId="13960"/>
    <cellStyle name="Input [yellow] 9" xfId="13959"/>
    <cellStyle name="Input [yellow] 9 2" xfId="13958"/>
    <cellStyle name="Input [yellow] 9 2 2" xfId="13957"/>
    <cellStyle name="Input [yellow] 9 3" xfId="13956"/>
    <cellStyle name="Input 10" xfId="13955"/>
    <cellStyle name="Input 10 2" xfId="13954"/>
    <cellStyle name="Input 10 2 2" xfId="13953"/>
    <cellStyle name="Input 10 2 2 2" xfId="13952"/>
    <cellStyle name="Input 10 2 3" xfId="13951"/>
    <cellStyle name="Input 10 3" xfId="13950"/>
    <cellStyle name="Input 10 3 2" xfId="13949"/>
    <cellStyle name="Input 10 4" xfId="13948"/>
    <cellStyle name="Input 11" xfId="13947"/>
    <cellStyle name="Input 11 2" xfId="13946"/>
    <cellStyle name="Input 11 2 2" xfId="13945"/>
    <cellStyle name="Input 11 2 2 2" xfId="13944"/>
    <cellStyle name="Input 11 2 3" xfId="13943"/>
    <cellStyle name="Input 11 3" xfId="13942"/>
    <cellStyle name="Input 11 3 2" xfId="13941"/>
    <cellStyle name="Input 11 4" xfId="13940"/>
    <cellStyle name="Input 12" xfId="13939"/>
    <cellStyle name="Input 13" xfId="13938"/>
    <cellStyle name="Input 2" xfId="13937"/>
    <cellStyle name="Input 2 10" xfId="13936"/>
    <cellStyle name="Input 2 10 2" xfId="13935"/>
    <cellStyle name="Input 2 11" xfId="13934"/>
    <cellStyle name="Input 2 2" xfId="13933"/>
    <cellStyle name="Input 2 2 2" xfId="13932"/>
    <cellStyle name="Input 2 2 2 2" xfId="13931"/>
    <cellStyle name="Input 2 2 2 2 2" xfId="13930"/>
    <cellStyle name="Input 2 2 2 2 2 2" xfId="13929"/>
    <cellStyle name="Input 2 2 2 2 3" xfId="13928"/>
    <cellStyle name="Input 2 2 2 3" xfId="13927"/>
    <cellStyle name="Input 2 2 2 3 2" xfId="13926"/>
    <cellStyle name="Input 2 2 2 4" xfId="13925"/>
    <cellStyle name="Input 2 2 3" xfId="13924"/>
    <cellStyle name="Input 2 2 3 2" xfId="13923"/>
    <cellStyle name="Input 2 2 3 2 2" xfId="13922"/>
    <cellStyle name="Input 2 2 3 2 2 2" xfId="13921"/>
    <cellStyle name="Input 2 2 3 2 3" xfId="13920"/>
    <cellStyle name="Input 2 2 3 3" xfId="13919"/>
    <cellStyle name="Input 2 2 3 3 2" xfId="13918"/>
    <cellStyle name="Input 2 2 3 4" xfId="13917"/>
    <cellStyle name="Input 2 2 4" xfId="13916"/>
    <cellStyle name="Input 2 2 4 2" xfId="13915"/>
    <cellStyle name="Input 2 2 4 2 2" xfId="13914"/>
    <cellStyle name="Input 2 2 4 2 2 2" xfId="13913"/>
    <cellStyle name="Input 2 2 4 2 3" xfId="13912"/>
    <cellStyle name="Input 2 2 4 3" xfId="13911"/>
    <cellStyle name="Input 2 2 4 3 2" xfId="13910"/>
    <cellStyle name="Input 2 2 4 4" xfId="13909"/>
    <cellStyle name="Input 2 2 5" xfId="13908"/>
    <cellStyle name="Input 2 2 5 2" xfId="13907"/>
    <cellStyle name="Input 2 2 5 2 2" xfId="13906"/>
    <cellStyle name="Input 2 2 5 3" xfId="13905"/>
    <cellStyle name="Input 2 2 6" xfId="13904"/>
    <cellStyle name="Input 2 2 6 2" xfId="13903"/>
    <cellStyle name="Input 2 2 7" xfId="13902"/>
    <cellStyle name="Input 2 3" xfId="13901"/>
    <cellStyle name="Input 2 3 2" xfId="13900"/>
    <cellStyle name="Input 2 3 2 2" xfId="13899"/>
    <cellStyle name="Input 2 3 2 2 2" xfId="13898"/>
    <cellStyle name="Input 2 3 2 3" xfId="13897"/>
    <cellStyle name="Input 2 3 3" xfId="13896"/>
    <cellStyle name="Input 2 3 3 2" xfId="13895"/>
    <cellStyle name="Input 2 3 4" xfId="13894"/>
    <cellStyle name="Input 2 4" xfId="13893"/>
    <cellStyle name="Input 2 4 2" xfId="13892"/>
    <cellStyle name="Input 2 4 2 2" xfId="13891"/>
    <cellStyle name="Input 2 4 2 2 2" xfId="13890"/>
    <cellStyle name="Input 2 4 2 3" xfId="13889"/>
    <cellStyle name="Input 2 4 3" xfId="13888"/>
    <cellStyle name="Input 2 4 3 2" xfId="13887"/>
    <cellStyle name="Input 2 4 4" xfId="13886"/>
    <cellStyle name="Input 2 5" xfId="13885"/>
    <cellStyle name="Input 2 5 2" xfId="13884"/>
    <cellStyle name="Input 2 5 2 2" xfId="13883"/>
    <cellStyle name="Input 2 5 2 2 2" xfId="13882"/>
    <cellStyle name="Input 2 5 2 3" xfId="13881"/>
    <cellStyle name="Input 2 5 3" xfId="13880"/>
    <cellStyle name="Input 2 5 3 2" xfId="13879"/>
    <cellStyle name="Input 2 5 4" xfId="13878"/>
    <cellStyle name="Input 2 6" xfId="13877"/>
    <cellStyle name="Input 2 6 2" xfId="13876"/>
    <cellStyle name="Input 2 6 2 2" xfId="13875"/>
    <cellStyle name="Input 2 6 2 2 2" xfId="13874"/>
    <cellStyle name="Input 2 6 2 3" xfId="13873"/>
    <cellStyle name="Input 2 6 3" xfId="13872"/>
    <cellStyle name="Input 2 6 3 2" xfId="13871"/>
    <cellStyle name="Input 2 6 4" xfId="13870"/>
    <cellStyle name="Input 2 7" xfId="13869"/>
    <cellStyle name="Input 2 7 2" xfId="13868"/>
    <cellStyle name="Input 2 7 2 2" xfId="13867"/>
    <cellStyle name="Input 2 7 2 2 2" xfId="13866"/>
    <cellStyle name="Input 2 7 2 3" xfId="13865"/>
    <cellStyle name="Input 2 7 3" xfId="13864"/>
    <cellStyle name="Input 2 7 3 2" xfId="13863"/>
    <cellStyle name="Input 2 7 4" xfId="13862"/>
    <cellStyle name="Input 2 8" xfId="13861"/>
    <cellStyle name="Input 2 8 2" xfId="13860"/>
    <cellStyle name="Input 2 8 2 2" xfId="13859"/>
    <cellStyle name="Input 2 8 2 2 2" xfId="13858"/>
    <cellStyle name="Input 2 8 2 3" xfId="13857"/>
    <cellStyle name="Input 2 8 3" xfId="13856"/>
    <cellStyle name="Input 2 8 3 2" xfId="13855"/>
    <cellStyle name="Input 2 8 4" xfId="13854"/>
    <cellStyle name="Input 2 9" xfId="13853"/>
    <cellStyle name="Input 2 9 2" xfId="13852"/>
    <cellStyle name="Input 2 9 2 2" xfId="13851"/>
    <cellStyle name="Input 2 9 3" xfId="13850"/>
    <cellStyle name="Input 3" xfId="13849"/>
    <cellStyle name="Input 3 2" xfId="13848"/>
    <cellStyle name="Input 3 2 2" xfId="13847"/>
    <cellStyle name="Input 3 2 2 2" xfId="13846"/>
    <cellStyle name="Input 3 2 2 2 2" xfId="13845"/>
    <cellStyle name="Input 3 2 2 2 2 2" xfId="13844"/>
    <cellStyle name="Input 3 2 2 2 3" xfId="13843"/>
    <cellStyle name="Input 3 2 2 3" xfId="13842"/>
    <cellStyle name="Input 3 2 2 3 2" xfId="13841"/>
    <cellStyle name="Input 3 2 2 4" xfId="13840"/>
    <cellStyle name="Input 3 2 3" xfId="13839"/>
    <cellStyle name="Input 3 2 3 2" xfId="13838"/>
    <cellStyle name="Input 3 2 3 2 2" xfId="13837"/>
    <cellStyle name="Input 3 2 3 3" xfId="13836"/>
    <cellStyle name="Input 3 2 4" xfId="13835"/>
    <cellStyle name="Input 3 2 4 2" xfId="13834"/>
    <cellStyle name="Input 3 2 5" xfId="13833"/>
    <cellStyle name="Input 3 3" xfId="13832"/>
    <cellStyle name="Input 3 3 2" xfId="13831"/>
    <cellStyle name="Input 3 3 2 2" xfId="13830"/>
    <cellStyle name="Input 3 3 2 2 2" xfId="13829"/>
    <cellStyle name="Input 3 3 2 3" xfId="13828"/>
    <cellStyle name="Input 3 3 3" xfId="13827"/>
    <cellStyle name="Input 3 3 3 2" xfId="13826"/>
    <cellStyle name="Input 3 3 4" xfId="13825"/>
    <cellStyle name="Input 3 4" xfId="13824"/>
    <cellStyle name="Input 3 4 2" xfId="13823"/>
    <cellStyle name="Input 3 4 2 2" xfId="13822"/>
    <cellStyle name="Input 3 4 2 2 2" xfId="13821"/>
    <cellStyle name="Input 3 4 2 3" xfId="13820"/>
    <cellStyle name="Input 3 4 3" xfId="13819"/>
    <cellStyle name="Input 3 4 3 2" xfId="13818"/>
    <cellStyle name="Input 3 4 4" xfId="13817"/>
    <cellStyle name="Input 3 5" xfId="13816"/>
    <cellStyle name="Input 3 5 2" xfId="13815"/>
    <cellStyle name="Input 3 5 2 2" xfId="13814"/>
    <cellStyle name="Input 3 5 3" xfId="13813"/>
    <cellStyle name="Input 3 6" xfId="13812"/>
    <cellStyle name="Input 3 6 2" xfId="13811"/>
    <cellStyle name="Input 3 7" xfId="13810"/>
    <cellStyle name="Input 4" xfId="13809"/>
    <cellStyle name="Input 4 2" xfId="13808"/>
    <cellStyle name="Input 4 2 2" xfId="13807"/>
    <cellStyle name="Input 4 2 2 2" xfId="13806"/>
    <cellStyle name="Input 4 2 2 2 2" xfId="13805"/>
    <cellStyle name="Input 4 2 2 2 2 2" xfId="13804"/>
    <cellStyle name="Input 4 2 2 2 3" xfId="13803"/>
    <cellStyle name="Input 4 2 2 3" xfId="13802"/>
    <cellStyle name="Input 4 2 2 3 2" xfId="13801"/>
    <cellStyle name="Input 4 2 2 4" xfId="13800"/>
    <cellStyle name="Input 4 2 3" xfId="13799"/>
    <cellStyle name="Input 4 2 3 2" xfId="13798"/>
    <cellStyle name="Input 4 2 3 2 2" xfId="13797"/>
    <cellStyle name="Input 4 2 3 3" xfId="13796"/>
    <cellStyle name="Input 4 2 4" xfId="13795"/>
    <cellStyle name="Input 4 2 4 2" xfId="13794"/>
    <cellStyle name="Input 4 2 5" xfId="13793"/>
    <cellStyle name="Input 4 3" xfId="13792"/>
    <cellStyle name="Input 4 3 2" xfId="13791"/>
    <cellStyle name="Input 4 3 2 2" xfId="13790"/>
    <cellStyle name="Input 4 3 2 2 2" xfId="13789"/>
    <cellStyle name="Input 4 3 2 3" xfId="13788"/>
    <cellStyle name="Input 4 3 3" xfId="13787"/>
    <cellStyle name="Input 4 3 3 2" xfId="13786"/>
    <cellStyle name="Input 4 3 4" xfId="13785"/>
    <cellStyle name="Input 4 4" xfId="13784"/>
    <cellStyle name="Input 4 4 2" xfId="13783"/>
    <cellStyle name="Input 4 4 2 2" xfId="13782"/>
    <cellStyle name="Input 4 4 2 2 2" xfId="13781"/>
    <cellStyle name="Input 4 4 2 3" xfId="13780"/>
    <cellStyle name="Input 4 4 3" xfId="13779"/>
    <cellStyle name="Input 4 4 3 2" xfId="13778"/>
    <cellStyle name="Input 4 4 4" xfId="13777"/>
    <cellStyle name="Input 4 5" xfId="13776"/>
    <cellStyle name="Input 4 5 2" xfId="13775"/>
    <cellStyle name="Input 4 5 2 2" xfId="13774"/>
    <cellStyle name="Input 4 5 3" xfId="13773"/>
    <cellStyle name="Input 4 6" xfId="13772"/>
    <cellStyle name="Input 4 6 2" xfId="13771"/>
    <cellStyle name="Input 4 7" xfId="13770"/>
    <cellStyle name="Input 5" xfId="13769"/>
    <cellStyle name="Input 5 2" xfId="13768"/>
    <cellStyle name="Input 5 2 2" xfId="13767"/>
    <cellStyle name="Input 5 2 2 2" xfId="13766"/>
    <cellStyle name="Input 5 2 2 2 2" xfId="13765"/>
    <cellStyle name="Input 5 2 2 2 2 2" xfId="13764"/>
    <cellStyle name="Input 5 2 2 2 3" xfId="13763"/>
    <cellStyle name="Input 5 2 2 3" xfId="13762"/>
    <cellStyle name="Input 5 2 2 3 2" xfId="13761"/>
    <cellStyle name="Input 5 2 2 4" xfId="13760"/>
    <cellStyle name="Input 5 2 3" xfId="13759"/>
    <cellStyle name="Input 5 2 3 2" xfId="13758"/>
    <cellStyle name="Input 5 2 3 2 2" xfId="13757"/>
    <cellStyle name="Input 5 2 3 3" xfId="13756"/>
    <cellStyle name="Input 5 2 4" xfId="13755"/>
    <cellStyle name="Input 5 2 4 2" xfId="13754"/>
    <cellStyle name="Input 5 2 5" xfId="13753"/>
    <cellStyle name="Input 5 3" xfId="13752"/>
    <cellStyle name="Input 5 3 2" xfId="13751"/>
    <cellStyle name="Input 5 3 2 2" xfId="13750"/>
    <cellStyle name="Input 5 3 2 2 2" xfId="13749"/>
    <cellStyle name="Input 5 3 2 3" xfId="13748"/>
    <cellStyle name="Input 5 3 3" xfId="13747"/>
    <cellStyle name="Input 5 3 3 2" xfId="13746"/>
    <cellStyle name="Input 5 3 4" xfId="13745"/>
    <cellStyle name="Input 5 4" xfId="13744"/>
    <cellStyle name="Input 5 4 2" xfId="13743"/>
    <cellStyle name="Input 5 4 2 2" xfId="13742"/>
    <cellStyle name="Input 5 4 2 2 2" xfId="13741"/>
    <cellStyle name="Input 5 4 2 3" xfId="13740"/>
    <cellStyle name="Input 5 4 3" xfId="13739"/>
    <cellStyle name="Input 5 4 3 2" xfId="13738"/>
    <cellStyle name="Input 5 4 4" xfId="13737"/>
    <cellStyle name="Input 5 5" xfId="13736"/>
    <cellStyle name="Input 5 5 2" xfId="13735"/>
    <cellStyle name="Input 5 5 2 2" xfId="13734"/>
    <cellStyle name="Input 5 5 3" xfId="13733"/>
    <cellStyle name="Input 5 6" xfId="13732"/>
    <cellStyle name="Input 5 6 2" xfId="13731"/>
    <cellStyle name="Input 5 7" xfId="13730"/>
    <cellStyle name="Input 6" xfId="13729"/>
    <cellStyle name="Input 6 2" xfId="13728"/>
    <cellStyle name="Input 6 2 2" xfId="13727"/>
    <cellStyle name="Input 6 2 2 2" xfId="13726"/>
    <cellStyle name="Input 6 2 2 2 2" xfId="13725"/>
    <cellStyle name="Input 6 2 2 2 2 2" xfId="13724"/>
    <cellStyle name="Input 6 2 2 2 3" xfId="13723"/>
    <cellStyle name="Input 6 2 2 3" xfId="13722"/>
    <cellStyle name="Input 6 2 2 3 2" xfId="13721"/>
    <cellStyle name="Input 6 2 2 4" xfId="13720"/>
    <cellStyle name="Input 6 2 3" xfId="13719"/>
    <cellStyle name="Input 6 2 3 2" xfId="13718"/>
    <cellStyle name="Input 6 2 3 2 2" xfId="13717"/>
    <cellStyle name="Input 6 2 3 3" xfId="13716"/>
    <cellStyle name="Input 6 2 4" xfId="13715"/>
    <cellStyle name="Input 6 2 4 2" xfId="13714"/>
    <cellStyle name="Input 6 2 5" xfId="13713"/>
    <cellStyle name="Input 6 3" xfId="13712"/>
    <cellStyle name="Input 6 3 2" xfId="13711"/>
    <cellStyle name="Input 6 3 2 2" xfId="13710"/>
    <cellStyle name="Input 6 3 2 2 2" xfId="13709"/>
    <cellStyle name="Input 6 3 2 3" xfId="13708"/>
    <cellStyle name="Input 6 3 3" xfId="13707"/>
    <cellStyle name="Input 6 3 3 2" xfId="13706"/>
    <cellStyle name="Input 6 3 4" xfId="13705"/>
    <cellStyle name="Input 6 4" xfId="13704"/>
    <cellStyle name="Input 6 4 2" xfId="13703"/>
    <cellStyle name="Input 6 4 2 2" xfId="13702"/>
    <cellStyle name="Input 6 4 2 2 2" xfId="13701"/>
    <cellStyle name="Input 6 4 2 3" xfId="13700"/>
    <cellStyle name="Input 6 4 3" xfId="13699"/>
    <cellStyle name="Input 6 4 3 2" xfId="13698"/>
    <cellStyle name="Input 6 4 4" xfId="13697"/>
    <cellStyle name="Input 6 5" xfId="13696"/>
    <cellStyle name="Input 6 5 2" xfId="13695"/>
    <cellStyle name="Input 6 5 2 2" xfId="13694"/>
    <cellStyle name="Input 6 5 3" xfId="13693"/>
    <cellStyle name="Input 6 6" xfId="13692"/>
    <cellStyle name="Input 6 6 2" xfId="13691"/>
    <cellStyle name="Input 6 7" xfId="13690"/>
    <cellStyle name="Input 7" xfId="13689"/>
    <cellStyle name="Input 7 2" xfId="13688"/>
    <cellStyle name="Input 7 2 2" xfId="13687"/>
    <cellStyle name="Input 7 2 2 2" xfId="13686"/>
    <cellStyle name="Input 7 2 2 2 2" xfId="13685"/>
    <cellStyle name="Input 7 2 2 2 2 2" xfId="13684"/>
    <cellStyle name="Input 7 2 2 2 3" xfId="13683"/>
    <cellStyle name="Input 7 2 2 3" xfId="13682"/>
    <cellStyle name="Input 7 2 2 3 2" xfId="13681"/>
    <cellStyle name="Input 7 2 2 4" xfId="13680"/>
    <cellStyle name="Input 7 2 3" xfId="13679"/>
    <cellStyle name="Input 7 2 3 2" xfId="13678"/>
    <cellStyle name="Input 7 2 3 2 2" xfId="13677"/>
    <cellStyle name="Input 7 2 3 3" xfId="13676"/>
    <cellStyle name="Input 7 2 4" xfId="13675"/>
    <cellStyle name="Input 7 2 4 2" xfId="13674"/>
    <cellStyle name="Input 7 2 5" xfId="13673"/>
    <cellStyle name="Input 7 3" xfId="13672"/>
    <cellStyle name="Input 7 3 2" xfId="13671"/>
    <cellStyle name="Input 7 3 2 2" xfId="13670"/>
    <cellStyle name="Input 7 3 2 2 2" xfId="13669"/>
    <cellStyle name="Input 7 3 2 3" xfId="13668"/>
    <cellStyle name="Input 7 3 3" xfId="13667"/>
    <cellStyle name="Input 7 3 3 2" xfId="13666"/>
    <cellStyle name="Input 7 3 4" xfId="13665"/>
    <cellStyle name="Input 7 4" xfId="13664"/>
    <cellStyle name="Input 7 4 2" xfId="13663"/>
    <cellStyle name="Input 7 4 2 2" xfId="13662"/>
    <cellStyle name="Input 7 4 2 2 2" xfId="13661"/>
    <cellStyle name="Input 7 4 2 3" xfId="13660"/>
    <cellStyle name="Input 7 4 3" xfId="13659"/>
    <cellStyle name="Input 7 4 3 2" xfId="13658"/>
    <cellStyle name="Input 7 4 4" xfId="13657"/>
    <cellStyle name="Input 7 5" xfId="13656"/>
    <cellStyle name="Input 7 5 2" xfId="13655"/>
    <cellStyle name="Input 7 5 2 2" xfId="13654"/>
    <cellStyle name="Input 7 5 3" xfId="13653"/>
    <cellStyle name="Input 7 6" xfId="13652"/>
    <cellStyle name="Input 7 6 2" xfId="13651"/>
    <cellStyle name="Input 7 7" xfId="13650"/>
    <cellStyle name="Input 8" xfId="13649"/>
    <cellStyle name="Input 8 2" xfId="13648"/>
    <cellStyle name="Input 8 2 2" xfId="13647"/>
    <cellStyle name="Input 8 2 2 2" xfId="13646"/>
    <cellStyle name="Input 8 2 2 2 2" xfId="13645"/>
    <cellStyle name="Input 8 2 2 3" xfId="13644"/>
    <cellStyle name="Input 8 2 3" xfId="13643"/>
    <cellStyle name="Input 8 2 3 2" xfId="13642"/>
    <cellStyle name="Input 8 2 4" xfId="13641"/>
    <cellStyle name="Input 8 3" xfId="13640"/>
    <cellStyle name="Input 8 3 2" xfId="13639"/>
    <cellStyle name="Input 8 3 2 2" xfId="13638"/>
    <cellStyle name="Input 8 3 3" xfId="13637"/>
    <cellStyle name="Input 8 4" xfId="13636"/>
    <cellStyle name="Input 8 4 2" xfId="13635"/>
    <cellStyle name="Input 8 5" xfId="13634"/>
    <cellStyle name="Input 9" xfId="13633"/>
    <cellStyle name="Input 9 2" xfId="13632"/>
    <cellStyle name="Input 9 2 2" xfId="13631"/>
    <cellStyle name="Input 9 2 2 2" xfId="13630"/>
    <cellStyle name="Input 9 2 3" xfId="13629"/>
    <cellStyle name="Input 9 3" xfId="13628"/>
    <cellStyle name="Input 9 3 2" xfId="13627"/>
    <cellStyle name="Input 9 4" xfId="13626"/>
    <cellStyle name="Input Cells" xfId="13625"/>
    <cellStyle name="Input Currency" xfId="13624"/>
    <cellStyle name="Input Date" xfId="13623"/>
    <cellStyle name="Input Fixed [0]" xfId="13622"/>
    <cellStyle name="Input Normal" xfId="13621"/>
    <cellStyle name="Input Percent" xfId="13620"/>
    <cellStyle name="Input Percent [2]" xfId="13619"/>
    <cellStyle name="Input Percent_ELECTRICAL" xfId="13618"/>
    <cellStyle name="Input Titles" xfId="13617"/>
    <cellStyle name="k" xfId="13616"/>
    <cellStyle name="k_BQ-Kontrak Utama (5)-radja" xfId="13615"/>
    <cellStyle name="k_BQ-Kontrak Utama (5)-radja_BQ-Kontrak Utama (R)" xfId="13614"/>
    <cellStyle name="k_BQ-Kontrak Utama (5)-radja_BQ-Kontrak Utama (R)_BQ-Omni Wuryanto edit-KWD 10 Juli 2006 hendra" xfId="13613"/>
    <cellStyle name="k_BQ-Kontrak Utama (5)-radja_BQ-Kontrak Utama (R)_Copy of BQ-Kontrak Utama-KWrev1" xfId="13612"/>
    <cellStyle name="k_BQ-Kontrak Utama (5)-radja_BQ-Kontrak Utama (R)_MKU14July06" xfId="13611"/>
    <cellStyle name="k_BQ-Kontrak Utama (5)-radja_BQ-Omni Wuryanto edit-KWD 10 Juli 2006 hendra" xfId="13610"/>
    <cellStyle name="k_BQ-Kontrak Utama (5)-radja_Copy of BQ-Kontrak Utama-KWrev1" xfId="13609"/>
    <cellStyle name="k_BQ-Kontrak Utama (5)-radja_MKU14July06" xfId="13608"/>
    <cellStyle name="k_BQ-Kontrak Utama (5)-radja_REVISI ACHIR OMNI" xfId="13607"/>
    <cellStyle name="k_BQ-Kontrak Utama (R)" xfId="13606"/>
    <cellStyle name="k_BQ-Kontrak Utama (R)_BQ-Omni Wuryanto edit-KWD 10 Juli 2006 hendra" xfId="13605"/>
    <cellStyle name="k_BQ-Kontrak Utama (R)_Copy of BQ-Kontrak Utama-KWrev1" xfId="13604"/>
    <cellStyle name="k_BQ-Kontrak Utama (R)_MKU14July06" xfId="13603"/>
    <cellStyle name="k_BQ-Omni Wuryanto edit-KWD 10 Juli 2006 hendra" xfId="13602"/>
    <cellStyle name="k_Copy of BQ-Kontrak Utama-KWrev1" xfId="13601"/>
    <cellStyle name="k_MKU14July06" xfId="13600"/>
    <cellStyle name="k_Perkiraan biaya RS OMNI KAPI Elektrikal + Summary" xfId="13599"/>
    <cellStyle name="k_Perkiraan biaya RS OMNI KAPI Mekanikal" xfId="13598"/>
    <cellStyle name="k_REVISI ACHIR OMNI" xfId="13597"/>
    <cellStyle name="KIB" xfId="13596"/>
    <cellStyle name="kop" xfId="13595"/>
    <cellStyle name="kop 10" xfId="13594"/>
    <cellStyle name="kop 10 2" xfId="13593"/>
    <cellStyle name="kop 11" xfId="13592"/>
    <cellStyle name="kop 2" xfId="13591"/>
    <cellStyle name="kop 2 2" xfId="13590"/>
    <cellStyle name="kop 2 2 2" xfId="13589"/>
    <cellStyle name="kop 2 2 2 2" xfId="13588"/>
    <cellStyle name="kop 2 2 3" xfId="13587"/>
    <cellStyle name="kop 2 3" xfId="13586"/>
    <cellStyle name="kop 2 3 2" xfId="13585"/>
    <cellStyle name="kop 2 3 2 2" xfId="13584"/>
    <cellStyle name="kop 2 3 3" xfId="13583"/>
    <cellStyle name="kop 2 4" xfId="13582"/>
    <cellStyle name="kop 2 4 2" xfId="13581"/>
    <cellStyle name="kop 2 4 2 2" xfId="13580"/>
    <cellStyle name="kop 2 4 3" xfId="13579"/>
    <cellStyle name="kop 2 5" xfId="13578"/>
    <cellStyle name="kop 2 5 2" xfId="13577"/>
    <cellStyle name="kop 2 5 2 2" xfId="13576"/>
    <cellStyle name="kop 2 5 3" xfId="13575"/>
    <cellStyle name="kop 2 6" xfId="13574"/>
    <cellStyle name="kop 2 6 2" xfId="13573"/>
    <cellStyle name="kop 2 6 2 2" xfId="13572"/>
    <cellStyle name="kop 2 6 3" xfId="13571"/>
    <cellStyle name="kop 2 7" xfId="13570"/>
    <cellStyle name="kop 2 7 2" xfId="13569"/>
    <cellStyle name="kop 2 7 2 2" xfId="13568"/>
    <cellStyle name="kop 2 7 3" xfId="13567"/>
    <cellStyle name="kop 2 8" xfId="13566"/>
    <cellStyle name="kop 2 8 2" xfId="13565"/>
    <cellStyle name="kop 2 9" xfId="13564"/>
    <cellStyle name="kop 3" xfId="13563"/>
    <cellStyle name="kop 3 2" xfId="13562"/>
    <cellStyle name="kop 3 2 2" xfId="13561"/>
    <cellStyle name="kop 3 3" xfId="13560"/>
    <cellStyle name="kop 4" xfId="13559"/>
    <cellStyle name="kop 4 2" xfId="13558"/>
    <cellStyle name="kop 4 2 2" xfId="13557"/>
    <cellStyle name="kop 4 3" xfId="13556"/>
    <cellStyle name="kop 5" xfId="13555"/>
    <cellStyle name="kop 5 2" xfId="13554"/>
    <cellStyle name="kop 5 2 2" xfId="13553"/>
    <cellStyle name="kop 5 3" xfId="13552"/>
    <cellStyle name="kop 6" xfId="13551"/>
    <cellStyle name="kop 6 2" xfId="13550"/>
    <cellStyle name="kop 6 2 2" xfId="13549"/>
    <cellStyle name="kop 6 3" xfId="13548"/>
    <cellStyle name="kop 7" xfId="13547"/>
    <cellStyle name="kop 7 2" xfId="13546"/>
    <cellStyle name="kop 7 2 2" xfId="13545"/>
    <cellStyle name="kop 7 3" xfId="13544"/>
    <cellStyle name="kop 8" xfId="13543"/>
    <cellStyle name="kop 8 2" xfId="13542"/>
    <cellStyle name="kop 8 2 2" xfId="13541"/>
    <cellStyle name="kop 8 3" xfId="13540"/>
    <cellStyle name="kop 9" xfId="13539"/>
    <cellStyle name="kop 9 2" xfId="13538"/>
    <cellStyle name="kop 9 2 2" xfId="13537"/>
    <cellStyle name="kop 9 3" xfId="13536"/>
    <cellStyle name="L" xfId="13535"/>
    <cellStyle name="L_BQ-Kontrak Utama (5)-radja" xfId="13534"/>
    <cellStyle name="L_BQ-Kontrak Utama (5)-radja_BQ-Kontrak Utama (R)" xfId="13533"/>
    <cellStyle name="L_BQ-Kontrak Utama (5)-radja_BQ-Kontrak Utama (R)_BQ-Omni Wuryanto edit-KWD 10 Juli 2006 hendra" xfId="13532"/>
    <cellStyle name="L_BQ-Kontrak Utama (5)-radja_BQ-Kontrak Utama (R)_Copy of BQ-Kontrak Utama-KWrev1" xfId="13531"/>
    <cellStyle name="L_BQ-Kontrak Utama (5)-radja_BQ-Kontrak Utama (R)_MKU14July06" xfId="13530"/>
    <cellStyle name="L_BQ-Kontrak Utama (5)-radja_BQ-Omni Wuryanto edit-KWD 10 Juli 2006 hendra" xfId="13529"/>
    <cellStyle name="L_BQ-Kontrak Utama (5)-radja_Copy of BQ-Kontrak Utama-KWrev1" xfId="13528"/>
    <cellStyle name="L_BQ-Kontrak Utama (5)-radja_MKU14July06" xfId="13527"/>
    <cellStyle name="L_BQ-Kontrak Utama (5)-radja_REVISI ACHIR OMNI" xfId="13526"/>
    <cellStyle name="L_BQ-Kontrak Utama (R)" xfId="13525"/>
    <cellStyle name="L_BQ-Kontrak Utama (R)_BQ-Omni Wuryanto edit-KWD 10 Juli 2006 hendra" xfId="13524"/>
    <cellStyle name="L_BQ-Kontrak Utama (R)_Copy of BQ-Kontrak Utama-KWrev1" xfId="13523"/>
    <cellStyle name="L_BQ-Kontrak Utama (R)_MKU14July06" xfId="13522"/>
    <cellStyle name="L_BQ-Omni Wuryanto edit-KWD 10 Juli 2006 hendra" xfId="13521"/>
    <cellStyle name="L_Copy of BQ-Kontrak Utama-KWrev1" xfId="13520"/>
    <cellStyle name="L_MKU14July06" xfId="13519"/>
    <cellStyle name="L_Perkiraan biaya RS OMNI KAPI Elektrikal + Summary" xfId="13518"/>
    <cellStyle name="L_Perkiraan biaya RS OMNI KAPI Mekanikal" xfId="13517"/>
    <cellStyle name="L_REVISI ACHIR OMNI" xfId="13516"/>
    <cellStyle name="Labels" xfId="13515"/>
    <cellStyle name="Labels - Style3" xfId="13514"/>
    <cellStyle name="Labels - Style3 10" xfId="13513"/>
    <cellStyle name="Labels - Style3 10 10" xfId="13512"/>
    <cellStyle name="Labels - Style3 10 2" xfId="13511"/>
    <cellStyle name="Labels - Style3 10 2 2" xfId="13510"/>
    <cellStyle name="Labels - Style3 10 2 2 2" xfId="13509"/>
    <cellStyle name="Labels - Style3 10 2 3" xfId="13508"/>
    <cellStyle name="Labels - Style3 10 3" xfId="13507"/>
    <cellStyle name="Labels - Style3 10 3 2" xfId="13506"/>
    <cellStyle name="Labels - Style3 10 4" xfId="13505"/>
    <cellStyle name="Labels - Style3 10 5" xfId="13504"/>
    <cellStyle name="Labels - Style3 10 6" xfId="13503"/>
    <cellStyle name="Labels - Style3 10 7" xfId="13502"/>
    <cellStyle name="Labels - Style3 10 8" xfId="13501"/>
    <cellStyle name="Labels - Style3 10 9" xfId="13500"/>
    <cellStyle name="Labels - Style3 11" xfId="13499"/>
    <cellStyle name="Labels - Style3 11 10" xfId="13498"/>
    <cellStyle name="Labels - Style3 11 2" xfId="13497"/>
    <cellStyle name="Labels - Style3 11 2 2" xfId="13496"/>
    <cellStyle name="Labels - Style3 11 2 2 2" xfId="13495"/>
    <cellStyle name="Labels - Style3 11 2 3" xfId="13494"/>
    <cellStyle name="Labels - Style3 11 3" xfId="13493"/>
    <cellStyle name="Labels - Style3 11 3 2" xfId="13492"/>
    <cellStyle name="Labels - Style3 11 4" xfId="13491"/>
    <cellStyle name="Labels - Style3 11 5" xfId="13490"/>
    <cellStyle name="Labels - Style3 11 6" xfId="13489"/>
    <cellStyle name="Labels - Style3 11 7" xfId="13488"/>
    <cellStyle name="Labels - Style3 11 8" xfId="13487"/>
    <cellStyle name="Labels - Style3 11 9" xfId="13486"/>
    <cellStyle name="Labels - Style3 12" xfId="13485"/>
    <cellStyle name="Labels - Style3 12 10" xfId="13484"/>
    <cellStyle name="Labels - Style3 12 2" xfId="13483"/>
    <cellStyle name="Labels - Style3 12 2 2" xfId="13482"/>
    <cellStyle name="Labels - Style3 12 2 2 2" xfId="13481"/>
    <cellStyle name="Labels - Style3 12 2 3" xfId="13480"/>
    <cellStyle name="Labels - Style3 12 3" xfId="13479"/>
    <cellStyle name="Labels - Style3 12 3 2" xfId="13478"/>
    <cellStyle name="Labels - Style3 12 4" xfId="13477"/>
    <cellStyle name="Labels - Style3 12 5" xfId="13476"/>
    <cellStyle name="Labels - Style3 12 6" xfId="13475"/>
    <cellStyle name="Labels - Style3 12 7" xfId="13474"/>
    <cellStyle name="Labels - Style3 12 8" xfId="13473"/>
    <cellStyle name="Labels - Style3 12 9" xfId="13472"/>
    <cellStyle name="Labels - Style3 13" xfId="13471"/>
    <cellStyle name="Labels - Style3 13 10" xfId="13470"/>
    <cellStyle name="Labels - Style3 13 2" xfId="13469"/>
    <cellStyle name="Labels - Style3 13 2 2" xfId="13468"/>
    <cellStyle name="Labels - Style3 13 2 2 2" xfId="13467"/>
    <cellStyle name="Labels - Style3 13 2 3" xfId="13466"/>
    <cellStyle name="Labels - Style3 13 3" xfId="13465"/>
    <cellStyle name="Labels - Style3 13 3 2" xfId="13464"/>
    <cellStyle name="Labels - Style3 13 4" xfId="13463"/>
    <cellStyle name="Labels - Style3 13 5" xfId="13462"/>
    <cellStyle name="Labels - Style3 13 6" xfId="13461"/>
    <cellStyle name="Labels - Style3 13 7" xfId="13460"/>
    <cellStyle name="Labels - Style3 13 8" xfId="13459"/>
    <cellStyle name="Labels - Style3 13 9" xfId="13458"/>
    <cellStyle name="Labels - Style3 14" xfId="13457"/>
    <cellStyle name="Labels - Style3 14 10" xfId="13456"/>
    <cellStyle name="Labels - Style3 14 2" xfId="13455"/>
    <cellStyle name="Labels - Style3 14 2 2" xfId="13454"/>
    <cellStyle name="Labels - Style3 14 2 2 2" xfId="13453"/>
    <cellStyle name="Labels - Style3 14 2 3" xfId="13452"/>
    <cellStyle name="Labels - Style3 14 3" xfId="13451"/>
    <cellStyle name="Labels - Style3 14 3 2" xfId="13450"/>
    <cellStyle name="Labels - Style3 14 4" xfId="13449"/>
    <cellStyle name="Labels - Style3 14 5" xfId="13448"/>
    <cellStyle name="Labels - Style3 14 6" xfId="13447"/>
    <cellStyle name="Labels - Style3 14 7" xfId="13446"/>
    <cellStyle name="Labels - Style3 14 8" xfId="13445"/>
    <cellStyle name="Labels - Style3 14 9" xfId="13444"/>
    <cellStyle name="Labels - Style3 15" xfId="13443"/>
    <cellStyle name="Labels - Style3 15 2" xfId="13442"/>
    <cellStyle name="Labels - Style3 15 2 2" xfId="13441"/>
    <cellStyle name="Labels - Style3 15 3" xfId="13440"/>
    <cellStyle name="Labels - Style3 16" xfId="13439"/>
    <cellStyle name="Labels - Style3 16 2" xfId="13438"/>
    <cellStyle name="Labels - Style3 17" xfId="13437"/>
    <cellStyle name="Labels - Style3 18" xfId="13436"/>
    <cellStyle name="Labels - Style3 19" xfId="13435"/>
    <cellStyle name="Labels - Style3 2" xfId="13434"/>
    <cellStyle name="Labels - Style3 2 10" xfId="13433"/>
    <cellStyle name="Labels - Style3 2 10 2" xfId="13432"/>
    <cellStyle name="Labels - Style3 2 10 3" xfId="13431"/>
    <cellStyle name="Labels - Style3 2 10 4" xfId="13430"/>
    <cellStyle name="Labels - Style3 2 10 5" xfId="13429"/>
    <cellStyle name="Labels - Style3 2 10 6" xfId="13428"/>
    <cellStyle name="Labels - Style3 2 10 7" xfId="13427"/>
    <cellStyle name="Labels - Style3 2 11" xfId="13426"/>
    <cellStyle name="Labels - Style3 2 12" xfId="13425"/>
    <cellStyle name="Labels - Style3 2 13" xfId="13424"/>
    <cellStyle name="Labels - Style3 2 14" xfId="13423"/>
    <cellStyle name="Labels - Style3 2 15" xfId="13422"/>
    <cellStyle name="Labels - Style3 2 16" xfId="13421"/>
    <cellStyle name="Labels - Style3 2 2" xfId="13420"/>
    <cellStyle name="Labels - Style3 2 2 10" xfId="13419"/>
    <cellStyle name="Labels - Style3 2 2 11" xfId="13418"/>
    <cellStyle name="Labels - Style3 2 2 12" xfId="13417"/>
    <cellStyle name="Labels - Style3 2 2 13" xfId="13416"/>
    <cellStyle name="Labels - Style3 2 2 14" xfId="13415"/>
    <cellStyle name="Labels - Style3 2 2 2" xfId="13414"/>
    <cellStyle name="Labels - Style3 2 2 2 2" xfId="13413"/>
    <cellStyle name="Labels - Style3 2 2 2 3" xfId="13412"/>
    <cellStyle name="Labels - Style3 2 2 2 4" xfId="13411"/>
    <cellStyle name="Labels - Style3 2 2 2 5" xfId="13410"/>
    <cellStyle name="Labels - Style3 2 2 2 6" xfId="13409"/>
    <cellStyle name="Labels - Style3 2 2 2 7" xfId="13408"/>
    <cellStyle name="Labels - Style3 2 2 3" xfId="13407"/>
    <cellStyle name="Labels - Style3 2 2 3 2" xfId="13406"/>
    <cellStyle name="Labels - Style3 2 2 3 3" xfId="13405"/>
    <cellStyle name="Labels - Style3 2 2 3 4" xfId="13404"/>
    <cellStyle name="Labels - Style3 2 2 3 5" xfId="13403"/>
    <cellStyle name="Labels - Style3 2 2 3 6" xfId="13402"/>
    <cellStyle name="Labels - Style3 2 2 3 7" xfId="13401"/>
    <cellStyle name="Labels - Style3 2 2 4" xfId="13400"/>
    <cellStyle name="Labels - Style3 2 2 4 2" xfId="13399"/>
    <cellStyle name="Labels - Style3 2 2 4 3" xfId="13398"/>
    <cellStyle name="Labels - Style3 2 2 4 4" xfId="13397"/>
    <cellStyle name="Labels - Style3 2 2 4 5" xfId="13396"/>
    <cellStyle name="Labels - Style3 2 2 4 6" xfId="13395"/>
    <cellStyle name="Labels - Style3 2 2 4 7" xfId="13394"/>
    <cellStyle name="Labels - Style3 2 2 5" xfId="13393"/>
    <cellStyle name="Labels - Style3 2 2 5 2" xfId="13392"/>
    <cellStyle name="Labels - Style3 2 2 5 3" xfId="13391"/>
    <cellStyle name="Labels - Style3 2 2 5 4" xfId="13390"/>
    <cellStyle name="Labels - Style3 2 2 5 5" xfId="13389"/>
    <cellStyle name="Labels - Style3 2 2 5 6" xfId="13388"/>
    <cellStyle name="Labels - Style3 2 2 5 7" xfId="13387"/>
    <cellStyle name="Labels - Style3 2 2 6" xfId="13386"/>
    <cellStyle name="Labels - Style3 2 2 6 2" xfId="13385"/>
    <cellStyle name="Labels - Style3 2 2 6 3" xfId="13384"/>
    <cellStyle name="Labels - Style3 2 2 6 4" xfId="13383"/>
    <cellStyle name="Labels - Style3 2 2 6 5" xfId="13382"/>
    <cellStyle name="Labels - Style3 2 2 6 6" xfId="13381"/>
    <cellStyle name="Labels - Style3 2 2 6 7" xfId="13380"/>
    <cellStyle name="Labels - Style3 2 2 7" xfId="13379"/>
    <cellStyle name="Labels - Style3 2 2 7 2" xfId="13378"/>
    <cellStyle name="Labels - Style3 2 2 7 3" xfId="13377"/>
    <cellStyle name="Labels - Style3 2 2 7 4" xfId="13376"/>
    <cellStyle name="Labels - Style3 2 2 7 5" xfId="13375"/>
    <cellStyle name="Labels - Style3 2 2 7 6" xfId="13374"/>
    <cellStyle name="Labels - Style3 2 2 7 7" xfId="13373"/>
    <cellStyle name="Labels - Style3 2 2 8" xfId="13372"/>
    <cellStyle name="Labels - Style3 2 2 8 2" xfId="13371"/>
    <cellStyle name="Labels - Style3 2 2 8 3" xfId="13370"/>
    <cellStyle name="Labels - Style3 2 2 8 4" xfId="13369"/>
    <cellStyle name="Labels - Style3 2 2 8 5" xfId="13368"/>
    <cellStyle name="Labels - Style3 2 2 8 6" xfId="13367"/>
    <cellStyle name="Labels - Style3 2 2 8 7" xfId="13366"/>
    <cellStyle name="Labels - Style3 2 2 9" xfId="13365"/>
    <cellStyle name="Labels - Style3 2 3" xfId="13364"/>
    <cellStyle name="Labels - Style3 2 3 2" xfId="13363"/>
    <cellStyle name="Labels - Style3 2 3 3" xfId="13362"/>
    <cellStyle name="Labels - Style3 2 3 4" xfId="13361"/>
    <cellStyle name="Labels - Style3 2 3 5" xfId="13360"/>
    <cellStyle name="Labels - Style3 2 3 6" xfId="13359"/>
    <cellStyle name="Labels - Style3 2 3 7" xfId="13358"/>
    <cellStyle name="Labels - Style3 2 4" xfId="13357"/>
    <cellStyle name="Labels - Style3 2 4 2" xfId="13356"/>
    <cellStyle name="Labels - Style3 2 4 3" xfId="13355"/>
    <cellStyle name="Labels - Style3 2 4 4" xfId="13354"/>
    <cellStyle name="Labels - Style3 2 4 5" xfId="13353"/>
    <cellStyle name="Labels - Style3 2 4 6" xfId="13352"/>
    <cellStyle name="Labels - Style3 2 4 7" xfId="13351"/>
    <cellStyle name="Labels - Style3 2 5" xfId="13350"/>
    <cellStyle name="Labels - Style3 2 5 2" xfId="13349"/>
    <cellStyle name="Labels - Style3 2 5 3" xfId="13348"/>
    <cellStyle name="Labels - Style3 2 5 4" xfId="13347"/>
    <cellStyle name="Labels - Style3 2 5 5" xfId="13346"/>
    <cellStyle name="Labels - Style3 2 5 6" xfId="13345"/>
    <cellStyle name="Labels - Style3 2 5 7" xfId="13344"/>
    <cellStyle name="Labels - Style3 2 6" xfId="13343"/>
    <cellStyle name="Labels - Style3 2 6 2" xfId="13342"/>
    <cellStyle name="Labels - Style3 2 6 3" xfId="13341"/>
    <cellStyle name="Labels - Style3 2 6 4" xfId="13340"/>
    <cellStyle name="Labels - Style3 2 6 5" xfId="13339"/>
    <cellStyle name="Labels - Style3 2 6 6" xfId="13338"/>
    <cellStyle name="Labels - Style3 2 6 7" xfId="13337"/>
    <cellStyle name="Labels - Style3 2 7" xfId="13336"/>
    <cellStyle name="Labels - Style3 2 7 2" xfId="13335"/>
    <cellStyle name="Labels - Style3 2 7 3" xfId="13334"/>
    <cellStyle name="Labels - Style3 2 7 4" xfId="13333"/>
    <cellStyle name="Labels - Style3 2 7 5" xfId="13332"/>
    <cellStyle name="Labels - Style3 2 7 6" xfId="13331"/>
    <cellStyle name="Labels - Style3 2 7 7" xfId="13330"/>
    <cellStyle name="Labels - Style3 2 8" xfId="13329"/>
    <cellStyle name="Labels - Style3 2 8 2" xfId="13328"/>
    <cellStyle name="Labels - Style3 2 8 3" xfId="13327"/>
    <cellStyle name="Labels - Style3 2 8 4" xfId="13326"/>
    <cellStyle name="Labels - Style3 2 8 5" xfId="13325"/>
    <cellStyle name="Labels - Style3 2 8 6" xfId="13324"/>
    <cellStyle name="Labels - Style3 2 8 7" xfId="13323"/>
    <cellStyle name="Labels - Style3 2 9" xfId="13322"/>
    <cellStyle name="Labels - Style3 2 9 2" xfId="13321"/>
    <cellStyle name="Labels - Style3 2 9 3" xfId="13320"/>
    <cellStyle name="Labels - Style3 2 9 4" xfId="13319"/>
    <cellStyle name="Labels - Style3 2 9 5" xfId="13318"/>
    <cellStyle name="Labels - Style3 2 9 6" xfId="13317"/>
    <cellStyle name="Labels - Style3 2 9 7" xfId="13316"/>
    <cellStyle name="Labels - Style3 20" xfId="13315"/>
    <cellStyle name="Labels - Style3 21" xfId="13314"/>
    <cellStyle name="Labels - Style3 22" xfId="13313"/>
    <cellStyle name="Labels - Style3 23" xfId="13312"/>
    <cellStyle name="Labels - Style3 3" xfId="13311"/>
    <cellStyle name="Labels - Style3 3 10" xfId="13310"/>
    <cellStyle name="Labels - Style3 3 10 2" xfId="13309"/>
    <cellStyle name="Labels - Style3 3 10 3" xfId="13308"/>
    <cellStyle name="Labels - Style3 3 10 4" xfId="13307"/>
    <cellStyle name="Labels - Style3 3 10 5" xfId="13306"/>
    <cellStyle name="Labels - Style3 3 10 6" xfId="13305"/>
    <cellStyle name="Labels - Style3 3 10 7" xfId="13304"/>
    <cellStyle name="Labels - Style3 3 11" xfId="13303"/>
    <cellStyle name="Labels - Style3 3 12" xfId="13302"/>
    <cellStyle name="Labels - Style3 3 13" xfId="13301"/>
    <cellStyle name="Labels - Style3 3 14" xfId="13300"/>
    <cellStyle name="Labels - Style3 3 15" xfId="13299"/>
    <cellStyle name="Labels - Style3 3 16" xfId="13298"/>
    <cellStyle name="Labels - Style3 3 2" xfId="13297"/>
    <cellStyle name="Labels - Style3 3 2 10" xfId="13296"/>
    <cellStyle name="Labels - Style3 3 2 11" xfId="13295"/>
    <cellStyle name="Labels - Style3 3 2 12" xfId="13294"/>
    <cellStyle name="Labels - Style3 3 2 13" xfId="13293"/>
    <cellStyle name="Labels - Style3 3 2 14" xfId="13292"/>
    <cellStyle name="Labels - Style3 3 2 2" xfId="13291"/>
    <cellStyle name="Labels - Style3 3 2 2 2" xfId="13290"/>
    <cellStyle name="Labels - Style3 3 2 2 3" xfId="13289"/>
    <cellStyle name="Labels - Style3 3 2 2 4" xfId="13288"/>
    <cellStyle name="Labels - Style3 3 2 2 5" xfId="13287"/>
    <cellStyle name="Labels - Style3 3 2 2 6" xfId="13286"/>
    <cellStyle name="Labels - Style3 3 2 2 7" xfId="13285"/>
    <cellStyle name="Labels - Style3 3 2 3" xfId="13284"/>
    <cellStyle name="Labels - Style3 3 2 3 2" xfId="13283"/>
    <cellStyle name="Labels - Style3 3 2 3 3" xfId="13282"/>
    <cellStyle name="Labels - Style3 3 2 3 4" xfId="13281"/>
    <cellStyle name="Labels - Style3 3 2 3 5" xfId="13280"/>
    <cellStyle name="Labels - Style3 3 2 3 6" xfId="13279"/>
    <cellStyle name="Labels - Style3 3 2 3 7" xfId="13278"/>
    <cellStyle name="Labels - Style3 3 2 4" xfId="13277"/>
    <cellStyle name="Labels - Style3 3 2 4 2" xfId="13276"/>
    <cellStyle name="Labels - Style3 3 2 4 3" xfId="13275"/>
    <cellStyle name="Labels - Style3 3 2 4 4" xfId="13274"/>
    <cellStyle name="Labels - Style3 3 2 4 5" xfId="13273"/>
    <cellStyle name="Labels - Style3 3 2 4 6" xfId="13272"/>
    <cellStyle name="Labels - Style3 3 2 4 7" xfId="13271"/>
    <cellStyle name="Labels - Style3 3 2 5" xfId="13270"/>
    <cellStyle name="Labels - Style3 3 2 5 2" xfId="13269"/>
    <cellStyle name="Labels - Style3 3 2 5 3" xfId="13268"/>
    <cellStyle name="Labels - Style3 3 2 5 4" xfId="13267"/>
    <cellStyle name="Labels - Style3 3 2 5 5" xfId="13266"/>
    <cellStyle name="Labels - Style3 3 2 5 6" xfId="13265"/>
    <cellStyle name="Labels - Style3 3 2 5 7" xfId="13264"/>
    <cellStyle name="Labels - Style3 3 2 6" xfId="13263"/>
    <cellStyle name="Labels - Style3 3 2 6 2" xfId="13262"/>
    <cellStyle name="Labels - Style3 3 2 6 3" xfId="13261"/>
    <cellStyle name="Labels - Style3 3 2 6 4" xfId="13260"/>
    <cellStyle name="Labels - Style3 3 2 6 5" xfId="13259"/>
    <cellStyle name="Labels - Style3 3 2 6 6" xfId="13258"/>
    <cellStyle name="Labels - Style3 3 2 6 7" xfId="13257"/>
    <cellStyle name="Labels - Style3 3 2 7" xfId="13256"/>
    <cellStyle name="Labels - Style3 3 2 7 2" xfId="13255"/>
    <cellStyle name="Labels - Style3 3 2 7 3" xfId="13254"/>
    <cellStyle name="Labels - Style3 3 2 7 4" xfId="13253"/>
    <cellStyle name="Labels - Style3 3 2 7 5" xfId="13252"/>
    <cellStyle name="Labels - Style3 3 2 7 6" xfId="13251"/>
    <cellStyle name="Labels - Style3 3 2 7 7" xfId="13250"/>
    <cellStyle name="Labels - Style3 3 2 8" xfId="13249"/>
    <cellStyle name="Labels - Style3 3 2 8 2" xfId="13248"/>
    <cellStyle name="Labels - Style3 3 2 8 3" xfId="13247"/>
    <cellStyle name="Labels - Style3 3 2 8 4" xfId="13246"/>
    <cellStyle name="Labels - Style3 3 2 8 5" xfId="13245"/>
    <cellStyle name="Labels - Style3 3 2 8 6" xfId="13244"/>
    <cellStyle name="Labels - Style3 3 2 8 7" xfId="13243"/>
    <cellStyle name="Labels - Style3 3 2 9" xfId="13242"/>
    <cellStyle name="Labels - Style3 3 3" xfId="13241"/>
    <cellStyle name="Labels - Style3 3 3 2" xfId="13240"/>
    <cellStyle name="Labels - Style3 3 3 3" xfId="13239"/>
    <cellStyle name="Labels - Style3 3 3 4" xfId="13238"/>
    <cellStyle name="Labels - Style3 3 3 5" xfId="13237"/>
    <cellStyle name="Labels - Style3 3 3 6" xfId="13236"/>
    <cellStyle name="Labels - Style3 3 3 7" xfId="13235"/>
    <cellStyle name="Labels - Style3 3 4" xfId="13234"/>
    <cellStyle name="Labels - Style3 3 4 2" xfId="13233"/>
    <cellStyle name="Labels - Style3 3 4 3" xfId="13232"/>
    <cellStyle name="Labels - Style3 3 4 4" xfId="13231"/>
    <cellStyle name="Labels - Style3 3 4 5" xfId="13230"/>
    <cellStyle name="Labels - Style3 3 4 6" xfId="13229"/>
    <cellStyle name="Labels - Style3 3 4 7" xfId="13228"/>
    <cellStyle name="Labels - Style3 3 5" xfId="13227"/>
    <cellStyle name="Labels - Style3 3 5 2" xfId="13226"/>
    <cellStyle name="Labels - Style3 3 5 3" xfId="13225"/>
    <cellStyle name="Labels - Style3 3 5 4" xfId="13224"/>
    <cellStyle name="Labels - Style3 3 5 5" xfId="13223"/>
    <cellStyle name="Labels - Style3 3 5 6" xfId="13222"/>
    <cellStyle name="Labels - Style3 3 5 7" xfId="13221"/>
    <cellStyle name="Labels - Style3 3 6" xfId="13220"/>
    <cellStyle name="Labels - Style3 3 6 2" xfId="13219"/>
    <cellStyle name="Labels - Style3 3 6 3" xfId="13218"/>
    <cellStyle name="Labels - Style3 3 6 4" xfId="13217"/>
    <cellStyle name="Labels - Style3 3 6 5" xfId="13216"/>
    <cellStyle name="Labels - Style3 3 6 6" xfId="13215"/>
    <cellStyle name="Labels - Style3 3 6 7" xfId="13214"/>
    <cellStyle name="Labels - Style3 3 7" xfId="13213"/>
    <cellStyle name="Labels - Style3 3 7 2" xfId="13212"/>
    <cellStyle name="Labels - Style3 3 7 3" xfId="13211"/>
    <cellStyle name="Labels - Style3 3 7 4" xfId="13210"/>
    <cellStyle name="Labels - Style3 3 7 5" xfId="13209"/>
    <cellStyle name="Labels - Style3 3 7 6" xfId="13208"/>
    <cellStyle name="Labels - Style3 3 7 7" xfId="13207"/>
    <cellStyle name="Labels - Style3 3 8" xfId="13206"/>
    <cellStyle name="Labels - Style3 3 8 2" xfId="13205"/>
    <cellStyle name="Labels - Style3 3 8 3" xfId="13204"/>
    <cellStyle name="Labels - Style3 3 8 4" xfId="13203"/>
    <cellStyle name="Labels - Style3 3 8 5" xfId="13202"/>
    <cellStyle name="Labels - Style3 3 8 6" xfId="13201"/>
    <cellStyle name="Labels - Style3 3 8 7" xfId="13200"/>
    <cellStyle name="Labels - Style3 3 9" xfId="13199"/>
    <cellStyle name="Labels - Style3 3 9 2" xfId="13198"/>
    <cellStyle name="Labels - Style3 3 9 3" xfId="13197"/>
    <cellStyle name="Labels - Style3 3 9 4" xfId="13196"/>
    <cellStyle name="Labels - Style3 3 9 5" xfId="13195"/>
    <cellStyle name="Labels - Style3 3 9 6" xfId="13194"/>
    <cellStyle name="Labels - Style3 3 9 7" xfId="13193"/>
    <cellStyle name="Labels - Style3 4" xfId="13192"/>
    <cellStyle name="Labels - Style3 4 10" xfId="13191"/>
    <cellStyle name="Labels - Style3 4 11" xfId="13190"/>
    <cellStyle name="Labels - Style3 4 12" xfId="13189"/>
    <cellStyle name="Labels - Style3 4 13" xfId="13188"/>
    <cellStyle name="Labels - Style3 4 14" xfId="13187"/>
    <cellStyle name="Labels - Style3 4 2" xfId="13186"/>
    <cellStyle name="Labels - Style3 4 2 2" xfId="13185"/>
    <cellStyle name="Labels - Style3 4 2 2 2" xfId="13184"/>
    <cellStyle name="Labels - Style3 4 2 3" xfId="13183"/>
    <cellStyle name="Labels - Style3 4 2 4" xfId="13182"/>
    <cellStyle name="Labels - Style3 4 2 5" xfId="13181"/>
    <cellStyle name="Labels - Style3 4 2 6" xfId="13180"/>
    <cellStyle name="Labels - Style3 4 2 7" xfId="13179"/>
    <cellStyle name="Labels - Style3 4 3" xfId="13178"/>
    <cellStyle name="Labels - Style3 4 3 2" xfId="13177"/>
    <cellStyle name="Labels - Style3 4 3 3" xfId="13176"/>
    <cellStyle name="Labels - Style3 4 3 4" xfId="13175"/>
    <cellStyle name="Labels - Style3 4 3 5" xfId="13174"/>
    <cellStyle name="Labels - Style3 4 3 6" xfId="13173"/>
    <cellStyle name="Labels - Style3 4 3 7" xfId="13172"/>
    <cellStyle name="Labels - Style3 4 4" xfId="13171"/>
    <cellStyle name="Labels - Style3 4 4 2" xfId="13170"/>
    <cellStyle name="Labels - Style3 4 4 3" xfId="13169"/>
    <cellStyle name="Labels - Style3 4 4 4" xfId="13168"/>
    <cellStyle name="Labels - Style3 4 4 5" xfId="13167"/>
    <cellStyle name="Labels - Style3 4 4 6" xfId="13166"/>
    <cellStyle name="Labels - Style3 4 4 7" xfId="13165"/>
    <cellStyle name="Labels - Style3 4 5" xfId="13164"/>
    <cellStyle name="Labels - Style3 4 5 2" xfId="13163"/>
    <cellStyle name="Labels - Style3 4 5 3" xfId="13162"/>
    <cellStyle name="Labels - Style3 4 5 4" xfId="13161"/>
    <cellStyle name="Labels - Style3 4 5 5" xfId="13160"/>
    <cellStyle name="Labels - Style3 4 5 6" xfId="13159"/>
    <cellStyle name="Labels - Style3 4 5 7" xfId="13158"/>
    <cellStyle name="Labels - Style3 4 6" xfId="13157"/>
    <cellStyle name="Labels - Style3 4 6 2" xfId="13156"/>
    <cellStyle name="Labels - Style3 4 6 3" xfId="13155"/>
    <cellStyle name="Labels - Style3 4 6 4" xfId="13154"/>
    <cellStyle name="Labels - Style3 4 6 5" xfId="13153"/>
    <cellStyle name="Labels - Style3 4 6 6" xfId="13152"/>
    <cellStyle name="Labels - Style3 4 6 7" xfId="13151"/>
    <cellStyle name="Labels - Style3 4 7" xfId="13150"/>
    <cellStyle name="Labels - Style3 4 7 2" xfId="13149"/>
    <cellStyle name="Labels - Style3 4 7 3" xfId="13148"/>
    <cellStyle name="Labels - Style3 4 7 4" xfId="13147"/>
    <cellStyle name="Labels - Style3 4 7 5" xfId="13146"/>
    <cellStyle name="Labels - Style3 4 7 6" xfId="13145"/>
    <cellStyle name="Labels - Style3 4 7 7" xfId="13144"/>
    <cellStyle name="Labels - Style3 4 8" xfId="13143"/>
    <cellStyle name="Labels - Style3 4 8 2" xfId="13142"/>
    <cellStyle name="Labels - Style3 4 8 3" xfId="13141"/>
    <cellStyle name="Labels - Style3 4 8 4" xfId="13140"/>
    <cellStyle name="Labels - Style3 4 8 5" xfId="13139"/>
    <cellStyle name="Labels - Style3 4 8 6" xfId="13138"/>
    <cellStyle name="Labels - Style3 4 8 7" xfId="13137"/>
    <cellStyle name="Labels - Style3 4 9" xfId="13136"/>
    <cellStyle name="Labels - Style3 5" xfId="13135"/>
    <cellStyle name="Labels - Style3 5 10" xfId="13134"/>
    <cellStyle name="Labels - Style3 5 2" xfId="13133"/>
    <cellStyle name="Labels - Style3 5 2 2" xfId="13132"/>
    <cellStyle name="Labels - Style3 5 2 2 2" xfId="13131"/>
    <cellStyle name="Labels - Style3 5 2 3" xfId="13130"/>
    <cellStyle name="Labels - Style3 5 3" xfId="13129"/>
    <cellStyle name="Labels - Style3 5 3 2" xfId="13128"/>
    <cellStyle name="Labels - Style3 5 4" xfId="13127"/>
    <cellStyle name="Labels - Style3 5 5" xfId="13126"/>
    <cellStyle name="Labels - Style3 5 6" xfId="13125"/>
    <cellStyle name="Labels - Style3 5 7" xfId="13124"/>
    <cellStyle name="Labels - Style3 5 8" xfId="13123"/>
    <cellStyle name="Labels - Style3 5 9" xfId="13122"/>
    <cellStyle name="Labels - Style3 6" xfId="13121"/>
    <cellStyle name="Labels - Style3 6 10" xfId="13120"/>
    <cellStyle name="Labels - Style3 6 2" xfId="13119"/>
    <cellStyle name="Labels - Style3 6 2 2" xfId="13118"/>
    <cellStyle name="Labels - Style3 6 2 2 2" xfId="13117"/>
    <cellStyle name="Labels - Style3 6 2 3" xfId="13116"/>
    <cellStyle name="Labels - Style3 6 3" xfId="13115"/>
    <cellStyle name="Labels - Style3 6 3 2" xfId="13114"/>
    <cellStyle name="Labels - Style3 6 4" xfId="13113"/>
    <cellStyle name="Labels - Style3 6 5" xfId="13112"/>
    <cellStyle name="Labels - Style3 6 6" xfId="13111"/>
    <cellStyle name="Labels - Style3 6 7" xfId="13110"/>
    <cellStyle name="Labels - Style3 6 8" xfId="13109"/>
    <cellStyle name="Labels - Style3 6 9" xfId="13108"/>
    <cellStyle name="Labels - Style3 7" xfId="13107"/>
    <cellStyle name="Labels - Style3 7 10" xfId="13106"/>
    <cellStyle name="Labels - Style3 7 2" xfId="13105"/>
    <cellStyle name="Labels - Style3 7 2 2" xfId="13104"/>
    <cellStyle name="Labels - Style3 7 2 2 2" xfId="13103"/>
    <cellStyle name="Labels - Style3 7 2 3" xfId="13102"/>
    <cellStyle name="Labels - Style3 7 3" xfId="13101"/>
    <cellStyle name="Labels - Style3 7 3 2" xfId="13100"/>
    <cellStyle name="Labels - Style3 7 4" xfId="13099"/>
    <cellStyle name="Labels - Style3 7 5" xfId="13098"/>
    <cellStyle name="Labels - Style3 7 6" xfId="13097"/>
    <cellStyle name="Labels - Style3 7 7" xfId="13096"/>
    <cellStyle name="Labels - Style3 7 8" xfId="13095"/>
    <cellStyle name="Labels - Style3 7 9" xfId="13094"/>
    <cellStyle name="Labels - Style3 8" xfId="13093"/>
    <cellStyle name="Labels - Style3 8 10" xfId="13092"/>
    <cellStyle name="Labels - Style3 8 2" xfId="13091"/>
    <cellStyle name="Labels - Style3 8 2 2" xfId="13090"/>
    <cellStyle name="Labels - Style3 8 2 2 2" xfId="13089"/>
    <cellStyle name="Labels - Style3 8 2 3" xfId="13088"/>
    <cellStyle name="Labels - Style3 8 3" xfId="13087"/>
    <cellStyle name="Labels - Style3 8 3 2" xfId="13086"/>
    <cellStyle name="Labels - Style3 8 4" xfId="13085"/>
    <cellStyle name="Labels - Style3 8 5" xfId="13084"/>
    <cellStyle name="Labels - Style3 8 6" xfId="13083"/>
    <cellStyle name="Labels - Style3 8 7" xfId="13082"/>
    <cellStyle name="Labels - Style3 8 8" xfId="13081"/>
    <cellStyle name="Labels - Style3 8 9" xfId="13080"/>
    <cellStyle name="Labels - Style3 9" xfId="13079"/>
    <cellStyle name="Labels - Style3 9 10" xfId="13078"/>
    <cellStyle name="Labels - Style3 9 2" xfId="13077"/>
    <cellStyle name="Labels - Style3 9 2 2" xfId="13076"/>
    <cellStyle name="Labels - Style3 9 2 2 2" xfId="13075"/>
    <cellStyle name="Labels - Style3 9 2 3" xfId="13074"/>
    <cellStyle name="Labels - Style3 9 3" xfId="13073"/>
    <cellStyle name="Labels - Style3 9 3 2" xfId="13072"/>
    <cellStyle name="Labels - Style3 9 4" xfId="13071"/>
    <cellStyle name="Labels - Style3 9 5" xfId="13070"/>
    <cellStyle name="Labels - Style3 9 6" xfId="13069"/>
    <cellStyle name="Labels - Style3 9 7" xfId="13068"/>
    <cellStyle name="Labels - Style3 9 8" xfId="13067"/>
    <cellStyle name="Labels - Style3 9 9" xfId="13066"/>
    <cellStyle name="Labels - 유형3" xfId="13065"/>
    <cellStyle name="Labels - 유형3 10" xfId="13064"/>
    <cellStyle name="Labels - 유형3 10 2" xfId="13063"/>
    <cellStyle name="Labels - 유형3 11" xfId="13062"/>
    <cellStyle name="Labels - 유형3 2" xfId="13061"/>
    <cellStyle name="Labels - 유형3 2 2" xfId="13060"/>
    <cellStyle name="Labels - 유형3 2 2 2" xfId="13059"/>
    <cellStyle name="Labels - 유형3 2 2 2 2" xfId="13058"/>
    <cellStyle name="Labels - 유형3 2 2 3" xfId="13057"/>
    <cellStyle name="Labels - 유형3 2 3" xfId="13056"/>
    <cellStyle name="Labels - 유형3 2 3 2" xfId="13055"/>
    <cellStyle name="Labels - 유형3 2 4" xfId="13054"/>
    <cellStyle name="Labels - 유형3 3" xfId="13053"/>
    <cellStyle name="Labels - 유형3 3 2" xfId="13052"/>
    <cellStyle name="Labels - 유형3 3 2 2" xfId="13051"/>
    <cellStyle name="Labels - 유형3 3 2 2 2" xfId="13050"/>
    <cellStyle name="Labels - 유형3 3 2 3" xfId="13049"/>
    <cellStyle name="Labels - 유형3 3 3" xfId="13048"/>
    <cellStyle name="Labels - 유형3 3 3 2" xfId="13047"/>
    <cellStyle name="Labels - 유형3 3 4" xfId="13046"/>
    <cellStyle name="Labels - 유형3 4" xfId="13045"/>
    <cellStyle name="Labels - 유형3 4 2" xfId="13044"/>
    <cellStyle name="Labels - 유형3 4 2 2" xfId="13043"/>
    <cellStyle name="Labels - 유형3 4 2 2 2" xfId="13042"/>
    <cellStyle name="Labels - 유형3 4 2 3" xfId="13041"/>
    <cellStyle name="Labels - 유형3 4 3" xfId="13040"/>
    <cellStyle name="Labels - 유형3 4 3 2" xfId="13039"/>
    <cellStyle name="Labels - 유형3 4 4" xfId="13038"/>
    <cellStyle name="Labels - 유형3 5" xfId="13037"/>
    <cellStyle name="Labels - 유형3 5 2" xfId="13036"/>
    <cellStyle name="Labels - 유형3 5 2 2" xfId="13035"/>
    <cellStyle name="Labels - 유형3 5 2 2 2" xfId="13034"/>
    <cellStyle name="Labels - 유형3 5 2 3" xfId="13033"/>
    <cellStyle name="Labels - 유형3 5 3" xfId="13032"/>
    <cellStyle name="Labels - 유형3 5 3 2" xfId="13031"/>
    <cellStyle name="Labels - 유형3 5 4" xfId="13030"/>
    <cellStyle name="Labels - 유형3 6" xfId="13029"/>
    <cellStyle name="Labels - 유형3 6 2" xfId="13028"/>
    <cellStyle name="Labels - 유형3 6 2 2" xfId="13027"/>
    <cellStyle name="Labels - 유형3 6 2 2 2" xfId="13026"/>
    <cellStyle name="Labels - 유형3 6 2 3" xfId="13025"/>
    <cellStyle name="Labels - 유형3 6 3" xfId="13024"/>
    <cellStyle name="Labels - 유형3 6 3 2" xfId="13023"/>
    <cellStyle name="Labels - 유형3 6 4" xfId="13022"/>
    <cellStyle name="Labels - 유형3 7" xfId="13021"/>
    <cellStyle name="Labels - 유형3 7 2" xfId="13020"/>
    <cellStyle name="Labels - 유형3 7 2 2" xfId="13019"/>
    <cellStyle name="Labels - 유형3 7 2 2 2" xfId="13018"/>
    <cellStyle name="Labels - 유형3 7 2 3" xfId="13017"/>
    <cellStyle name="Labels - 유형3 7 3" xfId="13016"/>
    <cellStyle name="Labels - 유형3 7 3 2" xfId="13015"/>
    <cellStyle name="Labels - 유형3 7 4" xfId="13014"/>
    <cellStyle name="Labels - 유형3 8" xfId="13013"/>
    <cellStyle name="Labels - 유형3 8 2" xfId="13012"/>
    <cellStyle name="Labels - 유형3 8 2 2" xfId="13011"/>
    <cellStyle name="Labels - 유형3 8 2 2 2" xfId="13010"/>
    <cellStyle name="Labels - 유형3 8 2 3" xfId="13009"/>
    <cellStyle name="Labels - 유형3 8 3" xfId="13008"/>
    <cellStyle name="Labels - 유형3 8 3 2" xfId="13007"/>
    <cellStyle name="Labels - 유형3 8 4" xfId="13006"/>
    <cellStyle name="Labels - 유형3 9" xfId="13005"/>
    <cellStyle name="Labels - 유형3 9 2" xfId="13004"/>
    <cellStyle name="Labels - 유형3 9 2 2" xfId="13003"/>
    <cellStyle name="Labels - 유형3 9 3" xfId="13002"/>
    <cellStyle name="Labels 10" xfId="13001"/>
    <cellStyle name="Labels 10 2" xfId="13000"/>
    <cellStyle name="Labels 10 3" xfId="12999"/>
    <cellStyle name="Labels 10 4" xfId="12998"/>
    <cellStyle name="Labels 10 5" xfId="12997"/>
    <cellStyle name="Labels 10 6" xfId="12996"/>
    <cellStyle name="Labels 10 7" xfId="12995"/>
    <cellStyle name="Labels 11" xfId="12994"/>
    <cellStyle name="Labels 11 2" xfId="12993"/>
    <cellStyle name="Labels 11 3" xfId="12992"/>
    <cellStyle name="Labels 11 4" xfId="12991"/>
    <cellStyle name="Labels 11 5" xfId="12990"/>
    <cellStyle name="Labels 11 6" xfId="12989"/>
    <cellStyle name="Labels 11 7" xfId="12988"/>
    <cellStyle name="Labels 12" xfId="12987"/>
    <cellStyle name="Labels 13" xfId="12986"/>
    <cellStyle name="Labels 14" xfId="12985"/>
    <cellStyle name="Labels 15" xfId="12984"/>
    <cellStyle name="Labels 16" xfId="12983"/>
    <cellStyle name="Labels 17" xfId="12982"/>
    <cellStyle name="Labels 18" xfId="12981"/>
    <cellStyle name="Labels 2" xfId="12980"/>
    <cellStyle name="Labels 2 10" xfId="12979"/>
    <cellStyle name="Labels 2 11" xfId="12978"/>
    <cellStyle name="Labels 2 12" xfId="12977"/>
    <cellStyle name="Labels 2 13" xfId="12976"/>
    <cellStyle name="Labels 2 14" xfId="12975"/>
    <cellStyle name="Labels 2 15" xfId="12974"/>
    <cellStyle name="Labels 2 2" xfId="12973"/>
    <cellStyle name="Labels 2 2 10" xfId="12972"/>
    <cellStyle name="Labels 2 2 11" xfId="12971"/>
    <cellStyle name="Labels 2 2 12" xfId="12970"/>
    <cellStyle name="Labels 2 2 13" xfId="12969"/>
    <cellStyle name="Labels 2 2 14" xfId="12968"/>
    <cellStyle name="Labels 2 2 2" xfId="12967"/>
    <cellStyle name="Labels 2 2 2 2" xfId="12966"/>
    <cellStyle name="Labels 2 2 2 3" xfId="12965"/>
    <cellStyle name="Labels 2 2 2 4" xfId="12964"/>
    <cellStyle name="Labels 2 2 2 5" xfId="12963"/>
    <cellStyle name="Labels 2 2 2 6" xfId="12962"/>
    <cellStyle name="Labels 2 2 2 7" xfId="12961"/>
    <cellStyle name="Labels 2 2 3" xfId="12960"/>
    <cellStyle name="Labels 2 2 3 2" xfId="12959"/>
    <cellStyle name="Labels 2 2 3 3" xfId="12958"/>
    <cellStyle name="Labels 2 2 3 4" xfId="12957"/>
    <cellStyle name="Labels 2 2 3 5" xfId="12956"/>
    <cellStyle name="Labels 2 2 3 6" xfId="12955"/>
    <cellStyle name="Labels 2 2 3 7" xfId="12954"/>
    <cellStyle name="Labels 2 2 4" xfId="12953"/>
    <cellStyle name="Labels 2 2 4 2" xfId="12952"/>
    <cellStyle name="Labels 2 2 4 3" xfId="12951"/>
    <cellStyle name="Labels 2 2 4 4" xfId="12950"/>
    <cellStyle name="Labels 2 2 4 5" xfId="12949"/>
    <cellStyle name="Labels 2 2 4 6" xfId="12948"/>
    <cellStyle name="Labels 2 2 4 7" xfId="12947"/>
    <cellStyle name="Labels 2 2 5" xfId="12946"/>
    <cellStyle name="Labels 2 2 5 2" xfId="12945"/>
    <cellStyle name="Labels 2 2 5 3" xfId="12944"/>
    <cellStyle name="Labels 2 2 5 4" xfId="12943"/>
    <cellStyle name="Labels 2 2 5 5" xfId="12942"/>
    <cellStyle name="Labels 2 2 5 6" xfId="12941"/>
    <cellStyle name="Labels 2 2 5 7" xfId="12940"/>
    <cellStyle name="Labels 2 2 6" xfId="12939"/>
    <cellStyle name="Labels 2 2 6 2" xfId="12938"/>
    <cellStyle name="Labels 2 2 6 3" xfId="12937"/>
    <cellStyle name="Labels 2 2 6 4" xfId="12936"/>
    <cellStyle name="Labels 2 2 6 5" xfId="12935"/>
    <cellStyle name="Labels 2 2 6 6" xfId="12934"/>
    <cellStyle name="Labels 2 2 6 7" xfId="12933"/>
    <cellStyle name="Labels 2 2 7" xfId="12932"/>
    <cellStyle name="Labels 2 2 7 2" xfId="12931"/>
    <cellStyle name="Labels 2 2 7 3" xfId="12930"/>
    <cellStyle name="Labels 2 2 7 4" xfId="12929"/>
    <cellStyle name="Labels 2 2 7 5" xfId="12928"/>
    <cellStyle name="Labels 2 2 7 6" xfId="12927"/>
    <cellStyle name="Labels 2 2 7 7" xfId="12926"/>
    <cellStyle name="Labels 2 2 8" xfId="12925"/>
    <cellStyle name="Labels 2 2 8 2" xfId="12924"/>
    <cellStyle name="Labels 2 2 8 3" xfId="12923"/>
    <cellStyle name="Labels 2 2 8 4" xfId="12922"/>
    <cellStyle name="Labels 2 2 8 5" xfId="12921"/>
    <cellStyle name="Labels 2 2 8 6" xfId="12920"/>
    <cellStyle name="Labels 2 2 8 7" xfId="12919"/>
    <cellStyle name="Labels 2 2 9" xfId="12918"/>
    <cellStyle name="Labels 2 3" xfId="12917"/>
    <cellStyle name="Labels 2 3 2" xfId="12916"/>
    <cellStyle name="Labels 2 3 3" xfId="12915"/>
    <cellStyle name="Labels 2 3 4" xfId="12914"/>
    <cellStyle name="Labels 2 3 5" xfId="12913"/>
    <cellStyle name="Labels 2 3 6" xfId="12912"/>
    <cellStyle name="Labels 2 3 7" xfId="12911"/>
    <cellStyle name="Labels 2 4" xfId="12910"/>
    <cellStyle name="Labels 2 4 2" xfId="12909"/>
    <cellStyle name="Labels 2 4 3" xfId="12908"/>
    <cellStyle name="Labels 2 4 4" xfId="12907"/>
    <cellStyle name="Labels 2 4 5" xfId="12906"/>
    <cellStyle name="Labels 2 4 6" xfId="12905"/>
    <cellStyle name="Labels 2 4 7" xfId="12904"/>
    <cellStyle name="Labels 2 5" xfId="12903"/>
    <cellStyle name="Labels 2 5 2" xfId="12902"/>
    <cellStyle name="Labels 2 5 3" xfId="12901"/>
    <cellStyle name="Labels 2 5 4" xfId="12900"/>
    <cellStyle name="Labels 2 5 5" xfId="12899"/>
    <cellStyle name="Labels 2 5 6" xfId="12898"/>
    <cellStyle name="Labels 2 5 7" xfId="12897"/>
    <cellStyle name="Labels 2 6" xfId="12896"/>
    <cellStyle name="Labels 2 6 2" xfId="12895"/>
    <cellStyle name="Labels 2 6 3" xfId="12894"/>
    <cellStyle name="Labels 2 6 4" xfId="12893"/>
    <cellStyle name="Labels 2 6 5" xfId="12892"/>
    <cellStyle name="Labels 2 6 6" xfId="12891"/>
    <cellStyle name="Labels 2 6 7" xfId="12890"/>
    <cellStyle name="Labels 2 7" xfId="12889"/>
    <cellStyle name="Labels 2 7 2" xfId="12888"/>
    <cellStyle name="Labels 2 7 3" xfId="12887"/>
    <cellStyle name="Labels 2 7 4" xfId="12886"/>
    <cellStyle name="Labels 2 7 5" xfId="12885"/>
    <cellStyle name="Labels 2 7 6" xfId="12884"/>
    <cellStyle name="Labels 2 7 7" xfId="12883"/>
    <cellStyle name="Labels 2 8" xfId="12882"/>
    <cellStyle name="Labels 2 8 2" xfId="12881"/>
    <cellStyle name="Labels 2 8 3" xfId="12880"/>
    <cellStyle name="Labels 2 8 4" xfId="12879"/>
    <cellStyle name="Labels 2 8 5" xfId="12878"/>
    <cellStyle name="Labels 2 8 6" xfId="12877"/>
    <cellStyle name="Labels 2 8 7" xfId="12876"/>
    <cellStyle name="Labels 2 9" xfId="12875"/>
    <cellStyle name="Labels 2 9 2" xfId="12874"/>
    <cellStyle name="Labels 2 9 3" xfId="12873"/>
    <cellStyle name="Labels 2 9 4" xfId="12872"/>
    <cellStyle name="Labels 2 9 5" xfId="12871"/>
    <cellStyle name="Labels 2 9 6" xfId="12870"/>
    <cellStyle name="Labels 2 9 7" xfId="12869"/>
    <cellStyle name="Labels 3" xfId="12868"/>
    <cellStyle name="Labels 3 10" xfId="12867"/>
    <cellStyle name="Labels 3 11" xfId="12866"/>
    <cellStyle name="Labels 3 12" xfId="12865"/>
    <cellStyle name="Labels 3 13" xfId="12864"/>
    <cellStyle name="Labels 3 14" xfId="12863"/>
    <cellStyle name="Labels 3 2" xfId="12862"/>
    <cellStyle name="Labels 3 2 2" xfId="12861"/>
    <cellStyle name="Labels 3 2 3" xfId="12860"/>
    <cellStyle name="Labels 3 2 4" xfId="12859"/>
    <cellStyle name="Labels 3 2 5" xfId="12858"/>
    <cellStyle name="Labels 3 2 6" xfId="12857"/>
    <cellStyle name="Labels 3 2 7" xfId="12856"/>
    <cellStyle name="Labels 3 3" xfId="12855"/>
    <cellStyle name="Labels 3 3 2" xfId="12854"/>
    <cellStyle name="Labels 3 3 3" xfId="12853"/>
    <cellStyle name="Labels 3 3 4" xfId="12852"/>
    <cellStyle name="Labels 3 3 5" xfId="12851"/>
    <cellStyle name="Labels 3 3 6" xfId="12850"/>
    <cellStyle name="Labels 3 3 7" xfId="12849"/>
    <cellStyle name="Labels 3 4" xfId="12848"/>
    <cellStyle name="Labels 3 4 2" xfId="12847"/>
    <cellStyle name="Labels 3 4 3" xfId="12846"/>
    <cellStyle name="Labels 3 4 4" xfId="12845"/>
    <cellStyle name="Labels 3 4 5" xfId="12844"/>
    <cellStyle name="Labels 3 4 6" xfId="12843"/>
    <cellStyle name="Labels 3 4 7" xfId="12842"/>
    <cellStyle name="Labels 3 5" xfId="12841"/>
    <cellStyle name="Labels 3 5 2" xfId="12840"/>
    <cellStyle name="Labels 3 5 3" xfId="12839"/>
    <cellStyle name="Labels 3 5 4" xfId="12838"/>
    <cellStyle name="Labels 3 5 5" xfId="12837"/>
    <cellStyle name="Labels 3 5 6" xfId="12836"/>
    <cellStyle name="Labels 3 5 7" xfId="12835"/>
    <cellStyle name="Labels 3 6" xfId="12834"/>
    <cellStyle name="Labels 3 6 2" xfId="12833"/>
    <cellStyle name="Labels 3 6 3" xfId="12832"/>
    <cellStyle name="Labels 3 6 4" xfId="12831"/>
    <cellStyle name="Labels 3 6 5" xfId="12830"/>
    <cellStyle name="Labels 3 6 6" xfId="12829"/>
    <cellStyle name="Labels 3 6 7" xfId="12828"/>
    <cellStyle name="Labels 3 7" xfId="12827"/>
    <cellStyle name="Labels 3 7 2" xfId="12826"/>
    <cellStyle name="Labels 3 7 3" xfId="12825"/>
    <cellStyle name="Labels 3 7 4" xfId="12824"/>
    <cellStyle name="Labels 3 7 5" xfId="12823"/>
    <cellStyle name="Labels 3 7 6" xfId="12822"/>
    <cellStyle name="Labels 3 7 7" xfId="12821"/>
    <cellStyle name="Labels 3 8" xfId="12820"/>
    <cellStyle name="Labels 3 8 2" xfId="12819"/>
    <cellStyle name="Labels 3 8 3" xfId="12818"/>
    <cellStyle name="Labels 3 8 4" xfId="12817"/>
    <cellStyle name="Labels 3 8 5" xfId="12816"/>
    <cellStyle name="Labels 3 8 6" xfId="12815"/>
    <cellStyle name="Labels 3 8 7" xfId="12814"/>
    <cellStyle name="Labels 3 9" xfId="12813"/>
    <cellStyle name="Labels 4" xfId="12812"/>
    <cellStyle name="Labels 4 2" xfId="12811"/>
    <cellStyle name="Labels 4 3" xfId="12810"/>
    <cellStyle name="Labels 4 4" xfId="12809"/>
    <cellStyle name="Labels 4 5" xfId="12808"/>
    <cellStyle name="Labels 4 6" xfId="12807"/>
    <cellStyle name="Labels 4 7" xfId="12806"/>
    <cellStyle name="Labels 5" xfId="12805"/>
    <cellStyle name="Labels 5 2" xfId="12804"/>
    <cellStyle name="Labels 5 3" xfId="12803"/>
    <cellStyle name="Labels 5 4" xfId="12802"/>
    <cellStyle name="Labels 5 5" xfId="12801"/>
    <cellStyle name="Labels 5 6" xfId="12800"/>
    <cellStyle name="Labels 5 7" xfId="12799"/>
    <cellStyle name="Labels 6" xfId="12798"/>
    <cellStyle name="Labels 6 2" xfId="12797"/>
    <cellStyle name="Labels 6 3" xfId="12796"/>
    <cellStyle name="Labels 6 4" xfId="12795"/>
    <cellStyle name="Labels 6 5" xfId="12794"/>
    <cellStyle name="Labels 6 6" xfId="12793"/>
    <cellStyle name="Labels 6 7" xfId="12792"/>
    <cellStyle name="Labels 7" xfId="12791"/>
    <cellStyle name="Labels 7 2" xfId="12790"/>
    <cellStyle name="Labels 7 3" xfId="12789"/>
    <cellStyle name="Labels 7 4" xfId="12788"/>
    <cellStyle name="Labels 7 5" xfId="12787"/>
    <cellStyle name="Labels 7 6" xfId="12786"/>
    <cellStyle name="Labels 7 7" xfId="12785"/>
    <cellStyle name="Labels 8" xfId="12784"/>
    <cellStyle name="Labels 8 2" xfId="12783"/>
    <cellStyle name="Labels 8 3" xfId="12782"/>
    <cellStyle name="Labels 8 4" xfId="12781"/>
    <cellStyle name="Labels 8 5" xfId="12780"/>
    <cellStyle name="Labels 8 6" xfId="12779"/>
    <cellStyle name="Labels 8 7" xfId="12778"/>
    <cellStyle name="Labels 9" xfId="12777"/>
    <cellStyle name="Labels 9 2" xfId="12776"/>
    <cellStyle name="Labels 9 3" xfId="12775"/>
    <cellStyle name="Labels 9 4" xfId="12774"/>
    <cellStyle name="Labels 9 5" xfId="12773"/>
    <cellStyle name="Labels 9 6" xfId="12772"/>
    <cellStyle name="Labels 9 7" xfId="12771"/>
    <cellStyle name="lain-lain" xfId="12770"/>
    <cellStyle name="left" xfId="12769"/>
    <cellStyle name="Length" xfId="12768"/>
    <cellStyle name="Libre" xfId="12767"/>
    <cellStyle name="Lien hypertexte" xfId="12766"/>
    <cellStyle name="Lien hypertexte visité" xfId="12765"/>
    <cellStyle name="Lien hypertexte_Approval of Bonds Goup Directive 02_2003" xfId="12764"/>
    <cellStyle name="Link Currency (0)" xfId="12763"/>
    <cellStyle name="Link Currency (2)" xfId="12762"/>
    <cellStyle name="Link Units (0)" xfId="12761"/>
    <cellStyle name="Link Units (1)" xfId="12760"/>
    <cellStyle name="Link Units (1) 2" xfId="12759"/>
    <cellStyle name="Link Units (2)" xfId="12758"/>
    <cellStyle name="Linked Cell 2" xfId="12757"/>
    <cellStyle name="Linked Cell 2 2" xfId="12756"/>
    <cellStyle name="Linked Cell 2 2 2" xfId="12755"/>
    <cellStyle name="Linked Cell 2 2 2 2" xfId="12754"/>
    <cellStyle name="Linked Cell 2 2 2 2 2" xfId="12753"/>
    <cellStyle name="Linked Cell 2 2 2 3" xfId="12752"/>
    <cellStyle name="Linked Cell 2 2 3" xfId="12751"/>
    <cellStyle name="Linked Cell 2 2 3 2" xfId="12750"/>
    <cellStyle name="Linked Cell 2 2 3 2 2" xfId="12749"/>
    <cellStyle name="Linked Cell 2 2 3 3" xfId="12748"/>
    <cellStyle name="Linked Cell 2 2 4" xfId="12747"/>
    <cellStyle name="Linked Cell 2 2 4 2" xfId="12746"/>
    <cellStyle name="Linked Cell 2 2 4 2 2" xfId="12745"/>
    <cellStyle name="Linked Cell 2 2 4 3" xfId="12744"/>
    <cellStyle name="Linked Cell 2 2 5" xfId="12743"/>
    <cellStyle name="Linked Cell 2 2 5 2" xfId="12742"/>
    <cellStyle name="Linked Cell 2 2 6" xfId="12741"/>
    <cellStyle name="Linked Cell 2 3" xfId="12740"/>
    <cellStyle name="Linked Cell 2 3 2" xfId="12739"/>
    <cellStyle name="Linked Cell 2 4" xfId="12738"/>
    <cellStyle name="Linked Cell 3" xfId="12737"/>
    <cellStyle name="Linked Cell 3 2" xfId="12736"/>
    <cellStyle name="Linked Cell 3 2 2" xfId="12735"/>
    <cellStyle name="Linked Cell 3 2 2 2" xfId="12734"/>
    <cellStyle name="Linked Cell 3 2 3" xfId="12733"/>
    <cellStyle name="Linked Cell 3 3" xfId="12732"/>
    <cellStyle name="Linked Cell 3 3 2" xfId="12731"/>
    <cellStyle name="Linked Cell 3 4" xfId="12730"/>
    <cellStyle name="Linked Cell 4" xfId="12729"/>
    <cellStyle name="Linked Cell 4 2" xfId="12728"/>
    <cellStyle name="Linked Cell 4 2 2" xfId="12727"/>
    <cellStyle name="Linked Cell 4 2 2 2" xfId="12726"/>
    <cellStyle name="Linked Cell 4 2 3" xfId="12725"/>
    <cellStyle name="Linked Cell 4 3" xfId="12724"/>
    <cellStyle name="Linked Cell 4 3 2" xfId="12723"/>
    <cellStyle name="Linked Cell 4 4" xfId="12722"/>
    <cellStyle name="Linked Cell 5" xfId="12721"/>
    <cellStyle name="Linked Cell 5 2" xfId="12720"/>
    <cellStyle name="Linked Cell 5 2 2" xfId="12719"/>
    <cellStyle name="Linked Cell 5 2 2 2" xfId="12718"/>
    <cellStyle name="Linked Cell 5 2 3" xfId="12717"/>
    <cellStyle name="Linked Cell 5 3" xfId="12716"/>
    <cellStyle name="Linked Cell 5 3 2" xfId="12715"/>
    <cellStyle name="Linked Cell 5 4" xfId="12714"/>
    <cellStyle name="Linked Cell 6" xfId="12713"/>
    <cellStyle name="Linked Cell 6 2" xfId="12712"/>
    <cellStyle name="Linked Cell 6 2 2" xfId="12711"/>
    <cellStyle name="Linked Cell 6 2 2 2" xfId="12710"/>
    <cellStyle name="Linked Cell 6 2 3" xfId="12709"/>
    <cellStyle name="Linked Cell 6 3" xfId="12708"/>
    <cellStyle name="Linked Cell 6 3 2" xfId="12707"/>
    <cellStyle name="Linked Cell 6 4" xfId="12706"/>
    <cellStyle name="Linked Cell 7" xfId="12705"/>
    <cellStyle name="Linked Cell 7 2" xfId="12704"/>
    <cellStyle name="Linked Cell 7 2 2" xfId="12703"/>
    <cellStyle name="Linked Cell 7 2 2 2" xfId="12702"/>
    <cellStyle name="Linked Cell 7 2 3" xfId="12701"/>
    <cellStyle name="Linked Cell 7 3" xfId="12700"/>
    <cellStyle name="Linked Cell 7 3 2" xfId="12699"/>
    <cellStyle name="Linked Cell 7 4" xfId="12698"/>
    <cellStyle name="Linked Cell 8" xfId="12697"/>
    <cellStyle name="Linked Cell 8 2" xfId="12696"/>
    <cellStyle name="Linked Cell 8 2 2" xfId="12695"/>
    <cellStyle name="Linked Cell 8 2 2 2" xfId="12694"/>
    <cellStyle name="Linked Cell 8 2 3" xfId="12693"/>
    <cellStyle name="Linked Cell 8 3" xfId="12692"/>
    <cellStyle name="Linked Cell 8 3 2" xfId="12691"/>
    <cellStyle name="Linked Cell 8 4" xfId="12690"/>
    <cellStyle name="Linked Cell 9" xfId="12689"/>
    <cellStyle name="Linked Cells" xfId="12688"/>
    <cellStyle name="m" xfId="12687"/>
    <cellStyle name="m 2" xfId="12686"/>
    <cellStyle name="m 2 2" xfId="12685"/>
    <cellStyle name="m 3" xfId="12684"/>
    <cellStyle name="m 4" xfId="12683"/>
    <cellStyle name="m 4 2" xfId="12682"/>
    <cellStyle name="m_00 EE ARS HALL VOLI" xfId="12681"/>
    <cellStyle name="m_00 EE ARS HALL VOLI 2" xfId="12680"/>
    <cellStyle name="m_00 EE VOLLEY" xfId="12679"/>
    <cellStyle name="m_00 EE VOLLEY 2" xfId="12678"/>
    <cellStyle name="m_01.RC 3 Gdng STTD BQ 2" xfId="12677"/>
    <cellStyle name="m_01.RC 3 Gdng STTD BQ 2 2" xfId="12676"/>
    <cellStyle name="m_02 COAL HANDLING FACILITY (12 JUNI 2007)" xfId="12675"/>
    <cellStyle name="m_1.Bangunan Utama" xfId="12674"/>
    <cellStyle name="m_1.Bangunan Utama 2" xfId="12673"/>
    <cellStyle name="m_2.  BQ_PENDAHULUAN &amp; STRUKTUR_STTD_REDESIGN" xfId="12672"/>
    <cellStyle name="m_2.  BQ_PENDAHULUAN &amp; STRUKTUR_STTD_REDESIGN 2" xfId="12671"/>
    <cellStyle name="m_3.  BQ_ARSITEKTUR &amp; SIPIL_STTD_REDESIGN" xfId="12670"/>
    <cellStyle name="m_3.  BQ_ARSITEKTUR &amp; SIPIL_STTD_REDESIGN 2" xfId="12669"/>
    <cellStyle name="m_Addendum Bapelkes Batam TA. 2008" xfId="12668"/>
    <cellStyle name="m_Addendum Bapelkes Batam TA. 2008 2" xfId="12667"/>
    <cellStyle name="m_Alternatif#1_Semua Alexindo_Opt_123" xfId="12666"/>
    <cellStyle name="m_Alternatif#1_Semua Alexindo_Opt_123 2" xfId="12665"/>
    <cellStyle name="m_Analisa Harga Satuan RAB" xfId="12664"/>
    <cellStyle name="m_Analisa Harga Satuan RAB 2" xfId="12663"/>
    <cellStyle name="m_BILL of item GKI SULUNG SW" xfId="12662"/>
    <cellStyle name="m_Bill Of Quantity Robert Susanto Volum" xfId="12661"/>
    <cellStyle name="m_Bill Of Quantity Robert Susanto Volum 2" xfId="12660"/>
    <cellStyle name="m_BIOFARMA REKAP ARS" xfId="12659"/>
    <cellStyle name="m_Boq" xfId="12658"/>
    <cellStyle name="m_Boq 2" xfId="12657"/>
    <cellStyle name="m_Boq 2 2" xfId="12656"/>
    <cellStyle name="m_Boq 3" xfId="12655"/>
    <cellStyle name="m_Boq 3 2" xfId="12654"/>
    <cellStyle name="m_Boq 4" xfId="12653"/>
    <cellStyle name="M_BoQ- OIH  (R2)-PEMASUKAN PI ke2" xfId="12652"/>
    <cellStyle name="m_BOQ_MEP GRAMEDIA REV 28-05-07" xfId="12651"/>
    <cellStyle name="m_BOQ_MEP GRAMEDIA REV 28-05-07 2" xfId="12650"/>
    <cellStyle name="m_BOQ_MEP GRAMEDIA REV 28-05-07_GKI SULUNG" xfId="12649"/>
    <cellStyle name="m_BOQ_MEP GRAMEDIA REV 28-05-07_GKI SULUNG 2" xfId="12648"/>
    <cellStyle name="m_BOQ_MEP GRAMEDIA, 13-06-07" xfId="12647"/>
    <cellStyle name="m_BOQ_MEP GRAMEDIA, 13-06-07 2" xfId="12646"/>
    <cellStyle name="m_BOQ_MEP GRAMEDIA, 13-06-07_GKI SULUNG" xfId="12645"/>
    <cellStyle name="m_BOQ_MEP GRAMEDIA, 13-06-07_GKI SULUNG 2" xfId="12644"/>
    <cellStyle name="m_BQ - XL Bandung-R1" xfId="12643"/>
    <cellStyle name="m_BQ ACP ALUCOBOND ECO_OPT_RAPP_1" xfId="12642"/>
    <cellStyle name="m_BQ ACP ALUCOBOND ECO_OPT_RAPP_1 2" xfId="12641"/>
    <cellStyle name="m_BQ ACP ALUCOBOND ECO_OPT_RAPP_1_Realisasi Kontrak Kampar 31 agustus 2009" xfId="12640"/>
    <cellStyle name="m_BQ ACP ALUCOBOND ECO_OPT_RAPP_1_Realisasi Kontrak Kampar 31 agustus 2009 2" xfId="12639"/>
    <cellStyle name="m_BQ ALUM_ALT#1" xfId="12638"/>
    <cellStyle name="m_BQ ALUM_ALT#1 2" xfId="12637"/>
    <cellStyle name="m_BQ ALUMINIUM" xfId="12636"/>
    <cellStyle name="m_BQ ALUMINIUM 2" xfId="12635"/>
    <cellStyle name="m_BQ ALUMINIUM UI" xfId="12634"/>
    <cellStyle name="m_BQ ALUMINIUM UI 2" xfId="12633"/>
    <cellStyle name="m_BQ ALUMINIUM UI_Realisasi Kontrak Kampar 31 agustus 2009" xfId="12632"/>
    <cellStyle name="m_BQ ALUMINIUM UI_Realisasi Kontrak Kampar 31 agustus 2009 2" xfId="12631"/>
    <cellStyle name="m_BQ Alumn_BPK Bengkulu_3_Komplit" xfId="12630"/>
    <cellStyle name="m_BQ Alumn_BPK Bengkulu_3_Komplit 2" xfId="12629"/>
    <cellStyle name="m_BQ Facade Astra" xfId="12628"/>
    <cellStyle name="m_BQ FACADE_Rev#2" xfId="12627"/>
    <cellStyle name="m_BQ FACADE_Rev#2 2" xfId="12626"/>
    <cellStyle name="m_BQ FACADE_Rev#2_Realisasi Kontrak Kampar 31 agustus 2009" xfId="12625"/>
    <cellStyle name="m_BQ FACADE_Rev#2_Realisasi Kontrak Kampar 31 agustus 2009 2" xfId="12624"/>
    <cellStyle name="m_BQ FORMULA-CIKINI-JKT2" xfId="12623"/>
    <cellStyle name="m_BQ FORMULA-CIKINI-JKT2 2" xfId="12622"/>
    <cellStyle name="m_BQ FORMULA-CIKINI-JKT2_GKI SULUNG" xfId="12621"/>
    <cellStyle name="m_BQ FORMULA-CIKINI-JKT2_GKI SULUNG 2" xfId="12620"/>
    <cellStyle name="m_bq gor bangkinang" xfId="12619"/>
    <cellStyle name="m_bq gor bangkinang 2" xfId="12618"/>
    <cellStyle name="m_BQ KISI-KISI" xfId="12617"/>
    <cellStyle name="m_BQ KISI-KISI 2" xfId="12616"/>
    <cellStyle name="m_BQ KUSEN SMA PINTAR" xfId="12615"/>
    <cellStyle name="m_BQ KUSEN SMA PINTAR 2" xfId="12614"/>
    <cellStyle name="m_BQ KUSEN TANJUNG PIANNG_EMAIL(2)" xfId="12613"/>
    <cellStyle name="m_BQ KUSEN TANJUNG PIANNG_EMAIL(2) 2" xfId="12612"/>
    <cellStyle name="m_BQ PINTU DAN JENDELA" xfId="12611"/>
    <cellStyle name="m_BQ PINTU DAN JENDELA 2" xfId="12610"/>
    <cellStyle name="m_BQ_DOMPAK R4 (Kusen)rex.." xfId="12609"/>
    <cellStyle name="m_BQ_UGM (YKK)_Opt" xfId="12608"/>
    <cellStyle name="m_BQ_UGM (YKK)_Opt 2" xfId="12607"/>
    <cellStyle name="m_BQ_UGM (YKK)_Opt_Nego_2" xfId="12606"/>
    <cellStyle name="m_BQ_UGM (YKK)_Opt_Nego_2 2" xfId="12605"/>
    <cellStyle name="m_BQ-EE-MEP BI SMRD-R7 final ( M&amp;E)" xfId="12604"/>
    <cellStyle name="m_BQ-EE-MEP BI SMRD-R7 final ( M&amp;E) 2" xfId="12603"/>
    <cellStyle name="m_BQ-EE-MEP BI SMRD-R7 final ( M&amp;E) 3" xfId="12602"/>
    <cellStyle name="M_BQ-Kontrak Utama (5)-radja" xfId="12601"/>
    <cellStyle name="M_BQ-Kontrak Utama (5)-radja_BQ-Kontrak Utama (R)" xfId="12600"/>
    <cellStyle name="M_BQ-Kontrak Utama (5)-radja_BQ-Kontrak Utama (R)_BQ-Omni Wuryanto edit-KWD 10 Juli 2006 hendra" xfId="12599"/>
    <cellStyle name="M_BQ-Kontrak Utama (5)-radja_BQ-Kontrak Utama (R)_Copy of BQ-Kontrak Utama-KWrev1" xfId="12598"/>
    <cellStyle name="M_BQ-Kontrak Utama (5)-radja_BQ-Kontrak Utama (R)_MKU14July06" xfId="12597"/>
    <cellStyle name="M_BQ-Kontrak Utama (5)-radja_BQ-Omni Wuryanto edit-KWD 10 Juli 2006 hendra" xfId="12596"/>
    <cellStyle name="M_BQ-Kontrak Utama (5)-radja_Copy of BQ-Kontrak Utama-KWrev1" xfId="12595"/>
    <cellStyle name="M_BQ-Kontrak Utama (5)-radja_MKU14July06" xfId="12594"/>
    <cellStyle name="M_BQ-Kontrak Utama (5)-radja_REVISI ACHIR OMNI" xfId="12593"/>
    <cellStyle name="M_BQ-Kontrak Utama (R)" xfId="12592"/>
    <cellStyle name="M_BQ-Kontrak Utama (R)_BoQ- OIH  (R2)-PEMASUKAN PI ke2" xfId="12591"/>
    <cellStyle name="M_BQ-Kontrak Utama (R)_BQ-Omni Wuryanto edit-KWD 10 Juli 2006 hendra" xfId="12590"/>
    <cellStyle name="M_BQ-Kontrak Utama (R)_Copy of BQ-Kontrak Utama-KWrev1" xfId="12589"/>
    <cellStyle name="M_BQ-Kontrak Utama (R)_MKU14July06" xfId="12588"/>
    <cellStyle name="M_BQ-Kontrak Utama OMNI PEMASUKAN CHAIRUL" xfId="12587"/>
    <cellStyle name="M_BQ-Omni Wuryanto edit-KWD 10 Juli 2006 hendra" xfId="12586"/>
    <cellStyle name="m_BTL_Salemba_18_nop 2005  basement for prelim (version 2)" xfId="12585"/>
    <cellStyle name="m_BTL_Salemba_18_nop 2005  basement for prelim (version 2)_Analisa Bapelkes Full" xfId="12584"/>
    <cellStyle name="m_BTN batam - Email PP (Dona)" xfId="12583"/>
    <cellStyle name="m_BTN batam - Email PP (Dona) 2" xfId="12582"/>
    <cellStyle name="M_Copy of BOQ-SDF-CIVILARCHI-09JAN2007 fr unilev" xfId="12581"/>
    <cellStyle name="M_Copy of BQ-Kontrak Utama-KWrev1" xfId="12580"/>
    <cellStyle name="m_Dephan (YKPP)_Rev#31" xfId="12579"/>
    <cellStyle name="m_Dephan (YKPP)_Rev#31 2" xfId="12578"/>
    <cellStyle name="m_E-Proc_CW_Opt" xfId="12577"/>
    <cellStyle name="m_E-Proc_CW_Opt 2" xfId="12576"/>
    <cellStyle name="m_E-Proc_CW_Opt_Realisasi Kontrak Kampar 31 agustus 2009" xfId="12575"/>
    <cellStyle name="m_E-Proc_CW_Opt_Realisasi Kontrak Kampar 31 agustus 2009 2" xfId="12574"/>
    <cellStyle name="m_EVALUASI HARGA_OPT" xfId="12573"/>
    <cellStyle name="m_EVALUASI HARGA_OPT 2" xfId="12572"/>
    <cellStyle name="m_Finalisas Eminance" xfId="12571"/>
    <cellStyle name="m_FINALISASI BELLEZA" xfId="12570"/>
    <cellStyle name="m_FINALISASI bpk batam" xfId="12569"/>
    <cellStyle name="m_FINALISASI bpk batam 2" xfId="12568"/>
    <cellStyle name="m_FINALISASI DEP.DAGRI PP" xfId="12567"/>
    <cellStyle name="m_FINALISASI MARUDA" xfId="12566"/>
    <cellStyle name="m_FINALISASI MARUDA 2" xfId="12565"/>
    <cellStyle name="m_FINALISASI MARUDA 3" xfId="12564"/>
    <cellStyle name="m_format perhitungan VOLUME" xfId="12563"/>
    <cellStyle name="m_format perhitungan VOLUME 2" xfId="12562"/>
    <cellStyle name="m_Gaji Cyber 2" xfId="12561"/>
    <cellStyle name="m_Gaji Cyber 2 2" xfId="12560"/>
    <cellStyle name="m_GEDUNG F" xfId="12559"/>
    <cellStyle name="m_KONTRAK KAMPAR" xfId="12558"/>
    <cellStyle name="m_KONTRAK KAMPAR 2" xfId="12557"/>
    <cellStyle name="m_Loc_01 SDN Bukit Antara Module C-F 200707 " xfId="12556"/>
    <cellStyle name="m_Loc_43 SDN Ujung Padang Rev B Mdl G1-E-M 071205" xfId="12555"/>
    <cellStyle name="M_MKU14July06" xfId="12554"/>
    <cellStyle name="m_Penawaran harga rumah DPR_Revisi#3_Opt" xfId="12553"/>
    <cellStyle name="m_Penawaran harga rumah DPR_Revisi#3_Opt_Realisasi Kontrak Kampar 31 agustus 2009" xfId="12552"/>
    <cellStyle name="M_Perkiraan biaya RS OMNI KAPI Elektrikal + Summary" xfId="12551"/>
    <cellStyle name="M_Perkiraan biaya RS OMNI KAPI Mekanikal" xfId="12550"/>
    <cellStyle name="m_Plafond.RAPP" xfId="12549"/>
    <cellStyle name="m_Plafond.RAPP_Realisasi Kontrak Kampar 31 agustus 2009" xfId="12548"/>
    <cellStyle name="m_Plumbing normal" xfId="12547"/>
    <cellStyle name="m_RAB ANNEX- R7F(THP1) PENAWARAN" xfId="12546"/>
    <cellStyle name="m_RAB ANNEX- R7F(THP1) PENAWARAN 2" xfId="12545"/>
    <cellStyle name="m_RAB ANNEX- R7F(THP1) PENAWARAN OK" xfId="12544"/>
    <cellStyle name="m_RAB ANNEX- R7F(THP1) PENAWARAN OK 2" xfId="12543"/>
    <cellStyle name="m_rab batam" xfId="12542"/>
    <cellStyle name="m_rab batam 2" xfId="12541"/>
    <cellStyle name="m_RAB EE-ELEK BI SMRD" xfId="12540"/>
    <cellStyle name="m_RAB EE-ELEK BI SMRD 2" xfId="12539"/>
    <cellStyle name="m_RAB EE-ELEK BI SMRD 2 2" xfId="12538"/>
    <cellStyle name="m_RAB EE-ELEK BI SMRD 3" xfId="12537"/>
    <cellStyle name="m_RAB EE-ELEK BI SMRD 3 2" xfId="12536"/>
    <cellStyle name="m_RAB EE-ELEK BI SMRD 4" xfId="12535"/>
    <cellStyle name="m_RAB MEP SASA INTI" xfId="12534"/>
    <cellStyle name="m_RAB MEP SASA INTI juni 08" xfId="12533"/>
    <cellStyle name="m_rab mesjid raya" xfId="12532"/>
    <cellStyle name="m_rab mesjid raya 2" xfId="12531"/>
    <cellStyle name="m_RAB SR" xfId="12530"/>
    <cellStyle name="m_RAB SR 2" xfId="12529"/>
    <cellStyle name="m_RAB SR 2 2" xfId="12528"/>
    <cellStyle name="m_RAB SR 3" xfId="12527"/>
    <cellStyle name="m_RAB SR 3 2" xfId="12526"/>
    <cellStyle name="m_RAB SR 4" xfId="12525"/>
    <cellStyle name="m_RAB. STR &amp; ARS_SISA 8 GEDUNG &amp; SITE ( TAHAP 1 )" xfId="12524"/>
    <cellStyle name="m_RAB_CW+ACP+SKYLIGHT_1" xfId="12523"/>
    <cellStyle name="m_RAB_CW+ACP+SKYLIGHT_1 2" xfId="12522"/>
    <cellStyle name="m_RAB_Elektrikal_061208" xfId="12521"/>
    <cellStyle name="m_RAB_ELEKTRIKAL_30 MEI_2007_R1_CMJ K-5, PL.4 yang di pakai" xfId="12520"/>
    <cellStyle name="m_RAB_ELEKTRIKAL_30 MEI_2007_R1_CMJ K-5, PL.4 yang di pakai 2" xfId="12519"/>
    <cellStyle name="m_RAB_ELEKTRIKAL_30 MEI_2007_R1_CMJ K-5, PL.4 yang di pakai 2 2" xfId="12518"/>
    <cellStyle name="m_RAB_ELEKTRIKAL_30 MEI_2007_R1_CMJ K-5, PL.4 yang di pakai 3" xfId="12517"/>
    <cellStyle name="m_RAB_ELEKTRIKAL_30 MEI_2007_R1_CMJ K-5, PL.4 yang di pakai 3 2" xfId="12516"/>
    <cellStyle name="m_RAB_ELEKTRIKAL_30 MEI_2007_R1_CMJ K-5, PL.4 yang di pakai 4" xfId="12515"/>
    <cellStyle name="m_RAB-EL_bontang" xfId="12514"/>
    <cellStyle name="m_RC  TELKOM MEDAN HAN- INTERN 10-03-08" xfId="12513"/>
    <cellStyle name="m_rc 6 agus 081" xfId="12512"/>
    <cellStyle name="m_rc 6 agus 081 2" xfId="12511"/>
    <cellStyle name="m_RC Sahid Metropolitan R3" xfId="12510"/>
    <cellStyle name="m_RC Sahid Metropolitan R3 2" xfId="12509"/>
    <cellStyle name="M_REVISI ACHIR OMNI" xfId="12508"/>
    <cellStyle name="m_STRUKTUR" xfId="12507"/>
    <cellStyle name="m_STRUKTUR 2" xfId="12506"/>
    <cellStyle name="m_Syarif Kasim II cw + interior" xfId="12505"/>
    <cellStyle name="m_Syarif Kasim II cw + interior 2" xfId="12504"/>
    <cellStyle name="m_Syarif Kasim II cw + interior( breakdown )" xfId="12503"/>
    <cellStyle name="m_Syarif Kasim II cw + interior( breakdown ) 2" xfId="12502"/>
    <cellStyle name="m_WM - BOI  Electrical" xfId="12501"/>
    <cellStyle name="m_WM - BOI  Electrical 2" xfId="12500"/>
    <cellStyle name="m_WM - BOI  Electrical_GKI SULUNG" xfId="12499"/>
    <cellStyle name="m_WM - BOI  Electrical_GKI SULUNG 2" xfId="12498"/>
    <cellStyle name="m_WM - BOI MEP" xfId="12497"/>
    <cellStyle name="m_WM - BOI MEP 2" xfId="12496"/>
    <cellStyle name="m_WM - BOI MEP rev. D" xfId="12495"/>
    <cellStyle name="m_WM - BOI MEP rev. D 2" xfId="12494"/>
    <cellStyle name="m_WM - BOI MEP rev. D_GKI SULUNG" xfId="12493"/>
    <cellStyle name="m_WM - BOI MEP rev. D_GKI SULUNG 2" xfId="12492"/>
    <cellStyle name="m_WM - BOI MEP_GKI SULUNG" xfId="12491"/>
    <cellStyle name="m_WM - BOI MEP_GKI SULUNG 2" xfId="12490"/>
    <cellStyle name="m_WM - BOI MEPC,13-06-07" xfId="12489"/>
    <cellStyle name="m_WM - BOI MEPC,13-06-07 2" xfId="12488"/>
    <cellStyle name="m_WM - BOI MEPC,13-06-07_GKI SULUNG" xfId="12487"/>
    <cellStyle name="m_WM - BOI MEPC,13-06-07_GKI SULUNG 2" xfId="12486"/>
    <cellStyle name="m_Wolter Monginsidi BQ  5-Full Lt.Kontrak" xfId="12485"/>
    <cellStyle name="m_Wolter Monginsidi BQ  5-Full Lt.Kontrak 2" xfId="12484"/>
    <cellStyle name="M-0" xfId="12483"/>
    <cellStyle name="MainDescription" xfId="12482"/>
    <cellStyle name="MARK" xfId="12481"/>
    <cellStyle name="MARK 2" xfId="12480"/>
    <cellStyle name="markup" xfId="12479"/>
    <cellStyle name="Measure" xfId="12478"/>
    <cellStyle name="Migliaia (0)_ELE-MTO" xfId="12477"/>
    <cellStyle name="Millares [0]_elec" xfId="12476"/>
    <cellStyle name="Millares_elec" xfId="12475"/>
    <cellStyle name="Milliers [0]" xfId="12474"/>
    <cellStyle name="Milliers [0] 10" xfId="12473"/>
    <cellStyle name="Milliers [0] 11" xfId="12472"/>
    <cellStyle name="Milliers [0] 12" xfId="12471"/>
    <cellStyle name="Milliers [0] 13" xfId="12470"/>
    <cellStyle name="Milliers [0] 14" xfId="12469"/>
    <cellStyle name="Milliers [0] 15" xfId="12468"/>
    <cellStyle name="Milliers [0] 16" xfId="12467"/>
    <cellStyle name="Milliers [0] 17" xfId="12466"/>
    <cellStyle name="Milliers [0] 18" xfId="12465"/>
    <cellStyle name="Milliers [0] 19" xfId="12464"/>
    <cellStyle name="Milliers [0] 2" xfId="12463"/>
    <cellStyle name="Milliers [0] 20" xfId="12462"/>
    <cellStyle name="Milliers [0] 21" xfId="12461"/>
    <cellStyle name="Milliers [0] 3" xfId="12460"/>
    <cellStyle name="Milliers [0] 4" xfId="12459"/>
    <cellStyle name="Milliers [0] 5" xfId="12458"/>
    <cellStyle name="Milliers [0] 6" xfId="12457"/>
    <cellStyle name="Milliers [0] 7" xfId="12456"/>
    <cellStyle name="Milliers [0] 8" xfId="12455"/>
    <cellStyle name="Milliers [0] 9" xfId="12454"/>
    <cellStyle name="Milliers [0]_!!!GO" xfId="12453"/>
    <cellStyle name="Milliers_!!!GO" xfId="12452"/>
    <cellStyle name="m-o" xfId="12451"/>
    <cellStyle name="Model" xfId="12450"/>
    <cellStyle name="Model 2" xfId="12449"/>
    <cellStyle name="Model 2 2" xfId="12448"/>
    <cellStyle name="Model 2 2 2" xfId="12447"/>
    <cellStyle name="Model 3" xfId="12446"/>
    <cellStyle name="Model 3 2" xfId="12445"/>
    <cellStyle name="Moneda [0]_laroux" xfId="12444"/>
    <cellStyle name="Moneda_laroux" xfId="12443"/>
    <cellStyle name="Monétaire [0]" xfId="12442"/>
    <cellStyle name="Monétaire [0] 10" xfId="12441"/>
    <cellStyle name="Monétaire [0] 11" xfId="12440"/>
    <cellStyle name="Monétaire [0] 12" xfId="12439"/>
    <cellStyle name="Monétaire [0] 13" xfId="12438"/>
    <cellStyle name="Monétaire [0] 14" xfId="12437"/>
    <cellStyle name="Monétaire [0] 15" xfId="12436"/>
    <cellStyle name="Monétaire [0] 16" xfId="12435"/>
    <cellStyle name="Monétaire [0] 17" xfId="12434"/>
    <cellStyle name="Monétaire [0] 18" xfId="12433"/>
    <cellStyle name="Monétaire [0] 19" xfId="12432"/>
    <cellStyle name="Monétaire [0] 2" xfId="12431"/>
    <cellStyle name="Monétaire [0] 20" xfId="12430"/>
    <cellStyle name="Monétaire [0] 21" xfId="12429"/>
    <cellStyle name="Monétaire [0] 3" xfId="12428"/>
    <cellStyle name="Monétaire [0] 4" xfId="12427"/>
    <cellStyle name="Monétaire [0] 5" xfId="12426"/>
    <cellStyle name="Monétaire [0] 6" xfId="12425"/>
    <cellStyle name="Monétaire [0] 7" xfId="12424"/>
    <cellStyle name="Monétaire [0] 8" xfId="12423"/>
    <cellStyle name="Monétaire [0] 9" xfId="12422"/>
    <cellStyle name="Monétaire [0]_!!!GO" xfId="12421"/>
    <cellStyle name="Monétaire_!!!GO" xfId="12420"/>
    <cellStyle name="MUKTI" xfId="12419"/>
    <cellStyle name="n" xfId="12418"/>
    <cellStyle name="n_BQ-Kontrak Utama (5)-radja" xfId="12417"/>
    <cellStyle name="n_BQ-Kontrak Utama (5)-radja_BQ-Kontrak Utama (R)" xfId="12416"/>
    <cellStyle name="n_BQ-Kontrak Utama (5)-radja_BQ-Kontrak Utama (R)_BQ-Omni Wuryanto edit-KWD 10 Juli 2006 hendra" xfId="12415"/>
    <cellStyle name="n_BQ-Kontrak Utama (5)-radja_BQ-Kontrak Utama (R)_Copy of BQ-Kontrak Utama-KWrev1" xfId="12414"/>
    <cellStyle name="n_BQ-Kontrak Utama (5)-radja_BQ-Kontrak Utama (R)_MKU14July06" xfId="12413"/>
    <cellStyle name="n_BQ-Kontrak Utama (5)-radja_BQ-Omni Wuryanto edit-KWD 10 Juli 2006 hendra" xfId="12412"/>
    <cellStyle name="n_BQ-Kontrak Utama (5)-radja_Copy of BQ-Kontrak Utama-KWrev1" xfId="12411"/>
    <cellStyle name="n_BQ-Kontrak Utama (5)-radja_MKU14July06" xfId="12410"/>
    <cellStyle name="n_BQ-Kontrak Utama (5)-radja_REVISI ACHIR OMNI" xfId="12409"/>
    <cellStyle name="n_BQ-Kontrak Utama (R)" xfId="12408"/>
    <cellStyle name="n_BQ-Kontrak Utama (R)_BQ-Omni Wuryanto edit-KWD 10 Juli 2006 hendra" xfId="12407"/>
    <cellStyle name="n_BQ-Kontrak Utama (R)_Copy of BQ-Kontrak Utama-KWrev1" xfId="12406"/>
    <cellStyle name="n_BQ-Kontrak Utama (R)_MKU14July06" xfId="12405"/>
    <cellStyle name="n_BQ-Omni Wuryanto edit-KWD 10 Juli 2006 hendra" xfId="12404"/>
    <cellStyle name="n_Copy of BQ-Kontrak Utama-KWrev1" xfId="12403"/>
    <cellStyle name="n_MKU14July06" xfId="12402"/>
    <cellStyle name="n_Perkiraan biaya RS OMNI KAPI Elektrikal + Summary" xfId="12401"/>
    <cellStyle name="n_Perkiraan biaya RS OMNI KAPI Mekanikal" xfId="12400"/>
    <cellStyle name="n_REVISI ACHIR OMNI" xfId="12399"/>
    <cellStyle name="NA is zero" xfId="12398"/>
    <cellStyle name="Nakato" xfId="12397"/>
    <cellStyle name="Neutral 2" xfId="12396"/>
    <cellStyle name="Neutral 2 2" xfId="12395"/>
    <cellStyle name="Neutral 3" xfId="12394"/>
    <cellStyle name="Neutral 3 2" xfId="12393"/>
    <cellStyle name="Neutral 4" xfId="12392"/>
    <cellStyle name="Neutral 4 2" xfId="12391"/>
    <cellStyle name="Neutral 5" xfId="12390"/>
    <cellStyle name="Neutral 5 2" xfId="12389"/>
    <cellStyle name="Neutral 6" xfId="12388"/>
    <cellStyle name="Neutral 6 2" xfId="12387"/>
    <cellStyle name="Neutral 7" xfId="12386"/>
    <cellStyle name="Neutral 7 2" xfId="12385"/>
    <cellStyle name="Neutral 8" xfId="12384"/>
    <cellStyle name="Neutral 8 2" xfId="12383"/>
    <cellStyle name="Neutral 9" xfId="12382"/>
    <cellStyle name="New Times Roman" xfId="12381"/>
    <cellStyle name="New Times Roman 2" xfId="12380"/>
    <cellStyle name="Nining" xfId="12379"/>
    <cellStyle name="Nining 2" xfId="12378"/>
    <cellStyle name="NN3" xfId="12377"/>
    <cellStyle name="no dec" xfId="12376"/>
    <cellStyle name="Normaali 2" xfId="12375"/>
    <cellStyle name="Normal" xfId="0" builtinId="0"/>
    <cellStyle name="Normal - Style1" xfId="12374"/>
    <cellStyle name="Normal - Style1 10" xfId="12373"/>
    <cellStyle name="Normal - Style1 10 2" xfId="12372"/>
    <cellStyle name="Normal - Style1 11" xfId="12371"/>
    <cellStyle name="Normal - Style1 12" xfId="12370"/>
    <cellStyle name="Normal - Style1 13" xfId="12369"/>
    <cellStyle name="Normal - Style1 14" xfId="12368"/>
    <cellStyle name="Normal - Style1 15" xfId="12367"/>
    <cellStyle name="Normal - Style1 2" xfId="12366"/>
    <cellStyle name="Normal - Style1 2 2" xfId="12365"/>
    <cellStyle name="Normal - Style1 3" xfId="12364"/>
    <cellStyle name="Normal - Style1 4" xfId="12363"/>
    <cellStyle name="Normal - Style1 5" xfId="12362"/>
    <cellStyle name="Normal - Style1 5 2" xfId="12361"/>
    <cellStyle name="Normal - Style1 6" xfId="12360"/>
    <cellStyle name="Normal - Style1 6 2" xfId="12359"/>
    <cellStyle name="Normal - Style1 7" xfId="12358"/>
    <cellStyle name="Normal - Style1 7 2" xfId="12357"/>
    <cellStyle name="Normal - Style1 8" xfId="12356"/>
    <cellStyle name="Normal - Style1 9" xfId="12355"/>
    <cellStyle name="Normal - Style2" xfId="12354"/>
    <cellStyle name="Normal - Style2 2" xfId="12353"/>
    <cellStyle name="Normal - Style3" xfId="12352"/>
    <cellStyle name="Normal - Style3 2" xfId="12351"/>
    <cellStyle name="Normal - Style4" xfId="12350"/>
    <cellStyle name="Normal - Style4 2" xfId="12349"/>
    <cellStyle name="Normal - Style5" xfId="12348"/>
    <cellStyle name="Normal - Style5 2" xfId="12347"/>
    <cellStyle name="Normal - Style6" xfId="12346"/>
    <cellStyle name="Normal - Style6 2" xfId="12345"/>
    <cellStyle name="Normal - Style7" xfId="12344"/>
    <cellStyle name="Normal - Style7 2" xfId="12343"/>
    <cellStyle name="Normal - Style8" xfId="12342"/>
    <cellStyle name="Normal - Style8 2" xfId="12341"/>
    <cellStyle name="Normal [0]" xfId="12340"/>
    <cellStyle name="Normal [1]" xfId="12339"/>
    <cellStyle name="Normal [2]" xfId="12338"/>
    <cellStyle name="Normal [3]" xfId="12337"/>
    <cellStyle name="Normal 1" xfId="12336"/>
    <cellStyle name="Normal 1 2" xfId="12335"/>
    <cellStyle name="Normal 10" xfId="12334"/>
    <cellStyle name="Normal 10 10" xfId="12333"/>
    <cellStyle name="Normal 10 2" xfId="12332"/>
    <cellStyle name="Normal 10 2 2" xfId="12331"/>
    <cellStyle name="Normal 10 2 2 2" xfId="12330"/>
    <cellStyle name="Normal 10 2 3" xfId="12329"/>
    <cellStyle name="Normal 10 2 4" xfId="12328"/>
    <cellStyle name="Normal 10 3" xfId="12327"/>
    <cellStyle name="Normal 10 3 2" xfId="12326"/>
    <cellStyle name="Normal 10 3 3" xfId="12325"/>
    <cellStyle name="Normal 10 4" xfId="12324"/>
    <cellStyle name="Normal 10 5" xfId="12323"/>
    <cellStyle name="Normal 10 5 2" xfId="12322"/>
    <cellStyle name="Normal 10 6" xfId="12321"/>
    <cellStyle name="Normal 10 7" xfId="12320"/>
    <cellStyle name="Normal 10 8" xfId="12319"/>
    <cellStyle name="Normal 100" xfId="12318"/>
    <cellStyle name="Normal 101" xfId="12317"/>
    <cellStyle name="Normal 102" xfId="12316"/>
    <cellStyle name="Normal 103" xfId="12315"/>
    <cellStyle name="Normal 1032" xfId="12314"/>
    <cellStyle name="Normal 1034" xfId="12313"/>
    <cellStyle name="Normal 1035" xfId="12312"/>
    <cellStyle name="Normal 1036" xfId="12311"/>
    <cellStyle name="Normal 104" xfId="12310"/>
    <cellStyle name="Normal 105" xfId="12309"/>
    <cellStyle name="Normal 1056" xfId="12308"/>
    <cellStyle name="Normal 1057" xfId="12307"/>
    <cellStyle name="Normal 1058" xfId="12306"/>
    <cellStyle name="Normal 106" xfId="12305"/>
    <cellStyle name="Normal 107" xfId="12304"/>
    <cellStyle name="Normal 1071" xfId="12303"/>
    <cellStyle name="Normal 1072" xfId="12302"/>
    <cellStyle name="Normal 1073" xfId="12301"/>
    <cellStyle name="Normal 108" xfId="12300"/>
    <cellStyle name="Normal 109" xfId="12299"/>
    <cellStyle name="Normal 11" xfId="12298"/>
    <cellStyle name="Normal 11 10" xfId="12297"/>
    <cellStyle name="Normal 11 11" xfId="12296"/>
    <cellStyle name="Normal 11 12" xfId="12295"/>
    <cellStyle name="Normal 11 2" xfId="12294"/>
    <cellStyle name="Normal 11 2 2" xfId="12293"/>
    <cellStyle name="Normal 11 3" xfId="12292"/>
    <cellStyle name="Normal 11 4" xfId="12291"/>
    <cellStyle name="Normal 11 4 2" xfId="12290"/>
    <cellStyle name="Normal 11 5" xfId="12289"/>
    <cellStyle name="Normal 11 6" xfId="12288"/>
    <cellStyle name="Normal 11 7" xfId="12287"/>
    <cellStyle name="Normal 11 8" xfId="12286"/>
    <cellStyle name="Normal 11 9" xfId="12285"/>
    <cellStyle name="Normal 110" xfId="12284"/>
    <cellStyle name="Normal 111" xfId="12283"/>
    <cellStyle name="Normal 112" xfId="12282"/>
    <cellStyle name="Normal 113" xfId="12281"/>
    <cellStyle name="Normal 114" xfId="12280"/>
    <cellStyle name="Normal 115" xfId="12279"/>
    <cellStyle name="Normal 116" xfId="12278"/>
    <cellStyle name="Normal 117" xfId="12277"/>
    <cellStyle name="Normal 118" xfId="12276"/>
    <cellStyle name="Normal 119" xfId="12275"/>
    <cellStyle name="Normal 12" xfId="12274"/>
    <cellStyle name="Normal 12 10" xfId="12273"/>
    <cellStyle name="Normal 12 2" xfId="12272"/>
    <cellStyle name="Normal 12 2 2" xfId="12271"/>
    <cellStyle name="Normal 12 2 2 2" xfId="12270"/>
    <cellStyle name="Normal 12 2 3" xfId="12269"/>
    <cellStyle name="Normal 12 2 4" xfId="12268"/>
    <cellStyle name="Normal 12 3" xfId="12267"/>
    <cellStyle name="Normal 12 3 2" xfId="12266"/>
    <cellStyle name="Normal 12 3 3" xfId="12265"/>
    <cellStyle name="Normal 12 3 3 2" xfId="12264"/>
    <cellStyle name="Normal 12 3 3 2 2" xfId="12263"/>
    <cellStyle name="Normal 12 4" xfId="12262"/>
    <cellStyle name="Normal 12 4 2" xfId="12261"/>
    <cellStyle name="Normal 12 5" xfId="12260"/>
    <cellStyle name="Normal 12 6" xfId="12259"/>
    <cellStyle name="Normal 12 7" xfId="12258"/>
    <cellStyle name="Normal 12 8" xfId="12257"/>
    <cellStyle name="Normal 12_00 EE ARS HALL VOLI" xfId="12256"/>
    <cellStyle name="Normal 120" xfId="12255"/>
    <cellStyle name="Normal 121" xfId="12254"/>
    <cellStyle name="Normal 122" xfId="12253"/>
    <cellStyle name="Normal 123" xfId="12252"/>
    <cellStyle name="Normal 124" xfId="12251"/>
    <cellStyle name="Normal 125" xfId="12250"/>
    <cellStyle name="Normal 126" xfId="12249"/>
    <cellStyle name="Normal 127" xfId="12248"/>
    <cellStyle name="Normal 128" xfId="12247"/>
    <cellStyle name="Normal 129" xfId="12246"/>
    <cellStyle name="Normal 13" xfId="12245"/>
    <cellStyle name="Normal 13 10" xfId="12244"/>
    <cellStyle name="Normal 13 2" xfId="12243"/>
    <cellStyle name="Normal 13 2 2" xfId="12242"/>
    <cellStyle name="Normal 13 3" xfId="12241"/>
    <cellStyle name="Normal 13 3 2" xfId="12240"/>
    <cellStyle name="Normal 13 4" xfId="12239"/>
    <cellStyle name="Normal 13 5" xfId="12238"/>
    <cellStyle name="Normal 13 6" xfId="12237"/>
    <cellStyle name="Normal 130" xfId="12236"/>
    <cellStyle name="Normal 131" xfId="12235"/>
    <cellStyle name="Normal 132" xfId="12234"/>
    <cellStyle name="Normal 133" xfId="12233"/>
    <cellStyle name="Normal 134" xfId="12232"/>
    <cellStyle name="Normal 135" xfId="12231"/>
    <cellStyle name="Normal 136" xfId="12230"/>
    <cellStyle name="Normal 137" xfId="12229"/>
    <cellStyle name="Normal 138" xfId="12228"/>
    <cellStyle name="Normal 139" xfId="12227"/>
    <cellStyle name="Normal 14" xfId="12226"/>
    <cellStyle name="Normal 14 10" xfId="12225"/>
    <cellStyle name="Normal 14 2" xfId="12224"/>
    <cellStyle name="Normal 14 2 2" xfId="12223"/>
    <cellStyle name="Normal 14 2 2 2" xfId="12222"/>
    <cellStyle name="Normal 14 2 3" xfId="12221"/>
    <cellStyle name="Normal 14 3" xfId="12220"/>
    <cellStyle name="Normal 14 3 2" xfId="12219"/>
    <cellStyle name="Normal 14 4" xfId="12218"/>
    <cellStyle name="Normal 14 4 2" xfId="12217"/>
    <cellStyle name="Normal 14 5" xfId="12216"/>
    <cellStyle name="Normal 14 5 2" xfId="12215"/>
    <cellStyle name="Normal 14 6" xfId="12214"/>
    <cellStyle name="Normal 14 7" xfId="12213"/>
    <cellStyle name="Normal 14 8" xfId="12212"/>
    <cellStyle name="Normal 140" xfId="12211"/>
    <cellStyle name="Normal 141" xfId="12210"/>
    <cellStyle name="Normal 142" xfId="12209"/>
    <cellStyle name="Normal 143" xfId="12208"/>
    <cellStyle name="Normal 144" xfId="12207"/>
    <cellStyle name="Normal 145" xfId="12206"/>
    <cellStyle name="Normal 146" xfId="12205"/>
    <cellStyle name="Normal 147" xfId="12204"/>
    <cellStyle name="Normal 148" xfId="12203"/>
    <cellStyle name="Normal 149" xfId="12202"/>
    <cellStyle name="Normal 15" xfId="12201"/>
    <cellStyle name="Normal 15 10" xfId="12200"/>
    <cellStyle name="Normal 15 2" xfId="12199"/>
    <cellStyle name="Normal 15 2 2" xfId="12198"/>
    <cellStyle name="Normal 15 2 2 2" xfId="12197"/>
    <cellStyle name="Normal 15 2 3" xfId="12196"/>
    <cellStyle name="Normal 15 2 4" xfId="12195"/>
    <cellStyle name="Normal 15 2 5" xfId="12194"/>
    <cellStyle name="Normal 15 3" xfId="12193"/>
    <cellStyle name="Normal 15 4" xfId="12192"/>
    <cellStyle name="Normal 15 4 2" xfId="12191"/>
    <cellStyle name="Normal 15 5" xfId="12190"/>
    <cellStyle name="Normal 15 5 2" xfId="12189"/>
    <cellStyle name="Normal 15 6" xfId="12188"/>
    <cellStyle name="Normal 15 7" xfId="12187"/>
    <cellStyle name="Normal 15 8" xfId="12186"/>
    <cellStyle name="Normal 150" xfId="12185"/>
    <cellStyle name="Normal 151" xfId="12184"/>
    <cellStyle name="Normal 152" xfId="12183"/>
    <cellStyle name="Normal 153" xfId="12182"/>
    <cellStyle name="Normal 154" xfId="12181"/>
    <cellStyle name="Normal 155" xfId="12180"/>
    <cellStyle name="Normal 156" xfId="12179"/>
    <cellStyle name="Normal 157" xfId="12178"/>
    <cellStyle name="Normal 158" xfId="12177"/>
    <cellStyle name="Normal 159" xfId="12176"/>
    <cellStyle name="Normal 16" xfId="12175"/>
    <cellStyle name="Normal 16 10" xfId="12174"/>
    <cellStyle name="Normal 16 2" xfId="12173"/>
    <cellStyle name="Normal 16 2 2" xfId="12172"/>
    <cellStyle name="Normal 16 2 2 2" xfId="12171"/>
    <cellStyle name="Normal 16 2 3" xfId="12170"/>
    <cellStyle name="Normal 16 3" xfId="12169"/>
    <cellStyle name="Normal 16 3 2" xfId="12168"/>
    <cellStyle name="Normal 16 4" xfId="12167"/>
    <cellStyle name="Normal 16 5" xfId="12166"/>
    <cellStyle name="Normal 16 6" xfId="12165"/>
    <cellStyle name="Normal 16 7" xfId="12164"/>
    <cellStyle name="Normal 160" xfId="12163"/>
    <cellStyle name="Normal 161" xfId="12162"/>
    <cellStyle name="Normal 162" xfId="12161"/>
    <cellStyle name="Normal 163" xfId="12160"/>
    <cellStyle name="Normal 164" xfId="12159"/>
    <cellStyle name="Normal 165" xfId="12158"/>
    <cellStyle name="Normal 166" xfId="12157"/>
    <cellStyle name="Normal 167" xfId="12156"/>
    <cellStyle name="Normal 168" xfId="12155"/>
    <cellStyle name="Normal 169" xfId="12154"/>
    <cellStyle name="Normal 17" xfId="12153"/>
    <cellStyle name="Normal 17 10" xfId="12152"/>
    <cellStyle name="Normal 17 11" xfId="12151"/>
    <cellStyle name="Normal 17 11 2" xfId="12150"/>
    <cellStyle name="Normal 17 11 2 2" xfId="12149"/>
    <cellStyle name="Normal 17 11 3" xfId="12148"/>
    <cellStyle name="Normal 17 12" xfId="12147"/>
    <cellStyle name="Normal 17 2" xfId="12146"/>
    <cellStyle name="Normal 17 2 2" xfId="12145"/>
    <cellStyle name="Normal 17 2 2 2" xfId="12144"/>
    <cellStyle name="Normal 17 2 3" xfId="12143"/>
    <cellStyle name="Normal 17 2 4" xfId="12142"/>
    <cellStyle name="Normal 17 2 4 2" xfId="12141"/>
    <cellStyle name="Normal 17 3" xfId="12140"/>
    <cellStyle name="Normal 17 3 2" xfId="12139"/>
    <cellStyle name="Normal 17 4" xfId="12138"/>
    <cellStyle name="Normal 17 4 2" xfId="12137"/>
    <cellStyle name="Normal 17 4 2 2" xfId="12136"/>
    <cellStyle name="Normal 17 4 2 3" xfId="12135"/>
    <cellStyle name="Normal 17 4 2 4" xfId="12134"/>
    <cellStyle name="Normal 17 4 2 5" xfId="12133"/>
    <cellStyle name="Normal 17 4 2 5 2" xfId="12132"/>
    <cellStyle name="Normal 17 4 2 5 3" xfId="12131"/>
    <cellStyle name="Normal 17 5" xfId="12130"/>
    <cellStyle name="Normal 17 6" xfId="12129"/>
    <cellStyle name="Normal 17 7" xfId="12128"/>
    <cellStyle name="Normal 17 8" xfId="12127"/>
    <cellStyle name="Normal 17 9" xfId="12126"/>
    <cellStyle name="Normal 170" xfId="12125"/>
    <cellStyle name="Normal 171" xfId="12124"/>
    <cellStyle name="Normal 172" xfId="12123"/>
    <cellStyle name="Normal 173" xfId="12122"/>
    <cellStyle name="Normal 173 2" xfId="12121"/>
    <cellStyle name="Normal 174" xfId="12120"/>
    <cellStyle name="Normal 175" xfId="12119"/>
    <cellStyle name="Normal 176" xfId="12118"/>
    <cellStyle name="Normal 177" xfId="12117"/>
    <cellStyle name="Normal 178" xfId="12116"/>
    <cellStyle name="Normal 179" xfId="12115"/>
    <cellStyle name="Normal 18" xfId="12114"/>
    <cellStyle name="Normal 18 10" xfId="12113"/>
    <cellStyle name="Normal 18 2" xfId="12112"/>
    <cellStyle name="Normal 18 2 2" xfId="12111"/>
    <cellStyle name="Normal 18 2 2 2" xfId="12110"/>
    <cellStyle name="Normal 18 2 3" xfId="12109"/>
    <cellStyle name="Normal 18 3" xfId="12108"/>
    <cellStyle name="Normal 18 3 2" xfId="12107"/>
    <cellStyle name="Normal 18 4" xfId="12106"/>
    <cellStyle name="Normal 18 4 2" xfId="12105"/>
    <cellStyle name="Normal 18 5" xfId="12104"/>
    <cellStyle name="Normal 18 6" xfId="12103"/>
    <cellStyle name="Normal 180" xfId="12102"/>
    <cellStyle name="Normal 181" xfId="12101"/>
    <cellStyle name="Normal 182" xfId="12100"/>
    <cellStyle name="Normal 183" xfId="12099"/>
    <cellStyle name="Normal 184" xfId="12098"/>
    <cellStyle name="Normal 185" xfId="12097"/>
    <cellStyle name="Normal 186" xfId="26362"/>
    <cellStyle name="Normal 186 2" xfId="12096"/>
    <cellStyle name="Normal 186 3" xfId="12095"/>
    <cellStyle name="Normal 186 4" xfId="12094"/>
    <cellStyle name="Normal 187" xfId="12093"/>
    <cellStyle name="Normal 187 2" xfId="12092"/>
    <cellStyle name="Normal 188" xfId="12091"/>
    <cellStyle name="Normal 189" xfId="12090"/>
    <cellStyle name="Normal 19" xfId="12089"/>
    <cellStyle name="Normal 19 2" xfId="12088"/>
    <cellStyle name="Normal 19 2 2" xfId="12087"/>
    <cellStyle name="Normal 19 3" xfId="12086"/>
    <cellStyle name="Normal 190" xfId="12085"/>
    <cellStyle name="Normal 191" xfId="12084"/>
    <cellStyle name="Normal 192" xfId="12083"/>
    <cellStyle name="Normal 193" xfId="12082"/>
    <cellStyle name="Normal 194" xfId="12081"/>
    <cellStyle name="Normal 195" xfId="12080"/>
    <cellStyle name="Normal 196" xfId="12079"/>
    <cellStyle name="Normal 197" xfId="12078"/>
    <cellStyle name="Normal 198" xfId="12077"/>
    <cellStyle name="Normal 2" xfId="12076"/>
    <cellStyle name="Normal 2 10" xfId="12075"/>
    <cellStyle name="Normal 2 10 2" xfId="12074"/>
    <cellStyle name="Normal 2 10 2 2" xfId="12073"/>
    <cellStyle name="Normal 2 10 3" xfId="12072"/>
    <cellStyle name="Normal 2 11" xfId="12071"/>
    <cellStyle name="Normal 2 11 2" xfId="12070"/>
    <cellStyle name="Normal 2 11 2 2" xfId="12069"/>
    <cellStyle name="Normal 2 11 3" xfId="12068"/>
    <cellStyle name="Normal 2 11 4" xfId="12067"/>
    <cellStyle name="Normal 2 12" xfId="12066"/>
    <cellStyle name="Normal 2 12 2" xfId="12065"/>
    <cellStyle name="Normal 2 13" xfId="12064"/>
    <cellStyle name="Normal 2 13 2" xfId="12063"/>
    <cellStyle name="Normal 2 14" xfId="12062"/>
    <cellStyle name="Normal 2 14 2" xfId="12061"/>
    <cellStyle name="Normal 2 15" xfId="12060"/>
    <cellStyle name="Normal 2 15 2" xfId="12059"/>
    <cellStyle name="Normal 2 16" xfId="12058"/>
    <cellStyle name="Normal 2 17" xfId="12057"/>
    <cellStyle name="Normal 2 18" xfId="12056"/>
    <cellStyle name="Normal 2 19" xfId="12055"/>
    <cellStyle name="Normal 2 2" xfId="12054"/>
    <cellStyle name="Normal 2 2 10" xfId="12053"/>
    <cellStyle name="Normal 2 2 10 2" xfId="12052"/>
    <cellStyle name="Normal 2 2 10 3" xfId="12051"/>
    <cellStyle name="Normal 2 2 11" xfId="12050"/>
    <cellStyle name="Normal 2 2 12" xfId="12049"/>
    <cellStyle name="Normal 2 2 12 2" xfId="12048"/>
    <cellStyle name="Normal 2 2 13" xfId="12047"/>
    <cellStyle name="Normal 2 2 14" xfId="12046"/>
    <cellStyle name="Normal 2 2 15" xfId="12045"/>
    <cellStyle name="Normal 2 2 16" xfId="12044"/>
    <cellStyle name="Normal 2 2 2" xfId="12043"/>
    <cellStyle name="Normal 2 2 2 10" xfId="12042"/>
    <cellStyle name="Normal 2 2 2 11" xfId="12041"/>
    <cellStyle name="Normal 2 2 2 12" xfId="12040"/>
    <cellStyle name="Normal 2 2 2 13" xfId="12039"/>
    <cellStyle name="Normal 2 2 2 14" xfId="12038"/>
    <cellStyle name="Normal 2 2 2 15" xfId="12037"/>
    <cellStyle name="Normal 2 2 2 2" xfId="12036"/>
    <cellStyle name="Normal 2 2 2 2 2" xfId="12035"/>
    <cellStyle name="Normal 2 2 2 3" xfId="12034"/>
    <cellStyle name="Normal 2 2 2 3 2" xfId="12033"/>
    <cellStyle name="Normal 2 2 2 3 3" xfId="12032"/>
    <cellStyle name="Normal 2 2 2 4" xfId="12031"/>
    <cellStyle name="Normal 2 2 2 4 2" xfId="12030"/>
    <cellStyle name="Normal 2 2 2 5" xfId="12029"/>
    <cellStyle name="Normal 2 2 2 5 2" xfId="12028"/>
    <cellStyle name="Normal 2 2 2 6" xfId="12027"/>
    <cellStyle name="Normal 2 2 2 6 2" xfId="12026"/>
    <cellStyle name="Normal 2 2 2 7" xfId="12025"/>
    <cellStyle name="Normal 2 2 2 8" xfId="12024"/>
    <cellStyle name="Normal 2 2 2 9" xfId="12023"/>
    <cellStyle name="Normal 2 2 3" xfId="12022"/>
    <cellStyle name="Normal 2 2 3 10" xfId="12021"/>
    <cellStyle name="Normal 2 2 3 11" xfId="12020"/>
    <cellStyle name="Normal 2 2 3 12" xfId="12019"/>
    <cellStyle name="Normal 2 2 3 13" xfId="12018"/>
    <cellStyle name="Normal 2 2 3 14" xfId="12017"/>
    <cellStyle name="Normal 2 2 3 2" xfId="12016"/>
    <cellStyle name="Normal 2 2 3 3" xfId="12015"/>
    <cellStyle name="Normal 2 2 3 4" xfId="12014"/>
    <cellStyle name="Normal 2 2 3 5" xfId="12013"/>
    <cellStyle name="Normal 2 2 3 6" xfId="12012"/>
    <cellStyle name="Normal 2 2 3 7" xfId="12011"/>
    <cellStyle name="Normal 2 2 3 8" xfId="12010"/>
    <cellStyle name="Normal 2 2 3 9" xfId="12009"/>
    <cellStyle name="Normal 2 2 4" xfId="12008"/>
    <cellStyle name="Normal 2 2 4 2" xfId="12007"/>
    <cellStyle name="Normal 2 2 5" xfId="12006"/>
    <cellStyle name="Normal 2 2 5 2" xfId="12005"/>
    <cellStyle name="Normal 2 2 6" xfId="12004"/>
    <cellStyle name="Normal 2 2 7" xfId="12003"/>
    <cellStyle name="normal 2 2 7 2" xfId="12002"/>
    <cellStyle name="Normal 2 2 8" xfId="12001"/>
    <cellStyle name="Normal 2 2 9" xfId="12000"/>
    <cellStyle name="Normal 2 2_00 EE ARS HALL VOLI" xfId="11999"/>
    <cellStyle name="Normal 2 20" xfId="11998"/>
    <cellStyle name="Normal 2 20 2" xfId="11997"/>
    <cellStyle name="Normal 2 20 2 2" xfId="11996"/>
    <cellStyle name="Normal 2 20 2 2 2" xfId="11995"/>
    <cellStyle name="Normal 2 20 2 2 3" xfId="11994"/>
    <cellStyle name="Normal 2 20 2 3" xfId="11993"/>
    <cellStyle name="Normal 2 20 3" xfId="11992"/>
    <cellStyle name="Normal 2 21" xfId="11991"/>
    <cellStyle name="Normal 2 21 2" xfId="11990"/>
    <cellStyle name="Normal 2 21 2 2" xfId="11989"/>
    <cellStyle name="Normal 2 21 3" xfId="11988"/>
    <cellStyle name="Normal 2 22" xfId="11987"/>
    <cellStyle name="Normal 2 22 2" xfId="11986"/>
    <cellStyle name="Normal 2 22 2 2" xfId="11985"/>
    <cellStyle name="Normal 2 22 3" xfId="11984"/>
    <cellStyle name="Normal 2 23" xfId="11983"/>
    <cellStyle name="Normal 2 23 2" xfId="11982"/>
    <cellStyle name="Normal 2 23 2 2" xfId="11981"/>
    <cellStyle name="Normal 2 23 3" xfId="11980"/>
    <cellStyle name="Normal 2 24" xfId="11979"/>
    <cellStyle name="Normal 2 24 2" xfId="11978"/>
    <cellStyle name="Normal 2 25" xfId="11977"/>
    <cellStyle name="Normal 2 25 2" xfId="11976"/>
    <cellStyle name="Normal 2 26" xfId="11975"/>
    <cellStyle name="Normal 2 26 2" xfId="11974"/>
    <cellStyle name="Normal 2 27" xfId="11973"/>
    <cellStyle name="Normal 2 27 2" xfId="11972"/>
    <cellStyle name="Normal 2 28" xfId="11971"/>
    <cellStyle name="Normal 2 28 2" xfId="11970"/>
    <cellStyle name="Normal 2 29" xfId="11969"/>
    <cellStyle name="Normal 2 29 2" xfId="11968"/>
    <cellStyle name="Normal 2 3" xfId="11967"/>
    <cellStyle name="Normal 2 3 10" xfId="11966"/>
    <cellStyle name="Normal 2 3 11" xfId="11965"/>
    <cellStyle name="Normal 2 3 12" xfId="11964"/>
    <cellStyle name="Normal 2 3 13" xfId="11963"/>
    <cellStyle name="Normal 2 3 14" xfId="11962"/>
    <cellStyle name="Normal 2 3 15" xfId="11961"/>
    <cellStyle name="Normal 2 3 16" xfId="11960"/>
    <cellStyle name="Normal 2 3 2" xfId="11959"/>
    <cellStyle name="Normal 2 3 2 2" xfId="11958"/>
    <cellStyle name="Normal 2 3 2 2 2" xfId="11957"/>
    <cellStyle name="Normal 2 3 2 3" xfId="11956"/>
    <cellStyle name="Normal 2 3 2 4" xfId="11955"/>
    <cellStyle name="Normal 2 3 2 5" xfId="11954"/>
    <cellStyle name="Normal 2 3 3" xfId="11953"/>
    <cellStyle name="Normal 2 3 3 2" xfId="11952"/>
    <cellStyle name="Normal 2 3 4" xfId="11951"/>
    <cellStyle name="Normal 2 3 5" xfId="11950"/>
    <cellStyle name="Normal 2 3 6" xfId="11949"/>
    <cellStyle name="Normal 2 3 7" xfId="11948"/>
    <cellStyle name="Normal 2 3 8" xfId="11947"/>
    <cellStyle name="Normal 2 3 9" xfId="11946"/>
    <cellStyle name="Normal 2 3_00 EE ARS HALL VOLI" xfId="11945"/>
    <cellStyle name="Normal 2 30" xfId="11944"/>
    <cellStyle name="Normal 2 31" xfId="11943"/>
    <cellStyle name="Normal 2 32" xfId="11942"/>
    <cellStyle name="Normal 2 33" xfId="11941"/>
    <cellStyle name="Normal 2 34" xfId="11940"/>
    <cellStyle name="Normal 2 35" xfId="11939"/>
    <cellStyle name="Normal 2 36" xfId="11938"/>
    <cellStyle name="Normal 2 37" xfId="11937"/>
    <cellStyle name="Normal 2 38" xfId="11936"/>
    <cellStyle name="Normal 2 39" xfId="11935"/>
    <cellStyle name="Normal 2 4" xfId="11934"/>
    <cellStyle name="Normal 2 4 10" xfId="11933"/>
    <cellStyle name="Normal 2 4 11" xfId="11932"/>
    <cellStyle name="Normal 2 4 12" xfId="11931"/>
    <cellStyle name="Normal 2 4 13" xfId="11930"/>
    <cellStyle name="Normal 2 4 14" xfId="11929"/>
    <cellStyle name="Normal 2 4 2" xfId="11928"/>
    <cellStyle name="Normal 2 4 2 2" xfId="11927"/>
    <cellStyle name="Normal 2 4 2 3" xfId="11926"/>
    <cellStyle name="Normal 2 4 3" xfId="11925"/>
    <cellStyle name="Normal 2 4 4" xfId="11924"/>
    <cellStyle name="Normal 2 4 5" xfId="11923"/>
    <cellStyle name="Normal 2 4 6" xfId="11922"/>
    <cellStyle name="Normal 2 4 7" xfId="11921"/>
    <cellStyle name="Normal 2 4 8" xfId="11920"/>
    <cellStyle name="Normal 2 4 9" xfId="11919"/>
    <cellStyle name="Normal 2 40" xfId="11918"/>
    <cellStyle name="Normal 2 41" xfId="11917"/>
    <cellStyle name="Normal 2 42" xfId="11916"/>
    <cellStyle name="Normal 2 43" xfId="11915"/>
    <cellStyle name="Normal 2 44" xfId="11914"/>
    <cellStyle name="Normal 2 45" xfId="11913"/>
    <cellStyle name="Normal 2 46" xfId="11912"/>
    <cellStyle name="Normal 2 47" xfId="11911"/>
    <cellStyle name="Normal 2 48" xfId="11910"/>
    <cellStyle name="Normal 2 49" xfId="11909"/>
    <cellStyle name="Normal 2 5" xfId="11908"/>
    <cellStyle name="Normal 2 5 2" xfId="11907"/>
    <cellStyle name="Normal 2 5 3" xfId="11906"/>
    <cellStyle name="Normal 2 5_00 EE ARS HALL VOLI" xfId="11905"/>
    <cellStyle name="Normal 2 50" xfId="11904"/>
    <cellStyle name="Normal 2 51" xfId="11903"/>
    <cellStyle name="Normal 2 52" xfId="11902"/>
    <cellStyle name="Normal 2 53" xfId="11901"/>
    <cellStyle name="Normal 2 54" xfId="11900"/>
    <cellStyle name="Normal 2 55" xfId="11899"/>
    <cellStyle name="Normal 2 56" xfId="11898"/>
    <cellStyle name="Normal 2 57" xfId="11897"/>
    <cellStyle name="Normal 2 58" xfId="11896"/>
    <cellStyle name="Normal 2 59" xfId="11895"/>
    <cellStyle name="Normal 2 6" xfId="11894"/>
    <cellStyle name="Normal 2 6 2" xfId="11893"/>
    <cellStyle name="Normal 2 6 3" xfId="11892"/>
    <cellStyle name="Normal 2 60" xfId="11891"/>
    <cellStyle name="Normal 2 61" xfId="11890"/>
    <cellStyle name="Normal 2 62" xfId="11889"/>
    <cellStyle name="Normal 2 63" xfId="11888"/>
    <cellStyle name="Normal 2 64" xfId="11887"/>
    <cellStyle name="Normal 2 65" xfId="11886"/>
    <cellStyle name="Normal 2 66" xfId="11885"/>
    <cellStyle name="Normal 2 67" xfId="11884"/>
    <cellStyle name="Normal 2 68" xfId="11883"/>
    <cellStyle name="Normal 2 69" xfId="11882"/>
    <cellStyle name="Normal 2 7" xfId="11881"/>
    <cellStyle name="Normal 2 7 2" xfId="11880"/>
    <cellStyle name="Normal 2 7 3" xfId="11879"/>
    <cellStyle name="Normal 2 70" xfId="11878"/>
    <cellStyle name="Normal 2 71" xfId="11877"/>
    <cellStyle name="Normal 2 72" xfId="11876"/>
    <cellStyle name="Normal 2 73" xfId="11875"/>
    <cellStyle name="Normal 2 74" xfId="11874"/>
    <cellStyle name="Normal 2 75" xfId="11873"/>
    <cellStyle name="Normal 2 76" xfId="11872"/>
    <cellStyle name="Normal 2 8" xfId="11871"/>
    <cellStyle name="Normal 2 8 2" xfId="11870"/>
    <cellStyle name="Normal 2 8 2 2" xfId="11869"/>
    <cellStyle name="Normal 2 8 3" xfId="11868"/>
    <cellStyle name="Normal 2 9" xfId="11867"/>
    <cellStyle name="Normal 2 9 10" xfId="11866"/>
    <cellStyle name="Normal 2 9 11" xfId="11865"/>
    <cellStyle name="Normal 2 9 12" xfId="11864"/>
    <cellStyle name="Normal 2 9 13" xfId="11863"/>
    <cellStyle name="Normal 2 9 13 2" xfId="11862"/>
    <cellStyle name="Normal 2 9 14" xfId="11861"/>
    <cellStyle name="Normal 2 9 15" xfId="11860"/>
    <cellStyle name="Normal 2 9 15 2" xfId="11859"/>
    <cellStyle name="Normal 2 9 16" xfId="11858"/>
    <cellStyle name="Normal 2 9 17" xfId="11857"/>
    <cellStyle name="Normal 2 9 2" xfId="11856"/>
    <cellStyle name="Normal 2 9 2 2" xfId="11855"/>
    <cellStyle name="Normal 2 9 2 2 2" xfId="11854"/>
    <cellStyle name="Normal 2 9 2 2 3" xfId="11853"/>
    <cellStyle name="Normal 2 9 2 3" xfId="11852"/>
    <cellStyle name="Normal 2 9 2 3 2" xfId="11851"/>
    <cellStyle name="Normal 2 9 2 4" xfId="11850"/>
    <cellStyle name="Normal 2 9 2 5" xfId="11849"/>
    <cellStyle name="Normal 2 9 2 6" xfId="11848"/>
    <cellStyle name="Normal 2 9 3" xfId="11847"/>
    <cellStyle name="Normal 2 9 3 2" xfId="11846"/>
    <cellStyle name="Normal 2 9 3 2 2" xfId="11845"/>
    <cellStyle name="Normal 2 9 3 2 3" xfId="11844"/>
    <cellStyle name="Normal 2 9 3 3" xfId="11843"/>
    <cellStyle name="Normal 2 9 3 3 2" xfId="11842"/>
    <cellStyle name="Normal 2 9 3 4" xfId="11841"/>
    <cellStyle name="Normal 2 9 3 5" xfId="11840"/>
    <cellStyle name="Normal 2 9 3 6" xfId="11839"/>
    <cellStyle name="Normal 2 9 4" xfId="11838"/>
    <cellStyle name="Normal 2 9 4 2" xfId="11837"/>
    <cellStyle name="Normal 2 9 4 2 2" xfId="11836"/>
    <cellStyle name="Normal 2 9 4 2 3" xfId="11835"/>
    <cellStyle name="Normal 2 9 4 3" xfId="11834"/>
    <cellStyle name="Normal 2 9 4 3 2" xfId="11833"/>
    <cellStyle name="Normal 2 9 4 4" xfId="11832"/>
    <cellStyle name="Normal 2 9 4 5" xfId="11831"/>
    <cellStyle name="Normal 2 9 4 6" xfId="11830"/>
    <cellStyle name="Normal 2 9 5" xfId="11829"/>
    <cellStyle name="Normal 2 9 5 2" xfId="11828"/>
    <cellStyle name="Normal 2 9 5 2 2" xfId="11827"/>
    <cellStyle name="Normal 2 9 5 2 3" xfId="11826"/>
    <cellStyle name="Normal 2 9 5 3" xfId="11825"/>
    <cellStyle name="Normal 2 9 5 3 2" xfId="11824"/>
    <cellStyle name="Normal 2 9 5 4" xfId="11823"/>
    <cellStyle name="Normal 2 9 5 5" xfId="11822"/>
    <cellStyle name="Normal 2 9 5 6" xfId="11821"/>
    <cellStyle name="Normal 2 9 6" xfId="11820"/>
    <cellStyle name="Normal 2 9 6 2" xfId="11819"/>
    <cellStyle name="Normal 2 9 6 2 2" xfId="11818"/>
    <cellStyle name="Normal 2 9 6 2 3" xfId="11817"/>
    <cellStyle name="Normal 2 9 6 3" xfId="11816"/>
    <cellStyle name="Normal 2 9 6 3 2" xfId="11815"/>
    <cellStyle name="Normal 2 9 7" xfId="11814"/>
    <cellStyle name="Normal 2 9 7 2" xfId="11813"/>
    <cellStyle name="Normal 2 9 8" xfId="11812"/>
    <cellStyle name="Normal 2 9 8 2" xfId="11811"/>
    <cellStyle name="Normal 2 9 9" xfId="11810"/>
    <cellStyle name="Normal 2_#06 08 10 AikoVito BQ Unit Rate Priority for Permata - ( expansi &amp; Refurbishment ).xls" xfId="11809"/>
    <cellStyle name="Normal 20" xfId="11808"/>
    <cellStyle name="Normal 20 2" xfId="11807"/>
    <cellStyle name="Normal 20 2 2" xfId="11806"/>
    <cellStyle name="Normal 20 2 3" xfId="11805"/>
    <cellStyle name="Normal 20 3" xfId="11804"/>
    <cellStyle name="Normal 20 4" xfId="11803"/>
    <cellStyle name="Normal 20 5" xfId="11802"/>
    <cellStyle name="Normal 21" xfId="11801"/>
    <cellStyle name="Normal 21 2" xfId="11800"/>
    <cellStyle name="Normal 21 2 2" xfId="11799"/>
    <cellStyle name="Normal 21 3" xfId="11798"/>
    <cellStyle name="Normal 21 3 2" xfId="11797"/>
    <cellStyle name="Normal 21 4" xfId="11796"/>
    <cellStyle name="Normal 21 4 2" xfId="11795"/>
    <cellStyle name="Normal 21 5" xfId="11794"/>
    <cellStyle name="Normal 21 5 2" xfId="11793"/>
    <cellStyle name="Normal 21 6" xfId="11792"/>
    <cellStyle name="Normal 22" xfId="11791"/>
    <cellStyle name="Normal 22 2" xfId="11790"/>
    <cellStyle name="Normal 22 2 2" xfId="11789"/>
    <cellStyle name="Normal 22 3" xfId="11788"/>
    <cellStyle name="Normal 22 3 2" xfId="11787"/>
    <cellStyle name="Normal 22 4" xfId="11786"/>
    <cellStyle name="Normal 23" xfId="11785"/>
    <cellStyle name="Normal 23 2" xfId="11784"/>
    <cellStyle name="Normal 23 2 2" xfId="11783"/>
    <cellStyle name="Normal 23 2 3" xfId="11782"/>
    <cellStyle name="Normal 23 2 4" xfId="11781"/>
    <cellStyle name="Normal 23 3" xfId="11780"/>
    <cellStyle name="Normal 24" xfId="11779"/>
    <cellStyle name="Normal 24 2" xfId="11778"/>
    <cellStyle name="Normal 24 2 2" xfId="11777"/>
    <cellStyle name="Normal 24 3" xfId="11776"/>
    <cellStyle name="Normal 25" xfId="11775"/>
    <cellStyle name="Normal 25 2" xfId="11774"/>
    <cellStyle name="Normal 25 2 2" xfId="11773"/>
    <cellStyle name="Normal 25 3" xfId="11772"/>
    <cellStyle name="Normal 25 4" xfId="11771"/>
    <cellStyle name="Normal 26" xfId="11770"/>
    <cellStyle name="Normal 26 2" xfId="11769"/>
    <cellStyle name="Normal 26 2 2" xfId="11768"/>
    <cellStyle name="Normal 26 3" xfId="11767"/>
    <cellStyle name="Normal 27" xfId="11766"/>
    <cellStyle name="Normal 27 2" xfId="11765"/>
    <cellStyle name="Normal 28" xfId="11764"/>
    <cellStyle name="Normal 28 2" xfId="11763"/>
    <cellStyle name="Normal 29" xfId="11762"/>
    <cellStyle name="Normal 29 2" xfId="11761"/>
    <cellStyle name="Normal 3" xfId="11760"/>
    <cellStyle name="Normal 3 10" xfId="11759"/>
    <cellStyle name="Normal 3 11" xfId="11758"/>
    <cellStyle name="Normal 3 12" xfId="11757"/>
    <cellStyle name="Normal 3 13" xfId="11756"/>
    <cellStyle name="Normal 3 14" xfId="11755"/>
    <cellStyle name="Normal 3 15" xfId="11754"/>
    <cellStyle name="Normal 3 16" xfId="11753"/>
    <cellStyle name="Normal 3 17" xfId="11752"/>
    <cellStyle name="Normal 3 18" xfId="11751"/>
    <cellStyle name="Normal 3 19" xfId="11750"/>
    <cellStyle name="Normal 3 2" xfId="11749"/>
    <cellStyle name="Normal 3 2 10" xfId="11748"/>
    <cellStyle name="Normal 3 2 11" xfId="11747"/>
    <cellStyle name="Normal 3 2 12" xfId="11746"/>
    <cellStyle name="Normal 3 2 13" xfId="11745"/>
    <cellStyle name="Normal 3 2 14" xfId="11744"/>
    <cellStyle name="Normal 3 2 15" xfId="11743"/>
    <cellStyle name="Normal 3 2 16" xfId="11742"/>
    <cellStyle name="Normal 3 2 17" xfId="11741"/>
    <cellStyle name="Normal 3 2 2" xfId="11740"/>
    <cellStyle name="Normal 3 2 2 10" xfId="11739"/>
    <cellStyle name="Normal 3 2 2 11" xfId="11738"/>
    <cellStyle name="Normal 3 2 2 12" xfId="11737"/>
    <cellStyle name="Normal 3 2 2 13" xfId="11736"/>
    <cellStyle name="Normal 3 2 2 14" xfId="11735"/>
    <cellStyle name="Normal 3 2 2 2" xfId="11734"/>
    <cellStyle name="Normal 3 2 2 2 10" xfId="11733"/>
    <cellStyle name="Normal 3 2 2 2 11" xfId="11732"/>
    <cellStyle name="Normal 3 2 2 2 12" xfId="11731"/>
    <cellStyle name="Normal 3 2 2 2 13" xfId="11730"/>
    <cellStyle name="Normal 3 2 2 2 14" xfId="11729"/>
    <cellStyle name="Normal 3 2 2 2 2" xfId="11728"/>
    <cellStyle name="Normal 3 2 2 2 3" xfId="11727"/>
    <cellStyle name="Normal 3 2 2 2 4" xfId="11726"/>
    <cellStyle name="Normal 3 2 2 2 5" xfId="11725"/>
    <cellStyle name="Normal 3 2 2 2 6" xfId="11724"/>
    <cellStyle name="Normal 3 2 2 2 7" xfId="11723"/>
    <cellStyle name="Normal 3 2 2 2 8" xfId="11722"/>
    <cellStyle name="Normal 3 2 2 2 9" xfId="11721"/>
    <cellStyle name="Normal 3 2 2 3" xfId="11720"/>
    <cellStyle name="Normal 3 2 2 3 10" xfId="11719"/>
    <cellStyle name="Normal 3 2 2 3 11" xfId="11718"/>
    <cellStyle name="Normal 3 2 2 3 12" xfId="11717"/>
    <cellStyle name="Normal 3 2 2 3 13" xfId="11716"/>
    <cellStyle name="Normal 3 2 2 3 14" xfId="11715"/>
    <cellStyle name="Normal 3 2 2 3 2" xfId="11714"/>
    <cellStyle name="Normal 3 2 2 3 3" xfId="11713"/>
    <cellStyle name="Normal 3 2 2 3 4" xfId="11712"/>
    <cellStyle name="Normal 3 2 2 3 5" xfId="11711"/>
    <cellStyle name="Normal 3 2 2 3 6" xfId="11710"/>
    <cellStyle name="Normal 3 2 2 3 7" xfId="11709"/>
    <cellStyle name="Normal 3 2 2 3 8" xfId="11708"/>
    <cellStyle name="Normal 3 2 2 3 9" xfId="11707"/>
    <cellStyle name="Normal 3 2 2 4" xfId="11706"/>
    <cellStyle name="Normal 3 2 2 5" xfId="11705"/>
    <cellStyle name="Normal 3 2 2 6" xfId="11704"/>
    <cellStyle name="Normal 3 2 2 7" xfId="11703"/>
    <cellStyle name="Normal 3 2 2 8" xfId="11702"/>
    <cellStyle name="Normal 3 2 2 9" xfId="11701"/>
    <cellStyle name="Normal 3 2 3" xfId="11700"/>
    <cellStyle name="Normal 3 2 3 10" xfId="11699"/>
    <cellStyle name="Normal 3 2 3 11" xfId="11698"/>
    <cellStyle name="Normal 3 2 3 12" xfId="11697"/>
    <cellStyle name="Normal 3 2 3 13" xfId="11696"/>
    <cellStyle name="Normal 3 2 3 14" xfId="11695"/>
    <cellStyle name="Normal 3 2 3 2" xfId="11694"/>
    <cellStyle name="Normal 3 2 3 3" xfId="11693"/>
    <cellStyle name="Normal 3 2 3 4" xfId="11692"/>
    <cellStyle name="Normal 3 2 3 5" xfId="11691"/>
    <cellStyle name="Normal 3 2 3 6" xfId="11690"/>
    <cellStyle name="Normal 3 2 3 7" xfId="11689"/>
    <cellStyle name="Normal 3 2 3 8" xfId="11688"/>
    <cellStyle name="Normal 3 2 3 9" xfId="11687"/>
    <cellStyle name="Normal 3 2 4" xfId="11686"/>
    <cellStyle name="Normal 3 2 5" xfId="11685"/>
    <cellStyle name="Normal 3 2 6" xfId="11684"/>
    <cellStyle name="Normal 3 2 7" xfId="11683"/>
    <cellStyle name="Normal 3 2 8" xfId="11682"/>
    <cellStyle name="Normal 3 2 9" xfId="11681"/>
    <cellStyle name="Normal 3 2_150 KV KRAKSAAN-PROBOLINGGO 171011" xfId="11680"/>
    <cellStyle name="Normal 3 20" xfId="11679"/>
    <cellStyle name="Normal 3 21" xfId="11678"/>
    <cellStyle name="Normal 3 22" xfId="11677"/>
    <cellStyle name="Normal 3 23" xfId="11676"/>
    <cellStyle name="Normal 3 24" xfId="11675"/>
    <cellStyle name="Normal 3 25" xfId="11674"/>
    <cellStyle name="Normal 3 26" xfId="11673"/>
    <cellStyle name="Normal 3 27" xfId="11672"/>
    <cellStyle name="Normal 3 28" xfId="11671"/>
    <cellStyle name="Normal 3 29" xfId="11670"/>
    <cellStyle name="Normal 3 3" xfId="11669"/>
    <cellStyle name="Normal 3 3 10" xfId="11668"/>
    <cellStyle name="Normal 3 3 11" xfId="11667"/>
    <cellStyle name="Normal 3 3 12" xfId="11666"/>
    <cellStyle name="Normal 3 3 13" xfId="11665"/>
    <cellStyle name="Normal 3 3 14" xfId="11664"/>
    <cellStyle name="Normal 3 3 15" xfId="11663"/>
    <cellStyle name="Normal 3 3 2" xfId="11662"/>
    <cellStyle name="Normal 3 3 2 2" xfId="11661"/>
    <cellStyle name="Normal 3 3 2 3" xfId="11660"/>
    <cellStyle name="Normal 3 3 3" xfId="11659"/>
    <cellStyle name="Normal 3 3 3 2" xfId="11658"/>
    <cellStyle name="Normal 3 3 4" xfId="11657"/>
    <cellStyle name="Normal 3 3 5" xfId="11656"/>
    <cellStyle name="Normal 3 3 6" xfId="11655"/>
    <cellStyle name="Normal 3 3 7" xfId="11654"/>
    <cellStyle name="Normal 3 3 8" xfId="11653"/>
    <cellStyle name="Normal 3 3 9" xfId="11652"/>
    <cellStyle name="Normal 3 30" xfId="11651"/>
    <cellStyle name="Normal 3 31" xfId="11650"/>
    <cellStyle name="Normal 3 32" xfId="11649"/>
    <cellStyle name="Normal 3 33" xfId="11648"/>
    <cellStyle name="Normal 3 34" xfId="11647"/>
    <cellStyle name="Normal 3 35" xfId="11646"/>
    <cellStyle name="Normal 3 36" xfId="11645"/>
    <cellStyle name="Normal 3 37" xfId="11644"/>
    <cellStyle name="Normal 3 38" xfId="11643"/>
    <cellStyle name="Normal 3 39" xfId="11642"/>
    <cellStyle name="Normal 3 4" xfId="11641"/>
    <cellStyle name="Normal 3 4 10" xfId="11640"/>
    <cellStyle name="Normal 3 4 11" xfId="11639"/>
    <cellStyle name="Normal 3 4 12" xfId="11638"/>
    <cellStyle name="Normal 3 4 13" xfId="11637"/>
    <cellStyle name="Normal 3 4 14" xfId="11636"/>
    <cellStyle name="Normal 3 4 2" xfId="11635"/>
    <cellStyle name="Normal 3 4 3" xfId="11634"/>
    <cellStyle name="Normal 3 4 4" xfId="11633"/>
    <cellStyle name="Normal 3 4 5" xfId="11632"/>
    <cellStyle name="Normal 3 4 6" xfId="11631"/>
    <cellStyle name="Normal 3 4 7" xfId="11630"/>
    <cellStyle name="Normal 3 4 8" xfId="11629"/>
    <cellStyle name="Normal 3 4 9" xfId="11628"/>
    <cellStyle name="Normal 3 40" xfId="11627"/>
    <cellStyle name="Normal 3 41" xfId="11626"/>
    <cellStyle name="Normal 3 42" xfId="11625"/>
    <cellStyle name="Normal 3 43" xfId="11624"/>
    <cellStyle name="Normal 3 44" xfId="11623"/>
    <cellStyle name="Normal 3 45" xfId="11622"/>
    <cellStyle name="Normal 3 46" xfId="11621"/>
    <cellStyle name="Normal 3 47" xfId="11620"/>
    <cellStyle name="Normal 3 47 2" xfId="11619"/>
    <cellStyle name="Normal 3 47 3" xfId="11618"/>
    <cellStyle name="Normal 3 48" xfId="11617"/>
    <cellStyle name="Normal 3 48 2" xfId="11616"/>
    <cellStyle name="Normal 3 48 3" xfId="11615"/>
    <cellStyle name="Normal 3 49" xfId="11614"/>
    <cellStyle name="Normal 3 5" xfId="11613"/>
    <cellStyle name="Normal 3 5 10" xfId="11612"/>
    <cellStyle name="Normal 3 5 11" xfId="11611"/>
    <cellStyle name="Normal 3 5 12" xfId="11610"/>
    <cellStyle name="Normal 3 5 13" xfId="11609"/>
    <cellStyle name="Normal 3 5 14" xfId="11608"/>
    <cellStyle name="Normal 3 5 2" xfId="11607"/>
    <cellStyle name="Normal 3 5 3" xfId="11606"/>
    <cellStyle name="Normal 3 5 4" xfId="11605"/>
    <cellStyle name="Normal 3 5 5" xfId="11604"/>
    <cellStyle name="Normal 3 5 6" xfId="11603"/>
    <cellStyle name="Normal 3 5 7" xfId="11602"/>
    <cellStyle name="Normal 3 5 8" xfId="11601"/>
    <cellStyle name="Normal 3 5 9" xfId="11600"/>
    <cellStyle name="Normal 3 50" xfId="11599"/>
    <cellStyle name="Normal 3 51" xfId="11598"/>
    <cellStyle name="Normal 3 6" xfId="11597"/>
    <cellStyle name="Normal 3 6 2" xfId="11596"/>
    <cellStyle name="Normal 3 7" xfId="11595"/>
    <cellStyle name="Normal 3 7 2" xfId="11594"/>
    <cellStyle name="Normal 3 8" xfId="11593"/>
    <cellStyle name="Normal 3 8 2" xfId="11592"/>
    <cellStyle name="Normal 3 9" xfId="11591"/>
    <cellStyle name="Normal 3_00 EE ARS HALL VOLI" xfId="11590"/>
    <cellStyle name="Normal 30" xfId="11589"/>
    <cellStyle name="Normal 30 2" xfId="11588"/>
    <cellStyle name="Normal 30 3" xfId="11587"/>
    <cellStyle name="Normal 31" xfId="11586"/>
    <cellStyle name="Normal 31 2" xfId="11585"/>
    <cellStyle name="Normal 32" xfId="11584"/>
    <cellStyle name="Normal 32 2" xfId="11583"/>
    <cellStyle name="Normal 32 3" xfId="11582"/>
    <cellStyle name="Normal 32 4" xfId="11581"/>
    <cellStyle name="Normal 33" xfId="11580"/>
    <cellStyle name="Normal 33 2" xfId="11579"/>
    <cellStyle name="Normal 34" xfId="11578"/>
    <cellStyle name="Normal 34 2" xfId="11577"/>
    <cellStyle name="Normal 34 2 2" xfId="11576"/>
    <cellStyle name="Normal 35" xfId="11575"/>
    <cellStyle name="Normal 35 2" xfId="11574"/>
    <cellStyle name="Normal 35 2 2" xfId="11573"/>
    <cellStyle name="Normal 36" xfId="11572"/>
    <cellStyle name="Normal 36 2" xfId="11571"/>
    <cellStyle name="Normal 36 2 2" xfId="11570"/>
    <cellStyle name="Normal 36 3" xfId="11569"/>
    <cellStyle name="Normal 37" xfId="11568"/>
    <cellStyle name="Normal 38" xfId="11567"/>
    <cellStyle name="Normal 39" xfId="11566"/>
    <cellStyle name="Normal 39 2" xfId="11565"/>
    <cellStyle name="Normal 39 2 2" xfId="11564"/>
    <cellStyle name="Normal 39 3" xfId="11563"/>
    <cellStyle name="Normal 39 4" xfId="11562"/>
    <cellStyle name="Normal 4" xfId="11561"/>
    <cellStyle name="Normal 4 10" xfId="11560"/>
    <cellStyle name="Normal 4 10 2" xfId="11559"/>
    <cellStyle name="Normal 4 11" xfId="11558"/>
    <cellStyle name="Normal 4 11 2" xfId="11557"/>
    <cellStyle name="Normal 4 12" xfId="11556"/>
    <cellStyle name="Normal 4 12 2" xfId="11555"/>
    <cellStyle name="Normal 4 13" xfId="11554"/>
    <cellStyle name="Normal 4 13 2" xfId="11553"/>
    <cellStyle name="Normal 4 14" xfId="11552"/>
    <cellStyle name="Normal 4 14 2" xfId="11551"/>
    <cellStyle name="Normal 4 15" xfId="11550"/>
    <cellStyle name="Normal 4 15 2" xfId="11549"/>
    <cellStyle name="Normal 4 16" xfId="11548"/>
    <cellStyle name="Normal 4 16 2" xfId="11547"/>
    <cellStyle name="Normal 4 17" xfId="11546"/>
    <cellStyle name="Normal 4 17 2" xfId="11545"/>
    <cellStyle name="Normal 4 18" xfId="11544"/>
    <cellStyle name="Normal 4 18 2" xfId="11543"/>
    <cellStyle name="Normal 4 19" xfId="11542"/>
    <cellStyle name="Normal 4 2" xfId="11541"/>
    <cellStyle name="Normal 4 2 2" xfId="11540"/>
    <cellStyle name="Normal 4 2 2 2" xfId="11539"/>
    <cellStyle name="Normal 4 2 2 3" xfId="11538"/>
    <cellStyle name="Normal 4 2 3" xfId="11537"/>
    <cellStyle name="Normal 4 2 3 2" xfId="11536"/>
    <cellStyle name="Normal 4 2 4" xfId="11535"/>
    <cellStyle name="Normal 4 2 5" xfId="11534"/>
    <cellStyle name="Normal 4 2 6" xfId="11533"/>
    <cellStyle name="Normal 4 20" xfId="11532"/>
    <cellStyle name="Normal 4 21" xfId="11531"/>
    <cellStyle name="Normal 4 21 2" xfId="11530"/>
    <cellStyle name="Normal 4 21 2 2" xfId="11529"/>
    <cellStyle name="Normal 4 21 3" xfId="11528"/>
    <cellStyle name="Normal 4 22" xfId="11527"/>
    <cellStyle name="Normal 4 23" xfId="11526"/>
    <cellStyle name="Normal 4 24" xfId="11525"/>
    <cellStyle name="Normal 4 25" xfId="11524"/>
    <cellStyle name="Normal 4 26" xfId="11523"/>
    <cellStyle name="Normal 4 27" xfId="11522"/>
    <cellStyle name="Normal 4 3" xfId="11521"/>
    <cellStyle name="Normal 4 3 2" xfId="11520"/>
    <cellStyle name="Normal 4 3 2 2" xfId="11519"/>
    <cellStyle name="Normal 4 4" xfId="11518"/>
    <cellStyle name="Normal 4 4 2" xfId="11517"/>
    <cellStyle name="Normal 4 5" xfId="11516"/>
    <cellStyle name="Normal 4 5 2" xfId="11515"/>
    <cellStyle name="Normal 4 5 3" xfId="11514"/>
    <cellStyle name="Normal 4 6" xfId="11513"/>
    <cellStyle name="Normal 4 6 2" xfId="11512"/>
    <cellStyle name="Normal 4 6 2 2" xfId="11511"/>
    <cellStyle name="Normal 4 6 3" xfId="11510"/>
    <cellStyle name="Normal 4 6_Scope of Supply 6.3KV SWITCHGEAR" xfId="11509"/>
    <cellStyle name="Normal 4 7" xfId="11508"/>
    <cellStyle name="Normal 4 7 2" xfId="11507"/>
    <cellStyle name="Normal 4 8" xfId="11506"/>
    <cellStyle name="Normal 4 8 2" xfId="11505"/>
    <cellStyle name="Normal 4 9" xfId="11504"/>
    <cellStyle name="Normal 4 9 2" xfId="11503"/>
    <cellStyle name="Normal 4_150 KV KRAKSAAN-PROBOLINGGO 171011" xfId="11502"/>
    <cellStyle name="Normal 40" xfId="11501"/>
    <cellStyle name="Normal 40 2" xfId="11500"/>
    <cellStyle name="Normal 40 3" xfId="11499"/>
    <cellStyle name="Normal 41" xfId="11498"/>
    <cellStyle name="Normal 42" xfId="11497"/>
    <cellStyle name="Normal 42 2" xfId="11496"/>
    <cellStyle name="Normal 43" xfId="11495"/>
    <cellStyle name="Normal 43 2" xfId="11494"/>
    <cellStyle name="Normal 44" xfId="11493"/>
    <cellStyle name="Normal 44 2" xfId="11492"/>
    <cellStyle name="Normal 45" xfId="11491"/>
    <cellStyle name="Normal 46" xfId="11490"/>
    <cellStyle name="Normal 46 2" xfId="11489"/>
    <cellStyle name="Normal 47" xfId="11488"/>
    <cellStyle name="Normal 48" xfId="11487"/>
    <cellStyle name="Normal 49" xfId="11486"/>
    <cellStyle name="Normal 495" xfId="11485"/>
    <cellStyle name="Normal 5" xfId="11484"/>
    <cellStyle name="Normal 5 10" xfId="11483"/>
    <cellStyle name="Normal 5 10 2" xfId="11482"/>
    <cellStyle name="Normal 5 11" xfId="11481"/>
    <cellStyle name="Normal 5 11 2" xfId="11480"/>
    <cellStyle name="Normal 5 12" xfId="11479"/>
    <cellStyle name="Normal 5 12 2" xfId="11478"/>
    <cellStyle name="Normal 5 13" xfId="11477"/>
    <cellStyle name="Normal 5 13 2" xfId="11476"/>
    <cellStyle name="Normal 5 14" xfId="11475"/>
    <cellStyle name="Normal 5 14 2" xfId="11474"/>
    <cellStyle name="Normal 5 15" xfId="11473"/>
    <cellStyle name="Normal 5 15 2" xfId="11472"/>
    <cellStyle name="Normal 5 15 3" xfId="11471"/>
    <cellStyle name="Normal 5 16" xfId="11470"/>
    <cellStyle name="Normal 5 16 2" xfId="11469"/>
    <cellStyle name="Normal 5 16 3" xfId="11468"/>
    <cellStyle name="Normal 5 17" xfId="11467"/>
    <cellStyle name="Normal 5 17 2" xfId="11466"/>
    <cellStyle name="Normal 5 17 3" xfId="11465"/>
    <cellStyle name="Normal 5 18" xfId="11464"/>
    <cellStyle name="Normal 5 18 2" xfId="11463"/>
    <cellStyle name="Normal 5 18 3" xfId="11462"/>
    <cellStyle name="Normal 5 19" xfId="11461"/>
    <cellStyle name="Normal 5 19 2" xfId="11460"/>
    <cellStyle name="Normal 5 19 3" xfId="11459"/>
    <cellStyle name="Normal 5 2" xfId="11458"/>
    <cellStyle name="Normal 5 2 10" xfId="11457"/>
    <cellStyle name="Normal 5 2 10 2" xfId="11456"/>
    <cellStyle name="Normal 5 2 10 3" xfId="11455"/>
    <cellStyle name="Normal 5 2 11" xfId="11454"/>
    <cellStyle name="Normal 5 2 11 2" xfId="11453"/>
    <cellStyle name="Normal 5 2 11 3" xfId="11452"/>
    <cellStyle name="Normal 5 2 12" xfId="11451"/>
    <cellStyle name="Normal 5 2 12 2" xfId="11450"/>
    <cellStyle name="Normal 5 2 12 3" xfId="11449"/>
    <cellStyle name="Normal 5 2 13" xfId="11448"/>
    <cellStyle name="Normal 5 2 13 2" xfId="11447"/>
    <cellStyle name="Normal 5 2 13 3" xfId="11446"/>
    <cellStyle name="Normal 5 2 14" xfId="11445"/>
    <cellStyle name="Normal 5 2 14 2" xfId="11444"/>
    <cellStyle name="Normal 5 2 14 3" xfId="11443"/>
    <cellStyle name="Normal 5 2 15" xfId="11442"/>
    <cellStyle name="Normal 5 2 15 2" xfId="11441"/>
    <cellStyle name="Normal 5 2 15 3" xfId="11440"/>
    <cellStyle name="Normal 5 2 2" xfId="11439"/>
    <cellStyle name="Normal 5 2 2 10" xfId="11438"/>
    <cellStyle name="Normal 5 2 2 11" xfId="11437"/>
    <cellStyle name="Normal 5 2 2 12" xfId="11436"/>
    <cellStyle name="Normal 5 2 2 13" xfId="11435"/>
    <cellStyle name="Normal 5 2 2 14" xfId="11434"/>
    <cellStyle name="Normal 5 2 2 15" xfId="11433"/>
    <cellStyle name="Normal 5 2 2 16" xfId="11432"/>
    <cellStyle name="Normal 5 2 2 2" xfId="11431"/>
    <cellStyle name="Normal 5 2 2 2 2" xfId="11430"/>
    <cellStyle name="Normal 5 2 2 3" xfId="11429"/>
    <cellStyle name="Normal 5 2 2 4" xfId="11428"/>
    <cellStyle name="Normal 5 2 2 5" xfId="11427"/>
    <cellStyle name="Normal 5 2 2 6" xfId="11426"/>
    <cellStyle name="Normal 5 2 2 7" xfId="11425"/>
    <cellStyle name="Normal 5 2 2 8" xfId="11424"/>
    <cellStyle name="Normal 5 2 2 9" xfId="11423"/>
    <cellStyle name="Normal 5 2 3" xfId="11422"/>
    <cellStyle name="Normal 5 2 3 2" xfId="11421"/>
    <cellStyle name="Normal 5 2 3 2 2" xfId="11420"/>
    <cellStyle name="Normal 5 2 3 3" xfId="11419"/>
    <cellStyle name="Normal 5 2 4" xfId="11418"/>
    <cellStyle name="Normal 5 2 4 2" xfId="11417"/>
    <cellStyle name="Normal 5 2 4 3" xfId="11416"/>
    <cellStyle name="Normal 5 2 5" xfId="11415"/>
    <cellStyle name="Normal 5 2 5 2" xfId="11414"/>
    <cellStyle name="Normal 5 2 5 3" xfId="11413"/>
    <cellStyle name="Normal 5 2 6" xfId="11412"/>
    <cellStyle name="Normal 5 2 6 2" xfId="11411"/>
    <cellStyle name="Normal 5 2 6 3" xfId="11410"/>
    <cellStyle name="Normal 5 2 7" xfId="11409"/>
    <cellStyle name="Normal 5 2 7 2" xfId="11408"/>
    <cellStyle name="Normal 5 2 7 3" xfId="11407"/>
    <cellStyle name="Normal 5 2 8" xfId="11406"/>
    <cellStyle name="Normal 5 2 8 2" xfId="11405"/>
    <cellStyle name="Normal 5 2 8 3" xfId="11404"/>
    <cellStyle name="Normal 5 2 9" xfId="11403"/>
    <cellStyle name="Normal 5 2 9 2" xfId="11402"/>
    <cellStyle name="Normal 5 2 9 3" xfId="11401"/>
    <cellStyle name="Normal 5 2_Scope of Supply 6.3KV SWITCHGEAR" xfId="11400"/>
    <cellStyle name="Normal 5 20" xfId="11399"/>
    <cellStyle name="Normal 5 20 2" xfId="11398"/>
    <cellStyle name="Normal 5 20 3" xfId="11397"/>
    <cellStyle name="Normal 5 21" xfId="11396"/>
    <cellStyle name="Normal 5 21 2" xfId="11395"/>
    <cellStyle name="Normal 5 21 3" xfId="11394"/>
    <cellStyle name="Normal 5 22" xfId="11393"/>
    <cellStyle name="Normal 5 22 2" xfId="11392"/>
    <cellStyle name="Normal 5 22 3" xfId="11391"/>
    <cellStyle name="Normal 5 23" xfId="11390"/>
    <cellStyle name="Normal 5 23 2" xfId="11389"/>
    <cellStyle name="Normal 5 23 3" xfId="11388"/>
    <cellStyle name="Normal 5 24" xfId="11387"/>
    <cellStyle name="Normal 5 24 2" xfId="11386"/>
    <cellStyle name="Normal 5 24 3" xfId="11385"/>
    <cellStyle name="Normal 5 25" xfId="11384"/>
    <cellStyle name="Normal 5 25 2" xfId="11383"/>
    <cellStyle name="Normal 5 25 3" xfId="11382"/>
    <cellStyle name="Normal 5 26" xfId="11381"/>
    <cellStyle name="Normal 5 26 2" xfId="11380"/>
    <cellStyle name="Normal 5 26 3" xfId="11379"/>
    <cellStyle name="Normal 5 27" xfId="11378"/>
    <cellStyle name="Normal 5 27 2" xfId="11377"/>
    <cellStyle name="Normal 5 27 3" xfId="11376"/>
    <cellStyle name="Normal 5 28" xfId="11375"/>
    <cellStyle name="Normal 5 28 2" xfId="11374"/>
    <cellStyle name="Normal 5 29" xfId="11373"/>
    <cellStyle name="Normal 5 29 2" xfId="11372"/>
    <cellStyle name="Normal 5 3" xfId="11371"/>
    <cellStyle name="Normal 5 3 10" xfId="11370"/>
    <cellStyle name="Normal 5 3 10 2" xfId="11369"/>
    <cellStyle name="Normal 5 3 10 3" xfId="11368"/>
    <cellStyle name="Normal 5 3 11" xfId="11367"/>
    <cellStyle name="Normal 5 3 11 2" xfId="11366"/>
    <cellStyle name="Normal 5 3 11 3" xfId="11365"/>
    <cellStyle name="Normal 5 3 12" xfId="11364"/>
    <cellStyle name="Normal 5 3 12 2" xfId="11363"/>
    <cellStyle name="Normal 5 3 12 3" xfId="11362"/>
    <cellStyle name="Normal 5 3 13" xfId="11361"/>
    <cellStyle name="Normal 5 3 13 2" xfId="11360"/>
    <cellStyle name="Normal 5 3 13 3" xfId="11359"/>
    <cellStyle name="Normal 5 3 14" xfId="11358"/>
    <cellStyle name="Normal 5 3 14 2" xfId="11357"/>
    <cellStyle name="Normal 5 3 14 3" xfId="11356"/>
    <cellStyle name="Normal 5 3 15" xfId="11355"/>
    <cellStyle name="Normal 5 3 2" xfId="11354"/>
    <cellStyle name="Normal 5 3 2 2" xfId="11353"/>
    <cellStyle name="Normal 5 3 2 3" xfId="11352"/>
    <cellStyle name="Normal 5 3 3" xfId="11351"/>
    <cellStyle name="Normal 5 3 3 2" xfId="11350"/>
    <cellStyle name="Normal 5 3 3 3" xfId="11349"/>
    <cellStyle name="Normal 5 3 4" xfId="11348"/>
    <cellStyle name="Normal 5 3 4 2" xfId="11347"/>
    <cellStyle name="Normal 5 3 4 3" xfId="11346"/>
    <cellStyle name="Normal 5 3 5" xfId="11345"/>
    <cellStyle name="Normal 5 3 5 2" xfId="11344"/>
    <cellStyle name="Normal 5 3 5 3" xfId="11343"/>
    <cellStyle name="Normal 5 3 6" xfId="11342"/>
    <cellStyle name="Normal 5 3 6 2" xfId="11341"/>
    <cellStyle name="Normal 5 3 6 3" xfId="11340"/>
    <cellStyle name="Normal 5 3 7" xfId="11339"/>
    <cellStyle name="Normal 5 3 7 2" xfId="11338"/>
    <cellStyle name="Normal 5 3 7 3" xfId="11337"/>
    <cellStyle name="Normal 5 3 8" xfId="11336"/>
    <cellStyle name="Normal 5 3 8 2" xfId="11335"/>
    <cellStyle name="Normal 5 3 8 3" xfId="11334"/>
    <cellStyle name="Normal 5 3 9" xfId="11333"/>
    <cellStyle name="Normal 5 3 9 2" xfId="11332"/>
    <cellStyle name="Normal 5 3 9 3" xfId="11331"/>
    <cellStyle name="Normal 5 30" xfId="11330"/>
    <cellStyle name="Normal 5 30 2" xfId="11329"/>
    <cellStyle name="Normal 5 31" xfId="11328"/>
    <cellStyle name="Normal 5 31 2" xfId="11327"/>
    <cellStyle name="Normal 5 32" xfId="11326"/>
    <cellStyle name="Normal 5 32 2" xfId="11325"/>
    <cellStyle name="Normal 5 33" xfId="11324"/>
    <cellStyle name="Normal 5 33 2" xfId="11323"/>
    <cellStyle name="Normal 5 34" xfId="11322"/>
    <cellStyle name="Normal 5 34 2" xfId="11321"/>
    <cellStyle name="Normal 5 35" xfId="11320"/>
    <cellStyle name="Normal 5 35 2" xfId="11319"/>
    <cellStyle name="Normal 5 36" xfId="11318"/>
    <cellStyle name="Normal 5 36 2" xfId="11317"/>
    <cellStyle name="Normal 5 37" xfId="11316"/>
    <cellStyle name="Normal 5 37 2" xfId="11315"/>
    <cellStyle name="Normal 5 38" xfId="11314"/>
    <cellStyle name="Normal 5 38 2" xfId="11313"/>
    <cellStyle name="Normal 5 39" xfId="11312"/>
    <cellStyle name="Normal 5 39 2" xfId="11311"/>
    <cellStyle name="Normal 5 4" xfId="11310"/>
    <cellStyle name="Normal 5 4 10" xfId="11309"/>
    <cellStyle name="Normal 5 4 11" xfId="11308"/>
    <cellStyle name="Normal 5 4 12" xfId="11307"/>
    <cellStyle name="Normal 5 4 13" xfId="11306"/>
    <cellStyle name="Normal 5 4 14" xfId="11305"/>
    <cellStyle name="Normal 5 4 15" xfId="11304"/>
    <cellStyle name="Normal 5 4 2" xfId="11303"/>
    <cellStyle name="Normal 5 4 2 2" xfId="11302"/>
    <cellStyle name="Normal 5 4 3" xfId="11301"/>
    <cellStyle name="Normal 5 4 4" xfId="11300"/>
    <cellStyle name="Normal 5 4 5" xfId="11299"/>
    <cellStyle name="Normal 5 4 6" xfId="11298"/>
    <cellStyle name="Normal 5 4 7" xfId="11297"/>
    <cellStyle name="Normal 5 4 8" xfId="11296"/>
    <cellStyle name="Normal 5 4 9" xfId="11295"/>
    <cellStyle name="Normal 5 40" xfId="11294"/>
    <cellStyle name="Normal 5 40 2" xfId="11293"/>
    <cellStyle name="Normal 5 41" xfId="11292"/>
    <cellStyle name="Normal 5 41 2" xfId="11291"/>
    <cellStyle name="Normal 5 42" xfId="11290"/>
    <cellStyle name="Normal 5 42 2" xfId="11289"/>
    <cellStyle name="Normal 5 43" xfId="11288"/>
    <cellStyle name="Normal 5 5" xfId="11287"/>
    <cellStyle name="Normal 5 5 2" xfId="11286"/>
    <cellStyle name="Normal 5 5 2 2" xfId="11285"/>
    <cellStyle name="Normal 5 5 3" xfId="11284"/>
    <cellStyle name="Normal 5 6" xfId="11283"/>
    <cellStyle name="Normal 5 6 2" xfId="11282"/>
    <cellStyle name="Normal 5 7" xfId="11281"/>
    <cellStyle name="Normal 5 7 2" xfId="11280"/>
    <cellStyle name="Normal 5 8" xfId="11279"/>
    <cellStyle name="Normal 5 8 2" xfId="11278"/>
    <cellStyle name="Normal 5 9" xfId="11277"/>
    <cellStyle name="Normal 5 9 2" xfId="11276"/>
    <cellStyle name="Normal 5_DC ISLAMIC REV.3" xfId="11275"/>
    <cellStyle name="Normal 50" xfId="11274"/>
    <cellStyle name="Normal 51" xfId="11273"/>
    <cellStyle name="Normal 52" xfId="11272"/>
    <cellStyle name="Normal 53" xfId="11271"/>
    <cellStyle name="Normal 54" xfId="11270"/>
    <cellStyle name="Normal 54 2" xfId="11269"/>
    <cellStyle name="Normal 55" xfId="11268"/>
    <cellStyle name="Normal 56" xfId="11267"/>
    <cellStyle name="Normal 56 2" xfId="11266"/>
    <cellStyle name="Normal 57" xfId="11265"/>
    <cellStyle name="Normal 57 2" xfId="11264"/>
    <cellStyle name="Normal 58" xfId="11263"/>
    <cellStyle name="Normal 59" xfId="11262"/>
    <cellStyle name="Normal 6" xfId="11261"/>
    <cellStyle name="Normal 6 10" xfId="11260"/>
    <cellStyle name="Normal 6 11" xfId="11259"/>
    <cellStyle name="Normal 6 12" xfId="11258"/>
    <cellStyle name="Normal 6 13" xfId="11257"/>
    <cellStyle name="Normal 6 14" xfId="11256"/>
    <cellStyle name="Normal 6 15" xfId="11255"/>
    <cellStyle name="Normal 6 16" xfId="11254"/>
    <cellStyle name="Normal 6 17" xfId="11253"/>
    <cellStyle name="Normal 6 18" xfId="11252"/>
    <cellStyle name="Normal 6 2" xfId="11251"/>
    <cellStyle name="Normal 6 2 10" xfId="11250"/>
    <cellStyle name="Normal 6 2 11" xfId="11249"/>
    <cellStyle name="Normal 6 2 12" xfId="11248"/>
    <cellStyle name="Normal 6 2 13" xfId="11247"/>
    <cellStyle name="Normal 6 2 14" xfId="11246"/>
    <cellStyle name="Normal 6 2 15" xfId="11245"/>
    <cellStyle name="Normal 6 2 2" xfId="11244"/>
    <cellStyle name="Normal 6 2 3" xfId="11243"/>
    <cellStyle name="Normal 6 2 4" xfId="11242"/>
    <cellStyle name="Normal 6 2 5" xfId="11241"/>
    <cellStyle name="Normal 6 2 6" xfId="11240"/>
    <cellStyle name="Normal 6 2 7" xfId="11239"/>
    <cellStyle name="Normal 6 2 8" xfId="11238"/>
    <cellStyle name="Normal 6 2 9" xfId="11237"/>
    <cellStyle name="Normal 6 3" xfId="11236"/>
    <cellStyle name="Normal 6 3 2" xfId="11235"/>
    <cellStyle name="Normal 6 4" xfId="11234"/>
    <cellStyle name="Normal 6 5" xfId="11233"/>
    <cellStyle name="Normal 6 5 2" xfId="11232"/>
    <cellStyle name="Normal 6 6" xfId="11231"/>
    <cellStyle name="Normal 6 7" xfId="11230"/>
    <cellStyle name="Normal 6 8" xfId="11229"/>
    <cellStyle name="Normal 6 9" xfId="11228"/>
    <cellStyle name="Normal 6_DC ISLAMIC REV.3" xfId="11227"/>
    <cellStyle name="Normal 60" xfId="11226"/>
    <cellStyle name="Normal 61" xfId="11225"/>
    <cellStyle name="Normal 62" xfId="11224"/>
    <cellStyle name="Normal 63" xfId="11223"/>
    <cellStyle name="Normal 63 2" xfId="11222"/>
    <cellStyle name="Normal 64" xfId="11221"/>
    <cellStyle name="Normal 64 2" xfId="11220"/>
    <cellStyle name="Normal 65" xfId="11219"/>
    <cellStyle name="Normal 65 2" xfId="11218"/>
    <cellStyle name="Normal 65 2 2" xfId="11217"/>
    <cellStyle name="Normal 65 2 3" xfId="11216"/>
    <cellStyle name="Normal 66" xfId="11215"/>
    <cellStyle name="Normal 67" xfId="11214"/>
    <cellStyle name="Normal 67 2" xfId="11213"/>
    <cellStyle name="Normal 68" xfId="11212"/>
    <cellStyle name="Normal 69" xfId="11211"/>
    <cellStyle name="Normal 7" xfId="11210"/>
    <cellStyle name="Normal 7 10" xfId="11209"/>
    <cellStyle name="Normal 7 11" xfId="11208"/>
    <cellStyle name="Normal 7 12" xfId="11207"/>
    <cellStyle name="Normal 7 13" xfId="11206"/>
    <cellStyle name="Normal 7 14" xfId="11205"/>
    <cellStyle name="Normal 7 15" xfId="11204"/>
    <cellStyle name="Normal 7 16" xfId="11203"/>
    <cellStyle name="Normal 7 2" xfId="11202"/>
    <cellStyle name="Normal 7 2 2" xfId="11201"/>
    <cellStyle name="Normal 7 3" xfId="11200"/>
    <cellStyle name="Normal 7 4" xfId="11199"/>
    <cellStyle name="Normal 7 4 2" xfId="11198"/>
    <cellStyle name="Normal 7 5" xfId="11197"/>
    <cellStyle name="Normal 7 5 2" xfId="11196"/>
    <cellStyle name="Normal 7 5 2 2" xfId="11195"/>
    <cellStyle name="Normal 7 5 3" xfId="11194"/>
    <cellStyle name="Normal 7 6" xfId="11193"/>
    <cellStyle name="Normal 7 7" xfId="11192"/>
    <cellStyle name="Normal 7 8" xfId="11191"/>
    <cellStyle name="Normal 7 9" xfId="11190"/>
    <cellStyle name="Normal 7_BUDPAR CIREBON (8-5-07)" xfId="11189"/>
    <cellStyle name="Normal 70" xfId="11188"/>
    <cellStyle name="Normal 70 2" xfId="11187"/>
    <cellStyle name="Normal 70 3" xfId="11186"/>
    <cellStyle name="Normal 71" xfId="11185"/>
    <cellStyle name="Normal 71 2" xfId="11184"/>
    <cellStyle name="Normal 71 3" xfId="11183"/>
    <cellStyle name="Normal 72" xfId="11182"/>
    <cellStyle name="Normal 72 2" xfId="11181"/>
    <cellStyle name="Normal 72 3" xfId="11180"/>
    <cellStyle name="Normal 73" xfId="11179"/>
    <cellStyle name="Normal 73 2" xfId="11178"/>
    <cellStyle name="Normal 73 3" xfId="11177"/>
    <cellStyle name="Normal 74" xfId="11176"/>
    <cellStyle name="Normal 74 2" xfId="11175"/>
    <cellStyle name="Normal 74 3" xfId="11174"/>
    <cellStyle name="Normal 75" xfId="11173"/>
    <cellStyle name="Normal 76" xfId="11172"/>
    <cellStyle name="Normal 77" xfId="11171"/>
    <cellStyle name="Normal 77 2" xfId="11170"/>
    <cellStyle name="Normal 77 3" xfId="11169"/>
    <cellStyle name="Normal 78" xfId="11168"/>
    <cellStyle name="Normal 78 2" xfId="11167"/>
    <cellStyle name="Normal 78 3" xfId="11166"/>
    <cellStyle name="Normal 78 4" xfId="11165"/>
    <cellStyle name="Normal 78 5" xfId="11164"/>
    <cellStyle name="Normal 78 6" xfId="11163"/>
    <cellStyle name="Normal 78 7" xfId="11162"/>
    <cellStyle name="Normal 79" xfId="11161"/>
    <cellStyle name="Normal 79 2" xfId="11160"/>
    <cellStyle name="Normal 8" xfId="11159"/>
    <cellStyle name="Normal 8 10" xfId="11158"/>
    <cellStyle name="Normal 8 2" xfId="11157"/>
    <cellStyle name="Normal 8 2 2" xfId="11156"/>
    <cellStyle name="Normal 8 2 3" xfId="11155"/>
    <cellStyle name="Normal 8 2 4" xfId="11154"/>
    <cellStyle name="Normal 8 2 5" xfId="11153"/>
    <cellStyle name="Normal 8 2 6" xfId="11152"/>
    <cellStyle name="Normal 8 3" xfId="11151"/>
    <cellStyle name="Normal 8 4" xfId="11150"/>
    <cellStyle name="Normal 8 5" xfId="11149"/>
    <cellStyle name="Normal 8 6" xfId="11148"/>
    <cellStyle name="Normal 8 7" xfId="11147"/>
    <cellStyle name="Normal 8_00 EE ARS HALL VOLI" xfId="11146"/>
    <cellStyle name="Normal 80" xfId="11145"/>
    <cellStyle name="Normal 80 2" xfId="11144"/>
    <cellStyle name="Normal 80 3" xfId="11143"/>
    <cellStyle name="Normal 81" xfId="11142"/>
    <cellStyle name="Normal 81 2" xfId="11141"/>
    <cellStyle name="Normal 82" xfId="11140"/>
    <cellStyle name="Normal 83" xfId="11139"/>
    <cellStyle name="Normal 84" xfId="11138"/>
    <cellStyle name="Normal 85" xfId="11137"/>
    <cellStyle name="Normal 86" xfId="11136"/>
    <cellStyle name="Normal 87" xfId="11135"/>
    <cellStyle name="Normal 88" xfId="11134"/>
    <cellStyle name="Normal 89" xfId="11133"/>
    <cellStyle name="Normal 9" xfId="11132"/>
    <cellStyle name="Normal 9 10" xfId="11131"/>
    <cellStyle name="Normal 9 2" xfId="11130"/>
    <cellStyle name="Normal 9 2 2" xfId="11129"/>
    <cellStyle name="Normal 9 2 3" xfId="11128"/>
    <cellStyle name="Normal 9 3" xfId="11127"/>
    <cellStyle name="Normal 9 4" xfId="11126"/>
    <cellStyle name="Normal 9 4 2" xfId="11125"/>
    <cellStyle name="Normal 9 5" xfId="11124"/>
    <cellStyle name="Normal 9 6" xfId="11123"/>
    <cellStyle name="Normal 90" xfId="11122"/>
    <cellStyle name="Normal 91" xfId="11121"/>
    <cellStyle name="Normal 92" xfId="11120"/>
    <cellStyle name="Normal 92 2" xfId="11119"/>
    <cellStyle name="Normal 93" xfId="11118"/>
    <cellStyle name="Normal 93 2" xfId="11117"/>
    <cellStyle name="Normal 94" xfId="11116"/>
    <cellStyle name="Normal 95" xfId="11115"/>
    <cellStyle name="Normal 95 2" xfId="11114"/>
    <cellStyle name="Normal 96" xfId="11113"/>
    <cellStyle name="Normal 97" xfId="11112"/>
    <cellStyle name="Normal 98" xfId="11111"/>
    <cellStyle name="Normal 989" xfId="11110"/>
    <cellStyle name="Normal 99" xfId="11109"/>
    <cellStyle name="Normal 991" xfId="11108"/>
    <cellStyle name="Normal 992" xfId="11107"/>
    <cellStyle name="Normal Bold" xfId="11106"/>
    <cellStyle name="Normal Pct" xfId="11105"/>
    <cellStyle name="Normal[0]" xfId="11104"/>
    <cellStyle name="Normal[0] 2" xfId="11103"/>
    <cellStyle name="Normal[0] 2 2" xfId="11102"/>
    <cellStyle name="Normal[0] 3" xfId="11101"/>
    <cellStyle name="Normal_2.PLTU 1YES JABAR-SUKAMANDI final hrb 19 5 07HAR to 19 6 07" xfId="11100"/>
    <cellStyle name="Normal_RAB SUKAMANDI - KOSAMBI BARU MASTER hrb 13 5 07" xfId="11099"/>
    <cellStyle name="Normal_RANTAU-SIDEMPUAN.xlW 2" xfId="11098"/>
    <cellStyle name="Normal_skld-krj 2 2" xfId="11097"/>
    <cellStyle name="Normal_skld-krj 3" xfId="11096"/>
    <cellStyle name="Normal_YESSTL_PLTU_3_JATIM__TAA____TUBAN_HPS_SEPAKATBQ_OK_hrb_9_5_07" xfId="11095"/>
    <cellStyle name="Normal02" xfId="11094"/>
    <cellStyle name="Normal02 10" xfId="11093"/>
    <cellStyle name="Normal02 10 2" xfId="11092"/>
    <cellStyle name="Normal02 10 3" xfId="11091"/>
    <cellStyle name="Normal02 10 4" xfId="11090"/>
    <cellStyle name="Normal02 10 5" xfId="11089"/>
    <cellStyle name="Normal02 11" xfId="11088"/>
    <cellStyle name="Normal02 11 2" xfId="11087"/>
    <cellStyle name="Normal02 11 3" xfId="11086"/>
    <cellStyle name="Normal02 11 4" xfId="11085"/>
    <cellStyle name="Normal02 11 5" xfId="11084"/>
    <cellStyle name="Normal02 12" xfId="11083"/>
    <cellStyle name="Normal02 12 2" xfId="11082"/>
    <cellStyle name="Normal02 12 3" xfId="11081"/>
    <cellStyle name="Normal02 12 4" xfId="11080"/>
    <cellStyle name="Normal02 12 5" xfId="11079"/>
    <cellStyle name="Normal02 13" xfId="11078"/>
    <cellStyle name="Normal02 14" xfId="11077"/>
    <cellStyle name="Normal02 15" xfId="11076"/>
    <cellStyle name="Normal02 16" xfId="11075"/>
    <cellStyle name="Normal02 2" xfId="11074"/>
    <cellStyle name="Normal02 2 10" xfId="11073"/>
    <cellStyle name="Normal02 2 10 2" xfId="11072"/>
    <cellStyle name="Normal02 2 10 3" xfId="11071"/>
    <cellStyle name="Normal02 2 10 4" xfId="11070"/>
    <cellStyle name="Normal02 2 10 5" xfId="11069"/>
    <cellStyle name="Normal02 2 11" xfId="11068"/>
    <cellStyle name="Normal02 2 12" xfId="11067"/>
    <cellStyle name="Normal02 2 13" xfId="11066"/>
    <cellStyle name="Normal02 2 14" xfId="11065"/>
    <cellStyle name="Normal02 2 2" xfId="11064"/>
    <cellStyle name="Normal02 2 2 10" xfId="11063"/>
    <cellStyle name="Normal02 2 2 11" xfId="11062"/>
    <cellStyle name="Normal02 2 2 12" xfId="11061"/>
    <cellStyle name="Normal02 2 2 2" xfId="11060"/>
    <cellStyle name="Normal02 2 2 2 2" xfId="11059"/>
    <cellStyle name="Normal02 2 2 2 3" xfId="11058"/>
    <cellStyle name="Normal02 2 2 2 4" xfId="11057"/>
    <cellStyle name="Normal02 2 2 2 5" xfId="11056"/>
    <cellStyle name="Normal02 2 2 3" xfId="11055"/>
    <cellStyle name="Normal02 2 2 3 2" xfId="11054"/>
    <cellStyle name="Normal02 2 2 3 3" xfId="11053"/>
    <cellStyle name="Normal02 2 2 3 4" xfId="11052"/>
    <cellStyle name="Normal02 2 2 3 5" xfId="11051"/>
    <cellStyle name="Normal02 2 2 4" xfId="11050"/>
    <cellStyle name="Normal02 2 2 4 2" xfId="11049"/>
    <cellStyle name="Normal02 2 2 4 3" xfId="11048"/>
    <cellStyle name="Normal02 2 2 4 4" xfId="11047"/>
    <cellStyle name="Normal02 2 2 4 5" xfId="11046"/>
    <cellStyle name="Normal02 2 2 5" xfId="11045"/>
    <cellStyle name="Normal02 2 2 5 2" xfId="11044"/>
    <cellStyle name="Normal02 2 2 5 3" xfId="11043"/>
    <cellStyle name="Normal02 2 2 5 4" xfId="11042"/>
    <cellStyle name="Normal02 2 2 5 5" xfId="11041"/>
    <cellStyle name="Normal02 2 2 6" xfId="11040"/>
    <cellStyle name="Normal02 2 2 6 2" xfId="11039"/>
    <cellStyle name="Normal02 2 2 6 3" xfId="11038"/>
    <cellStyle name="Normal02 2 2 6 4" xfId="11037"/>
    <cellStyle name="Normal02 2 2 6 5" xfId="11036"/>
    <cellStyle name="Normal02 2 2 7" xfId="11035"/>
    <cellStyle name="Normal02 2 2 7 2" xfId="11034"/>
    <cellStyle name="Normal02 2 2 7 3" xfId="11033"/>
    <cellStyle name="Normal02 2 2 7 4" xfId="11032"/>
    <cellStyle name="Normal02 2 2 7 5" xfId="11031"/>
    <cellStyle name="Normal02 2 2 8" xfId="11030"/>
    <cellStyle name="Normal02 2 2 8 2" xfId="11029"/>
    <cellStyle name="Normal02 2 2 8 3" xfId="11028"/>
    <cellStyle name="Normal02 2 2 8 4" xfId="11027"/>
    <cellStyle name="Normal02 2 2 8 5" xfId="11026"/>
    <cellStyle name="Normal02 2 2 9" xfId="11025"/>
    <cellStyle name="Normal02 2 3" xfId="11024"/>
    <cellStyle name="Normal02 2 3 2" xfId="11023"/>
    <cellStyle name="Normal02 2 3 3" xfId="11022"/>
    <cellStyle name="Normal02 2 3 4" xfId="11021"/>
    <cellStyle name="Normal02 2 3 5" xfId="11020"/>
    <cellStyle name="Normal02 2 4" xfId="11019"/>
    <cellStyle name="Normal02 2 4 2" xfId="11018"/>
    <cellStyle name="Normal02 2 4 3" xfId="11017"/>
    <cellStyle name="Normal02 2 4 4" xfId="11016"/>
    <cellStyle name="Normal02 2 4 5" xfId="11015"/>
    <cellStyle name="Normal02 2 5" xfId="11014"/>
    <cellStyle name="Normal02 2 5 2" xfId="11013"/>
    <cellStyle name="Normal02 2 5 3" xfId="11012"/>
    <cellStyle name="Normal02 2 5 4" xfId="11011"/>
    <cellStyle name="Normal02 2 5 5" xfId="11010"/>
    <cellStyle name="Normal02 2 6" xfId="11009"/>
    <cellStyle name="Normal02 2 6 2" xfId="11008"/>
    <cellStyle name="Normal02 2 6 3" xfId="11007"/>
    <cellStyle name="Normal02 2 6 4" xfId="11006"/>
    <cellStyle name="Normal02 2 6 5" xfId="11005"/>
    <cellStyle name="Normal02 2 7" xfId="11004"/>
    <cellStyle name="Normal02 2 7 2" xfId="11003"/>
    <cellStyle name="Normal02 2 7 3" xfId="11002"/>
    <cellStyle name="Normal02 2 7 4" xfId="11001"/>
    <cellStyle name="Normal02 2 7 5" xfId="11000"/>
    <cellStyle name="Normal02 2 8" xfId="10999"/>
    <cellStyle name="Normal02 2 8 2" xfId="10998"/>
    <cellStyle name="Normal02 2 8 3" xfId="10997"/>
    <cellStyle name="Normal02 2 8 4" xfId="10996"/>
    <cellStyle name="Normal02 2 8 5" xfId="10995"/>
    <cellStyle name="Normal02 2 9" xfId="10994"/>
    <cellStyle name="Normal02 2 9 2" xfId="10993"/>
    <cellStyle name="Normal02 2 9 3" xfId="10992"/>
    <cellStyle name="Normal02 2 9 4" xfId="10991"/>
    <cellStyle name="Normal02 2 9 5" xfId="10990"/>
    <cellStyle name="Normal02 3" xfId="10989"/>
    <cellStyle name="Normal02 3 10" xfId="10988"/>
    <cellStyle name="Normal02 3 10 2" xfId="10987"/>
    <cellStyle name="Normal02 3 10 3" xfId="10986"/>
    <cellStyle name="Normal02 3 10 4" xfId="10985"/>
    <cellStyle name="Normal02 3 10 5" xfId="10984"/>
    <cellStyle name="Normal02 3 11" xfId="10983"/>
    <cellStyle name="Normal02 3 12" xfId="10982"/>
    <cellStyle name="Normal02 3 13" xfId="10981"/>
    <cellStyle name="Normal02 3 14" xfId="10980"/>
    <cellStyle name="Normal02 3 2" xfId="10979"/>
    <cellStyle name="Normal02 3 2 10" xfId="10978"/>
    <cellStyle name="Normal02 3 2 11" xfId="10977"/>
    <cellStyle name="Normal02 3 2 12" xfId="10976"/>
    <cellStyle name="Normal02 3 2 2" xfId="10975"/>
    <cellStyle name="Normal02 3 2 2 2" xfId="10974"/>
    <cellStyle name="Normal02 3 2 2 3" xfId="10973"/>
    <cellStyle name="Normal02 3 2 2 4" xfId="10972"/>
    <cellStyle name="Normal02 3 2 2 5" xfId="10971"/>
    <cellStyle name="Normal02 3 2 3" xfId="10970"/>
    <cellStyle name="Normal02 3 2 3 2" xfId="10969"/>
    <cellStyle name="Normal02 3 2 3 3" xfId="10968"/>
    <cellStyle name="Normal02 3 2 3 4" xfId="10967"/>
    <cellStyle name="Normal02 3 2 3 5" xfId="10966"/>
    <cellStyle name="Normal02 3 2 4" xfId="10965"/>
    <cellStyle name="Normal02 3 2 4 2" xfId="10964"/>
    <cellStyle name="Normal02 3 2 4 3" xfId="10963"/>
    <cellStyle name="Normal02 3 2 4 4" xfId="10962"/>
    <cellStyle name="Normal02 3 2 4 5" xfId="10961"/>
    <cellStyle name="Normal02 3 2 5" xfId="10960"/>
    <cellStyle name="Normal02 3 2 5 2" xfId="10959"/>
    <cellStyle name="Normal02 3 2 5 3" xfId="10958"/>
    <cellStyle name="Normal02 3 2 5 4" xfId="10957"/>
    <cellStyle name="Normal02 3 2 5 5" xfId="10956"/>
    <cellStyle name="Normal02 3 2 6" xfId="10955"/>
    <cellStyle name="Normal02 3 2 6 2" xfId="10954"/>
    <cellStyle name="Normal02 3 2 6 3" xfId="10953"/>
    <cellStyle name="Normal02 3 2 6 4" xfId="10952"/>
    <cellStyle name="Normal02 3 2 6 5" xfId="10951"/>
    <cellStyle name="Normal02 3 2 7" xfId="10950"/>
    <cellStyle name="Normal02 3 2 7 2" xfId="10949"/>
    <cellStyle name="Normal02 3 2 7 3" xfId="10948"/>
    <cellStyle name="Normal02 3 2 7 4" xfId="10947"/>
    <cellStyle name="Normal02 3 2 7 5" xfId="10946"/>
    <cellStyle name="Normal02 3 2 8" xfId="10945"/>
    <cellStyle name="Normal02 3 2 8 2" xfId="10944"/>
    <cellStyle name="Normal02 3 2 8 3" xfId="10943"/>
    <cellStyle name="Normal02 3 2 8 4" xfId="10942"/>
    <cellStyle name="Normal02 3 2 8 5" xfId="10941"/>
    <cellStyle name="Normal02 3 2 9" xfId="10940"/>
    <cellStyle name="Normal02 3 3" xfId="10939"/>
    <cellStyle name="Normal02 3 3 2" xfId="10938"/>
    <cellStyle name="Normal02 3 3 3" xfId="10937"/>
    <cellStyle name="Normal02 3 3 4" xfId="10936"/>
    <cellStyle name="Normal02 3 3 5" xfId="10935"/>
    <cellStyle name="Normal02 3 4" xfId="10934"/>
    <cellStyle name="Normal02 3 4 2" xfId="10933"/>
    <cellStyle name="Normal02 3 4 3" xfId="10932"/>
    <cellStyle name="Normal02 3 4 4" xfId="10931"/>
    <cellStyle name="Normal02 3 4 5" xfId="10930"/>
    <cellStyle name="Normal02 3 5" xfId="10929"/>
    <cellStyle name="Normal02 3 5 2" xfId="10928"/>
    <cellStyle name="Normal02 3 5 3" xfId="10927"/>
    <cellStyle name="Normal02 3 5 4" xfId="10926"/>
    <cellStyle name="Normal02 3 5 5" xfId="10925"/>
    <cellStyle name="Normal02 3 6" xfId="10924"/>
    <cellStyle name="Normal02 3 6 2" xfId="10923"/>
    <cellStyle name="Normal02 3 6 3" xfId="10922"/>
    <cellStyle name="Normal02 3 6 4" xfId="10921"/>
    <cellStyle name="Normal02 3 6 5" xfId="10920"/>
    <cellStyle name="Normal02 3 7" xfId="10919"/>
    <cellStyle name="Normal02 3 7 2" xfId="10918"/>
    <cellStyle name="Normal02 3 7 3" xfId="10917"/>
    <cellStyle name="Normal02 3 7 4" xfId="10916"/>
    <cellStyle name="Normal02 3 7 5" xfId="10915"/>
    <cellStyle name="Normal02 3 8" xfId="10914"/>
    <cellStyle name="Normal02 3 8 2" xfId="10913"/>
    <cellStyle name="Normal02 3 8 3" xfId="10912"/>
    <cellStyle name="Normal02 3 8 4" xfId="10911"/>
    <cellStyle name="Normal02 3 8 5" xfId="10910"/>
    <cellStyle name="Normal02 3 9" xfId="10909"/>
    <cellStyle name="Normal02 3 9 2" xfId="10908"/>
    <cellStyle name="Normal02 3 9 3" xfId="10907"/>
    <cellStyle name="Normal02 3 9 4" xfId="10906"/>
    <cellStyle name="Normal02 3 9 5" xfId="10905"/>
    <cellStyle name="Normal02 4" xfId="10904"/>
    <cellStyle name="Normal02 4 10" xfId="10903"/>
    <cellStyle name="Normal02 4 11" xfId="10902"/>
    <cellStyle name="Normal02 4 12" xfId="10901"/>
    <cellStyle name="Normal02 4 2" xfId="10900"/>
    <cellStyle name="Normal02 4 2 2" xfId="10899"/>
    <cellStyle name="Normal02 4 2 3" xfId="10898"/>
    <cellStyle name="Normal02 4 2 4" xfId="10897"/>
    <cellStyle name="Normal02 4 2 5" xfId="10896"/>
    <cellStyle name="Normal02 4 3" xfId="10895"/>
    <cellStyle name="Normal02 4 3 2" xfId="10894"/>
    <cellStyle name="Normal02 4 3 3" xfId="10893"/>
    <cellStyle name="Normal02 4 3 4" xfId="10892"/>
    <cellStyle name="Normal02 4 3 5" xfId="10891"/>
    <cellStyle name="Normal02 4 4" xfId="10890"/>
    <cellStyle name="Normal02 4 4 2" xfId="10889"/>
    <cellStyle name="Normal02 4 4 3" xfId="10888"/>
    <cellStyle name="Normal02 4 4 4" xfId="10887"/>
    <cellStyle name="Normal02 4 4 5" xfId="10886"/>
    <cellStyle name="Normal02 4 5" xfId="10885"/>
    <cellStyle name="Normal02 4 5 2" xfId="10884"/>
    <cellStyle name="Normal02 4 5 3" xfId="10883"/>
    <cellStyle name="Normal02 4 5 4" xfId="10882"/>
    <cellStyle name="Normal02 4 5 5" xfId="10881"/>
    <cellStyle name="Normal02 4 6" xfId="10880"/>
    <cellStyle name="Normal02 4 6 2" xfId="10879"/>
    <cellStyle name="Normal02 4 6 3" xfId="10878"/>
    <cellStyle name="Normal02 4 6 4" xfId="10877"/>
    <cellStyle name="Normal02 4 6 5" xfId="10876"/>
    <cellStyle name="Normal02 4 7" xfId="10875"/>
    <cellStyle name="Normal02 4 7 2" xfId="10874"/>
    <cellStyle name="Normal02 4 7 3" xfId="10873"/>
    <cellStyle name="Normal02 4 7 4" xfId="10872"/>
    <cellStyle name="Normal02 4 7 5" xfId="10871"/>
    <cellStyle name="Normal02 4 8" xfId="10870"/>
    <cellStyle name="Normal02 4 8 2" xfId="10869"/>
    <cellStyle name="Normal02 4 8 3" xfId="10868"/>
    <cellStyle name="Normal02 4 8 4" xfId="10867"/>
    <cellStyle name="Normal02 4 8 5" xfId="10866"/>
    <cellStyle name="Normal02 4 9" xfId="10865"/>
    <cellStyle name="Normal02 5" xfId="10864"/>
    <cellStyle name="Normal02 5 2" xfId="10863"/>
    <cellStyle name="Normal02 5 3" xfId="10862"/>
    <cellStyle name="Normal02 5 4" xfId="10861"/>
    <cellStyle name="Normal02 5 5" xfId="10860"/>
    <cellStyle name="Normal02 6" xfId="10859"/>
    <cellStyle name="Normal02 6 2" xfId="10858"/>
    <cellStyle name="Normal02 6 3" xfId="10857"/>
    <cellStyle name="Normal02 6 4" xfId="10856"/>
    <cellStyle name="Normal02 6 5" xfId="10855"/>
    <cellStyle name="Normal02 7" xfId="10854"/>
    <cellStyle name="Normal02 7 2" xfId="10853"/>
    <cellStyle name="Normal02 7 3" xfId="10852"/>
    <cellStyle name="Normal02 7 4" xfId="10851"/>
    <cellStyle name="Normal02 7 5" xfId="10850"/>
    <cellStyle name="Normal02 8" xfId="10849"/>
    <cellStyle name="Normal02 8 2" xfId="10848"/>
    <cellStyle name="Normal02 8 3" xfId="10847"/>
    <cellStyle name="Normal02 8 4" xfId="10846"/>
    <cellStyle name="Normal02 8 5" xfId="10845"/>
    <cellStyle name="Normal02 9" xfId="10844"/>
    <cellStyle name="Normal02 9 2" xfId="10843"/>
    <cellStyle name="Normal02 9 3" xfId="10842"/>
    <cellStyle name="Normal02 9 4" xfId="10841"/>
    <cellStyle name="Normal02 9 5" xfId="10840"/>
    <cellStyle name="Normal1" xfId="10839"/>
    <cellStyle name="Normal1 2" xfId="10838"/>
    <cellStyle name="Normal2" xfId="10837"/>
    <cellStyle name="Normal2 10" xfId="10836"/>
    <cellStyle name="Normal2 10 2" xfId="10835"/>
    <cellStyle name="Normal2 10 2 2" xfId="10834"/>
    <cellStyle name="Normal2 10 3" xfId="10833"/>
    <cellStyle name="Normal2 11" xfId="10832"/>
    <cellStyle name="Normal2 11 2" xfId="10831"/>
    <cellStyle name="Normal2 11 2 2" xfId="10830"/>
    <cellStyle name="Normal2 11 3" xfId="10829"/>
    <cellStyle name="Normal2 2" xfId="10828"/>
    <cellStyle name="Normal2 2 10" xfId="10827"/>
    <cellStyle name="Normal2 2 10 2" xfId="10826"/>
    <cellStyle name="Normal2 2 11" xfId="10825"/>
    <cellStyle name="Normal2 2 2" xfId="10824"/>
    <cellStyle name="Normal2 2 2 2" xfId="10823"/>
    <cellStyle name="Normal2 2 2 2 2" xfId="10822"/>
    <cellStyle name="Normal2 2 2 2 2 2" xfId="10821"/>
    <cellStyle name="Normal2 2 2 2 3" xfId="10820"/>
    <cellStyle name="Normal2 2 2 3" xfId="10819"/>
    <cellStyle name="Normal2 2 2 3 2" xfId="10818"/>
    <cellStyle name="Normal2 2 2 3 2 2" xfId="10817"/>
    <cellStyle name="Normal2 2 2 3 3" xfId="10816"/>
    <cellStyle name="Normal2 2 2 4" xfId="10815"/>
    <cellStyle name="Normal2 2 2 4 2" xfId="10814"/>
    <cellStyle name="Normal2 2 2 4 2 2" xfId="10813"/>
    <cellStyle name="Normal2 2 2 4 3" xfId="10812"/>
    <cellStyle name="Normal2 2 2 5" xfId="10811"/>
    <cellStyle name="Normal2 2 2 5 2" xfId="10810"/>
    <cellStyle name="Normal2 2 2 5 2 2" xfId="10809"/>
    <cellStyle name="Normal2 2 2 5 3" xfId="10808"/>
    <cellStyle name="Normal2 2 2 6" xfId="10807"/>
    <cellStyle name="Normal2 2 2 6 2" xfId="10806"/>
    <cellStyle name="Normal2 2 2 6 2 2" xfId="10805"/>
    <cellStyle name="Normal2 2 2 6 3" xfId="10804"/>
    <cellStyle name="Normal2 2 2 7" xfId="10803"/>
    <cellStyle name="Normal2 2 2 7 2" xfId="10802"/>
    <cellStyle name="Normal2 2 2 7 2 2" xfId="10801"/>
    <cellStyle name="Normal2 2 2 7 3" xfId="10800"/>
    <cellStyle name="Normal2 2 2 8" xfId="10799"/>
    <cellStyle name="Normal2 2 2 8 2" xfId="10798"/>
    <cellStyle name="Normal2 2 2 9" xfId="10797"/>
    <cellStyle name="Normal2 2 3" xfId="10796"/>
    <cellStyle name="Normal2 2 3 2" xfId="10795"/>
    <cellStyle name="Normal2 2 3 2 2" xfId="10794"/>
    <cellStyle name="Normal2 2 3 3" xfId="10793"/>
    <cellStyle name="Normal2 2 4" xfId="10792"/>
    <cellStyle name="Normal2 2 4 2" xfId="10791"/>
    <cellStyle name="Normal2 2 4 2 2" xfId="10790"/>
    <cellStyle name="Normal2 2 4 3" xfId="10789"/>
    <cellStyle name="Normal2 2 5" xfId="10788"/>
    <cellStyle name="Normal2 2 5 2" xfId="10787"/>
    <cellStyle name="Normal2 2 5 2 2" xfId="10786"/>
    <cellStyle name="Normal2 2 5 3" xfId="10785"/>
    <cellStyle name="Normal2 2 6" xfId="10784"/>
    <cellStyle name="Normal2 2 6 2" xfId="10783"/>
    <cellStyle name="Normal2 2 6 2 2" xfId="10782"/>
    <cellStyle name="Normal2 2 6 3" xfId="10781"/>
    <cellStyle name="Normal2 2 7" xfId="10780"/>
    <cellStyle name="Normal2 2 7 2" xfId="10779"/>
    <cellStyle name="Normal2 2 7 2 2" xfId="10778"/>
    <cellStyle name="Normal2 2 7 3" xfId="10777"/>
    <cellStyle name="Normal2 2 8" xfId="10776"/>
    <cellStyle name="Normal2 2 8 2" xfId="10775"/>
    <cellStyle name="Normal2 2 8 2 2" xfId="10774"/>
    <cellStyle name="Normal2 2 8 3" xfId="10773"/>
    <cellStyle name="Normal2 2 9" xfId="10772"/>
    <cellStyle name="Normal2 2 9 2" xfId="10771"/>
    <cellStyle name="Normal2 2 9 2 2" xfId="10770"/>
    <cellStyle name="Normal2 2 9 3" xfId="10769"/>
    <cellStyle name="Normal2 3" xfId="10768"/>
    <cellStyle name="Normal2 3 10" xfId="10767"/>
    <cellStyle name="Normal2 3 10 2" xfId="10766"/>
    <cellStyle name="Normal2 3 11" xfId="10765"/>
    <cellStyle name="Normal2 3 2" xfId="10764"/>
    <cellStyle name="Normal2 3 2 2" xfId="10763"/>
    <cellStyle name="Normal2 3 2 2 2" xfId="10762"/>
    <cellStyle name="Normal2 3 2 2 2 2" xfId="10761"/>
    <cellStyle name="Normal2 3 2 2 3" xfId="10760"/>
    <cellStyle name="Normal2 3 2 3" xfId="10759"/>
    <cellStyle name="Normal2 3 2 3 2" xfId="10758"/>
    <cellStyle name="Normal2 3 2 3 2 2" xfId="10757"/>
    <cellStyle name="Normal2 3 2 3 3" xfId="10756"/>
    <cellStyle name="Normal2 3 2 4" xfId="10755"/>
    <cellStyle name="Normal2 3 2 4 2" xfId="10754"/>
    <cellStyle name="Normal2 3 2 4 2 2" xfId="10753"/>
    <cellStyle name="Normal2 3 2 4 3" xfId="10752"/>
    <cellStyle name="Normal2 3 2 5" xfId="10751"/>
    <cellStyle name="Normal2 3 2 5 2" xfId="10750"/>
    <cellStyle name="Normal2 3 2 5 2 2" xfId="10749"/>
    <cellStyle name="Normal2 3 2 5 3" xfId="10748"/>
    <cellStyle name="Normal2 3 2 6" xfId="10747"/>
    <cellStyle name="Normal2 3 2 6 2" xfId="10746"/>
    <cellStyle name="Normal2 3 2 6 2 2" xfId="10745"/>
    <cellStyle name="Normal2 3 2 6 3" xfId="10744"/>
    <cellStyle name="Normal2 3 2 7" xfId="10743"/>
    <cellStyle name="Normal2 3 2 7 2" xfId="10742"/>
    <cellStyle name="Normal2 3 2 7 2 2" xfId="10741"/>
    <cellStyle name="Normal2 3 2 7 3" xfId="10740"/>
    <cellStyle name="Normal2 3 2 8" xfId="10739"/>
    <cellStyle name="Normal2 3 2 8 2" xfId="10738"/>
    <cellStyle name="Normal2 3 2 9" xfId="10737"/>
    <cellStyle name="Normal2 3 3" xfId="10736"/>
    <cellStyle name="Normal2 3 3 2" xfId="10735"/>
    <cellStyle name="Normal2 3 3 2 2" xfId="10734"/>
    <cellStyle name="Normal2 3 3 3" xfId="10733"/>
    <cellStyle name="Normal2 3 4" xfId="10732"/>
    <cellStyle name="Normal2 3 4 2" xfId="10731"/>
    <cellStyle name="Normal2 3 4 2 2" xfId="10730"/>
    <cellStyle name="Normal2 3 4 3" xfId="10729"/>
    <cellStyle name="Normal2 3 5" xfId="10728"/>
    <cellStyle name="Normal2 3 5 2" xfId="10727"/>
    <cellStyle name="Normal2 3 5 2 2" xfId="10726"/>
    <cellStyle name="Normal2 3 5 3" xfId="10725"/>
    <cellStyle name="Normal2 3 6" xfId="10724"/>
    <cellStyle name="Normal2 3 6 2" xfId="10723"/>
    <cellStyle name="Normal2 3 6 2 2" xfId="10722"/>
    <cellStyle name="Normal2 3 6 3" xfId="10721"/>
    <cellStyle name="Normal2 3 7" xfId="10720"/>
    <cellStyle name="Normal2 3 7 2" xfId="10719"/>
    <cellStyle name="Normal2 3 7 2 2" xfId="10718"/>
    <cellStyle name="Normal2 3 7 3" xfId="10717"/>
    <cellStyle name="Normal2 3 8" xfId="10716"/>
    <cellStyle name="Normal2 3 8 2" xfId="10715"/>
    <cellStyle name="Normal2 3 8 2 2" xfId="10714"/>
    <cellStyle name="Normal2 3 8 3" xfId="10713"/>
    <cellStyle name="Normal2 3 9" xfId="10712"/>
    <cellStyle name="Normal2 3 9 2" xfId="10711"/>
    <cellStyle name="Normal2 3 9 2 2" xfId="10710"/>
    <cellStyle name="Normal2 3 9 3" xfId="10709"/>
    <cellStyle name="Normal2 4" xfId="10708"/>
    <cellStyle name="Normal2 4 2" xfId="10707"/>
    <cellStyle name="Normal2 4 2 2" xfId="10706"/>
    <cellStyle name="Normal2 4 2 2 2" xfId="10705"/>
    <cellStyle name="Normal2 4 2 3" xfId="10704"/>
    <cellStyle name="Normal2 4 3" xfId="10703"/>
    <cellStyle name="Normal2 4 3 2" xfId="10702"/>
    <cellStyle name="Normal2 4 3 2 2" xfId="10701"/>
    <cellStyle name="Normal2 4 3 3" xfId="10700"/>
    <cellStyle name="Normal2 4 4" xfId="10699"/>
    <cellStyle name="Normal2 4 4 2" xfId="10698"/>
    <cellStyle name="Normal2 4 4 2 2" xfId="10697"/>
    <cellStyle name="Normal2 4 4 3" xfId="10696"/>
    <cellStyle name="Normal2 4 5" xfId="10695"/>
    <cellStyle name="Normal2 4 5 2" xfId="10694"/>
    <cellStyle name="Normal2 4 5 2 2" xfId="10693"/>
    <cellStyle name="Normal2 4 5 3" xfId="10692"/>
    <cellStyle name="Normal2 4 6" xfId="10691"/>
    <cellStyle name="Normal2 4 6 2" xfId="10690"/>
    <cellStyle name="Normal2 4 6 2 2" xfId="10689"/>
    <cellStyle name="Normal2 4 6 3" xfId="10688"/>
    <cellStyle name="Normal2 4 7" xfId="10687"/>
    <cellStyle name="Normal2 4 7 2" xfId="10686"/>
    <cellStyle name="Normal2 4 7 2 2" xfId="10685"/>
    <cellStyle name="Normal2 4 7 3" xfId="10684"/>
    <cellStyle name="Normal2 4 8" xfId="10683"/>
    <cellStyle name="Normal2 4 8 2" xfId="10682"/>
    <cellStyle name="Normal2 4 9" xfId="10681"/>
    <cellStyle name="Normal2 5" xfId="10680"/>
    <cellStyle name="Normal2 5 2" xfId="10679"/>
    <cellStyle name="Normal2 5 2 2" xfId="10678"/>
    <cellStyle name="Normal2 5 3" xfId="10677"/>
    <cellStyle name="Normal2 6" xfId="10676"/>
    <cellStyle name="Normal2 6 2" xfId="10675"/>
    <cellStyle name="Normal2 6 2 2" xfId="10674"/>
    <cellStyle name="Normal2 6 3" xfId="10673"/>
    <cellStyle name="Normal2 7" xfId="10672"/>
    <cellStyle name="Normal2 7 2" xfId="10671"/>
    <cellStyle name="Normal2 7 2 2" xfId="10670"/>
    <cellStyle name="Normal2 7 3" xfId="10669"/>
    <cellStyle name="Normal2 8" xfId="10668"/>
    <cellStyle name="Normal2 8 2" xfId="10667"/>
    <cellStyle name="Normal2 8 2 2" xfId="10666"/>
    <cellStyle name="Normal2 8 3" xfId="10665"/>
    <cellStyle name="Normal2 9" xfId="10664"/>
    <cellStyle name="Normal2 9 2" xfId="10663"/>
    <cellStyle name="Normal2 9 2 2" xfId="10662"/>
    <cellStyle name="Normal2 9 3" xfId="10661"/>
    <cellStyle name="Normal3" xfId="10660"/>
    <cellStyle name="Normal3 2" xfId="10659"/>
    <cellStyle name="Normale_700_EqSum" xfId="10658"/>
    <cellStyle name="Notas" xfId="10657"/>
    <cellStyle name="Note 10" xfId="10656"/>
    <cellStyle name="Note 11" xfId="10655"/>
    <cellStyle name="Note 12" xfId="10654"/>
    <cellStyle name="Note 13" xfId="10653"/>
    <cellStyle name="Note 14" xfId="10652"/>
    <cellStyle name="Note 15" xfId="10651"/>
    <cellStyle name="Note 16" xfId="10650"/>
    <cellStyle name="Note 17" xfId="10649"/>
    <cellStyle name="Note 18" xfId="10648"/>
    <cellStyle name="Note 19" xfId="10647"/>
    <cellStyle name="Note 2" xfId="10646"/>
    <cellStyle name="Note 2 10" xfId="10645"/>
    <cellStyle name="Note 2 10 2" xfId="10644"/>
    <cellStyle name="Note 2 11" xfId="10643"/>
    <cellStyle name="Note 2 12" xfId="10642"/>
    <cellStyle name="Note 2 2" xfId="10641"/>
    <cellStyle name="Note 2 2 2" xfId="10640"/>
    <cellStyle name="Note 2 2 2 2" xfId="10639"/>
    <cellStyle name="Note 2 2 2 2 2" xfId="10638"/>
    <cellStyle name="Note 2 2 2 2 2 2" xfId="10637"/>
    <cellStyle name="Note 2 2 2 3" xfId="10636"/>
    <cellStyle name="Note 2 2 2 3 2" xfId="10635"/>
    <cellStyle name="Note 2 2 3" xfId="10634"/>
    <cellStyle name="Note 2 2 3 2" xfId="10633"/>
    <cellStyle name="Note 2 2 3 2 2" xfId="10632"/>
    <cellStyle name="Note 2 2 3 2 2 2" xfId="10631"/>
    <cellStyle name="Note 2 2 3 3" xfId="10630"/>
    <cellStyle name="Note 2 2 3 3 2" xfId="10629"/>
    <cellStyle name="Note 2 2 4" xfId="10628"/>
    <cellStyle name="Note 2 2 4 2" xfId="10627"/>
    <cellStyle name="Note 2 2 4 2 2" xfId="10626"/>
    <cellStyle name="Note 2 2 4 2 2 2" xfId="10625"/>
    <cellStyle name="Note 2 2 4 3" xfId="10624"/>
    <cellStyle name="Note 2 2 4 3 2" xfId="10623"/>
    <cellStyle name="Note 2 2 5" xfId="10622"/>
    <cellStyle name="Note 2 2 5 2" xfId="10621"/>
    <cellStyle name="Note 2 2 5 2 2" xfId="10620"/>
    <cellStyle name="Note 2 2 5 2 2 2" xfId="10619"/>
    <cellStyle name="Note 2 2 5 3" xfId="10618"/>
    <cellStyle name="Note 2 2 5 3 2" xfId="10617"/>
    <cellStyle name="Note 2 2 6" xfId="10616"/>
    <cellStyle name="Note 2 2 6 2" xfId="10615"/>
    <cellStyle name="Note 2 2 6 2 2" xfId="10614"/>
    <cellStyle name="Note 2 2 7" xfId="10613"/>
    <cellStyle name="Note 2 2 7 2" xfId="10612"/>
    <cellStyle name="Note 2 3" xfId="10611"/>
    <cellStyle name="Note 2 3 2" xfId="10610"/>
    <cellStyle name="Note 2 3 2 2" xfId="10609"/>
    <cellStyle name="Note 2 3 2 2 2" xfId="10608"/>
    <cellStyle name="Note 2 3 3" xfId="10607"/>
    <cellStyle name="Note 2 3 3 2" xfId="10606"/>
    <cellStyle name="Note 2 3 4" xfId="10605"/>
    <cellStyle name="Note 2 3 5" xfId="10604"/>
    <cellStyle name="Note 2 4" xfId="10603"/>
    <cellStyle name="Note 2 4 2" xfId="10602"/>
    <cellStyle name="Note 2 4 2 2" xfId="10601"/>
    <cellStyle name="Note 2 4 2 2 2" xfId="10600"/>
    <cellStyle name="Note 2 4 3" xfId="10599"/>
    <cellStyle name="Note 2 4 3 2" xfId="10598"/>
    <cellStyle name="Note 2 4 4" xfId="10597"/>
    <cellStyle name="Note 2 4 5" xfId="10596"/>
    <cellStyle name="Note 2 5" xfId="10595"/>
    <cellStyle name="Note 2 5 2" xfId="10594"/>
    <cellStyle name="Note 2 5 2 2" xfId="10593"/>
    <cellStyle name="Note 2 5 2 2 2" xfId="10592"/>
    <cellStyle name="Note 2 5 3" xfId="10591"/>
    <cellStyle name="Note 2 5 3 2" xfId="10590"/>
    <cellStyle name="Note 2 5 4" xfId="10589"/>
    <cellStyle name="Note 2 5 5" xfId="10588"/>
    <cellStyle name="Note 2 6" xfId="10587"/>
    <cellStyle name="Note 2 6 2" xfId="10586"/>
    <cellStyle name="Note 2 6 2 2" xfId="10585"/>
    <cellStyle name="Note 2 6 2 2 2" xfId="10584"/>
    <cellStyle name="Note 2 6 3" xfId="10583"/>
    <cellStyle name="Note 2 6 3 2" xfId="10582"/>
    <cellStyle name="Note 2 6 4" xfId="10581"/>
    <cellStyle name="Note 2 6 5" xfId="10580"/>
    <cellStyle name="Note 2 7" xfId="10579"/>
    <cellStyle name="Note 2 7 2" xfId="10578"/>
    <cellStyle name="Note 2 7 2 2" xfId="10577"/>
    <cellStyle name="Note 2 7 2 2 2" xfId="10576"/>
    <cellStyle name="Note 2 7 3" xfId="10575"/>
    <cellStyle name="Note 2 7 3 2" xfId="10574"/>
    <cellStyle name="Note 2 7 4" xfId="10573"/>
    <cellStyle name="Note 2 7 5" xfId="10572"/>
    <cellStyle name="Note 2 8" xfId="10571"/>
    <cellStyle name="Note 2 8 2" xfId="10570"/>
    <cellStyle name="Note 2 8 2 2" xfId="10569"/>
    <cellStyle name="Note 2 8 2 2 2" xfId="10568"/>
    <cellStyle name="Note 2 8 3" xfId="10567"/>
    <cellStyle name="Note 2 8 3 2" xfId="10566"/>
    <cellStyle name="Note 2 8 4" xfId="10565"/>
    <cellStyle name="Note 2 8 5" xfId="10564"/>
    <cellStyle name="Note 2 9" xfId="10563"/>
    <cellStyle name="Note 2 9 2" xfId="10562"/>
    <cellStyle name="Note 2 9 2 2" xfId="10561"/>
    <cellStyle name="Note 20" xfId="10560"/>
    <cellStyle name="Note 21" xfId="10559"/>
    <cellStyle name="Note 22" xfId="10558"/>
    <cellStyle name="Note 23" xfId="10557"/>
    <cellStyle name="Note 24" xfId="10556"/>
    <cellStyle name="Note 25" xfId="10555"/>
    <cellStyle name="Note 26" xfId="10554"/>
    <cellStyle name="Note 27" xfId="10553"/>
    <cellStyle name="Note 3" xfId="10552"/>
    <cellStyle name="Note 3 2" xfId="10551"/>
    <cellStyle name="Note 3 2 2" xfId="10550"/>
    <cellStyle name="Note 3 2 2 2" xfId="10549"/>
    <cellStyle name="Note 3 2 2 2 2" xfId="10548"/>
    <cellStyle name="Note 3 2 2 2 2 2" xfId="10547"/>
    <cellStyle name="Note 3 2 2 3" xfId="10546"/>
    <cellStyle name="Note 3 2 2 3 2" xfId="10545"/>
    <cellStyle name="Note 3 2 3" xfId="10544"/>
    <cellStyle name="Note 3 2 3 2" xfId="10543"/>
    <cellStyle name="Note 3 2 3 2 2" xfId="10542"/>
    <cellStyle name="Note 3 2 3 2 2 2" xfId="10541"/>
    <cellStyle name="Note 3 2 3 3" xfId="10540"/>
    <cellStyle name="Note 3 2 3 3 2" xfId="10539"/>
    <cellStyle name="Note 3 2 4" xfId="10538"/>
    <cellStyle name="Note 3 2 4 2" xfId="10537"/>
    <cellStyle name="Note 3 2 4 2 2" xfId="10536"/>
    <cellStyle name="Note 3 2 4 2 2 2" xfId="10535"/>
    <cellStyle name="Note 3 2 4 3" xfId="10534"/>
    <cellStyle name="Note 3 2 4 3 2" xfId="10533"/>
    <cellStyle name="Note 3 2 5" xfId="10532"/>
    <cellStyle name="Note 3 2 5 2" xfId="10531"/>
    <cellStyle name="Note 3 2 5 2 2" xfId="10530"/>
    <cellStyle name="Note 3 2 5 2 2 2" xfId="10529"/>
    <cellStyle name="Note 3 2 5 3" xfId="10528"/>
    <cellStyle name="Note 3 2 5 3 2" xfId="10527"/>
    <cellStyle name="Note 3 2 6" xfId="10526"/>
    <cellStyle name="Note 3 2 6 2" xfId="10525"/>
    <cellStyle name="Note 3 2 6 2 2" xfId="10524"/>
    <cellStyle name="Note 3 2 7" xfId="10523"/>
    <cellStyle name="Note 3 2 7 2" xfId="10522"/>
    <cellStyle name="Note 3 3" xfId="10521"/>
    <cellStyle name="Note 3 3 2" xfId="10520"/>
    <cellStyle name="Note 3 3 2 2" xfId="10519"/>
    <cellStyle name="Note 3 3 2 2 2" xfId="10518"/>
    <cellStyle name="Note 3 3 3" xfId="10517"/>
    <cellStyle name="Note 3 3 3 2" xfId="10516"/>
    <cellStyle name="Note 3 4" xfId="10515"/>
    <cellStyle name="Note 3 4 2" xfId="10514"/>
    <cellStyle name="Note 3 4 2 2" xfId="10513"/>
    <cellStyle name="Note 3 4 2 2 2" xfId="10512"/>
    <cellStyle name="Note 3 4 3" xfId="10511"/>
    <cellStyle name="Note 3 4 3 2" xfId="10510"/>
    <cellStyle name="Note 3 5" xfId="10509"/>
    <cellStyle name="Note 3 5 2" xfId="10508"/>
    <cellStyle name="Note 3 5 2 2" xfId="10507"/>
    <cellStyle name="Note 3 5 2 2 2" xfId="10506"/>
    <cellStyle name="Note 3 5 3" xfId="10505"/>
    <cellStyle name="Note 3 5 3 2" xfId="10504"/>
    <cellStyle name="Note 3 6" xfId="10503"/>
    <cellStyle name="Note 3 6 2" xfId="10502"/>
    <cellStyle name="Note 3 6 2 2" xfId="10501"/>
    <cellStyle name="Note 3 7" xfId="10500"/>
    <cellStyle name="Note 3 7 2" xfId="10499"/>
    <cellStyle name="Note 4" xfId="10498"/>
    <cellStyle name="Note 4 2" xfId="10497"/>
    <cellStyle name="Note 4 2 2" xfId="10496"/>
    <cellStyle name="Note 4 2 2 2" xfId="10495"/>
    <cellStyle name="Note 4 2 2 2 2" xfId="10494"/>
    <cellStyle name="Note 4 2 2 2 2 2" xfId="10493"/>
    <cellStyle name="Note 4 2 2 3" xfId="10492"/>
    <cellStyle name="Note 4 2 2 3 2" xfId="10491"/>
    <cellStyle name="Note 4 2 3" xfId="10490"/>
    <cellStyle name="Note 4 2 3 2" xfId="10489"/>
    <cellStyle name="Note 4 2 3 2 2" xfId="10488"/>
    <cellStyle name="Note 4 2 3 2 2 2" xfId="10487"/>
    <cellStyle name="Note 4 2 3 3" xfId="10486"/>
    <cellStyle name="Note 4 2 3 3 2" xfId="10485"/>
    <cellStyle name="Note 4 2 4" xfId="10484"/>
    <cellStyle name="Note 4 2 4 2" xfId="10483"/>
    <cellStyle name="Note 4 2 4 2 2" xfId="10482"/>
    <cellStyle name="Note 4 2 4 2 2 2" xfId="10481"/>
    <cellStyle name="Note 4 2 4 3" xfId="10480"/>
    <cellStyle name="Note 4 2 4 3 2" xfId="10479"/>
    <cellStyle name="Note 4 2 5" xfId="10478"/>
    <cellStyle name="Note 4 2 5 2" xfId="10477"/>
    <cellStyle name="Note 4 2 5 2 2" xfId="10476"/>
    <cellStyle name="Note 4 2 5 2 2 2" xfId="10475"/>
    <cellStyle name="Note 4 2 5 3" xfId="10474"/>
    <cellStyle name="Note 4 2 5 3 2" xfId="10473"/>
    <cellStyle name="Note 4 2 6" xfId="10472"/>
    <cellStyle name="Note 4 2 6 2" xfId="10471"/>
    <cellStyle name="Note 4 2 6 2 2" xfId="10470"/>
    <cellStyle name="Note 4 2 7" xfId="10469"/>
    <cellStyle name="Note 4 2 7 2" xfId="10468"/>
    <cellStyle name="Note 4 3" xfId="10467"/>
    <cellStyle name="Note 4 3 2" xfId="10466"/>
    <cellStyle name="Note 4 3 2 2" xfId="10465"/>
    <cellStyle name="Note 4 3 2 2 2" xfId="10464"/>
    <cellStyle name="Note 4 3 3" xfId="10463"/>
    <cellStyle name="Note 4 3 3 2" xfId="10462"/>
    <cellStyle name="Note 4 4" xfId="10461"/>
    <cellStyle name="Note 4 4 2" xfId="10460"/>
    <cellStyle name="Note 4 4 2 2" xfId="10459"/>
    <cellStyle name="Note 4 4 2 2 2" xfId="10458"/>
    <cellStyle name="Note 4 4 3" xfId="10457"/>
    <cellStyle name="Note 4 4 3 2" xfId="10456"/>
    <cellStyle name="Note 4 5" xfId="10455"/>
    <cellStyle name="Note 4 5 2" xfId="10454"/>
    <cellStyle name="Note 4 5 2 2" xfId="10453"/>
    <cellStyle name="Note 4 5 2 2 2" xfId="10452"/>
    <cellStyle name="Note 4 5 3" xfId="10451"/>
    <cellStyle name="Note 4 5 3 2" xfId="10450"/>
    <cellStyle name="Note 4 6" xfId="10449"/>
    <cellStyle name="Note 4 6 2" xfId="10448"/>
    <cellStyle name="Note 4 6 2 2" xfId="10447"/>
    <cellStyle name="Note 4 7" xfId="10446"/>
    <cellStyle name="Note 4 7 2" xfId="10445"/>
    <cellStyle name="Note 5" xfId="10444"/>
    <cellStyle name="Note 5 2" xfId="10443"/>
    <cellStyle name="Note 5 2 2" xfId="10442"/>
    <cellStyle name="Note 5 2 2 2" xfId="10441"/>
    <cellStyle name="Note 5 2 2 2 2" xfId="10440"/>
    <cellStyle name="Note 5 2 2 2 2 2" xfId="10439"/>
    <cellStyle name="Note 5 2 2 3" xfId="10438"/>
    <cellStyle name="Note 5 2 2 3 2" xfId="10437"/>
    <cellStyle name="Note 5 2 3" xfId="10436"/>
    <cellStyle name="Note 5 2 3 2" xfId="10435"/>
    <cellStyle name="Note 5 2 3 2 2" xfId="10434"/>
    <cellStyle name="Note 5 2 3 2 2 2" xfId="10433"/>
    <cellStyle name="Note 5 2 3 3" xfId="10432"/>
    <cellStyle name="Note 5 2 3 3 2" xfId="10431"/>
    <cellStyle name="Note 5 2 4" xfId="10430"/>
    <cellStyle name="Note 5 2 4 2" xfId="10429"/>
    <cellStyle name="Note 5 2 4 2 2" xfId="10428"/>
    <cellStyle name="Note 5 2 4 2 2 2" xfId="10427"/>
    <cellStyle name="Note 5 2 4 3" xfId="10426"/>
    <cellStyle name="Note 5 2 4 3 2" xfId="10425"/>
    <cellStyle name="Note 5 2 5" xfId="10424"/>
    <cellStyle name="Note 5 2 5 2" xfId="10423"/>
    <cellStyle name="Note 5 2 5 2 2" xfId="10422"/>
    <cellStyle name="Note 5 2 5 2 2 2" xfId="10421"/>
    <cellStyle name="Note 5 2 5 3" xfId="10420"/>
    <cellStyle name="Note 5 2 5 3 2" xfId="10419"/>
    <cellStyle name="Note 5 2 6" xfId="10418"/>
    <cellStyle name="Note 5 2 6 2" xfId="10417"/>
    <cellStyle name="Note 5 2 6 2 2" xfId="10416"/>
    <cellStyle name="Note 5 2 7" xfId="10415"/>
    <cellStyle name="Note 5 2 7 2" xfId="10414"/>
    <cellStyle name="Note 5 3" xfId="10413"/>
    <cellStyle name="Note 5 3 2" xfId="10412"/>
    <cellStyle name="Note 5 3 2 2" xfId="10411"/>
    <cellStyle name="Note 5 3 2 2 2" xfId="10410"/>
    <cellStyle name="Note 5 3 3" xfId="10409"/>
    <cellStyle name="Note 5 3 3 2" xfId="10408"/>
    <cellStyle name="Note 5 4" xfId="10407"/>
    <cellStyle name="Note 5 4 2" xfId="10406"/>
    <cellStyle name="Note 5 4 2 2" xfId="10405"/>
    <cellStyle name="Note 5 4 2 2 2" xfId="10404"/>
    <cellStyle name="Note 5 4 3" xfId="10403"/>
    <cellStyle name="Note 5 4 3 2" xfId="10402"/>
    <cellStyle name="Note 5 5" xfId="10401"/>
    <cellStyle name="Note 5 5 2" xfId="10400"/>
    <cellStyle name="Note 5 5 2 2" xfId="10399"/>
    <cellStyle name="Note 5 5 2 2 2" xfId="10398"/>
    <cellStyle name="Note 5 5 3" xfId="10397"/>
    <cellStyle name="Note 5 5 3 2" xfId="10396"/>
    <cellStyle name="Note 5 6" xfId="10395"/>
    <cellStyle name="Note 5 6 2" xfId="10394"/>
    <cellStyle name="Note 5 6 2 2" xfId="10393"/>
    <cellStyle name="Note 5 7" xfId="10392"/>
    <cellStyle name="Note 5 7 2" xfId="10391"/>
    <cellStyle name="Note 6" xfId="10390"/>
    <cellStyle name="Note 6 2" xfId="10389"/>
    <cellStyle name="Note 6 2 2" xfId="10388"/>
    <cellStyle name="Note 6 2 2 2" xfId="10387"/>
    <cellStyle name="Note 6 2 2 2 2" xfId="10386"/>
    <cellStyle name="Note 6 2 2 2 2 2" xfId="10385"/>
    <cellStyle name="Note 6 2 2 3" xfId="10384"/>
    <cellStyle name="Note 6 2 2 3 2" xfId="10383"/>
    <cellStyle name="Note 6 2 3" xfId="10382"/>
    <cellStyle name="Note 6 2 3 2" xfId="10381"/>
    <cellStyle name="Note 6 2 3 2 2" xfId="10380"/>
    <cellStyle name="Note 6 2 3 2 2 2" xfId="10379"/>
    <cellStyle name="Note 6 2 3 3" xfId="10378"/>
    <cellStyle name="Note 6 2 3 3 2" xfId="10377"/>
    <cellStyle name="Note 6 2 4" xfId="10376"/>
    <cellStyle name="Note 6 2 4 2" xfId="10375"/>
    <cellStyle name="Note 6 2 4 2 2" xfId="10374"/>
    <cellStyle name="Note 6 2 4 2 2 2" xfId="10373"/>
    <cellStyle name="Note 6 2 4 3" xfId="10372"/>
    <cellStyle name="Note 6 2 4 3 2" xfId="10371"/>
    <cellStyle name="Note 6 2 5" xfId="10370"/>
    <cellStyle name="Note 6 2 5 2" xfId="10369"/>
    <cellStyle name="Note 6 2 5 2 2" xfId="10368"/>
    <cellStyle name="Note 6 2 5 2 2 2" xfId="10367"/>
    <cellStyle name="Note 6 2 5 3" xfId="10366"/>
    <cellStyle name="Note 6 2 5 3 2" xfId="10365"/>
    <cellStyle name="Note 6 2 6" xfId="10364"/>
    <cellStyle name="Note 6 2 6 2" xfId="10363"/>
    <cellStyle name="Note 6 2 6 2 2" xfId="10362"/>
    <cellStyle name="Note 6 2 7" xfId="10361"/>
    <cellStyle name="Note 6 2 7 2" xfId="10360"/>
    <cellStyle name="Note 6 3" xfId="10359"/>
    <cellStyle name="Note 6 3 2" xfId="10358"/>
    <cellStyle name="Note 6 3 2 2" xfId="10357"/>
    <cellStyle name="Note 6 3 2 2 2" xfId="10356"/>
    <cellStyle name="Note 6 3 3" xfId="10355"/>
    <cellStyle name="Note 6 3 3 2" xfId="10354"/>
    <cellStyle name="Note 6 4" xfId="10353"/>
    <cellStyle name="Note 6 4 2" xfId="10352"/>
    <cellStyle name="Note 6 4 2 2" xfId="10351"/>
    <cellStyle name="Note 6 4 2 2 2" xfId="10350"/>
    <cellStyle name="Note 6 4 3" xfId="10349"/>
    <cellStyle name="Note 6 4 3 2" xfId="10348"/>
    <cellStyle name="Note 6 5" xfId="10347"/>
    <cellStyle name="Note 6 5 2" xfId="10346"/>
    <cellStyle name="Note 6 5 2 2" xfId="10345"/>
    <cellStyle name="Note 6 5 2 2 2" xfId="10344"/>
    <cellStyle name="Note 6 5 3" xfId="10343"/>
    <cellStyle name="Note 6 5 3 2" xfId="10342"/>
    <cellStyle name="Note 6 6" xfId="10341"/>
    <cellStyle name="Note 6 6 2" xfId="10340"/>
    <cellStyle name="Note 6 6 2 2" xfId="10339"/>
    <cellStyle name="Note 6 7" xfId="10338"/>
    <cellStyle name="Note 6 7 2" xfId="10337"/>
    <cellStyle name="Note 7" xfId="10336"/>
    <cellStyle name="Note 7 2" xfId="10335"/>
    <cellStyle name="Note 7 2 2" xfId="10334"/>
    <cellStyle name="Note 7 2 2 2" xfId="10333"/>
    <cellStyle name="Note 7 2 2 2 2" xfId="10332"/>
    <cellStyle name="Note 7 2 2 2 2 2" xfId="10331"/>
    <cellStyle name="Note 7 2 2 3" xfId="10330"/>
    <cellStyle name="Note 7 2 2 3 2" xfId="10329"/>
    <cellStyle name="Note 7 2 3" xfId="10328"/>
    <cellStyle name="Note 7 2 3 2" xfId="10327"/>
    <cellStyle name="Note 7 2 3 2 2" xfId="10326"/>
    <cellStyle name="Note 7 2 3 2 2 2" xfId="10325"/>
    <cellStyle name="Note 7 2 3 3" xfId="10324"/>
    <cellStyle name="Note 7 2 3 3 2" xfId="10323"/>
    <cellStyle name="Note 7 2 4" xfId="10322"/>
    <cellStyle name="Note 7 2 4 2" xfId="10321"/>
    <cellStyle name="Note 7 2 4 2 2" xfId="10320"/>
    <cellStyle name="Note 7 2 4 2 2 2" xfId="10319"/>
    <cellStyle name="Note 7 2 4 3" xfId="10318"/>
    <cellStyle name="Note 7 2 4 3 2" xfId="10317"/>
    <cellStyle name="Note 7 2 5" xfId="10316"/>
    <cellStyle name="Note 7 2 5 2" xfId="10315"/>
    <cellStyle name="Note 7 2 5 2 2" xfId="10314"/>
    <cellStyle name="Note 7 2 5 2 2 2" xfId="10313"/>
    <cellStyle name="Note 7 2 5 3" xfId="10312"/>
    <cellStyle name="Note 7 2 5 3 2" xfId="10311"/>
    <cellStyle name="Note 7 2 6" xfId="10310"/>
    <cellStyle name="Note 7 2 6 2" xfId="10309"/>
    <cellStyle name="Note 7 2 6 2 2" xfId="10308"/>
    <cellStyle name="Note 7 2 7" xfId="10307"/>
    <cellStyle name="Note 7 2 7 2" xfId="10306"/>
    <cellStyle name="Note 7 3" xfId="10305"/>
    <cellStyle name="Note 7 3 2" xfId="10304"/>
    <cellStyle name="Note 7 3 2 2" xfId="10303"/>
    <cellStyle name="Note 7 3 2 2 2" xfId="10302"/>
    <cellStyle name="Note 7 3 3" xfId="10301"/>
    <cellStyle name="Note 7 3 3 2" xfId="10300"/>
    <cellStyle name="Note 7 4" xfId="10299"/>
    <cellStyle name="Note 7 4 2" xfId="10298"/>
    <cellStyle name="Note 7 4 2 2" xfId="10297"/>
    <cellStyle name="Note 7 4 2 2 2" xfId="10296"/>
    <cellStyle name="Note 7 4 3" xfId="10295"/>
    <cellStyle name="Note 7 4 3 2" xfId="10294"/>
    <cellStyle name="Note 7 5" xfId="10293"/>
    <cellStyle name="Note 7 5 2" xfId="10292"/>
    <cellStyle name="Note 7 5 2 2" xfId="10291"/>
    <cellStyle name="Note 7 5 2 2 2" xfId="10290"/>
    <cellStyle name="Note 7 5 3" xfId="10289"/>
    <cellStyle name="Note 7 5 3 2" xfId="10288"/>
    <cellStyle name="Note 7 6" xfId="10287"/>
    <cellStyle name="Note 7 6 2" xfId="10286"/>
    <cellStyle name="Note 7 6 2 2" xfId="10285"/>
    <cellStyle name="Note 7 7" xfId="10284"/>
    <cellStyle name="Note 7 7 2" xfId="10283"/>
    <cellStyle name="Note 8" xfId="10282"/>
    <cellStyle name="Note 8 2" xfId="10281"/>
    <cellStyle name="Note 8 2 2" xfId="10280"/>
    <cellStyle name="Note 8 2 2 2" xfId="10279"/>
    <cellStyle name="Note 8 2 2 2 2" xfId="10278"/>
    <cellStyle name="Note 8 2 3" xfId="10277"/>
    <cellStyle name="Note 8 2 3 2" xfId="10276"/>
    <cellStyle name="Note 8 3" xfId="10275"/>
    <cellStyle name="Note 8 3 2" xfId="10274"/>
    <cellStyle name="Note 8 3 2 2" xfId="10273"/>
    <cellStyle name="Note 8 4" xfId="10272"/>
    <cellStyle name="Note 8 4 2" xfId="10271"/>
    <cellStyle name="Note 8 5" xfId="10270"/>
    <cellStyle name="Note 9" xfId="10269"/>
    <cellStyle name="Note 9 2" xfId="10268"/>
    <cellStyle name="Note 9 3" xfId="10267"/>
    <cellStyle name="Note 9 4" xfId="10266"/>
    <cellStyle name="Note 9 5" xfId="10265"/>
    <cellStyle name="NPPESalesPct" xfId="10264"/>
    <cellStyle name="Nr" xfId="10263"/>
    <cellStyle name="Num-0" xfId="10262"/>
    <cellStyle name="Num-0 10" xfId="10261"/>
    <cellStyle name="Num-0 2" xfId="10260"/>
    <cellStyle name="Num-0 2 2" xfId="10259"/>
    <cellStyle name="Num-0 3" xfId="10258"/>
    <cellStyle name="Num-0 3 2" xfId="10257"/>
    <cellStyle name="Num-0 4" xfId="10256"/>
    <cellStyle name="Num-0 4 2" xfId="10255"/>
    <cellStyle name="Num-0 5" xfId="10254"/>
    <cellStyle name="Num-0 5 2" xfId="10253"/>
    <cellStyle name="Num-0 6" xfId="10252"/>
    <cellStyle name="Num-0 6 2" xfId="10251"/>
    <cellStyle name="Num-0 7" xfId="10250"/>
    <cellStyle name="Num-0 7 2" xfId="10249"/>
    <cellStyle name="Num-0 8" xfId="10248"/>
    <cellStyle name="Num-0 8 2" xfId="10247"/>
    <cellStyle name="Num-0 9" xfId="10246"/>
    <cellStyle name="Num-0 9 2" xfId="10245"/>
    <cellStyle name="Number" xfId="10244"/>
    <cellStyle name="Number." xfId="10243"/>
    <cellStyle name="NWI%S" xfId="10242"/>
    <cellStyle name="Œ…‹æØ‚è [0.00]_ˆ¥A‚Æ•\†‚Æ–ÚŸ" xfId="10241"/>
    <cellStyle name="Œ…‹æØ‚è_ˆ¥A‚Æ•\†‚Æ–ÚŸ" xfId="10240"/>
    <cellStyle name="oft Excel]_x000d__x000a_Comment=The open=/f lines load custom functions into the Paste Function list._x000d__x000a_Maximized=2_x000d__x000a_Basics=1_x000d__x000a_A" xfId="10239"/>
    <cellStyle name="oft Excel]_x000d__x000a_Comment=The open=/f lines load custom functions into the Paste Function list._x000d__x000a_Maximized=3_x000d__x000a_Basics=1_x000d__x000a_A" xfId="10238"/>
    <cellStyle name="ok" xfId="10237"/>
    <cellStyle name="omma [0]_Mktg Prog" xfId="10236"/>
    <cellStyle name="ormal_Sheet1_1" xfId="10235"/>
    <cellStyle name="Output 2" xfId="10234"/>
    <cellStyle name="Output 2 10" xfId="10233"/>
    <cellStyle name="Output 2 10 2" xfId="10232"/>
    <cellStyle name="Output 2 2" xfId="10231"/>
    <cellStyle name="Output 2 2 2" xfId="10230"/>
    <cellStyle name="Output 2 2 2 2" xfId="10229"/>
    <cellStyle name="Output 2 2 2 2 2" xfId="10228"/>
    <cellStyle name="Output 2 2 2 2 2 2" xfId="10227"/>
    <cellStyle name="Output 2 2 2 3" xfId="10226"/>
    <cellStyle name="Output 2 2 2 3 2" xfId="10225"/>
    <cellStyle name="Output 2 2 3" xfId="10224"/>
    <cellStyle name="Output 2 2 3 2" xfId="10223"/>
    <cellStyle name="Output 2 2 3 2 2" xfId="10222"/>
    <cellStyle name="Output 2 2 3 2 2 2" xfId="10221"/>
    <cellStyle name="Output 2 2 3 3" xfId="10220"/>
    <cellStyle name="Output 2 2 3 3 2" xfId="10219"/>
    <cellStyle name="Output 2 2 4" xfId="10218"/>
    <cellStyle name="Output 2 2 4 2" xfId="10217"/>
    <cellStyle name="Output 2 2 4 2 2" xfId="10216"/>
    <cellStyle name="Output 2 2 4 2 2 2" xfId="10215"/>
    <cellStyle name="Output 2 2 4 3" xfId="10214"/>
    <cellStyle name="Output 2 2 4 3 2" xfId="10213"/>
    <cellStyle name="Output 2 2 5" xfId="10212"/>
    <cellStyle name="Output 2 2 5 2" xfId="10211"/>
    <cellStyle name="Output 2 2 5 2 2" xfId="10210"/>
    <cellStyle name="Output 2 2 6" xfId="10209"/>
    <cellStyle name="Output 2 2 6 2" xfId="10208"/>
    <cellStyle name="Output 2 3" xfId="10207"/>
    <cellStyle name="Output 2 3 2" xfId="10206"/>
    <cellStyle name="Output 2 3 2 2" xfId="10205"/>
    <cellStyle name="Output 2 3 2 2 2" xfId="10204"/>
    <cellStyle name="Output 2 3 3" xfId="10203"/>
    <cellStyle name="Output 2 3 3 2" xfId="10202"/>
    <cellStyle name="Output 2 4" xfId="10201"/>
    <cellStyle name="Output 2 4 2" xfId="10200"/>
    <cellStyle name="Output 2 4 2 2" xfId="10199"/>
    <cellStyle name="Output 2 4 2 2 2" xfId="10198"/>
    <cellStyle name="Output 2 4 3" xfId="10197"/>
    <cellStyle name="Output 2 4 3 2" xfId="10196"/>
    <cellStyle name="Output 2 5" xfId="10195"/>
    <cellStyle name="Output 2 5 2" xfId="10194"/>
    <cellStyle name="Output 2 5 2 2" xfId="10193"/>
    <cellStyle name="Output 2 5 2 2 2" xfId="10192"/>
    <cellStyle name="Output 2 5 3" xfId="10191"/>
    <cellStyle name="Output 2 5 3 2" xfId="10190"/>
    <cellStyle name="Output 2 6" xfId="10189"/>
    <cellStyle name="Output 2 6 2" xfId="10188"/>
    <cellStyle name="Output 2 6 2 2" xfId="10187"/>
    <cellStyle name="Output 2 6 2 2 2" xfId="10186"/>
    <cellStyle name="Output 2 6 3" xfId="10185"/>
    <cellStyle name="Output 2 6 3 2" xfId="10184"/>
    <cellStyle name="Output 2 7" xfId="10183"/>
    <cellStyle name="Output 2 7 2" xfId="10182"/>
    <cellStyle name="Output 2 7 2 2" xfId="10181"/>
    <cellStyle name="Output 2 7 2 2 2" xfId="10180"/>
    <cellStyle name="Output 2 7 3" xfId="10179"/>
    <cellStyle name="Output 2 7 3 2" xfId="10178"/>
    <cellStyle name="Output 2 8" xfId="10177"/>
    <cellStyle name="Output 2 8 2" xfId="10176"/>
    <cellStyle name="Output 2 8 2 2" xfId="10175"/>
    <cellStyle name="Output 2 8 2 2 2" xfId="10174"/>
    <cellStyle name="Output 2 8 3" xfId="10173"/>
    <cellStyle name="Output 2 8 3 2" xfId="10172"/>
    <cellStyle name="Output 2 9" xfId="10171"/>
    <cellStyle name="Output 2 9 2" xfId="10170"/>
    <cellStyle name="Output 2 9 2 2" xfId="10169"/>
    <cellStyle name="Output 3" xfId="10168"/>
    <cellStyle name="Output 3 2" xfId="10167"/>
    <cellStyle name="Output 3 2 2" xfId="10166"/>
    <cellStyle name="Output 3 2 2 2" xfId="10165"/>
    <cellStyle name="Output 3 2 2 2 2" xfId="10164"/>
    <cellStyle name="Output 3 2 2 2 2 2" xfId="10163"/>
    <cellStyle name="Output 3 2 2 3" xfId="10162"/>
    <cellStyle name="Output 3 2 2 3 2" xfId="10161"/>
    <cellStyle name="Output 3 2 3" xfId="10160"/>
    <cellStyle name="Output 3 2 3 2" xfId="10159"/>
    <cellStyle name="Output 3 2 3 2 2" xfId="10158"/>
    <cellStyle name="Output 3 2 4" xfId="10157"/>
    <cellStyle name="Output 3 2 4 2" xfId="10156"/>
    <cellStyle name="Output 3 3" xfId="10155"/>
    <cellStyle name="Output 3 3 2" xfId="10154"/>
    <cellStyle name="Output 3 3 2 2" xfId="10153"/>
    <cellStyle name="Output 3 3 2 2 2" xfId="10152"/>
    <cellStyle name="Output 3 3 3" xfId="10151"/>
    <cellStyle name="Output 3 3 3 2" xfId="10150"/>
    <cellStyle name="Output 3 4" xfId="10149"/>
    <cellStyle name="Output 3 4 2" xfId="10148"/>
    <cellStyle name="Output 3 4 2 2" xfId="10147"/>
    <cellStyle name="Output 3 4 2 2 2" xfId="10146"/>
    <cellStyle name="Output 3 4 3" xfId="10145"/>
    <cellStyle name="Output 3 4 3 2" xfId="10144"/>
    <cellStyle name="Output 3 5" xfId="10143"/>
    <cellStyle name="Output 3 5 2" xfId="10142"/>
    <cellStyle name="Output 3 5 2 2" xfId="10141"/>
    <cellStyle name="Output 3 6" xfId="10140"/>
    <cellStyle name="Output 3 6 2" xfId="10139"/>
    <cellStyle name="Output 4" xfId="10138"/>
    <cellStyle name="Output 4 2" xfId="10137"/>
    <cellStyle name="Output 4 2 2" xfId="10136"/>
    <cellStyle name="Output 4 2 2 2" xfId="10135"/>
    <cellStyle name="Output 4 2 2 2 2" xfId="10134"/>
    <cellStyle name="Output 4 2 2 2 2 2" xfId="10133"/>
    <cellStyle name="Output 4 2 2 3" xfId="10132"/>
    <cellStyle name="Output 4 2 2 3 2" xfId="10131"/>
    <cellStyle name="Output 4 2 3" xfId="10130"/>
    <cellStyle name="Output 4 2 3 2" xfId="10129"/>
    <cellStyle name="Output 4 2 3 2 2" xfId="10128"/>
    <cellStyle name="Output 4 2 4" xfId="10127"/>
    <cellStyle name="Output 4 2 4 2" xfId="10126"/>
    <cellStyle name="Output 4 3" xfId="10125"/>
    <cellStyle name="Output 4 3 2" xfId="10124"/>
    <cellStyle name="Output 4 3 2 2" xfId="10123"/>
    <cellStyle name="Output 4 3 2 2 2" xfId="10122"/>
    <cellStyle name="Output 4 3 3" xfId="10121"/>
    <cellStyle name="Output 4 3 3 2" xfId="10120"/>
    <cellStyle name="Output 4 4" xfId="10119"/>
    <cellStyle name="Output 4 4 2" xfId="10118"/>
    <cellStyle name="Output 4 4 2 2" xfId="10117"/>
    <cellStyle name="Output 4 4 2 2 2" xfId="10116"/>
    <cellStyle name="Output 4 4 3" xfId="10115"/>
    <cellStyle name="Output 4 4 3 2" xfId="10114"/>
    <cellStyle name="Output 4 5" xfId="10113"/>
    <cellStyle name="Output 4 5 2" xfId="10112"/>
    <cellStyle name="Output 4 5 2 2" xfId="10111"/>
    <cellStyle name="Output 4 6" xfId="10110"/>
    <cellStyle name="Output 4 6 2" xfId="10109"/>
    <cellStyle name="Output 5" xfId="10108"/>
    <cellStyle name="Output 5 2" xfId="10107"/>
    <cellStyle name="Output 5 2 2" xfId="10106"/>
    <cellStyle name="Output 5 2 2 2" xfId="10105"/>
    <cellStyle name="Output 5 2 2 2 2" xfId="10104"/>
    <cellStyle name="Output 5 2 2 2 2 2" xfId="10103"/>
    <cellStyle name="Output 5 2 2 3" xfId="10102"/>
    <cellStyle name="Output 5 2 2 3 2" xfId="10101"/>
    <cellStyle name="Output 5 2 3" xfId="10100"/>
    <cellStyle name="Output 5 2 3 2" xfId="10099"/>
    <cellStyle name="Output 5 2 3 2 2" xfId="10098"/>
    <cellStyle name="Output 5 2 4" xfId="10097"/>
    <cellStyle name="Output 5 2 4 2" xfId="10096"/>
    <cellStyle name="Output 5 3" xfId="10095"/>
    <cellStyle name="Output 5 3 2" xfId="10094"/>
    <cellStyle name="Output 5 3 2 2" xfId="10093"/>
    <cellStyle name="Output 5 3 2 2 2" xfId="10092"/>
    <cellStyle name="Output 5 3 3" xfId="10091"/>
    <cellStyle name="Output 5 3 3 2" xfId="10090"/>
    <cellStyle name="Output 5 4" xfId="10089"/>
    <cellStyle name="Output 5 4 2" xfId="10088"/>
    <cellStyle name="Output 5 4 2 2" xfId="10087"/>
    <cellStyle name="Output 5 4 2 2 2" xfId="10086"/>
    <cellStyle name="Output 5 4 3" xfId="10085"/>
    <cellStyle name="Output 5 4 3 2" xfId="10084"/>
    <cellStyle name="Output 5 5" xfId="10083"/>
    <cellStyle name="Output 5 5 2" xfId="10082"/>
    <cellStyle name="Output 5 5 2 2" xfId="10081"/>
    <cellStyle name="Output 5 6" xfId="10080"/>
    <cellStyle name="Output 5 6 2" xfId="10079"/>
    <cellStyle name="Output 6" xfId="10078"/>
    <cellStyle name="Output 6 2" xfId="10077"/>
    <cellStyle name="Output 6 2 2" xfId="10076"/>
    <cellStyle name="Output 6 2 2 2" xfId="10075"/>
    <cellStyle name="Output 6 2 2 2 2" xfId="10074"/>
    <cellStyle name="Output 6 2 2 2 2 2" xfId="10073"/>
    <cellStyle name="Output 6 2 2 3" xfId="10072"/>
    <cellStyle name="Output 6 2 2 3 2" xfId="10071"/>
    <cellStyle name="Output 6 2 3" xfId="10070"/>
    <cellStyle name="Output 6 2 3 2" xfId="10069"/>
    <cellStyle name="Output 6 2 3 2 2" xfId="10068"/>
    <cellStyle name="Output 6 2 4" xfId="10067"/>
    <cellStyle name="Output 6 2 4 2" xfId="10066"/>
    <cellStyle name="Output 6 3" xfId="10065"/>
    <cellStyle name="Output 6 3 2" xfId="10064"/>
    <cellStyle name="Output 6 3 2 2" xfId="10063"/>
    <cellStyle name="Output 6 3 2 2 2" xfId="10062"/>
    <cellStyle name="Output 6 3 3" xfId="10061"/>
    <cellStyle name="Output 6 3 3 2" xfId="10060"/>
    <cellStyle name="Output 6 4" xfId="10059"/>
    <cellStyle name="Output 6 4 2" xfId="10058"/>
    <cellStyle name="Output 6 4 2 2" xfId="10057"/>
    <cellStyle name="Output 6 4 2 2 2" xfId="10056"/>
    <cellStyle name="Output 6 4 3" xfId="10055"/>
    <cellStyle name="Output 6 4 3 2" xfId="10054"/>
    <cellStyle name="Output 6 5" xfId="10053"/>
    <cellStyle name="Output 6 5 2" xfId="10052"/>
    <cellStyle name="Output 6 5 2 2" xfId="10051"/>
    <cellStyle name="Output 6 6" xfId="10050"/>
    <cellStyle name="Output 6 6 2" xfId="10049"/>
    <cellStyle name="Output 7" xfId="10048"/>
    <cellStyle name="Output 7 2" xfId="10047"/>
    <cellStyle name="Output 7 2 2" xfId="10046"/>
    <cellStyle name="Output 7 2 2 2" xfId="10045"/>
    <cellStyle name="Output 7 2 2 2 2" xfId="10044"/>
    <cellStyle name="Output 7 2 2 2 2 2" xfId="10043"/>
    <cellStyle name="Output 7 2 2 3" xfId="10042"/>
    <cellStyle name="Output 7 2 2 3 2" xfId="10041"/>
    <cellStyle name="Output 7 2 3" xfId="10040"/>
    <cellStyle name="Output 7 2 3 2" xfId="10039"/>
    <cellStyle name="Output 7 2 3 2 2" xfId="10038"/>
    <cellStyle name="Output 7 2 4" xfId="10037"/>
    <cellStyle name="Output 7 2 4 2" xfId="10036"/>
    <cellStyle name="Output 7 3" xfId="10035"/>
    <cellStyle name="Output 7 3 2" xfId="10034"/>
    <cellStyle name="Output 7 3 2 2" xfId="10033"/>
    <cellStyle name="Output 7 3 2 2 2" xfId="10032"/>
    <cellStyle name="Output 7 3 3" xfId="10031"/>
    <cellStyle name="Output 7 3 3 2" xfId="10030"/>
    <cellStyle name="Output 7 4" xfId="10029"/>
    <cellStyle name="Output 7 4 2" xfId="10028"/>
    <cellStyle name="Output 7 4 2 2" xfId="10027"/>
    <cellStyle name="Output 7 4 2 2 2" xfId="10026"/>
    <cellStyle name="Output 7 4 3" xfId="10025"/>
    <cellStyle name="Output 7 4 3 2" xfId="10024"/>
    <cellStyle name="Output 7 5" xfId="10023"/>
    <cellStyle name="Output 7 5 2" xfId="10022"/>
    <cellStyle name="Output 7 5 2 2" xfId="10021"/>
    <cellStyle name="Output 7 6" xfId="10020"/>
    <cellStyle name="Output 7 6 2" xfId="10019"/>
    <cellStyle name="Output 8" xfId="10018"/>
    <cellStyle name="Output 8 2" xfId="10017"/>
    <cellStyle name="Output 8 2 2" xfId="10016"/>
    <cellStyle name="Output 8 2 2 2" xfId="10015"/>
    <cellStyle name="Output 8 2 2 2 2" xfId="10014"/>
    <cellStyle name="Output 8 2 3" xfId="10013"/>
    <cellStyle name="Output 8 2 3 2" xfId="10012"/>
    <cellStyle name="Output 8 3" xfId="10011"/>
    <cellStyle name="Output 8 3 2" xfId="10010"/>
    <cellStyle name="Output 8 3 2 2" xfId="10009"/>
    <cellStyle name="Output 8 4" xfId="10008"/>
    <cellStyle name="Output 8 4 2" xfId="10007"/>
    <cellStyle name="Output 9" xfId="10006"/>
    <cellStyle name="para-1" xfId="10005"/>
    <cellStyle name="Pattern_PRINT" xfId="10004"/>
    <cellStyle name="pc1" xfId="10003"/>
    <cellStyle name="pembes" xfId="10002"/>
    <cellStyle name="per.style" xfId="10001"/>
    <cellStyle name="per.style 10" xfId="10000"/>
    <cellStyle name="per.style 11" xfId="9999"/>
    <cellStyle name="per.style 12" xfId="9998"/>
    <cellStyle name="per.style 13" xfId="9997"/>
    <cellStyle name="per.style 2" xfId="9996"/>
    <cellStyle name="per.style 2 2" xfId="9995"/>
    <cellStyle name="per.style 3" xfId="9994"/>
    <cellStyle name="per.style 3 2" xfId="9993"/>
    <cellStyle name="per.style 3 3" xfId="9992"/>
    <cellStyle name="per.style 3 4" xfId="9991"/>
    <cellStyle name="per.style 4" xfId="9990"/>
    <cellStyle name="per.style 5" xfId="9989"/>
    <cellStyle name="per.style 6" xfId="9988"/>
    <cellStyle name="per.style 7" xfId="9987"/>
    <cellStyle name="per.style 8" xfId="9986"/>
    <cellStyle name="per.style 9" xfId="9985"/>
    <cellStyle name="Percent" xfId="26363" builtinId="5"/>
    <cellStyle name="Percent [0]" xfId="9984"/>
    <cellStyle name="Percent [0] 2" xfId="9983"/>
    <cellStyle name="Percent [00]" xfId="9982"/>
    <cellStyle name="Percent [1]" xfId="9981"/>
    <cellStyle name="Percent [2]" xfId="9980"/>
    <cellStyle name="Percent [2] 2" xfId="9979"/>
    <cellStyle name="Percent [2] 2 2" xfId="9978"/>
    <cellStyle name="Percent [2] 3" xfId="9977"/>
    <cellStyle name="Percent [2] 3 2" xfId="9976"/>
    <cellStyle name="Percent [2] 4" xfId="9975"/>
    <cellStyle name="Percent [2] 4 2" xfId="9974"/>
    <cellStyle name="Percent [2] 5" xfId="9973"/>
    <cellStyle name="Percent [2] 6" xfId="9972"/>
    <cellStyle name="Percent [2] 7" xfId="9971"/>
    <cellStyle name="Percent [2] 8" xfId="9970"/>
    <cellStyle name="Percent [2] 9" xfId="9969"/>
    <cellStyle name="Percent 10" xfId="9968"/>
    <cellStyle name="Percent 11" xfId="9967"/>
    <cellStyle name="Percent 12" xfId="9966"/>
    <cellStyle name="Percent 12 2" xfId="9965"/>
    <cellStyle name="Percent 13" xfId="9964"/>
    <cellStyle name="Percent 14" xfId="9963"/>
    <cellStyle name="Percent 15" xfId="9962"/>
    <cellStyle name="Percent 16" xfId="9961"/>
    <cellStyle name="Percent 16 2" xfId="9960"/>
    <cellStyle name="Percent 16 3" xfId="9959"/>
    <cellStyle name="Percent 16 3 2" xfId="9958"/>
    <cellStyle name="Percent 17" xfId="9957"/>
    <cellStyle name="Percent 18" xfId="9956"/>
    <cellStyle name="Percent 19" xfId="9955"/>
    <cellStyle name="Percent 2" xfId="9954"/>
    <cellStyle name="Percent 2 10" xfId="9953"/>
    <cellStyle name="Percent 2 11" xfId="9952"/>
    <cellStyle name="Percent 2 12" xfId="9951"/>
    <cellStyle name="Percent 2 12 2" xfId="9950"/>
    <cellStyle name="Percent 2 13" xfId="9949"/>
    <cellStyle name="Percent 2 2" xfId="9948"/>
    <cellStyle name="Percent 2 2 10" xfId="9947"/>
    <cellStyle name="Percent 2 2 11" xfId="9946"/>
    <cellStyle name="Percent 2 2 12" xfId="9945"/>
    <cellStyle name="Percent 2 2 13" xfId="9944"/>
    <cellStyle name="Percent 2 2 14" xfId="9943"/>
    <cellStyle name="Percent 2 2 15" xfId="9942"/>
    <cellStyle name="Percent 2 2 16" xfId="9941"/>
    <cellStyle name="Percent 2 2 17" xfId="9940"/>
    <cellStyle name="Percent 2 2 18" xfId="9939"/>
    <cellStyle name="Percent 2 2 19" xfId="9938"/>
    <cellStyle name="Percent 2 2 2" xfId="9937"/>
    <cellStyle name="Percent 2 2 20" xfId="9936"/>
    <cellStyle name="Percent 2 2 21" xfId="9935"/>
    <cellStyle name="Percent 2 2 22" xfId="9934"/>
    <cellStyle name="Percent 2 2 23" xfId="9933"/>
    <cellStyle name="Percent 2 2 24" xfId="9932"/>
    <cellStyle name="Percent 2 2 25" xfId="9931"/>
    <cellStyle name="Percent 2 2 26" xfId="9930"/>
    <cellStyle name="Percent 2 2 27" xfId="9929"/>
    <cellStyle name="Percent 2 2 28" xfId="9928"/>
    <cellStyle name="Percent 2 2 29" xfId="9927"/>
    <cellStyle name="Percent 2 2 3" xfId="9926"/>
    <cellStyle name="Percent 2 2 4" xfId="9925"/>
    <cellStyle name="Percent 2 2 5" xfId="9924"/>
    <cellStyle name="Percent 2 2 6" xfId="9923"/>
    <cellStyle name="Percent 2 2 7" xfId="9922"/>
    <cellStyle name="Percent 2 2 8" xfId="9921"/>
    <cellStyle name="Percent 2 2 9" xfId="9920"/>
    <cellStyle name="Percent 2 3" xfId="9919"/>
    <cellStyle name="Percent 2 3 10" xfId="9918"/>
    <cellStyle name="Percent 2 3 11" xfId="9917"/>
    <cellStyle name="Percent 2 3 12" xfId="9916"/>
    <cellStyle name="Percent 2 3 13" xfId="9915"/>
    <cellStyle name="Percent 2 3 14" xfId="9914"/>
    <cellStyle name="Percent 2 3 2" xfId="9913"/>
    <cellStyle name="Percent 2 3 3" xfId="9912"/>
    <cellStyle name="Percent 2 3 4" xfId="9911"/>
    <cellStyle name="Percent 2 3 5" xfId="9910"/>
    <cellStyle name="Percent 2 3 6" xfId="9909"/>
    <cellStyle name="Percent 2 3 7" xfId="9908"/>
    <cellStyle name="Percent 2 3 8" xfId="9907"/>
    <cellStyle name="Percent 2 3 9" xfId="9906"/>
    <cellStyle name="Percent 2 4" xfId="9905"/>
    <cellStyle name="Percent 2 4 2" xfId="9904"/>
    <cellStyle name="Percent 2 5" xfId="9903"/>
    <cellStyle name="Percent 2 6" xfId="9902"/>
    <cellStyle name="Percent 2 6 2" xfId="9901"/>
    <cellStyle name="Percent 2 6 2 2" xfId="9900"/>
    <cellStyle name="Percent 2 6 3" xfId="9899"/>
    <cellStyle name="Percent 2 7" xfId="9898"/>
    <cellStyle name="Percent 2 8" xfId="9897"/>
    <cellStyle name="Percent 2 9" xfId="9896"/>
    <cellStyle name="Percent 20" xfId="9895"/>
    <cellStyle name="Percent 21" xfId="9894"/>
    <cellStyle name="Percent 22" xfId="9893"/>
    <cellStyle name="Percent 23" xfId="9892"/>
    <cellStyle name="Percent 23 2" xfId="9891"/>
    <cellStyle name="Percent 24" xfId="9890"/>
    <cellStyle name="Percent 25" xfId="9889"/>
    <cellStyle name="Percent 25 2" xfId="9888"/>
    <cellStyle name="Percent 26" xfId="9887"/>
    <cellStyle name="Percent 27" xfId="9886"/>
    <cellStyle name="Percent 28" xfId="9885"/>
    <cellStyle name="Percent 29" xfId="9884"/>
    <cellStyle name="Percent 3" xfId="9883"/>
    <cellStyle name="Percent 3 10" xfId="9882"/>
    <cellStyle name="Percent 3 2" xfId="9881"/>
    <cellStyle name="Percent 3 2 2" xfId="9880"/>
    <cellStyle name="Percent 3 2 3" xfId="9879"/>
    <cellStyle name="Percent 3 3" xfId="9878"/>
    <cellStyle name="Percent 3 4" xfId="9877"/>
    <cellStyle name="Percent 3 5" xfId="9876"/>
    <cellStyle name="Percent 3 6" xfId="9875"/>
    <cellStyle name="Percent 3 7" xfId="9874"/>
    <cellStyle name="Percent 3 8" xfId="9873"/>
    <cellStyle name="Percent 3 9" xfId="9872"/>
    <cellStyle name="Percent 30" xfId="9871"/>
    <cellStyle name="Percent 31" xfId="9870"/>
    <cellStyle name="Percent 32" xfId="9869"/>
    <cellStyle name="Percent 33" xfId="9868"/>
    <cellStyle name="Percent 34" xfId="9867"/>
    <cellStyle name="Percent 35" xfId="9866"/>
    <cellStyle name="Percent 36" xfId="9865"/>
    <cellStyle name="Percent 37" xfId="9864"/>
    <cellStyle name="Percent 38" xfId="9863"/>
    <cellStyle name="Percent 39" xfId="9862"/>
    <cellStyle name="Percent 4" xfId="9861"/>
    <cellStyle name="Percent 4 2" xfId="9860"/>
    <cellStyle name="Percent 4 2 10" xfId="9859"/>
    <cellStyle name="Percent 4 2 11" xfId="9858"/>
    <cellStyle name="Percent 4 2 12" xfId="9857"/>
    <cellStyle name="Percent 4 2 13" xfId="9856"/>
    <cellStyle name="Percent 4 2 14" xfId="9855"/>
    <cellStyle name="Percent 4 2 2" xfId="9854"/>
    <cellStyle name="Percent 4 2 3" xfId="9853"/>
    <cellStyle name="Percent 4 2 4" xfId="9852"/>
    <cellStyle name="Percent 4 2 5" xfId="9851"/>
    <cellStyle name="Percent 4 2 6" xfId="9850"/>
    <cellStyle name="Percent 4 2 7" xfId="9849"/>
    <cellStyle name="Percent 4 2 8" xfId="9848"/>
    <cellStyle name="Percent 4 2 9" xfId="9847"/>
    <cellStyle name="Percent 4 3" xfId="9846"/>
    <cellStyle name="Percent 4 3 2" xfId="9845"/>
    <cellStyle name="Percent 4 3 2 2" xfId="9844"/>
    <cellStyle name="Percent 4 3 3" xfId="9843"/>
    <cellStyle name="Percent 4 3 4" xfId="9842"/>
    <cellStyle name="Percent 4 4" xfId="9841"/>
    <cellStyle name="Percent 4 4 2" xfId="9840"/>
    <cellStyle name="Percent 4 5" xfId="9839"/>
    <cellStyle name="Percent 40" xfId="9838"/>
    <cellStyle name="Percent 41" xfId="9837"/>
    <cellStyle name="Percent 42" xfId="9836"/>
    <cellStyle name="Percent 43" xfId="9835"/>
    <cellStyle name="Percent 44" xfId="9834"/>
    <cellStyle name="Percent 45" xfId="9833"/>
    <cellStyle name="Percent 46" xfId="9832"/>
    <cellStyle name="Percent 47" xfId="9831"/>
    <cellStyle name="Percent 48" xfId="9830"/>
    <cellStyle name="Percent 49" xfId="9829"/>
    <cellStyle name="Percent 5" xfId="9828"/>
    <cellStyle name="Percent 50" xfId="9827"/>
    <cellStyle name="Percent 51" xfId="9826"/>
    <cellStyle name="Percent 52" xfId="9825"/>
    <cellStyle name="Percent 53" xfId="9824"/>
    <cellStyle name="Percent 54" xfId="9823"/>
    <cellStyle name="Percent 55" xfId="9822"/>
    <cellStyle name="Percent 56" xfId="9821"/>
    <cellStyle name="Percent 57" xfId="9820"/>
    <cellStyle name="Percent 58" xfId="9819"/>
    <cellStyle name="Percent 59" xfId="9818"/>
    <cellStyle name="Percent 6" xfId="9817"/>
    <cellStyle name="Percent 6 2" xfId="9816"/>
    <cellStyle name="Percent 6 2 2" xfId="9815"/>
    <cellStyle name="Percent 6 3" xfId="9814"/>
    <cellStyle name="Percent 60" xfId="9813"/>
    <cellStyle name="Percent 61" xfId="9812"/>
    <cellStyle name="Percent 62" xfId="9811"/>
    <cellStyle name="Percent 62 2" xfId="9810"/>
    <cellStyle name="Percent 63" xfId="9809"/>
    <cellStyle name="Percent 64" xfId="9808"/>
    <cellStyle name="Percent 65" xfId="9807"/>
    <cellStyle name="Percent 66" xfId="9806"/>
    <cellStyle name="Percent 67" xfId="9805"/>
    <cellStyle name="Percent 68" xfId="9804"/>
    <cellStyle name="Percent 69" xfId="9803"/>
    <cellStyle name="Percent 7" xfId="9802"/>
    <cellStyle name="Percent 7 2" xfId="9801"/>
    <cellStyle name="Percent 7 2 2" xfId="9800"/>
    <cellStyle name="Percent 7 3" xfId="9799"/>
    <cellStyle name="Percent 70" xfId="9798"/>
    <cellStyle name="Percent 71" xfId="9797"/>
    <cellStyle name="Percent 72" xfId="9796"/>
    <cellStyle name="Percent 73" xfId="9795"/>
    <cellStyle name="Percent 74" xfId="9794"/>
    <cellStyle name="Percent 75" xfId="9793"/>
    <cellStyle name="Percent 76" xfId="9792"/>
    <cellStyle name="Percent 77" xfId="9791"/>
    <cellStyle name="Percent 78" xfId="9790"/>
    <cellStyle name="Percent 79" xfId="9789"/>
    <cellStyle name="Percent 8" xfId="9788"/>
    <cellStyle name="Percent 8 2" xfId="9787"/>
    <cellStyle name="Percent 8 2 2" xfId="9786"/>
    <cellStyle name="Percent 8 3" xfId="9785"/>
    <cellStyle name="Percent 8 4" xfId="9784"/>
    <cellStyle name="Percent 80" xfId="9783"/>
    <cellStyle name="Percent 81" xfId="9782"/>
    <cellStyle name="Percent 9" xfId="9781"/>
    <cellStyle name="Percent 9 2" xfId="9780"/>
    <cellStyle name="Percent 9 2 2" xfId="9779"/>
    <cellStyle name="Percent 9 2 2 2" xfId="9778"/>
    <cellStyle name="Percent 9 3" xfId="9777"/>
    <cellStyle name="Percent 9 4" xfId="9776"/>
    <cellStyle name="Percent 9 4 2" xfId="9775"/>
    <cellStyle name="Percent 9 4 3" xfId="9774"/>
    <cellStyle name="PERCENTAGE" xfId="9773"/>
    <cellStyle name="PERCENTAGE 10" xfId="9772"/>
    <cellStyle name="PERCENTAGE 11" xfId="9771"/>
    <cellStyle name="PERCENTAGE 12" xfId="9770"/>
    <cellStyle name="PERCENTAGE 13" xfId="9769"/>
    <cellStyle name="PERCENTAGE 14" xfId="9768"/>
    <cellStyle name="PERCENTAGE 15" xfId="9767"/>
    <cellStyle name="PERCENTAGE 2" xfId="9766"/>
    <cellStyle name="PERCENTAGE 2 2" xfId="9765"/>
    <cellStyle name="PERCENTAGE 2 3" xfId="9764"/>
    <cellStyle name="PERCENTAGE 2 4" xfId="9763"/>
    <cellStyle name="PERCENTAGE 2 5" xfId="9762"/>
    <cellStyle name="PERCENTAGE 2 6" xfId="9761"/>
    <cellStyle name="PERCENTAGE 2 7" xfId="9760"/>
    <cellStyle name="PERCENTAGE 3" xfId="9759"/>
    <cellStyle name="PERCENTAGE 3 2" xfId="9758"/>
    <cellStyle name="PERCENTAGE 3 3" xfId="9757"/>
    <cellStyle name="PERCENTAGE 3 4" xfId="9756"/>
    <cellStyle name="PERCENTAGE 3 5" xfId="9755"/>
    <cellStyle name="PERCENTAGE 3 6" xfId="9754"/>
    <cellStyle name="PERCENTAGE 3 7" xfId="9753"/>
    <cellStyle name="PERCENTAGE 4" xfId="9752"/>
    <cellStyle name="PERCENTAGE 4 2" xfId="9751"/>
    <cellStyle name="PERCENTAGE 4 3" xfId="9750"/>
    <cellStyle name="PERCENTAGE 4 4" xfId="9749"/>
    <cellStyle name="PERCENTAGE 4 5" xfId="9748"/>
    <cellStyle name="PERCENTAGE 4 6" xfId="9747"/>
    <cellStyle name="PERCENTAGE 4 7" xfId="9746"/>
    <cellStyle name="PERCENTAGE 5" xfId="9745"/>
    <cellStyle name="PERCENTAGE 5 2" xfId="9744"/>
    <cellStyle name="PERCENTAGE 5 3" xfId="9743"/>
    <cellStyle name="PERCENTAGE 5 4" xfId="9742"/>
    <cellStyle name="PERCENTAGE 5 5" xfId="9741"/>
    <cellStyle name="PERCENTAGE 5 6" xfId="9740"/>
    <cellStyle name="PERCENTAGE 5 7" xfId="9739"/>
    <cellStyle name="PERCENTAGE 6" xfId="9738"/>
    <cellStyle name="PERCENTAGE 6 2" xfId="9737"/>
    <cellStyle name="PERCENTAGE 6 3" xfId="9736"/>
    <cellStyle name="PERCENTAGE 6 4" xfId="9735"/>
    <cellStyle name="PERCENTAGE 6 5" xfId="9734"/>
    <cellStyle name="PERCENTAGE 6 6" xfId="9733"/>
    <cellStyle name="PERCENTAGE 6 7" xfId="9732"/>
    <cellStyle name="PERCENTAGE 7" xfId="9731"/>
    <cellStyle name="PERCENTAGE 7 2" xfId="9730"/>
    <cellStyle name="PERCENTAGE 7 3" xfId="9729"/>
    <cellStyle name="PERCENTAGE 7 4" xfId="9728"/>
    <cellStyle name="PERCENTAGE 7 5" xfId="9727"/>
    <cellStyle name="PERCENTAGE 7 6" xfId="9726"/>
    <cellStyle name="PERCENTAGE 7 7" xfId="9725"/>
    <cellStyle name="PERCENTAGE 8" xfId="9724"/>
    <cellStyle name="PERCENTAGE 8 2" xfId="9723"/>
    <cellStyle name="PERCENTAGE 8 3" xfId="9722"/>
    <cellStyle name="PERCENTAGE 8 4" xfId="9721"/>
    <cellStyle name="PERCENTAGE 8 5" xfId="9720"/>
    <cellStyle name="PERCENTAGE 8 6" xfId="9719"/>
    <cellStyle name="PERCENTAGE 8 7" xfId="9718"/>
    <cellStyle name="PERCENTAGE 9" xfId="9717"/>
    <cellStyle name="PERCENTAGE 9 2" xfId="9716"/>
    <cellStyle name="PERCENTAGE 9 3" xfId="9715"/>
    <cellStyle name="PERCENTAGE 9 4" xfId="9714"/>
    <cellStyle name="PERCENTAGE 9 5" xfId="9713"/>
    <cellStyle name="PERCENTAGE 9 6" xfId="9712"/>
    <cellStyle name="PERCENTAGE 9 7" xfId="9711"/>
    <cellStyle name="PercentSales" xfId="9710"/>
    <cellStyle name="Period Title." xfId="9709"/>
    <cellStyle name="Persen" xfId="9708"/>
    <cellStyle name="PgLen" xfId="9707"/>
    <cellStyle name="plest" xfId="9706"/>
    <cellStyle name="pound_mu" xfId="9705"/>
    <cellStyle name="Pourcentage_cartouche" xfId="9704"/>
    <cellStyle name="PrePop Currency (0)" xfId="9703"/>
    <cellStyle name="PrePop Currency (2)" xfId="9702"/>
    <cellStyle name="PrePop Units (0)" xfId="9701"/>
    <cellStyle name="PrePop Units (1)" xfId="9700"/>
    <cellStyle name="PrePop Units (1) 2" xfId="9699"/>
    <cellStyle name="PrePop Units (2)" xfId="9698"/>
    <cellStyle name="Presentation Heading 2." xfId="9697"/>
    <cellStyle name="Presentation Heading 3." xfId="9696"/>
    <cellStyle name="Presentation Heading 4." xfId="9695"/>
    <cellStyle name="Presentation Normal." xfId="9694"/>
    <cellStyle name="Presentation Number." xfId="9693"/>
    <cellStyle name="pricing" xfId="9692"/>
    <cellStyle name="Prosent_Ark1" xfId="9691"/>
    <cellStyle name="PSChar" xfId="9690"/>
    <cellStyle name="Quantité" xfId="9689"/>
    <cellStyle name="Quantité 2" xfId="9688"/>
    <cellStyle name="Quantité 2 2" xfId="9687"/>
    <cellStyle name="Quantité 2 2 2" xfId="9686"/>
    <cellStyle name="Quantité 2 3" xfId="9685"/>
    <cellStyle name="Quantité 3" xfId="9684"/>
    <cellStyle name="Quantité 3 2" xfId="9683"/>
    <cellStyle name="Quantité 3 2 2" xfId="9682"/>
    <cellStyle name="Quantité 3 3" xfId="9681"/>
    <cellStyle name="Quantité 4" xfId="9680"/>
    <cellStyle name="Quantité 4 2" xfId="9679"/>
    <cellStyle name="Quantité 4 2 2" xfId="9678"/>
    <cellStyle name="Quantité 4 3" xfId="9677"/>
    <cellStyle name="Quantité 5" xfId="9676"/>
    <cellStyle name="Quantité 5 2" xfId="9675"/>
    <cellStyle name="Quantité 5 2 2" xfId="9674"/>
    <cellStyle name="Quantité 5 3" xfId="9673"/>
    <cellStyle name="Quantité 6" xfId="9672"/>
    <cellStyle name="Quantité 6 2" xfId="9671"/>
    <cellStyle name="Quantité 6 2 2" xfId="9670"/>
    <cellStyle name="Quantité 6 3" xfId="9669"/>
    <cellStyle name="Quantité 7" xfId="9668"/>
    <cellStyle name="Quantité 7 2" xfId="9667"/>
    <cellStyle name="Quantité 7 2 2" xfId="9666"/>
    <cellStyle name="Quantité 7 3" xfId="9665"/>
    <cellStyle name="Quantité 8" xfId="9664"/>
    <cellStyle name="Quantité 8 2" xfId="9663"/>
    <cellStyle name="Quantité 9" xfId="9662"/>
    <cellStyle name="radika" xfId="9661"/>
    <cellStyle name="radika 2" xfId="9660"/>
    <cellStyle name="radikal" xfId="9659"/>
    <cellStyle name="radikal 10" xfId="9658"/>
    <cellStyle name="radikal 10 2" xfId="9657"/>
    <cellStyle name="radikal 10 3" xfId="9656"/>
    <cellStyle name="radikal 11" xfId="9655"/>
    <cellStyle name="radikal 11 2" xfId="9654"/>
    <cellStyle name="radikal 11 3" xfId="9653"/>
    <cellStyle name="radikal 12" xfId="9652"/>
    <cellStyle name="radikal 12 2" xfId="9651"/>
    <cellStyle name="radikal 12 3" xfId="9650"/>
    <cellStyle name="radikal 13" xfId="9649"/>
    <cellStyle name="radikal 14" xfId="9648"/>
    <cellStyle name="radikal 2" xfId="9647"/>
    <cellStyle name="radikal 2 10" xfId="9646"/>
    <cellStyle name="radikal 2 10 2" xfId="9645"/>
    <cellStyle name="radikal 2 10 3" xfId="9644"/>
    <cellStyle name="radikal 2 11" xfId="9643"/>
    <cellStyle name="radikal 2 12" xfId="9642"/>
    <cellStyle name="radikal 2 2" xfId="9641"/>
    <cellStyle name="radikal 2 2 10" xfId="9640"/>
    <cellStyle name="radikal 2 2 2" xfId="9639"/>
    <cellStyle name="radikal 2 2 2 2" xfId="9638"/>
    <cellStyle name="radikal 2 2 2 3" xfId="9637"/>
    <cellStyle name="radikal 2 2 3" xfId="9636"/>
    <cellStyle name="radikal 2 2 3 2" xfId="9635"/>
    <cellStyle name="radikal 2 2 3 3" xfId="9634"/>
    <cellStyle name="radikal 2 2 4" xfId="9633"/>
    <cellStyle name="radikal 2 2 4 2" xfId="9632"/>
    <cellStyle name="radikal 2 2 4 3" xfId="9631"/>
    <cellStyle name="radikal 2 2 5" xfId="9630"/>
    <cellStyle name="radikal 2 2 5 2" xfId="9629"/>
    <cellStyle name="radikal 2 2 5 3" xfId="9628"/>
    <cellStyle name="radikal 2 2 6" xfId="9627"/>
    <cellStyle name="radikal 2 2 6 2" xfId="9626"/>
    <cellStyle name="radikal 2 2 6 3" xfId="9625"/>
    <cellStyle name="radikal 2 2 7" xfId="9624"/>
    <cellStyle name="radikal 2 2 7 2" xfId="9623"/>
    <cellStyle name="radikal 2 2 7 3" xfId="9622"/>
    <cellStyle name="radikal 2 2 8" xfId="9621"/>
    <cellStyle name="radikal 2 2 8 2" xfId="9620"/>
    <cellStyle name="radikal 2 2 8 3" xfId="9619"/>
    <cellStyle name="radikal 2 2 9" xfId="9618"/>
    <cellStyle name="radikal 2 3" xfId="9617"/>
    <cellStyle name="radikal 2 3 2" xfId="9616"/>
    <cellStyle name="radikal 2 3 3" xfId="9615"/>
    <cellStyle name="radikal 2 4" xfId="9614"/>
    <cellStyle name="radikal 2 4 2" xfId="9613"/>
    <cellStyle name="radikal 2 4 3" xfId="9612"/>
    <cellStyle name="radikal 2 5" xfId="9611"/>
    <cellStyle name="radikal 2 5 2" xfId="9610"/>
    <cellStyle name="radikal 2 5 3" xfId="9609"/>
    <cellStyle name="radikal 2 6" xfId="9608"/>
    <cellStyle name="radikal 2 6 2" xfId="9607"/>
    <cellStyle name="radikal 2 6 3" xfId="9606"/>
    <cellStyle name="radikal 2 7" xfId="9605"/>
    <cellStyle name="radikal 2 7 2" xfId="9604"/>
    <cellStyle name="radikal 2 7 3" xfId="9603"/>
    <cellStyle name="radikal 2 8" xfId="9602"/>
    <cellStyle name="radikal 2 8 2" xfId="9601"/>
    <cellStyle name="radikal 2 8 3" xfId="9600"/>
    <cellStyle name="radikal 2 9" xfId="9599"/>
    <cellStyle name="radikal 2 9 2" xfId="9598"/>
    <cellStyle name="radikal 2 9 3" xfId="9597"/>
    <cellStyle name="radikal 3" xfId="9596"/>
    <cellStyle name="radikal 3 10" xfId="9595"/>
    <cellStyle name="radikal 3 10 2" xfId="9594"/>
    <cellStyle name="radikal 3 10 3" xfId="9593"/>
    <cellStyle name="radikal 3 11" xfId="9592"/>
    <cellStyle name="radikal 3 12" xfId="9591"/>
    <cellStyle name="radikal 3 2" xfId="9590"/>
    <cellStyle name="radikal 3 2 10" xfId="9589"/>
    <cellStyle name="radikal 3 2 2" xfId="9588"/>
    <cellStyle name="radikal 3 2 2 2" xfId="9587"/>
    <cellStyle name="radikal 3 2 2 3" xfId="9586"/>
    <cellStyle name="radikal 3 2 3" xfId="9585"/>
    <cellStyle name="radikal 3 2 3 2" xfId="9584"/>
    <cellStyle name="radikal 3 2 3 3" xfId="9583"/>
    <cellStyle name="radikal 3 2 4" xfId="9582"/>
    <cellStyle name="radikal 3 2 4 2" xfId="9581"/>
    <cellStyle name="radikal 3 2 4 3" xfId="9580"/>
    <cellStyle name="radikal 3 2 5" xfId="9579"/>
    <cellStyle name="radikal 3 2 5 2" xfId="9578"/>
    <cellStyle name="radikal 3 2 5 3" xfId="9577"/>
    <cellStyle name="radikal 3 2 6" xfId="9576"/>
    <cellStyle name="radikal 3 2 6 2" xfId="9575"/>
    <cellStyle name="radikal 3 2 6 3" xfId="9574"/>
    <cellStyle name="radikal 3 2 7" xfId="9573"/>
    <cellStyle name="radikal 3 2 7 2" xfId="9572"/>
    <cellStyle name="radikal 3 2 7 3" xfId="9571"/>
    <cellStyle name="radikal 3 2 8" xfId="9570"/>
    <cellStyle name="radikal 3 2 8 2" xfId="9569"/>
    <cellStyle name="radikal 3 2 8 3" xfId="9568"/>
    <cellStyle name="radikal 3 2 9" xfId="9567"/>
    <cellStyle name="radikal 3 3" xfId="9566"/>
    <cellStyle name="radikal 3 3 2" xfId="9565"/>
    <cellStyle name="radikal 3 3 3" xfId="9564"/>
    <cellStyle name="radikal 3 4" xfId="9563"/>
    <cellStyle name="radikal 3 4 2" xfId="9562"/>
    <cellStyle name="radikal 3 4 3" xfId="9561"/>
    <cellStyle name="radikal 3 5" xfId="9560"/>
    <cellStyle name="radikal 3 5 2" xfId="9559"/>
    <cellStyle name="radikal 3 5 3" xfId="9558"/>
    <cellStyle name="radikal 3 6" xfId="9557"/>
    <cellStyle name="radikal 3 6 2" xfId="9556"/>
    <cellStyle name="radikal 3 6 3" xfId="9555"/>
    <cellStyle name="radikal 3 7" xfId="9554"/>
    <cellStyle name="radikal 3 7 2" xfId="9553"/>
    <cellStyle name="radikal 3 7 3" xfId="9552"/>
    <cellStyle name="radikal 3 8" xfId="9551"/>
    <cellStyle name="radikal 3 8 2" xfId="9550"/>
    <cellStyle name="radikal 3 8 3" xfId="9549"/>
    <cellStyle name="radikal 3 9" xfId="9548"/>
    <cellStyle name="radikal 3 9 2" xfId="9547"/>
    <cellStyle name="radikal 3 9 3" xfId="9546"/>
    <cellStyle name="radikal 4" xfId="9545"/>
    <cellStyle name="radikal 4 10" xfId="9544"/>
    <cellStyle name="radikal 4 2" xfId="9543"/>
    <cellStyle name="radikal 4 2 2" xfId="9542"/>
    <cellStyle name="radikal 4 2 3" xfId="9541"/>
    <cellStyle name="radikal 4 3" xfId="9540"/>
    <cellStyle name="radikal 4 3 2" xfId="9539"/>
    <cellStyle name="radikal 4 3 3" xfId="9538"/>
    <cellStyle name="radikal 4 4" xfId="9537"/>
    <cellStyle name="radikal 4 4 2" xfId="9536"/>
    <cellStyle name="radikal 4 4 3" xfId="9535"/>
    <cellStyle name="radikal 4 5" xfId="9534"/>
    <cellStyle name="radikal 4 5 2" xfId="9533"/>
    <cellStyle name="radikal 4 5 3" xfId="9532"/>
    <cellStyle name="radikal 4 6" xfId="9531"/>
    <cellStyle name="radikal 4 6 2" xfId="9530"/>
    <cellStyle name="radikal 4 6 3" xfId="9529"/>
    <cellStyle name="radikal 4 7" xfId="9528"/>
    <cellStyle name="radikal 4 7 2" xfId="9527"/>
    <cellStyle name="radikal 4 7 3" xfId="9526"/>
    <cellStyle name="radikal 4 8" xfId="9525"/>
    <cellStyle name="radikal 4 8 2" xfId="9524"/>
    <cellStyle name="radikal 4 8 3" xfId="9523"/>
    <cellStyle name="radikal 4 9" xfId="9522"/>
    <cellStyle name="radikal 5" xfId="9521"/>
    <cellStyle name="radikal 5 2" xfId="9520"/>
    <cellStyle name="radikal 5 3" xfId="9519"/>
    <cellStyle name="radikal 6" xfId="9518"/>
    <cellStyle name="radikal 6 2" xfId="9517"/>
    <cellStyle name="radikal 6 3" xfId="9516"/>
    <cellStyle name="radikal 7" xfId="9515"/>
    <cellStyle name="radikal 7 2" xfId="9514"/>
    <cellStyle name="radikal 7 3" xfId="9513"/>
    <cellStyle name="radikal 8" xfId="9512"/>
    <cellStyle name="radikal 8 2" xfId="9511"/>
    <cellStyle name="radikal 8 3" xfId="9510"/>
    <cellStyle name="radikal 9" xfId="9509"/>
    <cellStyle name="radikal 9 2" xfId="9508"/>
    <cellStyle name="radikal 9 3" xfId="9507"/>
    <cellStyle name="Rate" xfId="9506"/>
    <cellStyle name="RateBold" xfId="9505"/>
    <cellStyle name="RATNA" xfId="9504"/>
    <cellStyle name="RATNA 2" xfId="9503"/>
    <cellStyle name="Red font" xfId="9502"/>
    <cellStyle name="Red Title" xfId="9501"/>
    <cellStyle name="regstoresfromspecstores" xfId="9500"/>
    <cellStyle name="regstoresfromspecstores 10" xfId="9499"/>
    <cellStyle name="regstoresfromspecstores 11" xfId="9498"/>
    <cellStyle name="regstoresfromspecstores 12" xfId="9497"/>
    <cellStyle name="regstoresfromspecstores 13" xfId="9496"/>
    <cellStyle name="regstoresfromspecstores 14" xfId="9495"/>
    <cellStyle name="regstoresfromspecstores 2" xfId="9494"/>
    <cellStyle name="regstoresfromspecstores 2 2" xfId="9493"/>
    <cellStyle name="regstoresfromspecstores 3" xfId="9492"/>
    <cellStyle name="regstoresfromspecstores 3 2" xfId="9491"/>
    <cellStyle name="regstoresfromspecstores 3 3" xfId="9490"/>
    <cellStyle name="regstoresfromspecstores 3 4" xfId="9489"/>
    <cellStyle name="regstoresfromspecstores 4" xfId="9488"/>
    <cellStyle name="regstoresfromspecstores 5" xfId="9487"/>
    <cellStyle name="regstoresfromspecstores 6" xfId="9486"/>
    <cellStyle name="regstoresfromspecstores 7" xfId="9485"/>
    <cellStyle name="regstoresfromspecstores 8" xfId="9484"/>
    <cellStyle name="regstoresfromspecstores 9" xfId="9483"/>
    <cellStyle name="report_title" xfId="9482"/>
    <cellStyle name="Reset " xfId="9481"/>
    <cellStyle name="Reset  - Style4" xfId="9480"/>
    <cellStyle name="Reset  - Style7" xfId="9479"/>
    <cellStyle name="Reset  - Style7 2" xfId="9478"/>
    <cellStyle name="Reset  - 유형7" xfId="9477"/>
    <cellStyle name="Reset  2" xfId="9476"/>
    <cellStyle name="Reset range style to defaults" xfId="9475"/>
    <cellStyle name="RevList" xfId="9474"/>
    <cellStyle name="RevList 10" xfId="9473"/>
    <cellStyle name="RevList 11" xfId="9472"/>
    <cellStyle name="RevList 12" xfId="9471"/>
    <cellStyle name="RevList 13" xfId="9470"/>
    <cellStyle name="RevList 14" xfId="9469"/>
    <cellStyle name="RevList 2" xfId="9468"/>
    <cellStyle name="RevList 2 2" xfId="9467"/>
    <cellStyle name="RevList 2 2 2" xfId="9466"/>
    <cellStyle name="RevList 2 3" xfId="9465"/>
    <cellStyle name="RevList 3" xfId="9464"/>
    <cellStyle name="RevList 3 2" xfId="9463"/>
    <cellStyle name="RevList 3 2 2" xfId="9462"/>
    <cellStyle name="RevList 3 3" xfId="9461"/>
    <cellStyle name="RevList 3 4" xfId="9460"/>
    <cellStyle name="RevList 3 5" xfId="9459"/>
    <cellStyle name="RevList 4" xfId="9458"/>
    <cellStyle name="RevList 4 2" xfId="9457"/>
    <cellStyle name="RevList 4 3" xfId="9456"/>
    <cellStyle name="RevList 5" xfId="9455"/>
    <cellStyle name="RevList 6" xfId="9454"/>
    <cellStyle name="RevList 7" xfId="9453"/>
    <cellStyle name="RevList 8" xfId="9452"/>
    <cellStyle name="RevList 9" xfId="9451"/>
    <cellStyle name="Ribu" xfId="9450"/>
    <cellStyle name="Rp" xfId="9449"/>
    <cellStyle name="Rp 2" xfId="9448"/>
    <cellStyle name="S/Titre" xfId="9447"/>
    <cellStyle name="s]_x000d__x000a_spooler=yes_x000d__x000a_load=_x000d__x000a_Beep=yes_x000d__x000a_NullPort=None_x000d__x000a_BorderWidth=3_x000d__x000a_CursorBlinkRate=1200_x000d__x000a_DoubleClickSpeed=452_x000d__x000a_Programs=co" xfId="9446"/>
    <cellStyle name="Salida" xfId="9445"/>
    <cellStyle name="SATU" xfId="9444"/>
    <cellStyle name="SATU 2" xfId="9443"/>
    <cellStyle name="sbt2" xfId="9442"/>
    <cellStyle name="sbt2 2" xfId="9441"/>
    <cellStyle name="sbt2 2 2" xfId="9440"/>
    <cellStyle name="sbt2 2 2 2" xfId="9439"/>
    <cellStyle name="sbt2 2 2 2 2" xfId="9438"/>
    <cellStyle name="sbt2 2 3" xfId="9437"/>
    <cellStyle name="sbt2 2 3 2" xfId="9436"/>
    <cellStyle name="sbt2 3" xfId="9435"/>
    <cellStyle name="sbt2 3 2" xfId="9434"/>
    <cellStyle name="sbt2 3 2 2" xfId="9433"/>
    <cellStyle name="sbt2 3 2 2 2" xfId="9432"/>
    <cellStyle name="sbt2 3 3" xfId="9431"/>
    <cellStyle name="sbt2 3 3 2" xfId="9430"/>
    <cellStyle name="sbt2 4" xfId="9429"/>
    <cellStyle name="sbt2 4 2" xfId="9428"/>
    <cellStyle name="sbt2 4 2 2" xfId="9427"/>
    <cellStyle name="sbt2 4 2 2 2" xfId="9426"/>
    <cellStyle name="sbt2 4 3" xfId="9425"/>
    <cellStyle name="sbt2 4 3 2" xfId="9424"/>
    <cellStyle name="sbt2 5" xfId="9423"/>
    <cellStyle name="sbt2 5 2" xfId="9422"/>
    <cellStyle name="sbt2 5 2 2" xfId="9421"/>
    <cellStyle name="sbt2 6" xfId="9420"/>
    <cellStyle name="sbt2 6 2" xfId="9419"/>
    <cellStyle name="Section Title" xfId="9418"/>
    <cellStyle name="sementara" xfId="9417"/>
    <cellStyle name="SHADEDSTORES" xfId="9416"/>
    <cellStyle name="SHADEDSTORES 10" xfId="9415"/>
    <cellStyle name="SHADEDSTORES 10 10" xfId="9414"/>
    <cellStyle name="SHADEDSTORES 10 10 2" xfId="9413"/>
    <cellStyle name="SHADEDSTORES 10 11" xfId="9412"/>
    <cellStyle name="SHADEDSTORES 10 2" xfId="9411"/>
    <cellStyle name="SHADEDSTORES 10 2 2" xfId="9410"/>
    <cellStyle name="SHADEDSTORES 10 2 2 2" xfId="9409"/>
    <cellStyle name="SHADEDSTORES 10 2 2 2 2" xfId="9408"/>
    <cellStyle name="SHADEDSTORES 10 2 2 3" xfId="9407"/>
    <cellStyle name="SHADEDSTORES 10 2 3" xfId="9406"/>
    <cellStyle name="SHADEDSTORES 10 2 3 2" xfId="9405"/>
    <cellStyle name="SHADEDSTORES 10 2 4" xfId="9404"/>
    <cellStyle name="SHADEDSTORES 10 3" xfId="9403"/>
    <cellStyle name="SHADEDSTORES 10 3 2" xfId="9402"/>
    <cellStyle name="SHADEDSTORES 10 3 2 2" xfId="9401"/>
    <cellStyle name="SHADEDSTORES 10 3 2 2 2" xfId="9400"/>
    <cellStyle name="SHADEDSTORES 10 3 2 3" xfId="9399"/>
    <cellStyle name="SHADEDSTORES 10 3 3" xfId="9398"/>
    <cellStyle name="SHADEDSTORES 10 3 3 2" xfId="9397"/>
    <cellStyle name="SHADEDSTORES 10 3 4" xfId="9396"/>
    <cellStyle name="SHADEDSTORES 10 4" xfId="9395"/>
    <cellStyle name="SHADEDSTORES 10 4 2" xfId="9394"/>
    <cellStyle name="SHADEDSTORES 10 4 2 2" xfId="9393"/>
    <cellStyle name="SHADEDSTORES 10 4 2 2 2" xfId="9392"/>
    <cellStyle name="SHADEDSTORES 10 4 2 3" xfId="9391"/>
    <cellStyle name="SHADEDSTORES 10 4 3" xfId="9390"/>
    <cellStyle name="SHADEDSTORES 10 4 3 2" xfId="9389"/>
    <cellStyle name="SHADEDSTORES 10 4 4" xfId="9388"/>
    <cellStyle name="SHADEDSTORES 10 5" xfId="9387"/>
    <cellStyle name="SHADEDSTORES 10 5 2" xfId="9386"/>
    <cellStyle name="SHADEDSTORES 10 5 2 2" xfId="9385"/>
    <cellStyle name="SHADEDSTORES 10 5 2 2 2" xfId="9384"/>
    <cellStyle name="SHADEDSTORES 10 5 2 3" xfId="9383"/>
    <cellStyle name="SHADEDSTORES 10 5 3" xfId="9382"/>
    <cellStyle name="SHADEDSTORES 10 5 3 2" xfId="9381"/>
    <cellStyle name="SHADEDSTORES 10 5 4" xfId="9380"/>
    <cellStyle name="SHADEDSTORES 10 6" xfId="9379"/>
    <cellStyle name="SHADEDSTORES 10 6 2" xfId="9378"/>
    <cellStyle name="SHADEDSTORES 10 6 2 2" xfId="9377"/>
    <cellStyle name="SHADEDSTORES 10 6 2 2 2" xfId="9376"/>
    <cellStyle name="SHADEDSTORES 10 6 2 3" xfId="9375"/>
    <cellStyle name="SHADEDSTORES 10 6 3" xfId="9374"/>
    <cellStyle name="SHADEDSTORES 10 6 3 2" xfId="9373"/>
    <cellStyle name="SHADEDSTORES 10 6 4" xfId="9372"/>
    <cellStyle name="SHADEDSTORES 10 7" xfId="9371"/>
    <cellStyle name="SHADEDSTORES 10 7 2" xfId="9370"/>
    <cellStyle name="SHADEDSTORES 10 7 2 2" xfId="9369"/>
    <cellStyle name="SHADEDSTORES 10 7 2 2 2" xfId="9368"/>
    <cellStyle name="SHADEDSTORES 10 7 2 3" xfId="9367"/>
    <cellStyle name="SHADEDSTORES 10 7 3" xfId="9366"/>
    <cellStyle name="SHADEDSTORES 10 7 3 2" xfId="9365"/>
    <cellStyle name="SHADEDSTORES 10 7 4" xfId="9364"/>
    <cellStyle name="SHADEDSTORES 10 8" xfId="9363"/>
    <cellStyle name="SHADEDSTORES 10 8 2" xfId="9362"/>
    <cellStyle name="SHADEDSTORES 10 8 2 2" xfId="9361"/>
    <cellStyle name="SHADEDSTORES 10 8 2 2 2" xfId="9360"/>
    <cellStyle name="SHADEDSTORES 10 8 2 3" xfId="9359"/>
    <cellStyle name="SHADEDSTORES 10 8 3" xfId="9358"/>
    <cellStyle name="SHADEDSTORES 10 8 3 2" xfId="9357"/>
    <cellStyle name="SHADEDSTORES 10 8 4" xfId="9356"/>
    <cellStyle name="SHADEDSTORES 10 9" xfId="9355"/>
    <cellStyle name="SHADEDSTORES 10 9 2" xfId="9354"/>
    <cellStyle name="SHADEDSTORES 10 9 2 2" xfId="9353"/>
    <cellStyle name="SHADEDSTORES 10 9 3" xfId="9352"/>
    <cellStyle name="SHADEDSTORES 11" xfId="9351"/>
    <cellStyle name="SHADEDSTORES 11 10" xfId="9350"/>
    <cellStyle name="SHADEDSTORES 11 10 2" xfId="9349"/>
    <cellStyle name="SHADEDSTORES 11 11" xfId="9348"/>
    <cellStyle name="SHADEDSTORES 11 2" xfId="9347"/>
    <cellStyle name="SHADEDSTORES 11 2 2" xfId="9346"/>
    <cellStyle name="SHADEDSTORES 11 2 2 2" xfId="9345"/>
    <cellStyle name="SHADEDSTORES 11 2 2 2 2" xfId="9344"/>
    <cellStyle name="SHADEDSTORES 11 2 2 3" xfId="9343"/>
    <cellStyle name="SHADEDSTORES 11 2 3" xfId="9342"/>
    <cellStyle name="SHADEDSTORES 11 2 3 2" xfId="9341"/>
    <cellStyle name="SHADEDSTORES 11 2 4" xfId="9340"/>
    <cellStyle name="SHADEDSTORES 11 3" xfId="9339"/>
    <cellStyle name="SHADEDSTORES 11 3 2" xfId="9338"/>
    <cellStyle name="SHADEDSTORES 11 3 2 2" xfId="9337"/>
    <cellStyle name="SHADEDSTORES 11 3 2 2 2" xfId="9336"/>
    <cellStyle name="SHADEDSTORES 11 3 2 3" xfId="9335"/>
    <cellStyle name="SHADEDSTORES 11 3 3" xfId="9334"/>
    <cellStyle name="SHADEDSTORES 11 3 3 2" xfId="9333"/>
    <cellStyle name="SHADEDSTORES 11 3 4" xfId="9332"/>
    <cellStyle name="SHADEDSTORES 11 4" xfId="9331"/>
    <cellStyle name="SHADEDSTORES 11 4 2" xfId="9330"/>
    <cellStyle name="SHADEDSTORES 11 4 2 2" xfId="9329"/>
    <cellStyle name="SHADEDSTORES 11 4 2 2 2" xfId="9328"/>
    <cellStyle name="SHADEDSTORES 11 4 2 3" xfId="9327"/>
    <cellStyle name="SHADEDSTORES 11 4 3" xfId="9326"/>
    <cellStyle name="SHADEDSTORES 11 4 3 2" xfId="9325"/>
    <cellStyle name="SHADEDSTORES 11 4 4" xfId="9324"/>
    <cellStyle name="SHADEDSTORES 11 5" xfId="9323"/>
    <cellStyle name="SHADEDSTORES 11 5 2" xfId="9322"/>
    <cellStyle name="SHADEDSTORES 11 5 2 2" xfId="9321"/>
    <cellStyle name="SHADEDSTORES 11 5 2 2 2" xfId="9320"/>
    <cellStyle name="SHADEDSTORES 11 5 2 3" xfId="9319"/>
    <cellStyle name="SHADEDSTORES 11 5 3" xfId="9318"/>
    <cellStyle name="SHADEDSTORES 11 5 3 2" xfId="9317"/>
    <cellStyle name="SHADEDSTORES 11 5 4" xfId="9316"/>
    <cellStyle name="SHADEDSTORES 11 6" xfId="9315"/>
    <cellStyle name="SHADEDSTORES 11 6 2" xfId="9314"/>
    <cellStyle name="SHADEDSTORES 11 6 2 2" xfId="9313"/>
    <cellStyle name="SHADEDSTORES 11 6 2 2 2" xfId="9312"/>
    <cellStyle name="SHADEDSTORES 11 6 2 3" xfId="9311"/>
    <cellStyle name="SHADEDSTORES 11 6 3" xfId="9310"/>
    <cellStyle name="SHADEDSTORES 11 6 3 2" xfId="9309"/>
    <cellStyle name="SHADEDSTORES 11 6 4" xfId="9308"/>
    <cellStyle name="SHADEDSTORES 11 7" xfId="9307"/>
    <cellStyle name="SHADEDSTORES 11 7 2" xfId="9306"/>
    <cellStyle name="SHADEDSTORES 11 7 2 2" xfId="9305"/>
    <cellStyle name="SHADEDSTORES 11 7 2 2 2" xfId="9304"/>
    <cellStyle name="SHADEDSTORES 11 7 2 3" xfId="9303"/>
    <cellStyle name="SHADEDSTORES 11 7 3" xfId="9302"/>
    <cellStyle name="SHADEDSTORES 11 7 3 2" xfId="9301"/>
    <cellStyle name="SHADEDSTORES 11 7 4" xfId="9300"/>
    <cellStyle name="SHADEDSTORES 11 8" xfId="9299"/>
    <cellStyle name="SHADEDSTORES 11 8 2" xfId="9298"/>
    <cellStyle name="SHADEDSTORES 11 8 2 2" xfId="9297"/>
    <cellStyle name="SHADEDSTORES 11 8 2 2 2" xfId="9296"/>
    <cellStyle name="SHADEDSTORES 11 8 2 3" xfId="9295"/>
    <cellStyle name="SHADEDSTORES 11 8 3" xfId="9294"/>
    <cellStyle name="SHADEDSTORES 11 8 3 2" xfId="9293"/>
    <cellStyle name="SHADEDSTORES 11 8 4" xfId="9292"/>
    <cellStyle name="SHADEDSTORES 11 9" xfId="9291"/>
    <cellStyle name="SHADEDSTORES 11 9 2" xfId="9290"/>
    <cellStyle name="SHADEDSTORES 11 9 2 2" xfId="9289"/>
    <cellStyle name="SHADEDSTORES 11 9 3" xfId="9288"/>
    <cellStyle name="SHADEDSTORES 12" xfId="9287"/>
    <cellStyle name="SHADEDSTORES 12 10" xfId="9286"/>
    <cellStyle name="SHADEDSTORES 12 10 2" xfId="9285"/>
    <cellStyle name="SHADEDSTORES 12 11" xfId="9284"/>
    <cellStyle name="SHADEDSTORES 12 2" xfId="9283"/>
    <cellStyle name="SHADEDSTORES 12 2 2" xfId="9282"/>
    <cellStyle name="SHADEDSTORES 12 2 2 2" xfId="9281"/>
    <cellStyle name="SHADEDSTORES 12 2 2 2 2" xfId="9280"/>
    <cellStyle name="SHADEDSTORES 12 2 2 3" xfId="9279"/>
    <cellStyle name="SHADEDSTORES 12 2 3" xfId="9278"/>
    <cellStyle name="SHADEDSTORES 12 2 3 2" xfId="9277"/>
    <cellStyle name="SHADEDSTORES 12 2 4" xfId="9276"/>
    <cellStyle name="SHADEDSTORES 12 3" xfId="9275"/>
    <cellStyle name="SHADEDSTORES 12 3 2" xfId="9274"/>
    <cellStyle name="SHADEDSTORES 12 3 2 2" xfId="9273"/>
    <cellStyle name="SHADEDSTORES 12 3 2 2 2" xfId="9272"/>
    <cellStyle name="SHADEDSTORES 12 3 2 3" xfId="9271"/>
    <cellStyle name="SHADEDSTORES 12 3 3" xfId="9270"/>
    <cellStyle name="SHADEDSTORES 12 3 3 2" xfId="9269"/>
    <cellStyle name="SHADEDSTORES 12 3 4" xfId="9268"/>
    <cellStyle name="SHADEDSTORES 12 4" xfId="9267"/>
    <cellStyle name="SHADEDSTORES 12 4 2" xfId="9266"/>
    <cellStyle name="SHADEDSTORES 12 4 2 2" xfId="9265"/>
    <cellStyle name="SHADEDSTORES 12 4 2 2 2" xfId="9264"/>
    <cellStyle name="SHADEDSTORES 12 4 2 3" xfId="9263"/>
    <cellStyle name="SHADEDSTORES 12 4 3" xfId="9262"/>
    <cellStyle name="SHADEDSTORES 12 4 3 2" xfId="9261"/>
    <cellStyle name="SHADEDSTORES 12 4 4" xfId="9260"/>
    <cellStyle name="SHADEDSTORES 12 5" xfId="9259"/>
    <cellStyle name="SHADEDSTORES 12 5 2" xfId="9258"/>
    <cellStyle name="SHADEDSTORES 12 5 2 2" xfId="9257"/>
    <cellStyle name="SHADEDSTORES 12 5 2 2 2" xfId="9256"/>
    <cellStyle name="SHADEDSTORES 12 5 2 3" xfId="9255"/>
    <cellStyle name="SHADEDSTORES 12 5 3" xfId="9254"/>
    <cellStyle name="SHADEDSTORES 12 5 3 2" xfId="9253"/>
    <cellStyle name="SHADEDSTORES 12 5 4" xfId="9252"/>
    <cellStyle name="SHADEDSTORES 12 6" xfId="9251"/>
    <cellStyle name="SHADEDSTORES 12 6 2" xfId="9250"/>
    <cellStyle name="SHADEDSTORES 12 6 2 2" xfId="9249"/>
    <cellStyle name="SHADEDSTORES 12 6 2 2 2" xfId="9248"/>
    <cellStyle name="SHADEDSTORES 12 6 2 3" xfId="9247"/>
    <cellStyle name="SHADEDSTORES 12 6 3" xfId="9246"/>
    <cellStyle name="SHADEDSTORES 12 6 3 2" xfId="9245"/>
    <cellStyle name="SHADEDSTORES 12 6 4" xfId="9244"/>
    <cellStyle name="SHADEDSTORES 12 7" xfId="9243"/>
    <cellStyle name="SHADEDSTORES 12 7 2" xfId="9242"/>
    <cellStyle name="SHADEDSTORES 12 7 2 2" xfId="9241"/>
    <cellStyle name="SHADEDSTORES 12 7 2 2 2" xfId="9240"/>
    <cellStyle name="SHADEDSTORES 12 7 2 3" xfId="9239"/>
    <cellStyle name="SHADEDSTORES 12 7 3" xfId="9238"/>
    <cellStyle name="SHADEDSTORES 12 7 3 2" xfId="9237"/>
    <cellStyle name="SHADEDSTORES 12 7 4" xfId="9236"/>
    <cellStyle name="SHADEDSTORES 12 8" xfId="9235"/>
    <cellStyle name="SHADEDSTORES 12 8 2" xfId="9234"/>
    <cellStyle name="SHADEDSTORES 12 8 2 2" xfId="9233"/>
    <cellStyle name="SHADEDSTORES 12 8 2 2 2" xfId="9232"/>
    <cellStyle name="SHADEDSTORES 12 8 2 3" xfId="9231"/>
    <cellStyle name="SHADEDSTORES 12 8 3" xfId="9230"/>
    <cellStyle name="SHADEDSTORES 12 8 3 2" xfId="9229"/>
    <cellStyle name="SHADEDSTORES 12 8 4" xfId="9228"/>
    <cellStyle name="SHADEDSTORES 12 9" xfId="9227"/>
    <cellStyle name="SHADEDSTORES 12 9 2" xfId="9226"/>
    <cellStyle name="SHADEDSTORES 12 9 2 2" xfId="9225"/>
    <cellStyle name="SHADEDSTORES 12 9 3" xfId="9224"/>
    <cellStyle name="SHADEDSTORES 13" xfId="9223"/>
    <cellStyle name="SHADEDSTORES 13 10" xfId="9222"/>
    <cellStyle name="SHADEDSTORES 13 10 2" xfId="9221"/>
    <cellStyle name="SHADEDSTORES 13 11" xfId="9220"/>
    <cellStyle name="SHADEDSTORES 13 2" xfId="9219"/>
    <cellStyle name="SHADEDSTORES 13 2 2" xfId="9218"/>
    <cellStyle name="SHADEDSTORES 13 2 2 2" xfId="9217"/>
    <cellStyle name="SHADEDSTORES 13 2 2 2 2" xfId="9216"/>
    <cellStyle name="SHADEDSTORES 13 2 2 3" xfId="9215"/>
    <cellStyle name="SHADEDSTORES 13 2 3" xfId="9214"/>
    <cellStyle name="SHADEDSTORES 13 2 3 2" xfId="9213"/>
    <cellStyle name="SHADEDSTORES 13 2 4" xfId="9212"/>
    <cellStyle name="SHADEDSTORES 13 3" xfId="9211"/>
    <cellStyle name="SHADEDSTORES 13 3 2" xfId="9210"/>
    <cellStyle name="SHADEDSTORES 13 3 2 2" xfId="9209"/>
    <cellStyle name="SHADEDSTORES 13 3 2 2 2" xfId="9208"/>
    <cellStyle name="SHADEDSTORES 13 3 2 3" xfId="9207"/>
    <cellStyle name="SHADEDSTORES 13 3 3" xfId="9206"/>
    <cellStyle name="SHADEDSTORES 13 3 3 2" xfId="9205"/>
    <cellStyle name="SHADEDSTORES 13 3 4" xfId="9204"/>
    <cellStyle name="SHADEDSTORES 13 4" xfId="9203"/>
    <cellStyle name="SHADEDSTORES 13 4 2" xfId="9202"/>
    <cellStyle name="SHADEDSTORES 13 4 2 2" xfId="9201"/>
    <cellStyle name="SHADEDSTORES 13 4 2 2 2" xfId="9200"/>
    <cellStyle name="SHADEDSTORES 13 4 2 3" xfId="9199"/>
    <cellStyle name="SHADEDSTORES 13 4 3" xfId="9198"/>
    <cellStyle name="SHADEDSTORES 13 4 3 2" xfId="9197"/>
    <cellStyle name="SHADEDSTORES 13 4 4" xfId="9196"/>
    <cellStyle name="SHADEDSTORES 13 5" xfId="9195"/>
    <cellStyle name="SHADEDSTORES 13 5 2" xfId="9194"/>
    <cellStyle name="SHADEDSTORES 13 5 2 2" xfId="9193"/>
    <cellStyle name="SHADEDSTORES 13 5 2 2 2" xfId="9192"/>
    <cellStyle name="SHADEDSTORES 13 5 2 3" xfId="9191"/>
    <cellStyle name="SHADEDSTORES 13 5 3" xfId="9190"/>
    <cellStyle name="SHADEDSTORES 13 5 3 2" xfId="9189"/>
    <cellStyle name="SHADEDSTORES 13 5 4" xfId="9188"/>
    <cellStyle name="SHADEDSTORES 13 6" xfId="9187"/>
    <cellStyle name="SHADEDSTORES 13 6 2" xfId="9186"/>
    <cellStyle name="SHADEDSTORES 13 6 2 2" xfId="9185"/>
    <cellStyle name="SHADEDSTORES 13 6 2 2 2" xfId="9184"/>
    <cellStyle name="SHADEDSTORES 13 6 2 3" xfId="9183"/>
    <cellStyle name="SHADEDSTORES 13 6 3" xfId="9182"/>
    <cellStyle name="SHADEDSTORES 13 6 3 2" xfId="9181"/>
    <cellStyle name="SHADEDSTORES 13 6 4" xfId="9180"/>
    <cellStyle name="SHADEDSTORES 13 7" xfId="9179"/>
    <cellStyle name="SHADEDSTORES 13 7 2" xfId="9178"/>
    <cellStyle name="SHADEDSTORES 13 7 2 2" xfId="9177"/>
    <cellStyle name="SHADEDSTORES 13 7 2 2 2" xfId="9176"/>
    <cellStyle name="SHADEDSTORES 13 7 2 3" xfId="9175"/>
    <cellStyle name="SHADEDSTORES 13 7 3" xfId="9174"/>
    <cellStyle name="SHADEDSTORES 13 7 3 2" xfId="9173"/>
    <cellStyle name="SHADEDSTORES 13 7 4" xfId="9172"/>
    <cellStyle name="SHADEDSTORES 13 8" xfId="9171"/>
    <cellStyle name="SHADEDSTORES 13 8 2" xfId="9170"/>
    <cellStyle name="SHADEDSTORES 13 8 2 2" xfId="9169"/>
    <cellStyle name="SHADEDSTORES 13 8 2 2 2" xfId="9168"/>
    <cellStyle name="SHADEDSTORES 13 8 2 3" xfId="9167"/>
    <cellStyle name="SHADEDSTORES 13 8 3" xfId="9166"/>
    <cellStyle name="SHADEDSTORES 13 8 3 2" xfId="9165"/>
    <cellStyle name="SHADEDSTORES 13 8 4" xfId="9164"/>
    <cellStyle name="SHADEDSTORES 13 9" xfId="9163"/>
    <cellStyle name="SHADEDSTORES 13 9 2" xfId="9162"/>
    <cellStyle name="SHADEDSTORES 13 9 2 2" xfId="9161"/>
    <cellStyle name="SHADEDSTORES 13 9 3" xfId="9160"/>
    <cellStyle name="SHADEDSTORES 14" xfId="9159"/>
    <cellStyle name="SHADEDSTORES 14 2" xfId="9158"/>
    <cellStyle name="SHADEDSTORES 14 2 2" xfId="9157"/>
    <cellStyle name="SHADEDSTORES 14 2 2 2" xfId="9156"/>
    <cellStyle name="SHADEDSTORES 14 2 3" xfId="9155"/>
    <cellStyle name="SHADEDSTORES 14 3" xfId="9154"/>
    <cellStyle name="SHADEDSTORES 14 3 2" xfId="9153"/>
    <cellStyle name="SHADEDSTORES 14 4" xfId="9152"/>
    <cellStyle name="SHADEDSTORES 15" xfId="9151"/>
    <cellStyle name="SHADEDSTORES 15 2" xfId="9150"/>
    <cellStyle name="SHADEDSTORES 15 2 2" xfId="9149"/>
    <cellStyle name="SHADEDSTORES 15 2 2 2" xfId="9148"/>
    <cellStyle name="SHADEDSTORES 15 2 3" xfId="9147"/>
    <cellStyle name="SHADEDSTORES 15 3" xfId="9146"/>
    <cellStyle name="SHADEDSTORES 15 3 2" xfId="9145"/>
    <cellStyle name="SHADEDSTORES 15 4" xfId="9144"/>
    <cellStyle name="SHADEDSTORES 16" xfId="9143"/>
    <cellStyle name="SHADEDSTORES 16 2" xfId="9142"/>
    <cellStyle name="SHADEDSTORES 16 2 2" xfId="9141"/>
    <cellStyle name="SHADEDSTORES 16 2 2 2" xfId="9140"/>
    <cellStyle name="SHADEDSTORES 16 2 3" xfId="9139"/>
    <cellStyle name="SHADEDSTORES 16 3" xfId="9138"/>
    <cellStyle name="SHADEDSTORES 16 3 2" xfId="9137"/>
    <cellStyle name="SHADEDSTORES 16 4" xfId="9136"/>
    <cellStyle name="SHADEDSTORES 17" xfId="9135"/>
    <cellStyle name="SHADEDSTORES 17 2" xfId="9134"/>
    <cellStyle name="SHADEDSTORES 17 2 2" xfId="9133"/>
    <cellStyle name="SHADEDSTORES 17 2 2 2" xfId="9132"/>
    <cellStyle name="SHADEDSTORES 17 2 3" xfId="9131"/>
    <cellStyle name="SHADEDSTORES 17 3" xfId="9130"/>
    <cellStyle name="SHADEDSTORES 17 3 2" xfId="9129"/>
    <cellStyle name="SHADEDSTORES 17 4" xfId="9128"/>
    <cellStyle name="SHADEDSTORES 18" xfId="9127"/>
    <cellStyle name="SHADEDSTORES 18 2" xfId="9126"/>
    <cellStyle name="SHADEDSTORES 18 2 2" xfId="9125"/>
    <cellStyle name="SHADEDSTORES 18 2 2 2" xfId="9124"/>
    <cellStyle name="SHADEDSTORES 18 2 3" xfId="9123"/>
    <cellStyle name="SHADEDSTORES 18 3" xfId="9122"/>
    <cellStyle name="SHADEDSTORES 18 3 2" xfId="9121"/>
    <cellStyle name="SHADEDSTORES 18 4" xfId="9120"/>
    <cellStyle name="SHADEDSTORES 19" xfId="9119"/>
    <cellStyle name="SHADEDSTORES 19 2" xfId="9118"/>
    <cellStyle name="SHADEDSTORES 19 2 2" xfId="9117"/>
    <cellStyle name="SHADEDSTORES 19 2 2 2" xfId="9116"/>
    <cellStyle name="SHADEDSTORES 19 2 3" xfId="9115"/>
    <cellStyle name="SHADEDSTORES 19 3" xfId="9114"/>
    <cellStyle name="SHADEDSTORES 19 3 2" xfId="9113"/>
    <cellStyle name="SHADEDSTORES 19 4" xfId="9112"/>
    <cellStyle name="SHADEDSTORES 2" xfId="9111"/>
    <cellStyle name="SHADEDSTORES 2 10" xfId="9110"/>
    <cellStyle name="SHADEDSTORES 2 10 2" xfId="9109"/>
    <cellStyle name="SHADEDSTORES 2 10 2 2" xfId="9108"/>
    <cellStyle name="SHADEDSTORES 2 10 3" xfId="9107"/>
    <cellStyle name="SHADEDSTORES 2 11" xfId="9106"/>
    <cellStyle name="SHADEDSTORES 2 11 2" xfId="9105"/>
    <cellStyle name="SHADEDSTORES 2 12" xfId="9104"/>
    <cellStyle name="SHADEDSTORES 2 2" xfId="9103"/>
    <cellStyle name="SHADEDSTORES 2 2 10" xfId="9102"/>
    <cellStyle name="SHADEDSTORES 2 2 10 2" xfId="9101"/>
    <cellStyle name="SHADEDSTORES 2 2 11" xfId="9100"/>
    <cellStyle name="SHADEDSTORES 2 2 2" xfId="9099"/>
    <cellStyle name="SHADEDSTORES 2 2 2 2" xfId="9098"/>
    <cellStyle name="SHADEDSTORES 2 2 2 2 2" xfId="9097"/>
    <cellStyle name="SHADEDSTORES 2 2 2 2 2 2" xfId="9096"/>
    <cellStyle name="SHADEDSTORES 2 2 2 2 3" xfId="9095"/>
    <cellStyle name="SHADEDSTORES 2 2 2 3" xfId="9094"/>
    <cellStyle name="SHADEDSTORES 2 2 2 3 2" xfId="9093"/>
    <cellStyle name="SHADEDSTORES 2 2 2 4" xfId="9092"/>
    <cellStyle name="SHADEDSTORES 2 2 3" xfId="9091"/>
    <cellStyle name="SHADEDSTORES 2 2 3 2" xfId="9090"/>
    <cellStyle name="SHADEDSTORES 2 2 3 2 2" xfId="9089"/>
    <cellStyle name="SHADEDSTORES 2 2 3 2 2 2" xfId="9088"/>
    <cellStyle name="SHADEDSTORES 2 2 3 2 3" xfId="9087"/>
    <cellStyle name="SHADEDSTORES 2 2 3 3" xfId="9086"/>
    <cellStyle name="SHADEDSTORES 2 2 3 3 2" xfId="9085"/>
    <cellStyle name="SHADEDSTORES 2 2 3 4" xfId="9084"/>
    <cellStyle name="SHADEDSTORES 2 2 4" xfId="9083"/>
    <cellStyle name="SHADEDSTORES 2 2 4 2" xfId="9082"/>
    <cellStyle name="SHADEDSTORES 2 2 4 2 2" xfId="9081"/>
    <cellStyle name="SHADEDSTORES 2 2 4 2 2 2" xfId="9080"/>
    <cellStyle name="SHADEDSTORES 2 2 4 2 3" xfId="9079"/>
    <cellStyle name="SHADEDSTORES 2 2 4 3" xfId="9078"/>
    <cellStyle name="SHADEDSTORES 2 2 4 3 2" xfId="9077"/>
    <cellStyle name="SHADEDSTORES 2 2 4 4" xfId="9076"/>
    <cellStyle name="SHADEDSTORES 2 2 5" xfId="9075"/>
    <cellStyle name="SHADEDSTORES 2 2 5 2" xfId="9074"/>
    <cellStyle name="SHADEDSTORES 2 2 5 2 2" xfId="9073"/>
    <cellStyle name="SHADEDSTORES 2 2 5 2 2 2" xfId="9072"/>
    <cellStyle name="SHADEDSTORES 2 2 5 2 3" xfId="9071"/>
    <cellStyle name="SHADEDSTORES 2 2 5 3" xfId="9070"/>
    <cellStyle name="SHADEDSTORES 2 2 5 3 2" xfId="9069"/>
    <cellStyle name="SHADEDSTORES 2 2 5 4" xfId="9068"/>
    <cellStyle name="SHADEDSTORES 2 2 6" xfId="9067"/>
    <cellStyle name="SHADEDSTORES 2 2 6 2" xfId="9066"/>
    <cellStyle name="SHADEDSTORES 2 2 6 2 2" xfId="9065"/>
    <cellStyle name="SHADEDSTORES 2 2 6 2 2 2" xfId="9064"/>
    <cellStyle name="SHADEDSTORES 2 2 6 2 3" xfId="9063"/>
    <cellStyle name="SHADEDSTORES 2 2 6 3" xfId="9062"/>
    <cellStyle name="SHADEDSTORES 2 2 6 3 2" xfId="9061"/>
    <cellStyle name="SHADEDSTORES 2 2 6 4" xfId="9060"/>
    <cellStyle name="SHADEDSTORES 2 2 7" xfId="9059"/>
    <cellStyle name="SHADEDSTORES 2 2 7 2" xfId="9058"/>
    <cellStyle name="SHADEDSTORES 2 2 7 2 2" xfId="9057"/>
    <cellStyle name="SHADEDSTORES 2 2 7 2 2 2" xfId="9056"/>
    <cellStyle name="SHADEDSTORES 2 2 7 2 3" xfId="9055"/>
    <cellStyle name="SHADEDSTORES 2 2 7 3" xfId="9054"/>
    <cellStyle name="SHADEDSTORES 2 2 7 3 2" xfId="9053"/>
    <cellStyle name="SHADEDSTORES 2 2 7 4" xfId="9052"/>
    <cellStyle name="SHADEDSTORES 2 2 8" xfId="9051"/>
    <cellStyle name="SHADEDSTORES 2 2 8 2" xfId="9050"/>
    <cellStyle name="SHADEDSTORES 2 2 8 2 2" xfId="9049"/>
    <cellStyle name="SHADEDSTORES 2 2 8 2 2 2" xfId="9048"/>
    <cellStyle name="SHADEDSTORES 2 2 8 2 3" xfId="9047"/>
    <cellStyle name="SHADEDSTORES 2 2 8 3" xfId="9046"/>
    <cellStyle name="SHADEDSTORES 2 2 8 3 2" xfId="9045"/>
    <cellStyle name="SHADEDSTORES 2 2 8 4" xfId="9044"/>
    <cellStyle name="SHADEDSTORES 2 2 9" xfId="9043"/>
    <cellStyle name="SHADEDSTORES 2 2 9 2" xfId="9042"/>
    <cellStyle name="SHADEDSTORES 2 2 9 2 2" xfId="9041"/>
    <cellStyle name="SHADEDSTORES 2 2 9 3" xfId="9040"/>
    <cellStyle name="SHADEDSTORES 2 3" xfId="9039"/>
    <cellStyle name="SHADEDSTORES 2 3 2" xfId="9038"/>
    <cellStyle name="SHADEDSTORES 2 3 2 2" xfId="9037"/>
    <cellStyle name="SHADEDSTORES 2 3 2 2 2" xfId="9036"/>
    <cellStyle name="SHADEDSTORES 2 3 2 3" xfId="9035"/>
    <cellStyle name="SHADEDSTORES 2 3 3" xfId="9034"/>
    <cellStyle name="SHADEDSTORES 2 3 3 2" xfId="9033"/>
    <cellStyle name="SHADEDSTORES 2 3 4" xfId="9032"/>
    <cellStyle name="SHADEDSTORES 2 4" xfId="9031"/>
    <cellStyle name="SHADEDSTORES 2 4 2" xfId="9030"/>
    <cellStyle name="SHADEDSTORES 2 4 2 2" xfId="9029"/>
    <cellStyle name="SHADEDSTORES 2 4 2 2 2" xfId="9028"/>
    <cellStyle name="SHADEDSTORES 2 4 2 3" xfId="9027"/>
    <cellStyle name="SHADEDSTORES 2 4 3" xfId="9026"/>
    <cellStyle name="SHADEDSTORES 2 4 3 2" xfId="9025"/>
    <cellStyle name="SHADEDSTORES 2 4 4" xfId="9024"/>
    <cellStyle name="SHADEDSTORES 2 5" xfId="9023"/>
    <cellStyle name="SHADEDSTORES 2 5 2" xfId="9022"/>
    <cellStyle name="SHADEDSTORES 2 5 2 2" xfId="9021"/>
    <cellStyle name="SHADEDSTORES 2 5 2 2 2" xfId="9020"/>
    <cellStyle name="SHADEDSTORES 2 5 2 3" xfId="9019"/>
    <cellStyle name="SHADEDSTORES 2 5 3" xfId="9018"/>
    <cellStyle name="SHADEDSTORES 2 5 3 2" xfId="9017"/>
    <cellStyle name="SHADEDSTORES 2 5 4" xfId="9016"/>
    <cellStyle name="SHADEDSTORES 2 6" xfId="9015"/>
    <cellStyle name="SHADEDSTORES 2 6 2" xfId="9014"/>
    <cellStyle name="SHADEDSTORES 2 6 2 2" xfId="9013"/>
    <cellStyle name="SHADEDSTORES 2 6 2 2 2" xfId="9012"/>
    <cellStyle name="SHADEDSTORES 2 6 2 3" xfId="9011"/>
    <cellStyle name="SHADEDSTORES 2 6 3" xfId="9010"/>
    <cellStyle name="SHADEDSTORES 2 6 3 2" xfId="9009"/>
    <cellStyle name="SHADEDSTORES 2 6 4" xfId="9008"/>
    <cellStyle name="SHADEDSTORES 2 7" xfId="9007"/>
    <cellStyle name="SHADEDSTORES 2 7 2" xfId="9006"/>
    <cellStyle name="SHADEDSTORES 2 7 2 2" xfId="9005"/>
    <cellStyle name="SHADEDSTORES 2 7 2 2 2" xfId="9004"/>
    <cellStyle name="SHADEDSTORES 2 7 2 3" xfId="9003"/>
    <cellStyle name="SHADEDSTORES 2 7 3" xfId="9002"/>
    <cellStyle name="SHADEDSTORES 2 7 3 2" xfId="9001"/>
    <cellStyle name="SHADEDSTORES 2 7 4" xfId="9000"/>
    <cellStyle name="SHADEDSTORES 2 8" xfId="8999"/>
    <cellStyle name="SHADEDSTORES 2 8 2" xfId="8998"/>
    <cellStyle name="SHADEDSTORES 2 8 2 2" xfId="8997"/>
    <cellStyle name="SHADEDSTORES 2 8 2 2 2" xfId="8996"/>
    <cellStyle name="SHADEDSTORES 2 8 2 3" xfId="8995"/>
    <cellStyle name="SHADEDSTORES 2 8 3" xfId="8994"/>
    <cellStyle name="SHADEDSTORES 2 8 3 2" xfId="8993"/>
    <cellStyle name="SHADEDSTORES 2 8 4" xfId="8992"/>
    <cellStyle name="SHADEDSTORES 2 9" xfId="8991"/>
    <cellStyle name="SHADEDSTORES 2 9 2" xfId="8990"/>
    <cellStyle name="SHADEDSTORES 2 9 2 2" xfId="8989"/>
    <cellStyle name="SHADEDSTORES 2 9 2 2 2" xfId="8988"/>
    <cellStyle name="SHADEDSTORES 2 9 2 3" xfId="8987"/>
    <cellStyle name="SHADEDSTORES 2 9 3" xfId="8986"/>
    <cellStyle name="SHADEDSTORES 2 9 3 2" xfId="8985"/>
    <cellStyle name="SHADEDSTORES 2 9 4" xfId="8984"/>
    <cellStyle name="SHADEDSTORES 20" xfId="8983"/>
    <cellStyle name="SHADEDSTORES 20 2" xfId="8982"/>
    <cellStyle name="SHADEDSTORES 20 2 2" xfId="8981"/>
    <cellStyle name="SHADEDSTORES 20 2 2 2" xfId="8980"/>
    <cellStyle name="SHADEDSTORES 20 2 3" xfId="8979"/>
    <cellStyle name="SHADEDSTORES 20 3" xfId="8978"/>
    <cellStyle name="SHADEDSTORES 20 3 2" xfId="8977"/>
    <cellStyle name="SHADEDSTORES 20 4" xfId="8976"/>
    <cellStyle name="SHADEDSTORES 21" xfId="8975"/>
    <cellStyle name="SHADEDSTORES 21 2" xfId="8974"/>
    <cellStyle name="SHADEDSTORES 21 2 2" xfId="8973"/>
    <cellStyle name="SHADEDSTORES 21 3" xfId="8972"/>
    <cellStyle name="SHADEDSTORES 22" xfId="8971"/>
    <cellStyle name="SHADEDSTORES 22 2" xfId="8970"/>
    <cellStyle name="SHADEDSTORES 23" xfId="8969"/>
    <cellStyle name="SHADEDSTORES 24" xfId="8968"/>
    <cellStyle name="SHADEDSTORES 25" xfId="8967"/>
    <cellStyle name="SHADEDSTORES 26" xfId="8966"/>
    <cellStyle name="SHADEDSTORES 27" xfId="8965"/>
    <cellStyle name="SHADEDSTORES 28" xfId="8964"/>
    <cellStyle name="SHADEDSTORES 29" xfId="8963"/>
    <cellStyle name="SHADEDSTORES 3" xfId="8962"/>
    <cellStyle name="SHADEDSTORES 3 10" xfId="8961"/>
    <cellStyle name="SHADEDSTORES 3 10 2" xfId="8960"/>
    <cellStyle name="SHADEDSTORES 3 10 2 2" xfId="8959"/>
    <cellStyle name="SHADEDSTORES 3 10 2 2 2" xfId="8958"/>
    <cellStyle name="SHADEDSTORES 3 10 2 3" xfId="8957"/>
    <cellStyle name="SHADEDSTORES 3 10 3" xfId="8956"/>
    <cellStyle name="SHADEDSTORES 3 10 3 2" xfId="8955"/>
    <cellStyle name="SHADEDSTORES 3 10 4" xfId="8954"/>
    <cellStyle name="SHADEDSTORES 3 11" xfId="8953"/>
    <cellStyle name="SHADEDSTORES 3 11 2" xfId="8952"/>
    <cellStyle name="SHADEDSTORES 3 11 2 2" xfId="8951"/>
    <cellStyle name="SHADEDSTORES 3 11 2 2 2" xfId="8950"/>
    <cellStyle name="SHADEDSTORES 3 11 2 3" xfId="8949"/>
    <cellStyle name="SHADEDSTORES 3 11 3" xfId="8948"/>
    <cellStyle name="SHADEDSTORES 3 11 3 2" xfId="8947"/>
    <cellStyle name="SHADEDSTORES 3 11 4" xfId="8946"/>
    <cellStyle name="SHADEDSTORES 3 12" xfId="8945"/>
    <cellStyle name="SHADEDSTORES 3 12 2" xfId="8944"/>
    <cellStyle name="SHADEDSTORES 3 12 2 2" xfId="8943"/>
    <cellStyle name="SHADEDSTORES 3 12 3" xfId="8942"/>
    <cellStyle name="SHADEDSTORES 3 13" xfId="8941"/>
    <cellStyle name="SHADEDSTORES 3 13 2" xfId="8940"/>
    <cellStyle name="SHADEDSTORES 3 14" xfId="8939"/>
    <cellStyle name="SHADEDSTORES 3 2" xfId="8938"/>
    <cellStyle name="SHADEDSTORES 3 2 10" xfId="8937"/>
    <cellStyle name="SHADEDSTORES 3 2 10 2" xfId="8936"/>
    <cellStyle name="SHADEDSTORES 3 2 11" xfId="8935"/>
    <cellStyle name="SHADEDSTORES 3 2 2" xfId="8934"/>
    <cellStyle name="SHADEDSTORES 3 2 2 2" xfId="8933"/>
    <cellStyle name="SHADEDSTORES 3 2 2 2 2" xfId="8932"/>
    <cellStyle name="SHADEDSTORES 3 2 2 2 2 2" xfId="8931"/>
    <cellStyle name="SHADEDSTORES 3 2 2 2 3" xfId="8930"/>
    <cellStyle name="SHADEDSTORES 3 2 2 3" xfId="8929"/>
    <cellStyle name="SHADEDSTORES 3 2 2 3 2" xfId="8928"/>
    <cellStyle name="SHADEDSTORES 3 2 2 4" xfId="8927"/>
    <cellStyle name="SHADEDSTORES 3 2 3" xfId="8926"/>
    <cellStyle name="SHADEDSTORES 3 2 3 2" xfId="8925"/>
    <cellStyle name="SHADEDSTORES 3 2 3 2 2" xfId="8924"/>
    <cellStyle name="SHADEDSTORES 3 2 3 2 2 2" xfId="8923"/>
    <cellStyle name="SHADEDSTORES 3 2 3 2 3" xfId="8922"/>
    <cellStyle name="SHADEDSTORES 3 2 3 3" xfId="8921"/>
    <cellStyle name="SHADEDSTORES 3 2 3 3 2" xfId="8920"/>
    <cellStyle name="SHADEDSTORES 3 2 3 4" xfId="8919"/>
    <cellStyle name="SHADEDSTORES 3 2 4" xfId="8918"/>
    <cellStyle name="SHADEDSTORES 3 2 4 2" xfId="8917"/>
    <cellStyle name="SHADEDSTORES 3 2 4 2 2" xfId="8916"/>
    <cellStyle name="SHADEDSTORES 3 2 4 2 2 2" xfId="8915"/>
    <cellStyle name="SHADEDSTORES 3 2 4 2 3" xfId="8914"/>
    <cellStyle name="SHADEDSTORES 3 2 4 3" xfId="8913"/>
    <cellStyle name="SHADEDSTORES 3 2 4 3 2" xfId="8912"/>
    <cellStyle name="SHADEDSTORES 3 2 4 4" xfId="8911"/>
    <cellStyle name="SHADEDSTORES 3 2 5" xfId="8910"/>
    <cellStyle name="SHADEDSTORES 3 2 5 2" xfId="8909"/>
    <cellStyle name="SHADEDSTORES 3 2 5 2 2" xfId="8908"/>
    <cellStyle name="SHADEDSTORES 3 2 5 2 2 2" xfId="8907"/>
    <cellStyle name="SHADEDSTORES 3 2 5 2 3" xfId="8906"/>
    <cellStyle name="SHADEDSTORES 3 2 5 3" xfId="8905"/>
    <cellStyle name="SHADEDSTORES 3 2 5 3 2" xfId="8904"/>
    <cellStyle name="SHADEDSTORES 3 2 5 4" xfId="8903"/>
    <cellStyle name="SHADEDSTORES 3 2 6" xfId="8902"/>
    <cellStyle name="SHADEDSTORES 3 2 6 2" xfId="8901"/>
    <cellStyle name="SHADEDSTORES 3 2 6 2 2" xfId="8900"/>
    <cellStyle name="SHADEDSTORES 3 2 6 2 2 2" xfId="8899"/>
    <cellStyle name="SHADEDSTORES 3 2 6 2 3" xfId="8898"/>
    <cellStyle name="SHADEDSTORES 3 2 6 3" xfId="8897"/>
    <cellStyle name="SHADEDSTORES 3 2 6 3 2" xfId="8896"/>
    <cellStyle name="SHADEDSTORES 3 2 6 4" xfId="8895"/>
    <cellStyle name="SHADEDSTORES 3 2 7" xfId="8894"/>
    <cellStyle name="SHADEDSTORES 3 2 7 2" xfId="8893"/>
    <cellStyle name="SHADEDSTORES 3 2 7 2 2" xfId="8892"/>
    <cellStyle name="SHADEDSTORES 3 2 7 2 2 2" xfId="8891"/>
    <cellStyle name="SHADEDSTORES 3 2 7 2 3" xfId="8890"/>
    <cellStyle name="SHADEDSTORES 3 2 7 3" xfId="8889"/>
    <cellStyle name="SHADEDSTORES 3 2 7 3 2" xfId="8888"/>
    <cellStyle name="SHADEDSTORES 3 2 7 4" xfId="8887"/>
    <cellStyle name="SHADEDSTORES 3 2 8" xfId="8886"/>
    <cellStyle name="SHADEDSTORES 3 2 8 2" xfId="8885"/>
    <cellStyle name="SHADEDSTORES 3 2 8 2 2" xfId="8884"/>
    <cellStyle name="SHADEDSTORES 3 2 8 2 2 2" xfId="8883"/>
    <cellStyle name="SHADEDSTORES 3 2 8 2 3" xfId="8882"/>
    <cellStyle name="SHADEDSTORES 3 2 8 3" xfId="8881"/>
    <cellStyle name="SHADEDSTORES 3 2 8 3 2" xfId="8880"/>
    <cellStyle name="SHADEDSTORES 3 2 8 4" xfId="8879"/>
    <cellStyle name="SHADEDSTORES 3 2 9" xfId="8878"/>
    <cellStyle name="SHADEDSTORES 3 2 9 2" xfId="8877"/>
    <cellStyle name="SHADEDSTORES 3 2 9 2 2" xfId="8876"/>
    <cellStyle name="SHADEDSTORES 3 2 9 3" xfId="8875"/>
    <cellStyle name="SHADEDSTORES 3 3" xfId="8874"/>
    <cellStyle name="SHADEDSTORES 3 3 10" xfId="8873"/>
    <cellStyle name="SHADEDSTORES 3 3 10 2" xfId="8872"/>
    <cellStyle name="SHADEDSTORES 3 3 11" xfId="8871"/>
    <cellStyle name="SHADEDSTORES 3 3 2" xfId="8870"/>
    <cellStyle name="SHADEDSTORES 3 3 2 2" xfId="8869"/>
    <cellStyle name="SHADEDSTORES 3 3 2 2 2" xfId="8868"/>
    <cellStyle name="SHADEDSTORES 3 3 2 2 2 2" xfId="8867"/>
    <cellStyle name="SHADEDSTORES 3 3 2 2 3" xfId="8866"/>
    <cellStyle name="SHADEDSTORES 3 3 2 3" xfId="8865"/>
    <cellStyle name="SHADEDSTORES 3 3 2 3 2" xfId="8864"/>
    <cellStyle name="SHADEDSTORES 3 3 2 4" xfId="8863"/>
    <cellStyle name="SHADEDSTORES 3 3 3" xfId="8862"/>
    <cellStyle name="SHADEDSTORES 3 3 3 2" xfId="8861"/>
    <cellStyle name="SHADEDSTORES 3 3 3 2 2" xfId="8860"/>
    <cellStyle name="SHADEDSTORES 3 3 3 2 2 2" xfId="8859"/>
    <cellStyle name="SHADEDSTORES 3 3 3 2 3" xfId="8858"/>
    <cellStyle name="SHADEDSTORES 3 3 3 3" xfId="8857"/>
    <cellStyle name="SHADEDSTORES 3 3 3 3 2" xfId="8856"/>
    <cellStyle name="SHADEDSTORES 3 3 3 4" xfId="8855"/>
    <cellStyle name="SHADEDSTORES 3 3 4" xfId="8854"/>
    <cellStyle name="SHADEDSTORES 3 3 4 2" xfId="8853"/>
    <cellStyle name="SHADEDSTORES 3 3 4 2 2" xfId="8852"/>
    <cellStyle name="SHADEDSTORES 3 3 4 2 2 2" xfId="8851"/>
    <cellStyle name="SHADEDSTORES 3 3 4 2 3" xfId="8850"/>
    <cellStyle name="SHADEDSTORES 3 3 4 3" xfId="8849"/>
    <cellStyle name="SHADEDSTORES 3 3 4 3 2" xfId="8848"/>
    <cellStyle name="SHADEDSTORES 3 3 4 4" xfId="8847"/>
    <cellStyle name="SHADEDSTORES 3 3 5" xfId="8846"/>
    <cellStyle name="SHADEDSTORES 3 3 5 2" xfId="8845"/>
    <cellStyle name="SHADEDSTORES 3 3 5 2 2" xfId="8844"/>
    <cellStyle name="SHADEDSTORES 3 3 5 2 2 2" xfId="8843"/>
    <cellStyle name="SHADEDSTORES 3 3 5 2 3" xfId="8842"/>
    <cellStyle name="SHADEDSTORES 3 3 5 3" xfId="8841"/>
    <cellStyle name="SHADEDSTORES 3 3 5 3 2" xfId="8840"/>
    <cellStyle name="SHADEDSTORES 3 3 5 4" xfId="8839"/>
    <cellStyle name="SHADEDSTORES 3 3 6" xfId="8838"/>
    <cellStyle name="SHADEDSTORES 3 3 6 2" xfId="8837"/>
    <cellStyle name="SHADEDSTORES 3 3 6 2 2" xfId="8836"/>
    <cellStyle name="SHADEDSTORES 3 3 6 2 2 2" xfId="8835"/>
    <cellStyle name="SHADEDSTORES 3 3 6 2 3" xfId="8834"/>
    <cellStyle name="SHADEDSTORES 3 3 6 3" xfId="8833"/>
    <cellStyle name="SHADEDSTORES 3 3 6 3 2" xfId="8832"/>
    <cellStyle name="SHADEDSTORES 3 3 6 4" xfId="8831"/>
    <cellStyle name="SHADEDSTORES 3 3 7" xfId="8830"/>
    <cellStyle name="SHADEDSTORES 3 3 7 2" xfId="8829"/>
    <cellStyle name="SHADEDSTORES 3 3 7 2 2" xfId="8828"/>
    <cellStyle name="SHADEDSTORES 3 3 7 2 2 2" xfId="8827"/>
    <cellStyle name="SHADEDSTORES 3 3 7 2 3" xfId="8826"/>
    <cellStyle name="SHADEDSTORES 3 3 7 3" xfId="8825"/>
    <cellStyle name="SHADEDSTORES 3 3 7 3 2" xfId="8824"/>
    <cellStyle name="SHADEDSTORES 3 3 7 4" xfId="8823"/>
    <cellStyle name="SHADEDSTORES 3 3 8" xfId="8822"/>
    <cellStyle name="SHADEDSTORES 3 3 8 2" xfId="8821"/>
    <cellStyle name="SHADEDSTORES 3 3 8 2 2" xfId="8820"/>
    <cellStyle name="SHADEDSTORES 3 3 8 2 2 2" xfId="8819"/>
    <cellStyle name="SHADEDSTORES 3 3 8 2 3" xfId="8818"/>
    <cellStyle name="SHADEDSTORES 3 3 8 3" xfId="8817"/>
    <cellStyle name="SHADEDSTORES 3 3 8 3 2" xfId="8816"/>
    <cellStyle name="SHADEDSTORES 3 3 8 4" xfId="8815"/>
    <cellStyle name="SHADEDSTORES 3 3 9" xfId="8814"/>
    <cellStyle name="SHADEDSTORES 3 3 9 2" xfId="8813"/>
    <cellStyle name="SHADEDSTORES 3 3 9 2 2" xfId="8812"/>
    <cellStyle name="SHADEDSTORES 3 3 9 3" xfId="8811"/>
    <cellStyle name="SHADEDSTORES 3 4" xfId="8810"/>
    <cellStyle name="SHADEDSTORES 3 4 10" xfId="8809"/>
    <cellStyle name="SHADEDSTORES 3 4 10 2" xfId="8808"/>
    <cellStyle name="SHADEDSTORES 3 4 11" xfId="8807"/>
    <cellStyle name="SHADEDSTORES 3 4 2" xfId="8806"/>
    <cellStyle name="SHADEDSTORES 3 4 2 2" xfId="8805"/>
    <cellStyle name="SHADEDSTORES 3 4 2 2 2" xfId="8804"/>
    <cellStyle name="SHADEDSTORES 3 4 2 2 2 2" xfId="8803"/>
    <cellStyle name="SHADEDSTORES 3 4 2 2 3" xfId="8802"/>
    <cellStyle name="SHADEDSTORES 3 4 2 3" xfId="8801"/>
    <cellStyle name="SHADEDSTORES 3 4 2 3 2" xfId="8800"/>
    <cellStyle name="SHADEDSTORES 3 4 2 4" xfId="8799"/>
    <cellStyle name="SHADEDSTORES 3 4 3" xfId="8798"/>
    <cellStyle name="SHADEDSTORES 3 4 3 2" xfId="8797"/>
    <cellStyle name="SHADEDSTORES 3 4 3 2 2" xfId="8796"/>
    <cellStyle name="SHADEDSTORES 3 4 3 2 2 2" xfId="8795"/>
    <cellStyle name="SHADEDSTORES 3 4 3 2 3" xfId="8794"/>
    <cellStyle name="SHADEDSTORES 3 4 3 3" xfId="8793"/>
    <cellStyle name="SHADEDSTORES 3 4 3 3 2" xfId="8792"/>
    <cellStyle name="SHADEDSTORES 3 4 3 4" xfId="8791"/>
    <cellStyle name="SHADEDSTORES 3 4 4" xfId="8790"/>
    <cellStyle name="SHADEDSTORES 3 4 4 2" xfId="8789"/>
    <cellStyle name="SHADEDSTORES 3 4 4 2 2" xfId="8788"/>
    <cellStyle name="SHADEDSTORES 3 4 4 2 2 2" xfId="8787"/>
    <cellStyle name="SHADEDSTORES 3 4 4 2 3" xfId="8786"/>
    <cellStyle name="SHADEDSTORES 3 4 4 3" xfId="8785"/>
    <cellStyle name="SHADEDSTORES 3 4 4 3 2" xfId="8784"/>
    <cellStyle name="SHADEDSTORES 3 4 4 4" xfId="8783"/>
    <cellStyle name="SHADEDSTORES 3 4 5" xfId="8782"/>
    <cellStyle name="SHADEDSTORES 3 4 5 2" xfId="8781"/>
    <cellStyle name="SHADEDSTORES 3 4 5 2 2" xfId="8780"/>
    <cellStyle name="SHADEDSTORES 3 4 5 2 2 2" xfId="8779"/>
    <cellStyle name="SHADEDSTORES 3 4 5 2 3" xfId="8778"/>
    <cellStyle name="SHADEDSTORES 3 4 5 3" xfId="8777"/>
    <cellStyle name="SHADEDSTORES 3 4 5 3 2" xfId="8776"/>
    <cellStyle name="SHADEDSTORES 3 4 5 4" xfId="8775"/>
    <cellStyle name="SHADEDSTORES 3 4 6" xfId="8774"/>
    <cellStyle name="SHADEDSTORES 3 4 6 2" xfId="8773"/>
    <cellStyle name="SHADEDSTORES 3 4 6 2 2" xfId="8772"/>
    <cellStyle name="SHADEDSTORES 3 4 6 2 2 2" xfId="8771"/>
    <cellStyle name="SHADEDSTORES 3 4 6 2 3" xfId="8770"/>
    <cellStyle name="SHADEDSTORES 3 4 6 3" xfId="8769"/>
    <cellStyle name="SHADEDSTORES 3 4 6 3 2" xfId="8768"/>
    <cellStyle name="SHADEDSTORES 3 4 6 4" xfId="8767"/>
    <cellStyle name="SHADEDSTORES 3 4 7" xfId="8766"/>
    <cellStyle name="SHADEDSTORES 3 4 7 2" xfId="8765"/>
    <cellStyle name="SHADEDSTORES 3 4 7 2 2" xfId="8764"/>
    <cellStyle name="SHADEDSTORES 3 4 7 2 2 2" xfId="8763"/>
    <cellStyle name="SHADEDSTORES 3 4 7 2 3" xfId="8762"/>
    <cellStyle name="SHADEDSTORES 3 4 7 3" xfId="8761"/>
    <cellStyle name="SHADEDSTORES 3 4 7 3 2" xfId="8760"/>
    <cellStyle name="SHADEDSTORES 3 4 7 4" xfId="8759"/>
    <cellStyle name="SHADEDSTORES 3 4 8" xfId="8758"/>
    <cellStyle name="SHADEDSTORES 3 4 8 2" xfId="8757"/>
    <cellStyle name="SHADEDSTORES 3 4 8 2 2" xfId="8756"/>
    <cellStyle name="SHADEDSTORES 3 4 8 2 2 2" xfId="8755"/>
    <cellStyle name="SHADEDSTORES 3 4 8 2 3" xfId="8754"/>
    <cellStyle name="SHADEDSTORES 3 4 8 3" xfId="8753"/>
    <cellStyle name="SHADEDSTORES 3 4 8 3 2" xfId="8752"/>
    <cellStyle name="SHADEDSTORES 3 4 8 4" xfId="8751"/>
    <cellStyle name="SHADEDSTORES 3 4 9" xfId="8750"/>
    <cellStyle name="SHADEDSTORES 3 4 9 2" xfId="8749"/>
    <cellStyle name="SHADEDSTORES 3 4 9 2 2" xfId="8748"/>
    <cellStyle name="SHADEDSTORES 3 4 9 3" xfId="8747"/>
    <cellStyle name="SHADEDSTORES 3 5" xfId="8746"/>
    <cellStyle name="SHADEDSTORES 3 5 2" xfId="8745"/>
    <cellStyle name="SHADEDSTORES 3 5 2 2" xfId="8744"/>
    <cellStyle name="SHADEDSTORES 3 5 2 2 2" xfId="8743"/>
    <cellStyle name="SHADEDSTORES 3 5 2 3" xfId="8742"/>
    <cellStyle name="SHADEDSTORES 3 5 3" xfId="8741"/>
    <cellStyle name="SHADEDSTORES 3 5 3 2" xfId="8740"/>
    <cellStyle name="SHADEDSTORES 3 5 4" xfId="8739"/>
    <cellStyle name="SHADEDSTORES 3 6" xfId="8738"/>
    <cellStyle name="SHADEDSTORES 3 6 2" xfId="8737"/>
    <cellStyle name="SHADEDSTORES 3 6 2 2" xfId="8736"/>
    <cellStyle name="SHADEDSTORES 3 6 2 2 2" xfId="8735"/>
    <cellStyle name="SHADEDSTORES 3 6 2 3" xfId="8734"/>
    <cellStyle name="SHADEDSTORES 3 6 3" xfId="8733"/>
    <cellStyle name="SHADEDSTORES 3 6 3 2" xfId="8732"/>
    <cellStyle name="SHADEDSTORES 3 6 4" xfId="8731"/>
    <cellStyle name="SHADEDSTORES 3 7" xfId="8730"/>
    <cellStyle name="SHADEDSTORES 3 7 2" xfId="8729"/>
    <cellStyle name="SHADEDSTORES 3 7 2 2" xfId="8728"/>
    <cellStyle name="SHADEDSTORES 3 7 2 2 2" xfId="8727"/>
    <cellStyle name="SHADEDSTORES 3 7 2 3" xfId="8726"/>
    <cellStyle name="SHADEDSTORES 3 7 3" xfId="8725"/>
    <cellStyle name="SHADEDSTORES 3 7 3 2" xfId="8724"/>
    <cellStyle name="SHADEDSTORES 3 7 4" xfId="8723"/>
    <cellStyle name="SHADEDSTORES 3 8" xfId="8722"/>
    <cellStyle name="SHADEDSTORES 3 8 2" xfId="8721"/>
    <cellStyle name="SHADEDSTORES 3 8 2 2" xfId="8720"/>
    <cellStyle name="SHADEDSTORES 3 8 2 2 2" xfId="8719"/>
    <cellStyle name="SHADEDSTORES 3 8 2 3" xfId="8718"/>
    <cellStyle name="SHADEDSTORES 3 8 3" xfId="8717"/>
    <cellStyle name="SHADEDSTORES 3 8 3 2" xfId="8716"/>
    <cellStyle name="SHADEDSTORES 3 8 4" xfId="8715"/>
    <cellStyle name="SHADEDSTORES 3 9" xfId="8714"/>
    <cellStyle name="SHADEDSTORES 3 9 2" xfId="8713"/>
    <cellStyle name="SHADEDSTORES 3 9 2 2" xfId="8712"/>
    <cellStyle name="SHADEDSTORES 3 9 2 2 2" xfId="8711"/>
    <cellStyle name="SHADEDSTORES 3 9 2 3" xfId="8710"/>
    <cellStyle name="SHADEDSTORES 3 9 3" xfId="8709"/>
    <cellStyle name="SHADEDSTORES 3 9 3 2" xfId="8708"/>
    <cellStyle name="SHADEDSTORES 3 9 4" xfId="8707"/>
    <cellStyle name="SHADEDSTORES 4" xfId="8706"/>
    <cellStyle name="SHADEDSTORES 4 10" xfId="8705"/>
    <cellStyle name="SHADEDSTORES 4 10 2" xfId="8704"/>
    <cellStyle name="SHADEDSTORES 4 11" xfId="8703"/>
    <cellStyle name="SHADEDSTORES 4 2" xfId="8702"/>
    <cellStyle name="SHADEDSTORES 4 2 2" xfId="8701"/>
    <cellStyle name="SHADEDSTORES 4 2 2 2" xfId="8700"/>
    <cellStyle name="SHADEDSTORES 4 2 2 2 2" xfId="8699"/>
    <cellStyle name="SHADEDSTORES 4 2 2 3" xfId="8698"/>
    <cellStyle name="SHADEDSTORES 4 2 3" xfId="8697"/>
    <cellStyle name="SHADEDSTORES 4 2 3 2" xfId="8696"/>
    <cellStyle name="SHADEDSTORES 4 2 4" xfId="8695"/>
    <cellStyle name="SHADEDSTORES 4 3" xfId="8694"/>
    <cellStyle name="SHADEDSTORES 4 3 2" xfId="8693"/>
    <cellStyle name="SHADEDSTORES 4 3 2 2" xfId="8692"/>
    <cellStyle name="SHADEDSTORES 4 3 2 2 2" xfId="8691"/>
    <cellStyle name="SHADEDSTORES 4 3 2 3" xfId="8690"/>
    <cellStyle name="SHADEDSTORES 4 3 3" xfId="8689"/>
    <cellStyle name="SHADEDSTORES 4 3 3 2" xfId="8688"/>
    <cellStyle name="SHADEDSTORES 4 3 4" xfId="8687"/>
    <cellStyle name="SHADEDSTORES 4 4" xfId="8686"/>
    <cellStyle name="SHADEDSTORES 4 4 2" xfId="8685"/>
    <cellStyle name="SHADEDSTORES 4 4 2 2" xfId="8684"/>
    <cellStyle name="SHADEDSTORES 4 4 2 2 2" xfId="8683"/>
    <cellStyle name="SHADEDSTORES 4 4 2 3" xfId="8682"/>
    <cellStyle name="SHADEDSTORES 4 4 3" xfId="8681"/>
    <cellStyle name="SHADEDSTORES 4 4 3 2" xfId="8680"/>
    <cellStyle name="SHADEDSTORES 4 4 4" xfId="8679"/>
    <cellStyle name="SHADEDSTORES 4 5" xfId="8678"/>
    <cellStyle name="SHADEDSTORES 4 5 2" xfId="8677"/>
    <cellStyle name="SHADEDSTORES 4 5 2 2" xfId="8676"/>
    <cellStyle name="SHADEDSTORES 4 5 2 2 2" xfId="8675"/>
    <cellStyle name="SHADEDSTORES 4 5 2 3" xfId="8674"/>
    <cellStyle name="SHADEDSTORES 4 5 3" xfId="8673"/>
    <cellStyle name="SHADEDSTORES 4 5 3 2" xfId="8672"/>
    <cellStyle name="SHADEDSTORES 4 5 4" xfId="8671"/>
    <cellStyle name="SHADEDSTORES 4 6" xfId="8670"/>
    <cellStyle name="SHADEDSTORES 4 6 2" xfId="8669"/>
    <cellStyle name="SHADEDSTORES 4 6 2 2" xfId="8668"/>
    <cellStyle name="SHADEDSTORES 4 6 2 2 2" xfId="8667"/>
    <cellStyle name="SHADEDSTORES 4 6 2 3" xfId="8666"/>
    <cellStyle name="SHADEDSTORES 4 6 3" xfId="8665"/>
    <cellStyle name="SHADEDSTORES 4 6 3 2" xfId="8664"/>
    <cellStyle name="SHADEDSTORES 4 6 4" xfId="8663"/>
    <cellStyle name="SHADEDSTORES 4 7" xfId="8662"/>
    <cellStyle name="SHADEDSTORES 4 7 2" xfId="8661"/>
    <cellStyle name="SHADEDSTORES 4 7 2 2" xfId="8660"/>
    <cellStyle name="SHADEDSTORES 4 7 2 2 2" xfId="8659"/>
    <cellStyle name="SHADEDSTORES 4 7 2 3" xfId="8658"/>
    <cellStyle name="SHADEDSTORES 4 7 3" xfId="8657"/>
    <cellStyle name="SHADEDSTORES 4 7 3 2" xfId="8656"/>
    <cellStyle name="SHADEDSTORES 4 7 4" xfId="8655"/>
    <cellStyle name="SHADEDSTORES 4 8" xfId="8654"/>
    <cellStyle name="SHADEDSTORES 4 8 2" xfId="8653"/>
    <cellStyle name="SHADEDSTORES 4 8 2 2" xfId="8652"/>
    <cellStyle name="SHADEDSTORES 4 8 2 2 2" xfId="8651"/>
    <cellStyle name="SHADEDSTORES 4 8 2 3" xfId="8650"/>
    <cellStyle name="SHADEDSTORES 4 8 3" xfId="8649"/>
    <cellStyle name="SHADEDSTORES 4 8 3 2" xfId="8648"/>
    <cellStyle name="SHADEDSTORES 4 8 4" xfId="8647"/>
    <cellStyle name="SHADEDSTORES 4 9" xfId="8646"/>
    <cellStyle name="SHADEDSTORES 4 9 2" xfId="8645"/>
    <cellStyle name="SHADEDSTORES 4 9 2 2" xfId="8644"/>
    <cellStyle name="SHADEDSTORES 4 9 3" xfId="8643"/>
    <cellStyle name="SHADEDSTORES 5" xfId="8642"/>
    <cellStyle name="SHADEDSTORES 5 10" xfId="8641"/>
    <cellStyle name="SHADEDSTORES 5 10 2" xfId="8640"/>
    <cellStyle name="SHADEDSTORES 5 11" xfId="8639"/>
    <cellStyle name="SHADEDSTORES 5 2" xfId="8638"/>
    <cellStyle name="SHADEDSTORES 5 2 2" xfId="8637"/>
    <cellStyle name="SHADEDSTORES 5 2 2 2" xfId="8636"/>
    <cellStyle name="SHADEDSTORES 5 2 2 2 2" xfId="8635"/>
    <cellStyle name="SHADEDSTORES 5 2 2 3" xfId="8634"/>
    <cellStyle name="SHADEDSTORES 5 2 3" xfId="8633"/>
    <cellStyle name="SHADEDSTORES 5 2 3 2" xfId="8632"/>
    <cellStyle name="SHADEDSTORES 5 2 4" xfId="8631"/>
    <cellStyle name="SHADEDSTORES 5 3" xfId="8630"/>
    <cellStyle name="SHADEDSTORES 5 3 2" xfId="8629"/>
    <cellStyle name="SHADEDSTORES 5 3 2 2" xfId="8628"/>
    <cellStyle name="SHADEDSTORES 5 3 2 2 2" xfId="8627"/>
    <cellStyle name="SHADEDSTORES 5 3 2 3" xfId="8626"/>
    <cellStyle name="SHADEDSTORES 5 3 3" xfId="8625"/>
    <cellStyle name="SHADEDSTORES 5 3 3 2" xfId="8624"/>
    <cellStyle name="SHADEDSTORES 5 3 4" xfId="8623"/>
    <cellStyle name="SHADEDSTORES 5 4" xfId="8622"/>
    <cellStyle name="SHADEDSTORES 5 4 2" xfId="8621"/>
    <cellStyle name="SHADEDSTORES 5 4 2 2" xfId="8620"/>
    <cellStyle name="SHADEDSTORES 5 4 2 2 2" xfId="8619"/>
    <cellStyle name="SHADEDSTORES 5 4 2 3" xfId="8618"/>
    <cellStyle name="SHADEDSTORES 5 4 3" xfId="8617"/>
    <cellStyle name="SHADEDSTORES 5 4 3 2" xfId="8616"/>
    <cellStyle name="SHADEDSTORES 5 4 4" xfId="8615"/>
    <cellStyle name="SHADEDSTORES 5 5" xfId="8614"/>
    <cellStyle name="SHADEDSTORES 5 5 2" xfId="8613"/>
    <cellStyle name="SHADEDSTORES 5 5 2 2" xfId="8612"/>
    <cellStyle name="SHADEDSTORES 5 5 2 2 2" xfId="8611"/>
    <cellStyle name="SHADEDSTORES 5 5 2 3" xfId="8610"/>
    <cellStyle name="SHADEDSTORES 5 5 3" xfId="8609"/>
    <cellStyle name="SHADEDSTORES 5 5 3 2" xfId="8608"/>
    <cellStyle name="SHADEDSTORES 5 5 4" xfId="8607"/>
    <cellStyle name="SHADEDSTORES 5 6" xfId="8606"/>
    <cellStyle name="SHADEDSTORES 5 6 2" xfId="8605"/>
    <cellStyle name="SHADEDSTORES 5 6 2 2" xfId="8604"/>
    <cellStyle name="SHADEDSTORES 5 6 2 2 2" xfId="8603"/>
    <cellStyle name="SHADEDSTORES 5 6 2 3" xfId="8602"/>
    <cellStyle name="SHADEDSTORES 5 6 3" xfId="8601"/>
    <cellStyle name="SHADEDSTORES 5 6 3 2" xfId="8600"/>
    <cellStyle name="SHADEDSTORES 5 6 4" xfId="8599"/>
    <cellStyle name="SHADEDSTORES 5 7" xfId="8598"/>
    <cellStyle name="SHADEDSTORES 5 7 2" xfId="8597"/>
    <cellStyle name="SHADEDSTORES 5 7 2 2" xfId="8596"/>
    <cellStyle name="SHADEDSTORES 5 7 2 2 2" xfId="8595"/>
    <cellStyle name="SHADEDSTORES 5 7 2 3" xfId="8594"/>
    <cellStyle name="SHADEDSTORES 5 7 3" xfId="8593"/>
    <cellStyle name="SHADEDSTORES 5 7 3 2" xfId="8592"/>
    <cellStyle name="SHADEDSTORES 5 7 4" xfId="8591"/>
    <cellStyle name="SHADEDSTORES 5 8" xfId="8590"/>
    <cellStyle name="SHADEDSTORES 5 8 2" xfId="8589"/>
    <cellStyle name="SHADEDSTORES 5 8 2 2" xfId="8588"/>
    <cellStyle name="SHADEDSTORES 5 8 2 2 2" xfId="8587"/>
    <cellStyle name="SHADEDSTORES 5 8 2 3" xfId="8586"/>
    <cellStyle name="SHADEDSTORES 5 8 3" xfId="8585"/>
    <cellStyle name="SHADEDSTORES 5 8 3 2" xfId="8584"/>
    <cellStyle name="SHADEDSTORES 5 8 4" xfId="8583"/>
    <cellStyle name="SHADEDSTORES 5 9" xfId="8582"/>
    <cellStyle name="SHADEDSTORES 5 9 2" xfId="8581"/>
    <cellStyle name="SHADEDSTORES 5 9 2 2" xfId="8580"/>
    <cellStyle name="SHADEDSTORES 5 9 3" xfId="8579"/>
    <cellStyle name="SHADEDSTORES 6" xfId="8578"/>
    <cellStyle name="SHADEDSTORES 6 10" xfId="8577"/>
    <cellStyle name="SHADEDSTORES 6 10 2" xfId="8576"/>
    <cellStyle name="SHADEDSTORES 6 11" xfId="8575"/>
    <cellStyle name="SHADEDSTORES 6 2" xfId="8574"/>
    <cellStyle name="SHADEDSTORES 6 2 2" xfId="8573"/>
    <cellStyle name="SHADEDSTORES 6 2 2 2" xfId="8572"/>
    <cellStyle name="SHADEDSTORES 6 2 2 2 2" xfId="8571"/>
    <cellStyle name="SHADEDSTORES 6 2 2 3" xfId="8570"/>
    <cellStyle name="SHADEDSTORES 6 2 3" xfId="8569"/>
    <cellStyle name="SHADEDSTORES 6 2 3 2" xfId="8568"/>
    <cellStyle name="SHADEDSTORES 6 2 4" xfId="8567"/>
    <cellStyle name="SHADEDSTORES 6 3" xfId="8566"/>
    <cellStyle name="SHADEDSTORES 6 3 2" xfId="8565"/>
    <cellStyle name="SHADEDSTORES 6 3 2 2" xfId="8564"/>
    <cellStyle name="SHADEDSTORES 6 3 2 2 2" xfId="8563"/>
    <cellStyle name="SHADEDSTORES 6 3 2 3" xfId="8562"/>
    <cellStyle name="SHADEDSTORES 6 3 3" xfId="8561"/>
    <cellStyle name="SHADEDSTORES 6 3 3 2" xfId="8560"/>
    <cellStyle name="SHADEDSTORES 6 3 4" xfId="8559"/>
    <cellStyle name="SHADEDSTORES 6 4" xfId="8558"/>
    <cellStyle name="SHADEDSTORES 6 4 2" xfId="8557"/>
    <cellStyle name="SHADEDSTORES 6 4 2 2" xfId="8556"/>
    <cellStyle name="SHADEDSTORES 6 4 2 2 2" xfId="8555"/>
    <cellStyle name="SHADEDSTORES 6 4 2 3" xfId="8554"/>
    <cellStyle name="SHADEDSTORES 6 4 3" xfId="8553"/>
    <cellStyle name="SHADEDSTORES 6 4 3 2" xfId="8552"/>
    <cellStyle name="SHADEDSTORES 6 4 4" xfId="8551"/>
    <cellStyle name="SHADEDSTORES 6 5" xfId="8550"/>
    <cellStyle name="SHADEDSTORES 6 5 2" xfId="8549"/>
    <cellStyle name="SHADEDSTORES 6 5 2 2" xfId="8548"/>
    <cellStyle name="SHADEDSTORES 6 5 2 2 2" xfId="8547"/>
    <cellStyle name="SHADEDSTORES 6 5 2 3" xfId="8546"/>
    <cellStyle name="SHADEDSTORES 6 5 3" xfId="8545"/>
    <cellStyle name="SHADEDSTORES 6 5 3 2" xfId="8544"/>
    <cellStyle name="SHADEDSTORES 6 5 4" xfId="8543"/>
    <cellStyle name="SHADEDSTORES 6 6" xfId="8542"/>
    <cellStyle name="SHADEDSTORES 6 6 2" xfId="8541"/>
    <cellStyle name="SHADEDSTORES 6 6 2 2" xfId="8540"/>
    <cellStyle name="SHADEDSTORES 6 6 2 2 2" xfId="8539"/>
    <cellStyle name="SHADEDSTORES 6 6 2 3" xfId="8538"/>
    <cellStyle name="SHADEDSTORES 6 6 3" xfId="8537"/>
    <cellStyle name="SHADEDSTORES 6 6 3 2" xfId="8536"/>
    <cellStyle name="SHADEDSTORES 6 6 4" xfId="8535"/>
    <cellStyle name="SHADEDSTORES 6 7" xfId="8534"/>
    <cellStyle name="SHADEDSTORES 6 7 2" xfId="8533"/>
    <cellStyle name="SHADEDSTORES 6 7 2 2" xfId="8532"/>
    <cellStyle name="SHADEDSTORES 6 7 2 2 2" xfId="8531"/>
    <cellStyle name="SHADEDSTORES 6 7 2 3" xfId="8530"/>
    <cellStyle name="SHADEDSTORES 6 7 3" xfId="8529"/>
    <cellStyle name="SHADEDSTORES 6 7 3 2" xfId="8528"/>
    <cellStyle name="SHADEDSTORES 6 7 4" xfId="8527"/>
    <cellStyle name="SHADEDSTORES 6 8" xfId="8526"/>
    <cellStyle name="SHADEDSTORES 6 8 2" xfId="8525"/>
    <cellStyle name="SHADEDSTORES 6 8 2 2" xfId="8524"/>
    <cellStyle name="SHADEDSTORES 6 8 2 2 2" xfId="8523"/>
    <cellStyle name="SHADEDSTORES 6 8 2 3" xfId="8522"/>
    <cellStyle name="SHADEDSTORES 6 8 3" xfId="8521"/>
    <cellStyle name="SHADEDSTORES 6 8 3 2" xfId="8520"/>
    <cellStyle name="SHADEDSTORES 6 8 4" xfId="8519"/>
    <cellStyle name="SHADEDSTORES 6 9" xfId="8518"/>
    <cellStyle name="SHADEDSTORES 6 9 2" xfId="8517"/>
    <cellStyle name="SHADEDSTORES 6 9 2 2" xfId="8516"/>
    <cellStyle name="SHADEDSTORES 6 9 3" xfId="8515"/>
    <cellStyle name="SHADEDSTORES 7" xfId="8514"/>
    <cellStyle name="SHADEDSTORES 7 10" xfId="8513"/>
    <cellStyle name="SHADEDSTORES 7 10 2" xfId="8512"/>
    <cellStyle name="SHADEDSTORES 7 11" xfId="8511"/>
    <cellStyle name="SHADEDSTORES 7 2" xfId="8510"/>
    <cellStyle name="SHADEDSTORES 7 2 2" xfId="8509"/>
    <cellStyle name="SHADEDSTORES 7 2 2 2" xfId="8508"/>
    <cellStyle name="SHADEDSTORES 7 2 2 2 2" xfId="8507"/>
    <cellStyle name="SHADEDSTORES 7 2 2 3" xfId="8506"/>
    <cellStyle name="SHADEDSTORES 7 2 3" xfId="8505"/>
    <cellStyle name="SHADEDSTORES 7 2 3 2" xfId="8504"/>
    <cellStyle name="SHADEDSTORES 7 2 4" xfId="8503"/>
    <cellStyle name="SHADEDSTORES 7 3" xfId="8502"/>
    <cellStyle name="SHADEDSTORES 7 3 2" xfId="8501"/>
    <cellStyle name="SHADEDSTORES 7 3 2 2" xfId="8500"/>
    <cellStyle name="SHADEDSTORES 7 3 2 2 2" xfId="8499"/>
    <cellStyle name="SHADEDSTORES 7 3 2 3" xfId="8498"/>
    <cellStyle name="SHADEDSTORES 7 3 3" xfId="8497"/>
    <cellStyle name="SHADEDSTORES 7 3 3 2" xfId="8496"/>
    <cellStyle name="SHADEDSTORES 7 3 4" xfId="8495"/>
    <cellStyle name="SHADEDSTORES 7 4" xfId="8494"/>
    <cellStyle name="SHADEDSTORES 7 4 2" xfId="8493"/>
    <cellStyle name="SHADEDSTORES 7 4 2 2" xfId="8492"/>
    <cellStyle name="SHADEDSTORES 7 4 2 2 2" xfId="8491"/>
    <cellStyle name="SHADEDSTORES 7 4 2 3" xfId="8490"/>
    <cellStyle name="SHADEDSTORES 7 4 3" xfId="8489"/>
    <cellStyle name="SHADEDSTORES 7 4 3 2" xfId="8488"/>
    <cellStyle name="SHADEDSTORES 7 4 4" xfId="8487"/>
    <cellStyle name="SHADEDSTORES 7 5" xfId="8486"/>
    <cellStyle name="SHADEDSTORES 7 5 2" xfId="8485"/>
    <cellStyle name="SHADEDSTORES 7 5 2 2" xfId="8484"/>
    <cellStyle name="SHADEDSTORES 7 5 2 2 2" xfId="8483"/>
    <cellStyle name="SHADEDSTORES 7 5 2 3" xfId="8482"/>
    <cellStyle name="SHADEDSTORES 7 5 3" xfId="8481"/>
    <cellStyle name="SHADEDSTORES 7 5 3 2" xfId="8480"/>
    <cellStyle name="SHADEDSTORES 7 5 4" xfId="8479"/>
    <cellStyle name="SHADEDSTORES 7 6" xfId="8478"/>
    <cellStyle name="SHADEDSTORES 7 6 2" xfId="8477"/>
    <cellStyle name="SHADEDSTORES 7 6 2 2" xfId="8476"/>
    <cellStyle name="SHADEDSTORES 7 6 2 2 2" xfId="8475"/>
    <cellStyle name="SHADEDSTORES 7 6 2 3" xfId="8474"/>
    <cellStyle name="SHADEDSTORES 7 6 3" xfId="8473"/>
    <cellStyle name="SHADEDSTORES 7 6 3 2" xfId="8472"/>
    <cellStyle name="SHADEDSTORES 7 6 4" xfId="8471"/>
    <cellStyle name="SHADEDSTORES 7 7" xfId="8470"/>
    <cellStyle name="SHADEDSTORES 7 7 2" xfId="8469"/>
    <cellStyle name="SHADEDSTORES 7 7 2 2" xfId="8468"/>
    <cellStyle name="SHADEDSTORES 7 7 2 2 2" xfId="8467"/>
    <cellStyle name="SHADEDSTORES 7 7 2 3" xfId="8466"/>
    <cellStyle name="SHADEDSTORES 7 7 3" xfId="8465"/>
    <cellStyle name="SHADEDSTORES 7 7 3 2" xfId="8464"/>
    <cellStyle name="SHADEDSTORES 7 7 4" xfId="8463"/>
    <cellStyle name="SHADEDSTORES 7 8" xfId="8462"/>
    <cellStyle name="SHADEDSTORES 7 8 2" xfId="8461"/>
    <cellStyle name="SHADEDSTORES 7 8 2 2" xfId="8460"/>
    <cellStyle name="SHADEDSTORES 7 8 2 2 2" xfId="8459"/>
    <cellStyle name="SHADEDSTORES 7 8 2 3" xfId="8458"/>
    <cellStyle name="SHADEDSTORES 7 8 3" xfId="8457"/>
    <cellStyle name="SHADEDSTORES 7 8 3 2" xfId="8456"/>
    <cellStyle name="SHADEDSTORES 7 8 4" xfId="8455"/>
    <cellStyle name="SHADEDSTORES 7 9" xfId="8454"/>
    <cellStyle name="SHADEDSTORES 7 9 2" xfId="8453"/>
    <cellStyle name="SHADEDSTORES 7 9 2 2" xfId="8452"/>
    <cellStyle name="SHADEDSTORES 7 9 3" xfId="8451"/>
    <cellStyle name="SHADEDSTORES 8" xfId="8450"/>
    <cellStyle name="SHADEDSTORES 8 10" xfId="8449"/>
    <cellStyle name="SHADEDSTORES 8 10 2" xfId="8448"/>
    <cellStyle name="SHADEDSTORES 8 11" xfId="8447"/>
    <cellStyle name="SHADEDSTORES 8 2" xfId="8446"/>
    <cellStyle name="SHADEDSTORES 8 2 2" xfId="8445"/>
    <cellStyle name="SHADEDSTORES 8 2 2 2" xfId="8444"/>
    <cellStyle name="SHADEDSTORES 8 2 2 2 2" xfId="8443"/>
    <cellStyle name="SHADEDSTORES 8 2 2 3" xfId="8442"/>
    <cellStyle name="SHADEDSTORES 8 2 3" xfId="8441"/>
    <cellStyle name="SHADEDSTORES 8 2 3 2" xfId="8440"/>
    <cellStyle name="SHADEDSTORES 8 2 4" xfId="8439"/>
    <cellStyle name="SHADEDSTORES 8 3" xfId="8438"/>
    <cellStyle name="SHADEDSTORES 8 3 2" xfId="8437"/>
    <cellStyle name="SHADEDSTORES 8 3 2 2" xfId="8436"/>
    <cellStyle name="SHADEDSTORES 8 3 2 2 2" xfId="8435"/>
    <cellStyle name="SHADEDSTORES 8 3 2 3" xfId="8434"/>
    <cellStyle name="SHADEDSTORES 8 3 3" xfId="8433"/>
    <cellStyle name="SHADEDSTORES 8 3 3 2" xfId="8432"/>
    <cellStyle name="SHADEDSTORES 8 3 4" xfId="8431"/>
    <cellStyle name="SHADEDSTORES 8 4" xfId="8430"/>
    <cellStyle name="SHADEDSTORES 8 4 2" xfId="8429"/>
    <cellStyle name="SHADEDSTORES 8 4 2 2" xfId="8428"/>
    <cellStyle name="SHADEDSTORES 8 4 2 2 2" xfId="8427"/>
    <cellStyle name="SHADEDSTORES 8 4 2 3" xfId="8426"/>
    <cellStyle name="SHADEDSTORES 8 4 3" xfId="8425"/>
    <cellStyle name="SHADEDSTORES 8 4 3 2" xfId="8424"/>
    <cellStyle name="SHADEDSTORES 8 4 4" xfId="8423"/>
    <cellStyle name="SHADEDSTORES 8 5" xfId="8422"/>
    <cellStyle name="SHADEDSTORES 8 5 2" xfId="8421"/>
    <cellStyle name="SHADEDSTORES 8 5 2 2" xfId="8420"/>
    <cellStyle name="SHADEDSTORES 8 5 2 2 2" xfId="8419"/>
    <cellStyle name="SHADEDSTORES 8 5 2 3" xfId="8418"/>
    <cellStyle name="SHADEDSTORES 8 5 3" xfId="8417"/>
    <cellStyle name="SHADEDSTORES 8 5 3 2" xfId="8416"/>
    <cellStyle name="SHADEDSTORES 8 5 4" xfId="8415"/>
    <cellStyle name="SHADEDSTORES 8 6" xfId="8414"/>
    <cellStyle name="SHADEDSTORES 8 6 2" xfId="8413"/>
    <cellStyle name="SHADEDSTORES 8 6 2 2" xfId="8412"/>
    <cellStyle name="SHADEDSTORES 8 6 2 2 2" xfId="8411"/>
    <cellStyle name="SHADEDSTORES 8 6 2 3" xfId="8410"/>
    <cellStyle name="SHADEDSTORES 8 6 3" xfId="8409"/>
    <cellStyle name="SHADEDSTORES 8 6 3 2" xfId="8408"/>
    <cellStyle name="SHADEDSTORES 8 6 4" xfId="8407"/>
    <cellStyle name="SHADEDSTORES 8 7" xfId="8406"/>
    <cellStyle name="SHADEDSTORES 8 7 2" xfId="8405"/>
    <cellStyle name="SHADEDSTORES 8 7 2 2" xfId="8404"/>
    <cellStyle name="SHADEDSTORES 8 7 2 2 2" xfId="8403"/>
    <cellStyle name="SHADEDSTORES 8 7 2 3" xfId="8402"/>
    <cellStyle name="SHADEDSTORES 8 7 3" xfId="8401"/>
    <cellStyle name="SHADEDSTORES 8 7 3 2" xfId="8400"/>
    <cellStyle name="SHADEDSTORES 8 7 4" xfId="8399"/>
    <cellStyle name="SHADEDSTORES 8 8" xfId="8398"/>
    <cellStyle name="SHADEDSTORES 8 8 2" xfId="8397"/>
    <cellStyle name="SHADEDSTORES 8 8 2 2" xfId="8396"/>
    <cellStyle name="SHADEDSTORES 8 8 2 2 2" xfId="8395"/>
    <cellStyle name="SHADEDSTORES 8 8 2 3" xfId="8394"/>
    <cellStyle name="SHADEDSTORES 8 8 3" xfId="8393"/>
    <cellStyle name="SHADEDSTORES 8 8 3 2" xfId="8392"/>
    <cellStyle name="SHADEDSTORES 8 8 4" xfId="8391"/>
    <cellStyle name="SHADEDSTORES 8 9" xfId="8390"/>
    <cellStyle name="SHADEDSTORES 8 9 2" xfId="8389"/>
    <cellStyle name="SHADEDSTORES 8 9 2 2" xfId="8388"/>
    <cellStyle name="SHADEDSTORES 8 9 3" xfId="8387"/>
    <cellStyle name="SHADEDSTORES 9" xfId="8386"/>
    <cellStyle name="SHADEDSTORES 9 10" xfId="8385"/>
    <cellStyle name="SHADEDSTORES 9 10 2" xfId="8384"/>
    <cellStyle name="SHADEDSTORES 9 11" xfId="8383"/>
    <cellStyle name="SHADEDSTORES 9 2" xfId="8382"/>
    <cellStyle name="SHADEDSTORES 9 2 2" xfId="8381"/>
    <cellStyle name="SHADEDSTORES 9 2 2 2" xfId="8380"/>
    <cellStyle name="SHADEDSTORES 9 2 2 2 2" xfId="8379"/>
    <cellStyle name="SHADEDSTORES 9 2 2 3" xfId="8378"/>
    <cellStyle name="SHADEDSTORES 9 2 3" xfId="8377"/>
    <cellStyle name="SHADEDSTORES 9 2 3 2" xfId="8376"/>
    <cellStyle name="SHADEDSTORES 9 2 4" xfId="8375"/>
    <cellStyle name="SHADEDSTORES 9 3" xfId="8374"/>
    <cellStyle name="SHADEDSTORES 9 3 2" xfId="8373"/>
    <cellStyle name="SHADEDSTORES 9 3 2 2" xfId="8372"/>
    <cellStyle name="SHADEDSTORES 9 3 2 2 2" xfId="8371"/>
    <cellStyle name="SHADEDSTORES 9 3 2 3" xfId="8370"/>
    <cellStyle name="SHADEDSTORES 9 3 3" xfId="8369"/>
    <cellStyle name="SHADEDSTORES 9 3 3 2" xfId="8368"/>
    <cellStyle name="SHADEDSTORES 9 3 4" xfId="8367"/>
    <cellStyle name="SHADEDSTORES 9 4" xfId="8366"/>
    <cellStyle name="SHADEDSTORES 9 4 2" xfId="8365"/>
    <cellStyle name="SHADEDSTORES 9 4 2 2" xfId="8364"/>
    <cellStyle name="SHADEDSTORES 9 4 2 2 2" xfId="8363"/>
    <cellStyle name="SHADEDSTORES 9 4 2 3" xfId="8362"/>
    <cellStyle name="SHADEDSTORES 9 4 3" xfId="8361"/>
    <cellStyle name="SHADEDSTORES 9 4 3 2" xfId="8360"/>
    <cellStyle name="SHADEDSTORES 9 4 4" xfId="8359"/>
    <cellStyle name="SHADEDSTORES 9 5" xfId="8358"/>
    <cellStyle name="SHADEDSTORES 9 5 2" xfId="8357"/>
    <cellStyle name="SHADEDSTORES 9 5 2 2" xfId="8356"/>
    <cellStyle name="SHADEDSTORES 9 5 2 2 2" xfId="8355"/>
    <cellStyle name="SHADEDSTORES 9 5 2 3" xfId="8354"/>
    <cellStyle name="SHADEDSTORES 9 5 3" xfId="8353"/>
    <cellStyle name="SHADEDSTORES 9 5 3 2" xfId="8352"/>
    <cellStyle name="SHADEDSTORES 9 5 4" xfId="8351"/>
    <cellStyle name="SHADEDSTORES 9 6" xfId="8350"/>
    <cellStyle name="SHADEDSTORES 9 6 2" xfId="8349"/>
    <cellStyle name="SHADEDSTORES 9 6 2 2" xfId="8348"/>
    <cellStyle name="SHADEDSTORES 9 6 2 2 2" xfId="8347"/>
    <cellStyle name="SHADEDSTORES 9 6 2 3" xfId="8346"/>
    <cellStyle name="SHADEDSTORES 9 6 3" xfId="8345"/>
    <cellStyle name="SHADEDSTORES 9 6 3 2" xfId="8344"/>
    <cellStyle name="SHADEDSTORES 9 6 4" xfId="8343"/>
    <cellStyle name="SHADEDSTORES 9 7" xfId="8342"/>
    <cellStyle name="SHADEDSTORES 9 7 2" xfId="8341"/>
    <cellStyle name="SHADEDSTORES 9 7 2 2" xfId="8340"/>
    <cellStyle name="SHADEDSTORES 9 7 2 2 2" xfId="8339"/>
    <cellStyle name="SHADEDSTORES 9 7 2 3" xfId="8338"/>
    <cellStyle name="SHADEDSTORES 9 7 3" xfId="8337"/>
    <cellStyle name="SHADEDSTORES 9 7 3 2" xfId="8336"/>
    <cellStyle name="SHADEDSTORES 9 7 4" xfId="8335"/>
    <cellStyle name="SHADEDSTORES 9 8" xfId="8334"/>
    <cellStyle name="SHADEDSTORES 9 8 2" xfId="8333"/>
    <cellStyle name="SHADEDSTORES 9 8 2 2" xfId="8332"/>
    <cellStyle name="SHADEDSTORES 9 8 2 2 2" xfId="8331"/>
    <cellStyle name="SHADEDSTORES 9 8 2 3" xfId="8330"/>
    <cellStyle name="SHADEDSTORES 9 8 3" xfId="8329"/>
    <cellStyle name="SHADEDSTORES 9 8 3 2" xfId="8328"/>
    <cellStyle name="SHADEDSTORES 9 8 4" xfId="8327"/>
    <cellStyle name="SHADEDSTORES 9 9" xfId="8326"/>
    <cellStyle name="SHADEDSTORES 9 9 2" xfId="8325"/>
    <cellStyle name="SHADEDSTORES 9 9 2 2" xfId="8324"/>
    <cellStyle name="SHADEDSTORES 9 9 3" xfId="8323"/>
    <cellStyle name="Sheet Title" xfId="8322"/>
    <cellStyle name="Sheet Title 2" xfId="8321"/>
    <cellStyle name="Special" xfId="8320"/>
    <cellStyle name="Special 2" xfId="8319"/>
    <cellStyle name="Special 2 2" xfId="8318"/>
    <cellStyle name="Special 2 2 2" xfId="8317"/>
    <cellStyle name="Special 2 3" xfId="8316"/>
    <cellStyle name="Special 3" xfId="8315"/>
    <cellStyle name="Special 3 2" xfId="8314"/>
    <cellStyle name="Special 4" xfId="8313"/>
    <cellStyle name="specstores" xfId="8312"/>
    <cellStyle name="specstores 10" xfId="8311"/>
    <cellStyle name="specstores 11" xfId="8310"/>
    <cellStyle name="specstores 12" xfId="8309"/>
    <cellStyle name="specstores 13" xfId="8308"/>
    <cellStyle name="specstores 14" xfId="8307"/>
    <cellStyle name="specstores 2" xfId="8306"/>
    <cellStyle name="specstores 2 2" xfId="8305"/>
    <cellStyle name="specstores 3" xfId="8304"/>
    <cellStyle name="specstores 3 2" xfId="8303"/>
    <cellStyle name="specstores 3 3" xfId="8302"/>
    <cellStyle name="specstores 3 4" xfId="8301"/>
    <cellStyle name="specstores 4" xfId="8300"/>
    <cellStyle name="specstores 5" xfId="8299"/>
    <cellStyle name="specstores 6" xfId="8298"/>
    <cellStyle name="specstores 7" xfId="8297"/>
    <cellStyle name="specstores 8" xfId="8296"/>
    <cellStyle name="specstores 9" xfId="8295"/>
    <cellStyle name="Standard_0.055_KALK_20.07.00" xfId="8294"/>
    <cellStyle name="STD" xfId="8293"/>
    <cellStyle name="STD 2" xfId="8292"/>
    <cellStyle name="STD 2 2" xfId="8291"/>
    <cellStyle name="STD 2 2 2" xfId="8290"/>
    <cellStyle name="STD 2 3" xfId="8289"/>
    <cellStyle name="STD 3" xfId="8288"/>
    <cellStyle name="STD 3 2" xfId="8287"/>
    <cellStyle name="STD 4" xfId="8286"/>
    <cellStyle name="STD1" xfId="8285"/>
    <cellStyle name="STD1 2" xfId="8284"/>
    <cellStyle name="STD1 2 2" xfId="8283"/>
    <cellStyle name="STD1 2 2 2" xfId="8282"/>
    <cellStyle name="STD1 2 3" xfId="8281"/>
    <cellStyle name="STD1 3" xfId="8280"/>
    <cellStyle name="STD1 3 2" xfId="8279"/>
    <cellStyle name="STD1 4" xfId="8278"/>
    <cellStyle name="Strange" xfId="8277"/>
    <cellStyle name="Style 1" xfId="8276"/>
    <cellStyle name="Style 1 2" xfId="8275"/>
    <cellStyle name="Style 2" xfId="8274"/>
    <cellStyle name="Style 3" xfId="8273"/>
    <cellStyle name="Style 4" xfId="8272"/>
    <cellStyle name="Style 5" xfId="8271"/>
    <cellStyle name="Style(sinta)" xfId="8270"/>
    <cellStyle name="Sub-3" xfId="8269"/>
    <cellStyle name="subhead" xfId="8268"/>
    <cellStyle name="subt1" xfId="8267"/>
    <cellStyle name="subt1 2" xfId="8266"/>
    <cellStyle name="subt1 2 2" xfId="8265"/>
    <cellStyle name="Subtitle" xfId="8264"/>
    <cellStyle name="Subtotal" xfId="8263"/>
    <cellStyle name="sub-total" xfId="8262"/>
    <cellStyle name="sum" xfId="8261"/>
    <cellStyle name="sum 2" xfId="8260"/>
    <cellStyle name="sum 3" xfId="8259"/>
    <cellStyle name="sum8" xfId="8258"/>
    <cellStyle name="Summary_back" xfId="8257"/>
    <cellStyle name="T" xfId="8256"/>
    <cellStyle name="T 10" xfId="8255"/>
    <cellStyle name="T 10 2" xfId="8254"/>
    <cellStyle name="T 10 3" xfId="8253"/>
    <cellStyle name="T 10 4" xfId="8252"/>
    <cellStyle name="T 11" xfId="8251"/>
    <cellStyle name="T 11 2" xfId="8250"/>
    <cellStyle name="T 11 3" xfId="8249"/>
    <cellStyle name="T 11 4" xfId="8248"/>
    <cellStyle name="T 11 5" xfId="8247"/>
    <cellStyle name="T 12" xfId="8246"/>
    <cellStyle name="T 13" xfId="8245"/>
    <cellStyle name="T 14" xfId="8244"/>
    <cellStyle name="T 2" xfId="8243"/>
    <cellStyle name="T 2 10" xfId="8242"/>
    <cellStyle name="T 2 11" xfId="8241"/>
    <cellStyle name="T 2 12" xfId="8240"/>
    <cellStyle name="T 2 13" xfId="8239"/>
    <cellStyle name="T 2 2" xfId="8238"/>
    <cellStyle name="T 2 2 10" xfId="8237"/>
    <cellStyle name="T 2 2 11" xfId="8236"/>
    <cellStyle name="T 2 2 12" xfId="8235"/>
    <cellStyle name="T 2 2 2" xfId="8234"/>
    <cellStyle name="T 2 2 2 2" xfId="8233"/>
    <cellStyle name="T 2 2 2 3" xfId="8232"/>
    <cellStyle name="T 2 2 2 4" xfId="8231"/>
    <cellStyle name="T 2 2 2 5" xfId="8230"/>
    <cellStyle name="T 2 2 3" xfId="8229"/>
    <cellStyle name="T 2 2 3 2" xfId="8228"/>
    <cellStyle name="T 2 2 3 3" xfId="8227"/>
    <cellStyle name="T 2 2 3 4" xfId="8226"/>
    <cellStyle name="T 2 2 3 5" xfId="8225"/>
    <cellStyle name="T 2 2 4" xfId="8224"/>
    <cellStyle name="T 2 2 4 2" xfId="8223"/>
    <cellStyle name="T 2 2 4 3" xfId="8222"/>
    <cellStyle name="T 2 2 4 4" xfId="8221"/>
    <cellStyle name="T 2 2 4 5" xfId="8220"/>
    <cellStyle name="T 2 2 5" xfId="8219"/>
    <cellStyle name="T 2 2 5 2" xfId="8218"/>
    <cellStyle name="T 2 2 5 3" xfId="8217"/>
    <cellStyle name="T 2 2 5 4" xfId="8216"/>
    <cellStyle name="T 2 2 5 5" xfId="8215"/>
    <cellStyle name="T 2 2 6" xfId="8214"/>
    <cellStyle name="T 2 2 6 2" xfId="8213"/>
    <cellStyle name="T 2 2 6 3" xfId="8212"/>
    <cellStyle name="T 2 2 6 4" xfId="8211"/>
    <cellStyle name="T 2 2 6 5" xfId="8210"/>
    <cellStyle name="T 2 2 7" xfId="8209"/>
    <cellStyle name="T 2 2 7 2" xfId="8208"/>
    <cellStyle name="T 2 2 7 3" xfId="8207"/>
    <cellStyle name="T 2 2 7 4" xfId="8206"/>
    <cellStyle name="T 2 2 7 5" xfId="8205"/>
    <cellStyle name="T 2 2 8" xfId="8204"/>
    <cellStyle name="T 2 2 8 2" xfId="8203"/>
    <cellStyle name="T 2 2 8 3" xfId="8202"/>
    <cellStyle name="T 2 2 8 4" xfId="8201"/>
    <cellStyle name="T 2 2 8 5" xfId="8200"/>
    <cellStyle name="T 2 2 9" xfId="8199"/>
    <cellStyle name="T 2 3" xfId="8198"/>
    <cellStyle name="T 2 3 2" xfId="8197"/>
    <cellStyle name="T 2 3 3" xfId="8196"/>
    <cellStyle name="T 2 3 4" xfId="8195"/>
    <cellStyle name="T 2 3 5" xfId="8194"/>
    <cellStyle name="T 2 4" xfId="8193"/>
    <cellStyle name="T 2 4 2" xfId="8192"/>
    <cellStyle name="T 2 4 3" xfId="8191"/>
    <cellStyle name="T 2 4 4" xfId="8190"/>
    <cellStyle name="T 2 4 5" xfId="8189"/>
    <cellStyle name="T 2 5" xfId="8188"/>
    <cellStyle name="T 2 5 2" xfId="8187"/>
    <cellStyle name="T 2 5 3" xfId="8186"/>
    <cellStyle name="T 2 5 4" xfId="8185"/>
    <cellStyle name="T 2 5 5" xfId="8184"/>
    <cellStyle name="T 2 6" xfId="8183"/>
    <cellStyle name="T 2 6 2" xfId="8182"/>
    <cellStyle name="T 2 6 3" xfId="8181"/>
    <cellStyle name="T 2 6 4" xfId="8180"/>
    <cellStyle name="T 2 6 5" xfId="8179"/>
    <cellStyle name="T 2 7" xfId="8178"/>
    <cellStyle name="T 2 7 2" xfId="8177"/>
    <cellStyle name="T 2 7 3" xfId="8176"/>
    <cellStyle name="T 2 7 4" xfId="8175"/>
    <cellStyle name="T 2 7 5" xfId="8174"/>
    <cellStyle name="T 2 8" xfId="8173"/>
    <cellStyle name="T 2 8 2" xfId="8172"/>
    <cellStyle name="T 2 8 3" xfId="8171"/>
    <cellStyle name="T 2 8 4" xfId="8170"/>
    <cellStyle name="T 2 8 5" xfId="8169"/>
    <cellStyle name="T 2 9" xfId="8168"/>
    <cellStyle name="T 2 9 2" xfId="8167"/>
    <cellStyle name="T 2 9 3" xfId="8166"/>
    <cellStyle name="T 2 9 4" xfId="8165"/>
    <cellStyle name="T 2 9 5" xfId="8164"/>
    <cellStyle name="T 3" xfId="8163"/>
    <cellStyle name="T 3 10" xfId="8162"/>
    <cellStyle name="T 3 11" xfId="8161"/>
    <cellStyle name="T 3 12" xfId="8160"/>
    <cellStyle name="T 3 2" xfId="8159"/>
    <cellStyle name="T 3 2 2" xfId="8158"/>
    <cellStyle name="T 3 2 3" xfId="8157"/>
    <cellStyle name="T 3 2 4" xfId="8156"/>
    <cellStyle name="T 3 2 5" xfId="8155"/>
    <cellStyle name="T 3 3" xfId="8154"/>
    <cellStyle name="T 3 3 2" xfId="8153"/>
    <cellStyle name="T 3 3 3" xfId="8152"/>
    <cellStyle name="T 3 3 4" xfId="8151"/>
    <cellStyle name="T 3 3 5" xfId="8150"/>
    <cellStyle name="T 3 4" xfId="8149"/>
    <cellStyle name="T 3 4 2" xfId="8148"/>
    <cellStyle name="T 3 4 3" xfId="8147"/>
    <cellStyle name="T 3 4 4" xfId="8146"/>
    <cellStyle name="T 3 4 5" xfId="8145"/>
    <cellStyle name="T 3 5" xfId="8144"/>
    <cellStyle name="T 3 5 2" xfId="8143"/>
    <cellStyle name="T 3 5 3" xfId="8142"/>
    <cellStyle name="T 3 5 4" xfId="8141"/>
    <cellStyle name="T 3 5 5" xfId="8140"/>
    <cellStyle name="T 3 6" xfId="8139"/>
    <cellStyle name="T 3 6 2" xfId="8138"/>
    <cellStyle name="T 3 6 3" xfId="8137"/>
    <cellStyle name="T 3 6 4" xfId="8136"/>
    <cellStyle name="T 3 6 5" xfId="8135"/>
    <cellStyle name="T 3 7" xfId="8134"/>
    <cellStyle name="T 3 7 2" xfId="8133"/>
    <cellStyle name="T 3 7 3" xfId="8132"/>
    <cellStyle name="T 3 7 4" xfId="8131"/>
    <cellStyle name="T 3 7 5" xfId="8130"/>
    <cellStyle name="T 3 8" xfId="8129"/>
    <cellStyle name="T 3 8 2" xfId="8128"/>
    <cellStyle name="T 3 8 3" xfId="8127"/>
    <cellStyle name="T 3 8 4" xfId="8126"/>
    <cellStyle name="T 3 8 5" xfId="8125"/>
    <cellStyle name="T 3 9" xfId="8124"/>
    <cellStyle name="T 4" xfId="8123"/>
    <cellStyle name="T 4 2" xfId="8122"/>
    <cellStyle name="T 4 3" xfId="8121"/>
    <cellStyle name="T 4 4" xfId="8120"/>
    <cellStyle name="T 5" xfId="8119"/>
    <cellStyle name="T 5 2" xfId="8118"/>
    <cellStyle name="T 5 3" xfId="8117"/>
    <cellStyle name="T 5 4" xfId="8116"/>
    <cellStyle name="T 6" xfId="8115"/>
    <cellStyle name="T 6 2" xfId="8114"/>
    <cellStyle name="T 6 3" xfId="8113"/>
    <cellStyle name="T 6 4" xfId="8112"/>
    <cellStyle name="T 7" xfId="8111"/>
    <cellStyle name="T 7 2" xfId="8110"/>
    <cellStyle name="T 7 3" xfId="8109"/>
    <cellStyle name="T 7 4" xfId="8108"/>
    <cellStyle name="T 8" xfId="8107"/>
    <cellStyle name="T 8 2" xfId="8106"/>
    <cellStyle name="T 8 3" xfId="8105"/>
    <cellStyle name="T 8 4" xfId="8104"/>
    <cellStyle name="T 9" xfId="8103"/>
    <cellStyle name="T 9 2" xfId="8102"/>
    <cellStyle name="T 9 3" xfId="8101"/>
    <cellStyle name="T 9 4" xfId="8100"/>
    <cellStyle name="t_01.RC 3 Gdng STTD BQ 2" xfId="8099"/>
    <cellStyle name="t_01.RC 3 Gdng STTD BQ 2 2" xfId="8098"/>
    <cellStyle name="t_01.RC 3 Gdng STTD BQ 2 2 2" xfId="8097"/>
    <cellStyle name="t_01.RC 3 Gdng STTD BQ 2 3" xfId="8096"/>
    <cellStyle name="T_3. Eskalasi Tersier Angkola Juni 2008-Nov 2008 (form Panitia)-Draft 3" xfId="8095"/>
    <cellStyle name="T_3. Eskalasi Tersier Angkola Juni 2008-Nov 2008 (form Panitia)-Draft 3 2" xfId="8094"/>
    <cellStyle name="T_3. Eskalasi Tersier Angkola Juni 2008-Nov 2008 (form Panitia)-Draft 3 3" xfId="8093"/>
    <cellStyle name="T_3. Eskalasi Tersier Angkola Juni 2008-Nov 2008 (form Panitia)-Draft 3 4" xfId="8092"/>
    <cellStyle name="T_3. Eskalasi Tersier Angkola Juni 2008-Nov 2008 (form Panitia)-Draft 3 5" xfId="8091"/>
    <cellStyle name="t_ACP, CW, CB" xfId="8090"/>
    <cellStyle name="t_ACP, CW, CB 2" xfId="8089"/>
    <cellStyle name="t_ACP, CW, CB 2 2" xfId="8088"/>
    <cellStyle name="t_ACP, CW, CB 2 2 2" xfId="8087"/>
    <cellStyle name="t_ACP, CW, CB 2 3" xfId="8086"/>
    <cellStyle name="t_ACP, CW, CB 3" xfId="8085"/>
    <cellStyle name="t_ACP, CW, CB 3 2" xfId="8084"/>
    <cellStyle name="t_ACP, CW, CB 3 2 2" xfId="8083"/>
    <cellStyle name="t_ACP, CW, CB 3 3" xfId="8082"/>
    <cellStyle name="t_ACP, CW, CB 4" xfId="8081"/>
    <cellStyle name="t_ACP, CW, CB 4 2" xfId="8080"/>
    <cellStyle name="t_ACP, CW, CB 4 2 2" xfId="8079"/>
    <cellStyle name="t_ACP, CW, CB 4 3" xfId="8078"/>
    <cellStyle name="t_ACP, CW, CB 5" xfId="8077"/>
    <cellStyle name="t_ACP, CW, CB 5 2" xfId="8076"/>
    <cellStyle name="t_ACP, CW, CB 5 2 2" xfId="8075"/>
    <cellStyle name="t_ACP, CW, CB 5 3" xfId="8074"/>
    <cellStyle name="t_ACP, CW, CB 6" xfId="8073"/>
    <cellStyle name="t_ACP, CW, CB 6 2" xfId="8072"/>
    <cellStyle name="t_ACP, CW, CB 6 2 2" xfId="8071"/>
    <cellStyle name="t_ACP, CW, CB 6 3" xfId="8070"/>
    <cellStyle name="t_ACP, CW, CB 7" xfId="8069"/>
    <cellStyle name="t_ACP, CW, CB 7 2" xfId="8068"/>
    <cellStyle name="t_ACP, CW, CB 7 2 2" xfId="8067"/>
    <cellStyle name="t_ACP, CW, CB 7 3" xfId="8066"/>
    <cellStyle name="t_ACP, CW, CB 8" xfId="8065"/>
    <cellStyle name="t_ACP, CW, CB 8 2" xfId="8064"/>
    <cellStyle name="t_ACP, CW, CB 9" xfId="8063"/>
    <cellStyle name="t_ACP, CW, CB_Realisasi Kontrak Kampar 31 agustus 2009" xfId="8062"/>
    <cellStyle name="t_ACP, CW, CB_Realisasi Kontrak Kampar 31 agustus 2009 2" xfId="8061"/>
    <cellStyle name="t_ACP, CW, CB_Realisasi Kontrak Kampar 31 agustus 2009 2 2" xfId="8060"/>
    <cellStyle name="t_ACP, CW, CB_Realisasi Kontrak Kampar 31 agustus 2009 2 2 2" xfId="8059"/>
    <cellStyle name="t_ACP, CW, CB_Realisasi Kontrak Kampar 31 agustus 2009 2 3" xfId="8058"/>
    <cellStyle name="t_ACP, CW, CB_Realisasi Kontrak Kampar 31 agustus 2009 3" xfId="8057"/>
    <cellStyle name="t_ACP, CW, CB_Realisasi Kontrak Kampar 31 agustus 2009 3 2" xfId="8056"/>
    <cellStyle name="t_ACP, CW, CB_Realisasi Kontrak Kampar 31 agustus 2009 3 2 2" xfId="8055"/>
    <cellStyle name="t_ACP, CW, CB_Realisasi Kontrak Kampar 31 agustus 2009 3 3" xfId="8054"/>
    <cellStyle name="t_ACP, CW, CB_Realisasi Kontrak Kampar 31 agustus 2009 4" xfId="8053"/>
    <cellStyle name="t_ACP, CW, CB_Realisasi Kontrak Kampar 31 agustus 2009 4 2" xfId="8052"/>
    <cellStyle name="t_ACP, CW, CB_Realisasi Kontrak Kampar 31 agustus 2009 4 2 2" xfId="8051"/>
    <cellStyle name="t_ACP, CW, CB_Realisasi Kontrak Kampar 31 agustus 2009 4 3" xfId="8050"/>
    <cellStyle name="t_ACP, CW, CB_Realisasi Kontrak Kampar 31 agustus 2009 5" xfId="8049"/>
    <cellStyle name="t_ACP, CW, CB_Realisasi Kontrak Kampar 31 agustus 2009 5 2" xfId="8048"/>
    <cellStyle name="t_ACP, CW, CB_Realisasi Kontrak Kampar 31 agustus 2009 5 2 2" xfId="8047"/>
    <cellStyle name="t_ACP, CW, CB_Realisasi Kontrak Kampar 31 agustus 2009 5 3" xfId="8046"/>
    <cellStyle name="t_ACP, CW, CB_Realisasi Kontrak Kampar 31 agustus 2009 6" xfId="8045"/>
    <cellStyle name="t_ACP, CW, CB_Realisasi Kontrak Kampar 31 agustus 2009 6 2" xfId="8044"/>
    <cellStyle name="t_ACP, CW, CB_Realisasi Kontrak Kampar 31 agustus 2009 6 2 2" xfId="8043"/>
    <cellStyle name="t_ACP, CW, CB_Realisasi Kontrak Kampar 31 agustus 2009 6 3" xfId="8042"/>
    <cellStyle name="t_ACP, CW, CB_Realisasi Kontrak Kampar 31 agustus 2009 7" xfId="8041"/>
    <cellStyle name="t_ACP, CW, CB_Realisasi Kontrak Kampar 31 agustus 2009 7 2" xfId="8040"/>
    <cellStyle name="t_ACP, CW, CB_Realisasi Kontrak Kampar 31 agustus 2009 7 2 2" xfId="8039"/>
    <cellStyle name="t_ACP, CW, CB_Realisasi Kontrak Kampar 31 agustus 2009 7 3" xfId="8038"/>
    <cellStyle name="t_ACP, CW, CB_Realisasi Kontrak Kampar 31 agustus 2009 8" xfId="8037"/>
    <cellStyle name="t_ACP, CW, CB_Realisasi Kontrak Kampar 31 agustus 2009 8 2" xfId="8036"/>
    <cellStyle name="t_ACP, CW, CB_Realisasi Kontrak Kampar 31 agustus 2009 9" xfId="8035"/>
    <cellStyle name="t_ALTERNATIF#1 T=1,80 MM" xfId="8034"/>
    <cellStyle name="t_ALTERNATIF#1 T=1,80 MM 2" xfId="8033"/>
    <cellStyle name="t_ALTERNATIF#1 T=1,80 MM 2 2" xfId="8032"/>
    <cellStyle name="t_ALTERNATIF#1 T=1,80 MM 2 2 2" xfId="8031"/>
    <cellStyle name="t_ALTERNATIF#1 T=1,80 MM 2 3" xfId="8030"/>
    <cellStyle name="t_ALTERNATIF#1 T=1,80 MM 3" xfId="8029"/>
    <cellStyle name="t_ALTERNATIF#1 T=1,80 MM 3 2" xfId="8028"/>
    <cellStyle name="t_ALTERNATIF#1 T=1,80 MM 3 2 2" xfId="8027"/>
    <cellStyle name="t_ALTERNATIF#1 T=1,80 MM 3 3" xfId="8026"/>
    <cellStyle name="t_ALTERNATIF#1 T=1,80 MM 4" xfId="8025"/>
    <cellStyle name="t_ALTERNATIF#1 T=1,80 MM 4 2" xfId="8024"/>
    <cellStyle name="t_ALTERNATIF#1 T=1,80 MM 4 2 2" xfId="8023"/>
    <cellStyle name="t_ALTERNATIF#1 T=1,80 MM 4 3" xfId="8022"/>
    <cellStyle name="t_ALTERNATIF#1 T=1,80 MM 5" xfId="8021"/>
    <cellStyle name="t_ALTERNATIF#1 T=1,80 MM 5 2" xfId="8020"/>
    <cellStyle name="t_ALTERNATIF#1 T=1,80 MM 5 2 2" xfId="8019"/>
    <cellStyle name="t_ALTERNATIF#1 T=1,80 MM 5 3" xfId="8018"/>
    <cellStyle name="t_ALTERNATIF#1 T=1,80 MM 6" xfId="8017"/>
    <cellStyle name="t_ALTERNATIF#1 T=1,80 MM 6 2" xfId="8016"/>
    <cellStyle name="t_ALTERNATIF#1 T=1,80 MM 6 2 2" xfId="8015"/>
    <cellStyle name="t_ALTERNATIF#1 T=1,80 MM 6 3" xfId="8014"/>
    <cellStyle name="t_ALTERNATIF#1 T=1,80 MM 7" xfId="8013"/>
    <cellStyle name="t_ALTERNATIF#1 T=1,80 MM 7 2" xfId="8012"/>
    <cellStyle name="t_ALTERNATIF#1 T=1,80 MM 7 2 2" xfId="8011"/>
    <cellStyle name="t_ALTERNATIF#1 T=1,80 MM 7 3" xfId="8010"/>
    <cellStyle name="t_ALTERNATIF#1 T=1,80 MM 8" xfId="8009"/>
    <cellStyle name="t_ALTERNATIF#1 T=1,80 MM 8 2" xfId="8008"/>
    <cellStyle name="t_ALTERNATIF#1 T=1,80 MM 9" xfId="8007"/>
    <cellStyle name="t_ALTERNATIF#1 T=1,80 MM_Realisasi Kontrak Kampar 31 agustus 2009" xfId="8006"/>
    <cellStyle name="t_ALTERNATIF#1 T=1,80 MM_Realisasi Kontrak Kampar 31 agustus 2009 2" xfId="8005"/>
    <cellStyle name="t_ALTERNATIF#1 T=1,80 MM_Realisasi Kontrak Kampar 31 agustus 2009 2 2" xfId="8004"/>
    <cellStyle name="t_ALTERNATIF#1 T=1,80 MM_Realisasi Kontrak Kampar 31 agustus 2009 2 2 2" xfId="8003"/>
    <cellStyle name="t_ALTERNATIF#1 T=1,80 MM_Realisasi Kontrak Kampar 31 agustus 2009 2 3" xfId="8002"/>
    <cellStyle name="t_ALTERNATIF#1 T=1,80 MM_Realisasi Kontrak Kampar 31 agustus 2009 3" xfId="8001"/>
    <cellStyle name="t_ALTERNATIF#1 T=1,80 MM_Realisasi Kontrak Kampar 31 agustus 2009 3 2" xfId="8000"/>
    <cellStyle name="t_ALTERNATIF#1 T=1,80 MM_Realisasi Kontrak Kampar 31 agustus 2009 3 2 2" xfId="7999"/>
    <cellStyle name="t_ALTERNATIF#1 T=1,80 MM_Realisasi Kontrak Kampar 31 agustus 2009 3 3" xfId="7998"/>
    <cellStyle name="t_ALTERNATIF#1 T=1,80 MM_Realisasi Kontrak Kampar 31 agustus 2009 4" xfId="7997"/>
    <cellStyle name="t_ALTERNATIF#1 T=1,80 MM_Realisasi Kontrak Kampar 31 agustus 2009 4 2" xfId="7996"/>
    <cellStyle name="t_ALTERNATIF#1 T=1,80 MM_Realisasi Kontrak Kampar 31 agustus 2009 4 2 2" xfId="7995"/>
    <cellStyle name="t_ALTERNATIF#1 T=1,80 MM_Realisasi Kontrak Kampar 31 agustus 2009 4 3" xfId="7994"/>
    <cellStyle name="t_ALTERNATIF#1 T=1,80 MM_Realisasi Kontrak Kampar 31 agustus 2009 5" xfId="7993"/>
    <cellStyle name="t_ALTERNATIF#1 T=1,80 MM_Realisasi Kontrak Kampar 31 agustus 2009 5 2" xfId="7992"/>
    <cellStyle name="t_ALTERNATIF#1 T=1,80 MM_Realisasi Kontrak Kampar 31 agustus 2009 5 2 2" xfId="7991"/>
    <cellStyle name="t_ALTERNATIF#1 T=1,80 MM_Realisasi Kontrak Kampar 31 agustus 2009 5 3" xfId="7990"/>
    <cellStyle name="t_ALTERNATIF#1 T=1,80 MM_Realisasi Kontrak Kampar 31 agustus 2009 6" xfId="7989"/>
    <cellStyle name="t_ALTERNATIF#1 T=1,80 MM_Realisasi Kontrak Kampar 31 agustus 2009 6 2" xfId="7988"/>
    <cellStyle name="t_ALTERNATIF#1 T=1,80 MM_Realisasi Kontrak Kampar 31 agustus 2009 6 2 2" xfId="7987"/>
    <cellStyle name="t_ALTERNATIF#1 T=1,80 MM_Realisasi Kontrak Kampar 31 agustus 2009 6 3" xfId="7986"/>
    <cellStyle name="t_ALTERNATIF#1 T=1,80 MM_Realisasi Kontrak Kampar 31 agustus 2009 7" xfId="7985"/>
    <cellStyle name="t_ALTERNATIF#1 T=1,80 MM_Realisasi Kontrak Kampar 31 agustus 2009 7 2" xfId="7984"/>
    <cellStyle name="t_ALTERNATIF#1 T=1,80 MM_Realisasi Kontrak Kampar 31 agustus 2009 7 2 2" xfId="7983"/>
    <cellStyle name="t_ALTERNATIF#1 T=1,80 MM_Realisasi Kontrak Kampar 31 agustus 2009 7 3" xfId="7982"/>
    <cellStyle name="t_ALTERNATIF#1 T=1,80 MM_Realisasi Kontrak Kampar 31 agustus 2009 8" xfId="7981"/>
    <cellStyle name="t_ALTERNATIF#1 T=1,80 MM_Realisasi Kontrak Kampar 31 agustus 2009 8 2" xfId="7980"/>
    <cellStyle name="t_ALTERNATIF#1 T=1,80 MM_Realisasi Kontrak Kampar 31 agustus 2009 9" xfId="7979"/>
    <cellStyle name="t_Alternatif#1_Semua Alexindo_Opt_123" xfId="7978"/>
    <cellStyle name="t_Alternatif#1_Semua Alexindo_Opt_123 2" xfId="7977"/>
    <cellStyle name="t_Alternatif#1_Semua Alexindo_Opt_123 2 2" xfId="7976"/>
    <cellStyle name="t_Alternatif#1_Semua Alexindo_Opt_123 2 2 2" xfId="7975"/>
    <cellStyle name="t_Alternatif#1_Semua Alexindo_Opt_123 2 3" xfId="7974"/>
    <cellStyle name="t_Alternatif#1_Semua Alexindo_Opt_123 3" xfId="7973"/>
    <cellStyle name="t_Alternatif#1_Semua Alexindo_Opt_123 3 2" xfId="7972"/>
    <cellStyle name="t_Alternatif#1_Semua Alexindo_Opt_123 3 2 2" xfId="7971"/>
    <cellStyle name="t_Alternatif#1_Semua Alexindo_Opt_123 3 3" xfId="7970"/>
    <cellStyle name="t_Alternatif#1_Semua Alexindo_Opt_123 4" xfId="7969"/>
    <cellStyle name="t_Alternatif#1_Semua Alexindo_Opt_123 4 2" xfId="7968"/>
    <cellStyle name="t_Alternatif#1_Semua Alexindo_Opt_123 4 2 2" xfId="7967"/>
    <cellStyle name="t_Alternatif#1_Semua Alexindo_Opt_123 4 3" xfId="7966"/>
    <cellStyle name="t_Alternatif#1_Semua Alexindo_Opt_123 5" xfId="7965"/>
    <cellStyle name="t_Alternatif#1_Semua Alexindo_Opt_123 5 2" xfId="7964"/>
    <cellStyle name="t_Alternatif#1_Semua Alexindo_Opt_123 5 2 2" xfId="7963"/>
    <cellStyle name="t_Alternatif#1_Semua Alexindo_Opt_123 5 3" xfId="7962"/>
    <cellStyle name="t_Alternatif#1_Semua Alexindo_Opt_123 6" xfId="7961"/>
    <cellStyle name="t_Alternatif#1_Semua Alexindo_Opt_123 6 2" xfId="7960"/>
    <cellStyle name="t_Alternatif#1_Semua Alexindo_Opt_123 6 2 2" xfId="7959"/>
    <cellStyle name="t_Alternatif#1_Semua Alexindo_Opt_123 6 3" xfId="7958"/>
    <cellStyle name="t_Alternatif#1_Semua Alexindo_Opt_123 7" xfId="7957"/>
    <cellStyle name="t_Alternatif#1_Semua Alexindo_Opt_123 7 2" xfId="7956"/>
    <cellStyle name="t_Alternatif#1_Semua Alexindo_Opt_123 7 2 2" xfId="7955"/>
    <cellStyle name="t_Alternatif#1_Semua Alexindo_Opt_123 7 3" xfId="7954"/>
    <cellStyle name="t_Alternatif#1_Semua Alexindo_Opt_123 8" xfId="7953"/>
    <cellStyle name="t_Alternatif#1_Semua Alexindo_Opt_123 8 2" xfId="7952"/>
    <cellStyle name="t_Alternatif#1_Semua Alexindo_Opt_123 9" xfId="7951"/>
    <cellStyle name="t_Analisa Harga Satuan" xfId="7950"/>
    <cellStyle name="t_Analisa Harga Satuan 2" xfId="7949"/>
    <cellStyle name="t_Analisa Harga Satuan 2 2" xfId="7948"/>
    <cellStyle name="t_Analisa Harga Satuan 2 2 2" xfId="7947"/>
    <cellStyle name="t_Analisa Harga Satuan 2 3" xfId="7946"/>
    <cellStyle name="t_Analisa Harga Satuan 3" xfId="7945"/>
    <cellStyle name="t_Analisa Harga Satuan 3 2" xfId="7944"/>
    <cellStyle name="t_Analisa Harga Satuan 3 2 2" xfId="7943"/>
    <cellStyle name="t_Analisa Harga Satuan 3 3" xfId="7942"/>
    <cellStyle name="t_Analisa Harga Satuan 4" xfId="7941"/>
    <cellStyle name="t_Analisa Harga Satuan 4 2" xfId="7940"/>
    <cellStyle name="t_Analisa Harga Satuan 4 2 2" xfId="7939"/>
    <cellStyle name="t_Analisa Harga Satuan 4 3" xfId="7938"/>
    <cellStyle name="t_Analisa Harga Satuan 5" xfId="7937"/>
    <cellStyle name="t_Analisa Harga Satuan 5 2" xfId="7936"/>
    <cellStyle name="t_Analisa Harga Satuan 5 2 2" xfId="7935"/>
    <cellStyle name="t_Analisa Harga Satuan 5 3" xfId="7934"/>
    <cellStyle name="t_Analisa Harga Satuan 6" xfId="7933"/>
    <cellStyle name="t_Analisa Harga Satuan 6 2" xfId="7932"/>
    <cellStyle name="t_Analisa Harga Satuan 6 2 2" xfId="7931"/>
    <cellStyle name="t_Analisa Harga Satuan 6 3" xfId="7930"/>
    <cellStyle name="t_Analisa Harga Satuan 7" xfId="7929"/>
    <cellStyle name="t_Analisa Harga Satuan 7 2" xfId="7928"/>
    <cellStyle name="t_Analisa Harga Satuan 7 2 2" xfId="7927"/>
    <cellStyle name="t_Analisa Harga Satuan 7 3" xfId="7926"/>
    <cellStyle name="t_Analisa Harga Satuan 8" xfId="7925"/>
    <cellStyle name="t_Analisa Harga Satuan 8 2" xfId="7924"/>
    <cellStyle name="t_Analisa Harga Satuan 9" xfId="7923"/>
    <cellStyle name="t_Analisa Harga Satuan RAB" xfId="7922"/>
    <cellStyle name="t_Analisa Harga Satuan RAB 2" xfId="7921"/>
    <cellStyle name="t_Analisa Harga Satuan_Realisasi Kontrak Kampar 31 agustus 2009" xfId="7920"/>
    <cellStyle name="t_Analisa Harga Satuan_Realisasi Kontrak Kampar 31 agustus 2009 2" xfId="7919"/>
    <cellStyle name="t_Analisa Harga Satuan_Realisasi Kontrak Kampar 31 agustus 2009 2 2" xfId="7918"/>
    <cellStyle name="t_Analisa Harga Satuan_Realisasi Kontrak Kampar 31 agustus 2009 2 2 2" xfId="7917"/>
    <cellStyle name="t_Analisa Harga Satuan_Realisasi Kontrak Kampar 31 agustus 2009 2 3" xfId="7916"/>
    <cellStyle name="t_Analisa Harga Satuan_Realisasi Kontrak Kampar 31 agustus 2009 3" xfId="7915"/>
    <cellStyle name="t_Analisa Harga Satuan_Realisasi Kontrak Kampar 31 agustus 2009 3 2" xfId="7914"/>
    <cellStyle name="t_Analisa Harga Satuan_Realisasi Kontrak Kampar 31 agustus 2009 3 2 2" xfId="7913"/>
    <cellStyle name="t_Analisa Harga Satuan_Realisasi Kontrak Kampar 31 agustus 2009 3 3" xfId="7912"/>
    <cellStyle name="t_Analisa Harga Satuan_Realisasi Kontrak Kampar 31 agustus 2009 4" xfId="7911"/>
    <cellStyle name="t_Analisa Harga Satuan_Realisasi Kontrak Kampar 31 agustus 2009 4 2" xfId="7910"/>
    <cellStyle name="t_Analisa Harga Satuan_Realisasi Kontrak Kampar 31 agustus 2009 4 2 2" xfId="7909"/>
    <cellStyle name="t_Analisa Harga Satuan_Realisasi Kontrak Kampar 31 agustus 2009 4 3" xfId="7908"/>
    <cellStyle name="t_Analisa Harga Satuan_Realisasi Kontrak Kampar 31 agustus 2009 5" xfId="7907"/>
    <cellStyle name="t_Analisa Harga Satuan_Realisasi Kontrak Kampar 31 agustus 2009 5 2" xfId="7906"/>
    <cellStyle name="t_Analisa Harga Satuan_Realisasi Kontrak Kampar 31 agustus 2009 5 2 2" xfId="7905"/>
    <cellStyle name="t_Analisa Harga Satuan_Realisasi Kontrak Kampar 31 agustus 2009 5 3" xfId="7904"/>
    <cellStyle name="t_Analisa Harga Satuan_Realisasi Kontrak Kampar 31 agustus 2009 6" xfId="7903"/>
    <cellStyle name="t_Analisa Harga Satuan_Realisasi Kontrak Kampar 31 agustus 2009 6 2" xfId="7902"/>
    <cellStyle name="t_Analisa Harga Satuan_Realisasi Kontrak Kampar 31 agustus 2009 6 2 2" xfId="7901"/>
    <cellStyle name="t_Analisa Harga Satuan_Realisasi Kontrak Kampar 31 agustus 2009 6 3" xfId="7900"/>
    <cellStyle name="t_Analisa Harga Satuan_Realisasi Kontrak Kampar 31 agustus 2009 7" xfId="7899"/>
    <cellStyle name="t_Analisa Harga Satuan_Realisasi Kontrak Kampar 31 agustus 2009 7 2" xfId="7898"/>
    <cellStyle name="t_Analisa Harga Satuan_Realisasi Kontrak Kampar 31 agustus 2009 7 2 2" xfId="7897"/>
    <cellStyle name="t_Analisa Harga Satuan_Realisasi Kontrak Kampar 31 agustus 2009 7 3" xfId="7896"/>
    <cellStyle name="t_Analisa Harga Satuan_Realisasi Kontrak Kampar 31 agustus 2009 8" xfId="7895"/>
    <cellStyle name="t_Analisa Harga Satuan_Realisasi Kontrak Kampar 31 agustus 2009 8 2" xfId="7894"/>
    <cellStyle name="t_Analisa Harga Satuan_Realisasi Kontrak Kampar 31 agustus 2009 9" xfId="7893"/>
    <cellStyle name="T_basic progres of the work Tersier" xfId="7892"/>
    <cellStyle name="T_basic progres of the work Tersier 2" xfId="7891"/>
    <cellStyle name="T_basic progres of the work Tersier 3" xfId="7890"/>
    <cellStyle name="T_basic progres of the work Tersier 4" xfId="7889"/>
    <cellStyle name="T_basic progres of the work Tersier 5" xfId="7888"/>
    <cellStyle name="T_basic progres of the work Tersier_Evaluasi Negoisasi (Lampiran Berita Acara) - Rev 3" xfId="7887"/>
    <cellStyle name="T_basic progres of the work Tersier_Evaluasi Negoisasi (Lampiran Berita Acara) - Rev 3 2" xfId="7886"/>
    <cellStyle name="T_basic progres of the work Tersier_Evaluasi Negoisasi (Lampiran Berita Acara) - Rev 3 3" xfId="7885"/>
    <cellStyle name="T_basic progres of the work Tersier_Evaluasi Negoisasi (Lampiran Berita Acara) - Rev 3 4" xfId="7884"/>
    <cellStyle name="T_basic progres of the work Tersier_Evaluasi Negoisasi (Lampiran Berita Acara) - Rev 3 5" xfId="7883"/>
    <cellStyle name="T_basic progres of the work Tersier_Schedule  PCM" xfId="7882"/>
    <cellStyle name="T_basic progres of the work Tersier_Schedule  PCM 2" xfId="7881"/>
    <cellStyle name="T_basic progres of the work Tersier_Schedule  PCM 3" xfId="7880"/>
    <cellStyle name="T_basic progres of the work Tersier_Schedule  PCM 4" xfId="7879"/>
    <cellStyle name="T_basic progres of the work Tersier_Schedule  PCM 5" xfId="7878"/>
    <cellStyle name="T_basic progres of the work Tersier_Schedule  PCM_schedule rev -2 paket AMS 8" xfId="7877"/>
    <cellStyle name="T_basic progres of the work Tersier_Schedule  PCM_schedule rev -2 paket AMS 8 2" xfId="7876"/>
    <cellStyle name="T_basic progres of the work Tersier_Schedule  PCM_schedule rev -2 paket AMS 8 3" xfId="7875"/>
    <cellStyle name="T_basic progres of the work Tersier_Schedule  PCM_schedule rev -2 paket AMS 8 4" xfId="7874"/>
    <cellStyle name="T_basic progres of the work Tersier_Schedule  PCM_schedule rev -2 paket AMS 8 5" xfId="7873"/>
    <cellStyle name="T_basic progres of the work Tersier_Schedule Revisi 1" xfId="7872"/>
    <cellStyle name="T_basic progres of the work Tersier_Schedule Revisi 1 2" xfId="7871"/>
    <cellStyle name="T_basic progres of the work Tersier_Schedule Revisi 1 3" xfId="7870"/>
    <cellStyle name="T_basic progres of the work Tersier_Schedule Revisi 1 4" xfId="7869"/>
    <cellStyle name="T_basic progres of the work Tersier_Schedule Revisi 1 5" xfId="7868"/>
    <cellStyle name="T_basic progres of the work Tersier_Schedule Revisi 1_schedule rev -2 paket AMS 8" xfId="7867"/>
    <cellStyle name="T_basic progres of the work Tersier_Schedule Revisi 1_schedule rev -2 paket AMS 8 2" xfId="7866"/>
    <cellStyle name="T_basic progres of the work Tersier_Schedule Revisi 1_schedule rev -2 paket AMS 8 3" xfId="7865"/>
    <cellStyle name="T_basic progres of the work Tersier_Schedule Revisi 1_schedule rev -2 paket AMS 8 4" xfId="7864"/>
    <cellStyle name="T_basic progres of the work Tersier_Schedule Revisi 1_schedule rev -2 paket AMS 8 5" xfId="7863"/>
    <cellStyle name="T_basic progres of the work Tersier_summary amd 1 final" xfId="7862"/>
    <cellStyle name="T_basic progres of the work Tersier_summary amd 1 final 2" xfId="7861"/>
    <cellStyle name="T_basic progres of the work Tersier_summary amd 1 final 3" xfId="7860"/>
    <cellStyle name="T_basic progres of the work Tersier_summary amd 1 final 4" xfId="7859"/>
    <cellStyle name="T_basic progres of the work Tersier_summary amd 1 final 5" xfId="7858"/>
    <cellStyle name="T_basic progres of the work Tersier_summary amd 1 final_schedule rev -2 paket AMS 8" xfId="7857"/>
    <cellStyle name="T_basic progres of the work Tersier_summary amd 1 final_schedule rev -2 paket AMS 8 2" xfId="7856"/>
    <cellStyle name="T_basic progres of the work Tersier_summary amd 1 final_schedule rev -2 paket AMS 8 3" xfId="7855"/>
    <cellStyle name="T_basic progres of the work Tersier_summary amd 1 final_schedule rev -2 paket AMS 8 4" xfId="7854"/>
    <cellStyle name="T_basic progres of the work Tersier_summary amd 1 final_schedule rev -2 paket AMS 8 5" xfId="7853"/>
    <cellStyle name="T_Book1" xfId="7852"/>
    <cellStyle name="T_Book1 10" xfId="7851"/>
    <cellStyle name="T_Book1 10 2" xfId="7850"/>
    <cellStyle name="T_Book1 10 3" xfId="7849"/>
    <cellStyle name="T_Book1 10 4" xfId="7848"/>
    <cellStyle name="T_Book1 11" xfId="7847"/>
    <cellStyle name="T_Book1 11 2" xfId="7846"/>
    <cellStyle name="T_Book1 11 3" xfId="7845"/>
    <cellStyle name="T_Book1 11 4" xfId="7844"/>
    <cellStyle name="T_Book1 11 5" xfId="7843"/>
    <cellStyle name="T_Book1 12" xfId="7842"/>
    <cellStyle name="T_Book1 13" xfId="7841"/>
    <cellStyle name="T_Book1 14" xfId="7840"/>
    <cellStyle name="T_Book1 2" xfId="7839"/>
    <cellStyle name="T_Book1 2 10" xfId="7838"/>
    <cellStyle name="T_Book1 2 11" xfId="7837"/>
    <cellStyle name="T_Book1 2 12" xfId="7836"/>
    <cellStyle name="T_Book1 2 13" xfId="7835"/>
    <cellStyle name="T_Book1 2 2" xfId="7834"/>
    <cellStyle name="T_Book1 2 2 10" xfId="7833"/>
    <cellStyle name="T_Book1 2 2 11" xfId="7832"/>
    <cellStyle name="T_Book1 2 2 12" xfId="7831"/>
    <cellStyle name="T_Book1 2 2 2" xfId="7830"/>
    <cellStyle name="T_Book1 2 2 2 2" xfId="7829"/>
    <cellStyle name="T_Book1 2 2 2 3" xfId="7828"/>
    <cellStyle name="T_Book1 2 2 2 4" xfId="7827"/>
    <cellStyle name="T_Book1 2 2 2 5" xfId="7826"/>
    <cellStyle name="T_Book1 2 2 3" xfId="7825"/>
    <cellStyle name="T_Book1 2 2 3 2" xfId="7824"/>
    <cellStyle name="T_Book1 2 2 3 3" xfId="7823"/>
    <cellStyle name="T_Book1 2 2 3 4" xfId="7822"/>
    <cellStyle name="T_Book1 2 2 3 5" xfId="7821"/>
    <cellStyle name="T_Book1 2 2 4" xfId="7820"/>
    <cellStyle name="T_Book1 2 2 4 2" xfId="7819"/>
    <cellStyle name="T_Book1 2 2 4 3" xfId="7818"/>
    <cellStyle name="T_Book1 2 2 4 4" xfId="7817"/>
    <cellStyle name="T_Book1 2 2 4 5" xfId="7816"/>
    <cellStyle name="T_Book1 2 2 5" xfId="7815"/>
    <cellStyle name="T_Book1 2 2 5 2" xfId="7814"/>
    <cellStyle name="T_Book1 2 2 5 3" xfId="7813"/>
    <cellStyle name="T_Book1 2 2 5 4" xfId="7812"/>
    <cellStyle name="T_Book1 2 2 5 5" xfId="7811"/>
    <cellStyle name="T_Book1 2 2 6" xfId="7810"/>
    <cellStyle name="T_Book1 2 2 6 2" xfId="7809"/>
    <cellStyle name="T_Book1 2 2 6 3" xfId="7808"/>
    <cellStyle name="T_Book1 2 2 6 4" xfId="7807"/>
    <cellStyle name="T_Book1 2 2 6 5" xfId="7806"/>
    <cellStyle name="T_Book1 2 2 7" xfId="7805"/>
    <cellStyle name="T_Book1 2 2 7 2" xfId="7804"/>
    <cellStyle name="T_Book1 2 2 7 3" xfId="7803"/>
    <cellStyle name="T_Book1 2 2 7 4" xfId="7802"/>
    <cellStyle name="T_Book1 2 2 7 5" xfId="7801"/>
    <cellStyle name="T_Book1 2 2 8" xfId="7800"/>
    <cellStyle name="T_Book1 2 2 8 2" xfId="7799"/>
    <cellStyle name="T_Book1 2 2 8 3" xfId="7798"/>
    <cellStyle name="T_Book1 2 2 8 4" xfId="7797"/>
    <cellStyle name="T_Book1 2 2 8 5" xfId="7796"/>
    <cellStyle name="T_Book1 2 2 9" xfId="7795"/>
    <cellStyle name="T_Book1 2 3" xfId="7794"/>
    <cellStyle name="T_Book1 2 3 2" xfId="7793"/>
    <cellStyle name="T_Book1 2 3 3" xfId="7792"/>
    <cellStyle name="T_Book1 2 3 4" xfId="7791"/>
    <cellStyle name="T_Book1 2 3 5" xfId="7790"/>
    <cellStyle name="T_Book1 2 4" xfId="7789"/>
    <cellStyle name="T_Book1 2 4 2" xfId="7788"/>
    <cellStyle name="T_Book1 2 4 3" xfId="7787"/>
    <cellStyle name="T_Book1 2 4 4" xfId="7786"/>
    <cellStyle name="T_Book1 2 4 5" xfId="7785"/>
    <cellStyle name="T_Book1 2 5" xfId="7784"/>
    <cellStyle name="T_Book1 2 5 2" xfId="7783"/>
    <cellStyle name="T_Book1 2 5 3" xfId="7782"/>
    <cellStyle name="T_Book1 2 5 4" xfId="7781"/>
    <cellStyle name="T_Book1 2 5 5" xfId="7780"/>
    <cellStyle name="T_Book1 2 6" xfId="7779"/>
    <cellStyle name="T_Book1 2 6 2" xfId="7778"/>
    <cellStyle name="T_Book1 2 6 3" xfId="7777"/>
    <cellStyle name="T_Book1 2 6 4" xfId="7776"/>
    <cellStyle name="T_Book1 2 6 5" xfId="7775"/>
    <cellStyle name="T_Book1 2 7" xfId="7774"/>
    <cellStyle name="T_Book1 2 7 2" xfId="7773"/>
    <cellStyle name="T_Book1 2 7 3" xfId="7772"/>
    <cellStyle name="T_Book1 2 7 4" xfId="7771"/>
    <cellStyle name="T_Book1 2 7 5" xfId="7770"/>
    <cellStyle name="T_Book1 2 8" xfId="7769"/>
    <cellStyle name="T_Book1 2 8 2" xfId="7768"/>
    <cellStyle name="T_Book1 2 8 3" xfId="7767"/>
    <cellStyle name="T_Book1 2 8 4" xfId="7766"/>
    <cellStyle name="T_Book1 2 8 5" xfId="7765"/>
    <cellStyle name="T_Book1 2 9" xfId="7764"/>
    <cellStyle name="T_Book1 2 9 2" xfId="7763"/>
    <cellStyle name="T_Book1 2 9 3" xfId="7762"/>
    <cellStyle name="T_Book1 2 9 4" xfId="7761"/>
    <cellStyle name="T_Book1 2 9 5" xfId="7760"/>
    <cellStyle name="T_Book1 3" xfId="7759"/>
    <cellStyle name="T_Book1 3 10" xfId="7758"/>
    <cellStyle name="T_Book1 3 11" xfId="7757"/>
    <cellStyle name="T_Book1 3 12" xfId="7756"/>
    <cellStyle name="T_Book1 3 2" xfId="7755"/>
    <cellStyle name="T_Book1 3 2 2" xfId="7754"/>
    <cellStyle name="T_Book1 3 2 3" xfId="7753"/>
    <cellStyle name="T_Book1 3 2 4" xfId="7752"/>
    <cellStyle name="T_Book1 3 2 5" xfId="7751"/>
    <cellStyle name="T_Book1 3 3" xfId="7750"/>
    <cellStyle name="T_Book1 3 3 2" xfId="7749"/>
    <cellStyle name="T_Book1 3 3 3" xfId="7748"/>
    <cellStyle name="T_Book1 3 3 4" xfId="7747"/>
    <cellStyle name="T_Book1 3 3 5" xfId="7746"/>
    <cellStyle name="T_Book1 3 4" xfId="7745"/>
    <cellStyle name="T_Book1 3 4 2" xfId="7744"/>
    <cellStyle name="T_Book1 3 4 3" xfId="7743"/>
    <cellStyle name="T_Book1 3 4 4" xfId="7742"/>
    <cellStyle name="T_Book1 3 4 5" xfId="7741"/>
    <cellStyle name="T_Book1 3 5" xfId="7740"/>
    <cellStyle name="T_Book1 3 5 2" xfId="7739"/>
    <cellStyle name="T_Book1 3 5 3" xfId="7738"/>
    <cellStyle name="T_Book1 3 5 4" xfId="7737"/>
    <cellStyle name="T_Book1 3 5 5" xfId="7736"/>
    <cellStyle name="T_Book1 3 6" xfId="7735"/>
    <cellStyle name="T_Book1 3 6 2" xfId="7734"/>
    <cellStyle name="T_Book1 3 6 3" xfId="7733"/>
    <cellStyle name="T_Book1 3 6 4" xfId="7732"/>
    <cellStyle name="T_Book1 3 6 5" xfId="7731"/>
    <cellStyle name="T_Book1 3 7" xfId="7730"/>
    <cellStyle name="T_Book1 3 7 2" xfId="7729"/>
    <cellStyle name="T_Book1 3 7 3" xfId="7728"/>
    <cellStyle name="T_Book1 3 7 4" xfId="7727"/>
    <cellStyle name="T_Book1 3 7 5" xfId="7726"/>
    <cellStyle name="T_Book1 3 8" xfId="7725"/>
    <cellStyle name="T_Book1 3 8 2" xfId="7724"/>
    <cellStyle name="T_Book1 3 8 3" xfId="7723"/>
    <cellStyle name="T_Book1 3 8 4" xfId="7722"/>
    <cellStyle name="T_Book1 3 8 5" xfId="7721"/>
    <cellStyle name="T_Book1 3 9" xfId="7720"/>
    <cellStyle name="T_Book1 4" xfId="7719"/>
    <cellStyle name="T_Book1 4 2" xfId="7718"/>
    <cellStyle name="T_Book1 4 3" xfId="7717"/>
    <cellStyle name="T_Book1 4 4" xfId="7716"/>
    <cellStyle name="T_Book1 5" xfId="7715"/>
    <cellStyle name="T_Book1 5 2" xfId="7714"/>
    <cellStyle name="T_Book1 5 3" xfId="7713"/>
    <cellStyle name="T_Book1 5 4" xfId="7712"/>
    <cellStyle name="T_Book1 6" xfId="7711"/>
    <cellStyle name="T_Book1 6 2" xfId="7710"/>
    <cellStyle name="T_Book1 6 3" xfId="7709"/>
    <cellStyle name="T_Book1 6 4" xfId="7708"/>
    <cellStyle name="T_Book1 7" xfId="7707"/>
    <cellStyle name="T_Book1 7 2" xfId="7706"/>
    <cellStyle name="T_Book1 7 3" xfId="7705"/>
    <cellStyle name="T_Book1 7 4" xfId="7704"/>
    <cellStyle name="T_Book1 8" xfId="7703"/>
    <cellStyle name="T_Book1 8 2" xfId="7702"/>
    <cellStyle name="T_Book1 8 3" xfId="7701"/>
    <cellStyle name="T_Book1 8 4" xfId="7700"/>
    <cellStyle name="T_Book1 9" xfId="7699"/>
    <cellStyle name="T_Book1 9 2" xfId="7698"/>
    <cellStyle name="T_Book1 9 3" xfId="7697"/>
    <cellStyle name="T_Book1 9 4" xfId="7696"/>
    <cellStyle name="T_Book1_1" xfId="7695"/>
    <cellStyle name="T_Book1_1 2" xfId="7694"/>
    <cellStyle name="T_Book1_1 3" xfId="7693"/>
    <cellStyle name="T_Book1_1 4" xfId="7692"/>
    <cellStyle name="T_Book1_1 5" xfId="7691"/>
    <cellStyle name="T_Book1_1. Eskalasi Tersier Angkola Juni 2007 November 2007 cek" xfId="7690"/>
    <cellStyle name="T_Book1_1. Eskalasi Tersier Angkola Juni 2007 November 2007 cek 2" xfId="7689"/>
    <cellStyle name="T_Book1_1. Eskalasi Tersier Angkola Juni 2007 November 2007 cek 3" xfId="7688"/>
    <cellStyle name="T_Book1_1. Eskalasi Tersier Angkola Juni 2007 November 2007 cek 4" xfId="7687"/>
    <cellStyle name="T_Book1_1. Eskalasi Tersier Angkola Juni 2007 November 2007 cek 5" xfId="7686"/>
    <cellStyle name="T_Book1_1_Evaluasi Negoisasi (Lampiran Berita Acara) - Rev 3" xfId="7685"/>
    <cellStyle name="T_Book1_1_Evaluasi Negoisasi (Lampiran Berita Acara) - Rev 3 2" xfId="7684"/>
    <cellStyle name="T_Book1_1_Evaluasi Negoisasi (Lampiran Berita Acara) - Rev 3 3" xfId="7683"/>
    <cellStyle name="T_Book1_1_Evaluasi Negoisasi (Lampiran Berita Acara) - Rev 3 4" xfId="7682"/>
    <cellStyle name="T_Book1_1_Evaluasi Negoisasi (Lampiran Berita Acara) - Rev 3 5" xfId="7681"/>
    <cellStyle name="T_Book1_1_Schedule  PCM" xfId="7680"/>
    <cellStyle name="T_Book1_1_Schedule  PCM 2" xfId="7679"/>
    <cellStyle name="T_Book1_1_Schedule  PCM 3" xfId="7678"/>
    <cellStyle name="T_Book1_1_Schedule  PCM 4" xfId="7677"/>
    <cellStyle name="T_Book1_1_Schedule  PCM 5" xfId="7676"/>
    <cellStyle name="T_Book1_1_Schedule  PCM_schedule rev -2 paket AMS 8" xfId="7675"/>
    <cellStyle name="T_Book1_1_Schedule  PCM_schedule rev -2 paket AMS 8 2" xfId="7674"/>
    <cellStyle name="T_Book1_1_Schedule  PCM_schedule rev -2 paket AMS 8 3" xfId="7673"/>
    <cellStyle name="T_Book1_1_Schedule  PCM_schedule rev -2 paket AMS 8 4" xfId="7672"/>
    <cellStyle name="T_Book1_1_Schedule  PCM_schedule rev -2 paket AMS 8 5" xfId="7671"/>
    <cellStyle name="T_Book1_1_Schedule Revisi 1" xfId="7670"/>
    <cellStyle name="T_Book1_1_Schedule Revisi 1 2" xfId="7669"/>
    <cellStyle name="T_Book1_1_Schedule Revisi 1 3" xfId="7668"/>
    <cellStyle name="T_Book1_1_Schedule Revisi 1 4" xfId="7667"/>
    <cellStyle name="T_Book1_1_Schedule Revisi 1 5" xfId="7666"/>
    <cellStyle name="T_Book1_1_Schedule Revisi 1_schedule rev -2 paket AMS 8" xfId="7665"/>
    <cellStyle name="T_Book1_1_Schedule Revisi 1_schedule rev -2 paket AMS 8 2" xfId="7664"/>
    <cellStyle name="T_Book1_1_Schedule Revisi 1_schedule rev -2 paket AMS 8 3" xfId="7663"/>
    <cellStyle name="T_Book1_1_Schedule Revisi 1_schedule rev -2 paket AMS 8 4" xfId="7662"/>
    <cellStyle name="T_Book1_1_Schedule Revisi 1_schedule rev -2 paket AMS 8 5" xfId="7661"/>
    <cellStyle name="T_Book1_1_summary amd 1 final" xfId="7660"/>
    <cellStyle name="T_Book1_1_summary amd 1 final 2" xfId="7659"/>
    <cellStyle name="T_Book1_1_summary amd 1 final 3" xfId="7658"/>
    <cellStyle name="T_Book1_1_summary amd 1 final 4" xfId="7657"/>
    <cellStyle name="T_Book1_1_summary amd 1 final 5" xfId="7656"/>
    <cellStyle name="T_Book1_1_summary amd 1 final_schedule rev -2 paket AMS 8" xfId="7655"/>
    <cellStyle name="T_Book1_1_summary amd 1 final_schedule rev -2 paket AMS 8 2" xfId="7654"/>
    <cellStyle name="T_Book1_1_summary amd 1 final_schedule rev -2 paket AMS 8 3" xfId="7653"/>
    <cellStyle name="T_Book1_1_summary amd 1 final_schedule rev -2 paket AMS 8 4" xfId="7652"/>
    <cellStyle name="T_Book1_1_summary amd 1 final_schedule rev -2 paket AMS 8 5" xfId="7651"/>
    <cellStyle name="T_Book1_2. Eskalasi Tersier Angkola December 2007 May 2008 cek" xfId="7650"/>
    <cellStyle name="T_Book1_2. Eskalasi Tersier Angkola December 2007 May 2008 cek 2" xfId="7649"/>
    <cellStyle name="T_Book1_2. Eskalasi Tersier Angkola December 2007 May 2008 cek 3" xfId="7648"/>
    <cellStyle name="T_Book1_2. Eskalasi Tersier Angkola December 2007 May 2008 cek 4" xfId="7647"/>
    <cellStyle name="T_Book1_2. Eskalasi Tersier Angkola December 2007 May 2008 cek 5" xfId="7646"/>
    <cellStyle name="T_Book1_25 JuLi 2008 WK (flash)" xfId="7645"/>
    <cellStyle name="T_Book1_25 JuLi 2008 WK (flash) 2" xfId="7644"/>
    <cellStyle name="T_Book1_25 JuLi 2008 WK (flash) 3" xfId="7643"/>
    <cellStyle name="T_Book1_25 JuLi 2008 WK (flash) 4" xfId="7642"/>
    <cellStyle name="T_Book1_25 JuLi 2008 WK (flash) 5" xfId="7641"/>
    <cellStyle name="T_Book1_25 JuLi 2008 WK (flash)_Evaluasi Negoisasi (Lampiran Berita Acara) - Rev 3" xfId="7640"/>
    <cellStyle name="T_Book1_25 JuLi 2008 WK (flash)_Evaluasi Negoisasi (Lampiran Berita Acara) - Rev 3 2" xfId="7639"/>
    <cellStyle name="T_Book1_25 JuLi 2008 WK (flash)_Evaluasi Negoisasi (Lampiran Berita Acara) - Rev 3 3" xfId="7638"/>
    <cellStyle name="T_Book1_25 JuLi 2008 WK (flash)_Evaluasi Negoisasi (Lampiran Berita Acara) - Rev 3 4" xfId="7637"/>
    <cellStyle name="T_Book1_25 JuLi 2008 WK (flash)_Evaluasi Negoisasi (Lampiran Berita Acara) - Rev 3 5" xfId="7636"/>
    <cellStyle name="T_Book1_25 JuLi 2008 WK (flash)_Linning saluran Sukatani format baru" xfId="7635"/>
    <cellStyle name="T_Book1_25 JuLi 2008 WK (flash)_Linning saluran Sukatani format baru 2" xfId="7634"/>
    <cellStyle name="T_Book1_25 JuLi 2008 WK (flash)_Linning saluran Sukatani format baru 3" xfId="7633"/>
    <cellStyle name="T_Book1_25 JuLi 2008 WK (flash)_Linning saluran Sukatani format baru 4" xfId="7632"/>
    <cellStyle name="T_Book1_25 JuLi 2008 WK (flash)_Linning saluran Sukatani format baru 5" xfId="7631"/>
    <cellStyle name="T_Book1_25 JuLi 2008 WK (flash)_Schedule  PCM" xfId="7630"/>
    <cellStyle name="T_Book1_25 JuLi 2008 WK (flash)_Schedule  PCM 2" xfId="7629"/>
    <cellStyle name="T_Book1_25 JuLi 2008 WK (flash)_Schedule  PCM 3" xfId="7628"/>
    <cellStyle name="T_Book1_25 JuLi 2008 WK (flash)_Schedule  PCM 4" xfId="7627"/>
    <cellStyle name="T_Book1_25 JuLi 2008 WK (flash)_Schedule  PCM 5" xfId="7626"/>
    <cellStyle name="T_Book1_25 JuLi 2008 WK (flash)_Schedule  PCM_schedule rev -2 paket AMS 8" xfId="7625"/>
    <cellStyle name="T_Book1_25 JuLi 2008 WK (flash)_Schedule  PCM_schedule rev -2 paket AMS 8 2" xfId="7624"/>
    <cellStyle name="T_Book1_25 JuLi 2008 WK (flash)_Schedule  PCM_schedule rev -2 paket AMS 8 3" xfId="7623"/>
    <cellStyle name="T_Book1_25 JuLi 2008 WK (flash)_Schedule  PCM_schedule rev -2 paket AMS 8 4" xfId="7622"/>
    <cellStyle name="T_Book1_25 JuLi 2008 WK (flash)_Schedule  PCM_schedule rev -2 paket AMS 8 5" xfId="7621"/>
    <cellStyle name="T_Book1_25 JuLi 2008 WK (flash)_Schedule Revisi 1" xfId="7620"/>
    <cellStyle name="T_Book1_25 JuLi 2008 WK (flash)_Schedule Revisi 1 2" xfId="7619"/>
    <cellStyle name="T_Book1_25 JuLi 2008 WK (flash)_Schedule Revisi 1 3" xfId="7618"/>
    <cellStyle name="T_Book1_25 JuLi 2008 WK (flash)_Schedule Revisi 1 4" xfId="7617"/>
    <cellStyle name="T_Book1_25 JuLi 2008 WK (flash)_Schedule Revisi 1 5" xfId="7616"/>
    <cellStyle name="T_Book1_25 JuLi 2008 WK (flash)_Schedule Revisi 1_schedule rev -2 paket AMS 8" xfId="7615"/>
    <cellStyle name="T_Book1_25 JuLi 2008 WK (flash)_Schedule Revisi 1_schedule rev -2 paket AMS 8 2" xfId="7614"/>
    <cellStyle name="T_Book1_25 JuLi 2008 WK (flash)_Schedule Revisi 1_schedule rev -2 paket AMS 8 3" xfId="7613"/>
    <cellStyle name="T_Book1_25 JuLi 2008 WK (flash)_Schedule Revisi 1_schedule rev -2 paket AMS 8 4" xfId="7612"/>
    <cellStyle name="T_Book1_25 JuLi 2008 WK (flash)_Schedule Revisi 1_schedule rev -2 paket AMS 8 5" xfId="7611"/>
    <cellStyle name="T_Book1_25 JuLi 2008 WK (flash)_summary amd 1 final" xfId="7610"/>
    <cellStyle name="T_Book1_25 JuLi 2008 WK (flash)_summary amd 1 final 2" xfId="7609"/>
    <cellStyle name="T_Book1_25 JuLi 2008 WK (flash)_summary amd 1 final 3" xfId="7608"/>
    <cellStyle name="T_Book1_25 JuLi 2008 WK (flash)_summary amd 1 final 4" xfId="7607"/>
    <cellStyle name="T_Book1_25 JuLi 2008 WK (flash)_summary amd 1 final 5" xfId="7606"/>
    <cellStyle name="T_Book1_25 JuLi 2008 WK (flash)_summary amd 1 final_schedule rev -2 paket AMS 8" xfId="7605"/>
    <cellStyle name="T_Book1_25 JuLi 2008 WK (flash)_summary amd 1 final_schedule rev -2 paket AMS 8 2" xfId="7604"/>
    <cellStyle name="T_Book1_25 JuLi 2008 WK (flash)_summary amd 1 final_schedule rev -2 paket AMS 8 3" xfId="7603"/>
    <cellStyle name="T_Book1_25 JuLi 2008 WK (flash)_summary amd 1 final_schedule rev -2 paket AMS 8 4" xfId="7602"/>
    <cellStyle name="T_Book1_25 JuLi 2008 WK (flash)_summary amd 1 final_schedule rev -2 paket AMS 8 5" xfId="7601"/>
    <cellStyle name="T_Book1_3. Eskalasi Tersier Angkola Juni 2008-Nov 2008 (form Panitia)-Draft 3" xfId="7600"/>
    <cellStyle name="T_Book1_3. Eskalasi Tersier Angkola Juni 2008-Nov 2008 (form Panitia)-Draft 3 2" xfId="7599"/>
    <cellStyle name="T_Book1_3. Eskalasi Tersier Angkola Juni 2008-Nov 2008 (form Panitia)-Draft 3 3" xfId="7598"/>
    <cellStyle name="T_Book1_3. Eskalasi Tersier Angkola Juni 2008-Nov 2008 (form Panitia)-Draft 3 4" xfId="7597"/>
    <cellStyle name="T_Book1_3. Eskalasi Tersier Angkola Juni 2008-Nov 2008 (form Panitia)-Draft 3 5" xfId="7596"/>
    <cellStyle name="T_Book1_Analisa Harga Satuan RAB" xfId="7595"/>
    <cellStyle name="T_Book1_Analisa Harga Satuan RAB 2" xfId="7594"/>
    <cellStyle name="T_Book1_Analisa Harga Satuan RAB 3" xfId="7593"/>
    <cellStyle name="T_Book1_Analisa Harga Satuan RAB 4" xfId="7592"/>
    <cellStyle name="T_Book1_Analisa Harga Satuan RAB 5" xfId="7591"/>
    <cellStyle name="T_Book1_bahan rapat 3 juni" xfId="7590"/>
    <cellStyle name="T_Book1_bahan rapat 3 juni 2" xfId="7589"/>
    <cellStyle name="T_Book1_bahan rapat 3 juni 3" xfId="7588"/>
    <cellStyle name="T_Book1_bahan rapat 3 juni 4" xfId="7587"/>
    <cellStyle name="T_Book1_bahan rapat 3 juni 5" xfId="7586"/>
    <cellStyle name="T_Book1_basic progres of the work Tersier" xfId="7585"/>
    <cellStyle name="T_Book1_basic progres of the work Tersier 2" xfId="7584"/>
    <cellStyle name="T_Book1_basic progres of the work Tersier 3" xfId="7583"/>
    <cellStyle name="T_Book1_basic progres of the work Tersier 4" xfId="7582"/>
    <cellStyle name="T_Book1_basic progres of the work Tersier 5" xfId="7581"/>
    <cellStyle name="T_Book1_basic progres of the work Tersier_Evaluasi Negoisasi (Lampiran Berita Acara) - Rev 3" xfId="7580"/>
    <cellStyle name="T_Book1_basic progres of the work Tersier_Evaluasi Negoisasi (Lampiran Berita Acara) - Rev 3 2" xfId="7579"/>
    <cellStyle name="T_Book1_basic progres of the work Tersier_Evaluasi Negoisasi (Lampiran Berita Acara) - Rev 3 3" xfId="7578"/>
    <cellStyle name="T_Book1_basic progres of the work Tersier_Evaluasi Negoisasi (Lampiran Berita Acara) - Rev 3 4" xfId="7577"/>
    <cellStyle name="T_Book1_basic progres of the work Tersier_Evaluasi Negoisasi (Lampiran Berita Acara) - Rev 3 5" xfId="7576"/>
    <cellStyle name="T_Book1_basic progres of the work Tersier_Schedule  PCM" xfId="7575"/>
    <cellStyle name="T_Book1_basic progres of the work Tersier_Schedule  PCM 2" xfId="7574"/>
    <cellStyle name="T_Book1_basic progres of the work Tersier_Schedule  PCM 3" xfId="7573"/>
    <cellStyle name="T_Book1_basic progres of the work Tersier_Schedule  PCM 4" xfId="7572"/>
    <cellStyle name="T_Book1_basic progres of the work Tersier_Schedule  PCM 5" xfId="7571"/>
    <cellStyle name="T_Book1_basic progres of the work Tersier_Schedule  PCM_schedule rev -2 paket AMS 8" xfId="7570"/>
    <cellStyle name="T_Book1_basic progres of the work Tersier_Schedule  PCM_schedule rev -2 paket AMS 8 2" xfId="7569"/>
    <cellStyle name="T_Book1_basic progres of the work Tersier_Schedule  PCM_schedule rev -2 paket AMS 8 3" xfId="7568"/>
    <cellStyle name="T_Book1_basic progres of the work Tersier_Schedule  PCM_schedule rev -2 paket AMS 8 4" xfId="7567"/>
    <cellStyle name="T_Book1_basic progres of the work Tersier_Schedule  PCM_schedule rev -2 paket AMS 8 5" xfId="7566"/>
    <cellStyle name="T_Book1_basic progres of the work Tersier_Schedule Revisi 1" xfId="7565"/>
    <cellStyle name="T_Book1_basic progres of the work Tersier_Schedule Revisi 1 2" xfId="7564"/>
    <cellStyle name="T_Book1_basic progres of the work Tersier_Schedule Revisi 1 3" xfId="7563"/>
    <cellStyle name="T_Book1_basic progres of the work Tersier_Schedule Revisi 1 4" xfId="7562"/>
    <cellStyle name="T_Book1_basic progres of the work Tersier_Schedule Revisi 1 5" xfId="7561"/>
    <cellStyle name="T_Book1_basic progres of the work Tersier_Schedule Revisi 1_schedule rev -2 paket AMS 8" xfId="7560"/>
    <cellStyle name="T_Book1_basic progres of the work Tersier_Schedule Revisi 1_schedule rev -2 paket AMS 8 2" xfId="7559"/>
    <cellStyle name="T_Book1_basic progres of the work Tersier_Schedule Revisi 1_schedule rev -2 paket AMS 8 3" xfId="7558"/>
    <cellStyle name="T_Book1_basic progres of the work Tersier_Schedule Revisi 1_schedule rev -2 paket AMS 8 4" xfId="7557"/>
    <cellStyle name="T_Book1_basic progres of the work Tersier_Schedule Revisi 1_schedule rev -2 paket AMS 8 5" xfId="7556"/>
    <cellStyle name="T_Book1_basic progres of the work Tersier_summary amd 1 final" xfId="7555"/>
    <cellStyle name="T_Book1_basic progres of the work Tersier_summary amd 1 final 2" xfId="7554"/>
    <cellStyle name="T_Book1_basic progres of the work Tersier_summary amd 1 final 3" xfId="7553"/>
    <cellStyle name="T_Book1_basic progres of the work Tersier_summary amd 1 final 4" xfId="7552"/>
    <cellStyle name="T_Book1_basic progres of the work Tersier_summary amd 1 final 5" xfId="7551"/>
    <cellStyle name="T_Book1_basic progres of the work Tersier_summary amd 1 final_schedule rev -2 paket AMS 8" xfId="7550"/>
    <cellStyle name="T_Book1_basic progres of the work Tersier_summary amd 1 final_schedule rev -2 paket AMS 8 2" xfId="7549"/>
    <cellStyle name="T_Book1_basic progres of the work Tersier_summary amd 1 final_schedule rev -2 paket AMS 8 3" xfId="7548"/>
    <cellStyle name="T_Book1_basic progres of the work Tersier_summary amd 1 final_schedule rev -2 paket AMS 8 4" xfId="7547"/>
    <cellStyle name="T_Book1_basic progres of the work Tersier_summary amd 1 final_schedule rev -2 paket AMS 8 5" xfId="7546"/>
    <cellStyle name="T_Book1_Book1" xfId="7545"/>
    <cellStyle name="T_Book1_Book1 2" xfId="7544"/>
    <cellStyle name="T_Book1_Book1 3" xfId="7543"/>
    <cellStyle name="T_Book1_Book1 4" xfId="7542"/>
    <cellStyle name="T_Book1_Book1 5" xfId="7541"/>
    <cellStyle name="T_Book1_Book1_Evaluasi Negoisasi (Lampiran Berita Acara) - Rev 3" xfId="7540"/>
    <cellStyle name="T_Book1_Book1_Evaluasi Negoisasi (Lampiran Berita Acara) - Rev 3 2" xfId="7539"/>
    <cellStyle name="T_Book1_Book1_Evaluasi Negoisasi (Lampiran Berita Acara) - Rev 3 3" xfId="7538"/>
    <cellStyle name="T_Book1_Book1_Evaluasi Negoisasi (Lampiran Berita Acara) - Rev 3 4" xfId="7537"/>
    <cellStyle name="T_Book1_Book1_Evaluasi Negoisasi (Lampiran Berita Acara) - Rev 3 5" xfId="7536"/>
    <cellStyle name="T_Book1_Book1_Schedule  PCM" xfId="7535"/>
    <cellStyle name="T_Book1_Book1_Schedule  PCM 2" xfId="7534"/>
    <cellStyle name="T_Book1_Book1_Schedule  PCM 3" xfId="7533"/>
    <cellStyle name="T_Book1_Book1_Schedule  PCM 4" xfId="7532"/>
    <cellStyle name="T_Book1_Book1_Schedule  PCM 5" xfId="7531"/>
    <cellStyle name="T_Book1_Book1_Schedule  PCM_schedule rev -2 paket AMS 8" xfId="7530"/>
    <cellStyle name="T_Book1_Book1_Schedule  PCM_schedule rev -2 paket AMS 8 2" xfId="7529"/>
    <cellStyle name="T_Book1_Book1_Schedule  PCM_schedule rev -2 paket AMS 8 3" xfId="7528"/>
    <cellStyle name="T_Book1_Book1_Schedule  PCM_schedule rev -2 paket AMS 8 4" xfId="7527"/>
    <cellStyle name="T_Book1_Book1_Schedule  PCM_schedule rev -2 paket AMS 8 5" xfId="7526"/>
    <cellStyle name="T_Book1_Book1_Schedule Revisi 1" xfId="7525"/>
    <cellStyle name="T_Book1_Book1_Schedule Revisi 1 2" xfId="7524"/>
    <cellStyle name="T_Book1_Book1_Schedule Revisi 1 3" xfId="7523"/>
    <cellStyle name="T_Book1_Book1_Schedule Revisi 1 4" xfId="7522"/>
    <cellStyle name="T_Book1_Book1_Schedule Revisi 1 5" xfId="7521"/>
    <cellStyle name="T_Book1_Book1_Schedule Revisi 1_schedule rev -2 paket AMS 8" xfId="7520"/>
    <cellStyle name="T_Book1_Book1_Schedule Revisi 1_schedule rev -2 paket AMS 8 2" xfId="7519"/>
    <cellStyle name="T_Book1_Book1_Schedule Revisi 1_schedule rev -2 paket AMS 8 3" xfId="7518"/>
    <cellStyle name="T_Book1_Book1_Schedule Revisi 1_schedule rev -2 paket AMS 8 4" xfId="7517"/>
    <cellStyle name="T_Book1_Book1_Schedule Revisi 1_schedule rev -2 paket AMS 8 5" xfId="7516"/>
    <cellStyle name="T_Book1_Book1_summary amd 1 final" xfId="7515"/>
    <cellStyle name="T_Book1_Book1_summary amd 1 final 2" xfId="7514"/>
    <cellStyle name="T_Book1_Book1_summary amd 1 final 3" xfId="7513"/>
    <cellStyle name="T_Book1_Book1_summary amd 1 final 4" xfId="7512"/>
    <cellStyle name="T_Book1_Book1_summary amd 1 final 5" xfId="7511"/>
    <cellStyle name="T_Book1_Book1_summary amd 1 final_schedule rev -2 paket AMS 8" xfId="7510"/>
    <cellStyle name="T_Book1_Book1_summary amd 1 final_schedule rev -2 paket AMS 8 2" xfId="7509"/>
    <cellStyle name="T_Book1_Book1_summary amd 1 final_schedule rev -2 paket AMS 8 3" xfId="7508"/>
    <cellStyle name="T_Book1_Book1_summary amd 1 final_schedule rev -2 paket AMS 8 4" xfId="7507"/>
    <cellStyle name="T_Book1_Book1_summary amd 1 final_schedule rev -2 paket AMS 8 5" xfId="7506"/>
    <cellStyle name="T_Book1_BOQ MC 0 Earth Work" xfId="7505"/>
    <cellStyle name="T_Book1_BOQ MC 0 Earth Work 2" xfId="7504"/>
    <cellStyle name="T_Book1_BOQ MC 0 Earth Work 3" xfId="7503"/>
    <cellStyle name="T_Book1_BOQ MC 0 Earth Work 4" xfId="7502"/>
    <cellStyle name="T_Book1_BOQ MC 0 Earth Work 5" xfId="7501"/>
    <cellStyle name="T_Book1_BOQ MC 0 Earth Work_bahan rapat 3 juni" xfId="7500"/>
    <cellStyle name="T_Book1_BOQ MC 0 Earth Work_bahan rapat 3 juni 2" xfId="7499"/>
    <cellStyle name="T_Book1_BOQ MC 0 Earth Work_bahan rapat 3 juni 3" xfId="7498"/>
    <cellStyle name="T_Book1_BOQ MC 0 Earth Work_bahan rapat 3 juni 4" xfId="7497"/>
    <cellStyle name="T_Book1_BOQ MC 0 Earth Work_bahan rapat 3 juni 5" xfId="7496"/>
    <cellStyle name="T_Book1_BOQ MC 0 Earth Work_break down amd10 final" xfId="7495"/>
    <cellStyle name="T_Book1_BOQ MC 0 Earth Work_break down amd10 final 2" xfId="7494"/>
    <cellStyle name="T_Book1_BOQ MC 0 Earth Work_break down amd10 final 3" xfId="7493"/>
    <cellStyle name="T_Book1_BOQ MC 0 Earth Work_break down amd10 final 4" xfId="7492"/>
    <cellStyle name="T_Book1_BOQ MC 0 Earth Work_break down amd10 final 5" xfId="7491"/>
    <cellStyle name="T_Book1_BOQ MC 0 Earth Work_break down amd10 final_Evaluasi Negoisasi (Lampiran Berita Acara) - Rev 3" xfId="7490"/>
    <cellStyle name="T_Book1_BOQ MC 0 Earth Work_break down amd10 final_Evaluasi Negoisasi (Lampiran Berita Acara) - Rev 3 2" xfId="7489"/>
    <cellStyle name="T_Book1_BOQ MC 0 Earth Work_break down amd10 final_Evaluasi Negoisasi (Lampiran Berita Acara) - Rev 3 3" xfId="7488"/>
    <cellStyle name="T_Book1_BOQ MC 0 Earth Work_break down amd10 final_Evaluasi Negoisasi (Lampiran Berita Acara) - Rev 3 4" xfId="7487"/>
    <cellStyle name="T_Book1_BOQ MC 0 Earth Work_break down amd10 final_Evaluasi Negoisasi (Lampiran Berita Acara) - Rev 3 5" xfId="7486"/>
    <cellStyle name="T_Book1_BOQ MC 0 Earth Work_break down amd10 final_Schedule  PCM" xfId="7485"/>
    <cellStyle name="T_Book1_BOQ MC 0 Earth Work_break down amd10 final_Schedule  PCM 2" xfId="7484"/>
    <cellStyle name="T_Book1_BOQ MC 0 Earth Work_break down amd10 final_Schedule  PCM 3" xfId="7483"/>
    <cellStyle name="T_Book1_BOQ MC 0 Earth Work_break down amd10 final_Schedule  PCM 4" xfId="7482"/>
    <cellStyle name="T_Book1_BOQ MC 0 Earth Work_break down amd10 final_Schedule  PCM 5" xfId="7481"/>
    <cellStyle name="T_Book1_BOQ MC 0 Earth Work_break down amd10 final_Schedule  PCM_schedule rev -2 paket AMS 8" xfId="7480"/>
    <cellStyle name="T_Book1_BOQ MC 0 Earth Work_break down amd10 final_Schedule  PCM_schedule rev -2 paket AMS 8 2" xfId="7479"/>
    <cellStyle name="T_Book1_BOQ MC 0 Earth Work_break down amd10 final_Schedule  PCM_schedule rev -2 paket AMS 8 3" xfId="7478"/>
    <cellStyle name="T_Book1_BOQ MC 0 Earth Work_break down amd10 final_Schedule  PCM_schedule rev -2 paket AMS 8 4" xfId="7477"/>
    <cellStyle name="T_Book1_BOQ MC 0 Earth Work_break down amd10 final_Schedule  PCM_schedule rev -2 paket AMS 8 5" xfId="7476"/>
    <cellStyle name="T_Book1_BOQ MC 0 Earth Work_break down amd10 final_Schedule Revisi 1" xfId="7475"/>
    <cellStyle name="T_Book1_BOQ MC 0 Earth Work_break down amd10 final_Schedule Revisi 1 2" xfId="7474"/>
    <cellStyle name="T_Book1_BOQ MC 0 Earth Work_break down amd10 final_Schedule Revisi 1 3" xfId="7473"/>
    <cellStyle name="T_Book1_BOQ MC 0 Earth Work_break down amd10 final_Schedule Revisi 1 4" xfId="7472"/>
    <cellStyle name="T_Book1_BOQ MC 0 Earth Work_break down amd10 final_Schedule Revisi 1 5" xfId="7471"/>
    <cellStyle name="T_Book1_BOQ MC 0 Earth Work_break down amd10 final_Schedule Revisi 1_schedule rev -2 paket AMS 8" xfId="7470"/>
    <cellStyle name="T_Book1_BOQ MC 0 Earth Work_break down amd10 final_Schedule Revisi 1_schedule rev -2 paket AMS 8 2" xfId="7469"/>
    <cellStyle name="T_Book1_BOQ MC 0 Earth Work_break down amd10 final_Schedule Revisi 1_schedule rev -2 paket AMS 8 3" xfId="7468"/>
    <cellStyle name="T_Book1_BOQ MC 0 Earth Work_break down amd10 final_Schedule Revisi 1_schedule rev -2 paket AMS 8 4" xfId="7467"/>
    <cellStyle name="T_Book1_BOQ MC 0 Earth Work_break down amd10 final_Schedule Revisi 1_schedule rev -2 paket AMS 8 5" xfId="7466"/>
    <cellStyle name="T_Book1_BOQ MC 0 Earth Work_break down amd10 final_summary amd 1 final" xfId="7465"/>
    <cellStyle name="T_Book1_BOQ MC 0 Earth Work_break down amd10 final_summary amd 1 final 2" xfId="7464"/>
    <cellStyle name="T_Book1_BOQ MC 0 Earth Work_break down amd10 final_summary amd 1 final 3" xfId="7463"/>
    <cellStyle name="T_Book1_BOQ MC 0 Earth Work_break down amd10 final_summary amd 1 final 4" xfId="7462"/>
    <cellStyle name="T_Book1_BOQ MC 0 Earth Work_break down amd10 final_summary amd 1 final 5" xfId="7461"/>
    <cellStyle name="T_Book1_BOQ MC 0 Earth Work_break down amd10 final_summary amd 1 final_schedule rev -2 paket AMS 8" xfId="7460"/>
    <cellStyle name="T_Book1_BOQ MC 0 Earth Work_break down amd10 final_summary amd 1 final_schedule rev -2 paket AMS 8 2" xfId="7459"/>
    <cellStyle name="T_Book1_BOQ MC 0 Earth Work_break down amd10 final_summary amd 1 final_schedule rev -2 paket AMS 8 3" xfId="7458"/>
    <cellStyle name="T_Book1_BOQ MC 0 Earth Work_break down amd10 final_summary amd 1 final_schedule rev -2 paket AMS 8 4" xfId="7457"/>
    <cellStyle name="T_Book1_BOQ MC 0 Earth Work_break down amd10 final_summary amd 1 final_schedule rev -2 paket AMS 8 5" xfId="7456"/>
    <cellStyle name="T_Book1_BOQ MC 0 Earth Work_summary back up amd6" xfId="7455"/>
    <cellStyle name="T_Book1_BOQ MC 0 Earth Work_summary back up amd6 2" xfId="7454"/>
    <cellStyle name="T_Book1_BOQ MC 0 Earth Work_summary back up amd6 3" xfId="7453"/>
    <cellStyle name="T_Book1_BOQ MC 0 Earth Work_summary back up amd6 4" xfId="7452"/>
    <cellStyle name="T_Book1_BOQ MC 0 Earth Work_summary back up amd6 5" xfId="7451"/>
    <cellStyle name="T_Book1_BOQ MC 0 Earth Work_summary back up amd6_Evaluasi Negoisasi (Lampiran Berita Acara) - Rev 3" xfId="7450"/>
    <cellStyle name="T_Book1_BOQ MC 0 Earth Work_summary back up amd6_Evaluasi Negoisasi (Lampiran Berita Acara) - Rev 3 2" xfId="7449"/>
    <cellStyle name="T_Book1_BOQ MC 0 Earth Work_summary back up amd6_Evaluasi Negoisasi (Lampiran Berita Acara) - Rev 3 3" xfId="7448"/>
    <cellStyle name="T_Book1_BOQ MC 0 Earth Work_summary back up amd6_Evaluasi Negoisasi (Lampiran Berita Acara) - Rev 3 4" xfId="7447"/>
    <cellStyle name="T_Book1_BOQ MC 0 Earth Work_summary back up amd6_Evaluasi Negoisasi (Lampiran Berita Acara) - Rev 3 5" xfId="7446"/>
    <cellStyle name="T_Book1_BOQ MC 0 Earth Work_summary back up amd6_Schedule  PCM" xfId="7445"/>
    <cellStyle name="T_Book1_BOQ MC 0 Earth Work_summary back up amd6_Schedule  PCM 2" xfId="7444"/>
    <cellStyle name="T_Book1_BOQ MC 0 Earth Work_summary back up amd6_Schedule  PCM 3" xfId="7443"/>
    <cellStyle name="T_Book1_BOQ MC 0 Earth Work_summary back up amd6_Schedule  PCM 4" xfId="7442"/>
    <cellStyle name="T_Book1_BOQ MC 0 Earth Work_summary back up amd6_Schedule  PCM 5" xfId="7441"/>
    <cellStyle name="T_Book1_BOQ MC 0 Earth Work_summary back up amd6_Schedule  PCM_schedule rev -2 paket AMS 8" xfId="7440"/>
    <cellStyle name="T_Book1_BOQ MC 0 Earth Work_summary back up amd6_Schedule  PCM_schedule rev -2 paket AMS 8 2" xfId="7439"/>
    <cellStyle name="T_Book1_BOQ MC 0 Earth Work_summary back up amd6_Schedule  PCM_schedule rev -2 paket AMS 8 3" xfId="7438"/>
    <cellStyle name="T_Book1_BOQ MC 0 Earth Work_summary back up amd6_Schedule  PCM_schedule rev -2 paket AMS 8 4" xfId="7437"/>
    <cellStyle name="T_Book1_BOQ MC 0 Earth Work_summary back up amd6_Schedule  PCM_schedule rev -2 paket AMS 8 5" xfId="7436"/>
    <cellStyle name="T_Book1_BOQ MC 0 Earth Work_summary back up amd6_Schedule Revisi 1" xfId="7435"/>
    <cellStyle name="T_Book1_BOQ MC 0 Earth Work_summary back up amd6_Schedule Revisi 1 2" xfId="7434"/>
    <cellStyle name="T_Book1_BOQ MC 0 Earth Work_summary back up amd6_Schedule Revisi 1 3" xfId="7433"/>
    <cellStyle name="T_Book1_BOQ MC 0 Earth Work_summary back up amd6_Schedule Revisi 1 4" xfId="7432"/>
    <cellStyle name="T_Book1_BOQ MC 0 Earth Work_summary back up amd6_Schedule Revisi 1 5" xfId="7431"/>
    <cellStyle name="T_Book1_BOQ MC 0 Earth Work_summary back up amd6_Schedule Revisi 1_schedule rev -2 paket AMS 8" xfId="7430"/>
    <cellStyle name="T_Book1_BOQ MC 0 Earth Work_summary back up amd6_Schedule Revisi 1_schedule rev -2 paket AMS 8 2" xfId="7429"/>
    <cellStyle name="T_Book1_BOQ MC 0 Earth Work_summary back up amd6_Schedule Revisi 1_schedule rev -2 paket AMS 8 3" xfId="7428"/>
    <cellStyle name="T_Book1_BOQ MC 0 Earth Work_summary back up amd6_Schedule Revisi 1_schedule rev -2 paket AMS 8 4" xfId="7427"/>
    <cellStyle name="T_Book1_BOQ MC 0 Earth Work_summary back up amd6_Schedule Revisi 1_schedule rev -2 paket AMS 8 5" xfId="7426"/>
    <cellStyle name="T_Book1_BOQ MC 0 Earth Work_summary back up amd6_summary amd 1 final" xfId="7425"/>
    <cellStyle name="T_Book1_BOQ MC 0 Earth Work_summary back up amd6_summary amd 1 final 2" xfId="7424"/>
    <cellStyle name="T_Book1_BOQ MC 0 Earth Work_summary back up amd6_summary amd 1 final 3" xfId="7423"/>
    <cellStyle name="T_Book1_BOQ MC 0 Earth Work_summary back up amd6_summary amd 1 final 4" xfId="7422"/>
    <cellStyle name="T_Book1_BOQ MC 0 Earth Work_summary back up amd6_summary amd 1 final 5" xfId="7421"/>
    <cellStyle name="T_Book1_BOQ MC 0 Earth Work_summary back up amd6_summary amd 1 final_schedule rev -2 paket AMS 8" xfId="7420"/>
    <cellStyle name="T_Book1_BOQ MC 0 Earth Work_summary back up amd6_summary amd 1 final_schedule rev -2 paket AMS 8 2" xfId="7419"/>
    <cellStyle name="T_Book1_BOQ MC 0 Earth Work_summary back up amd6_summary amd 1 final_schedule rev -2 paket AMS 8 3" xfId="7418"/>
    <cellStyle name="T_Book1_BOQ MC 0 Earth Work_summary back up amd6_summary amd 1 final_schedule rev -2 paket AMS 8 4" xfId="7417"/>
    <cellStyle name="T_Book1_BOQ MC 0 Earth Work_summary back up amd6_summary amd 1 final_schedule rev -2 paket AMS 8 5" xfId="7416"/>
    <cellStyle name="T_Book1_BOQ MC 0 Earth Work_Summary BOQ amandement 4" xfId="7415"/>
    <cellStyle name="T_Book1_BOQ MC 0 Earth Work_Summary BOQ amandement 4 2" xfId="7414"/>
    <cellStyle name="T_Book1_BOQ MC 0 Earth Work_Summary BOQ amandement 4 3" xfId="7413"/>
    <cellStyle name="T_Book1_BOQ MC 0 Earth Work_Summary BOQ amandement 4 4" xfId="7412"/>
    <cellStyle name="T_Book1_BOQ MC 0 Earth Work_Summary BOQ amandement 4 5" xfId="7411"/>
    <cellStyle name="T_Book1_BOQ MC 0 Earth Work_Summary BOQ amandement 4 overall" xfId="7410"/>
    <cellStyle name="T_Book1_BOQ MC 0 Earth Work_Summary BOQ amandement 4 overall 2" xfId="7409"/>
    <cellStyle name="T_Book1_BOQ MC 0 Earth Work_Summary BOQ amandement 4 overall 3" xfId="7408"/>
    <cellStyle name="T_Book1_BOQ MC 0 Earth Work_Summary BOQ amandement 4 overall 4" xfId="7407"/>
    <cellStyle name="T_Book1_BOQ MC 0 Earth Work_Summary BOQ amandement 4 overall 5" xfId="7406"/>
    <cellStyle name="T_Book1_BOQ MC 0 Earth Work_Summary BOQ amandement 4 overall_Evaluasi Negoisasi (Lampiran Berita Acara) - Rev 3" xfId="7405"/>
    <cellStyle name="T_Book1_BOQ MC 0 Earth Work_Summary BOQ amandement 4 overall_Evaluasi Negoisasi (Lampiran Berita Acara) - Rev 3 2" xfId="7404"/>
    <cellStyle name="T_Book1_BOQ MC 0 Earth Work_Summary BOQ amandement 4 overall_Evaluasi Negoisasi (Lampiran Berita Acara) - Rev 3 3" xfId="7403"/>
    <cellStyle name="T_Book1_BOQ MC 0 Earth Work_Summary BOQ amandement 4 overall_Evaluasi Negoisasi (Lampiran Berita Acara) - Rev 3 4" xfId="7402"/>
    <cellStyle name="T_Book1_BOQ MC 0 Earth Work_Summary BOQ amandement 4 overall_Evaluasi Negoisasi (Lampiran Berita Acara) - Rev 3 5" xfId="7401"/>
    <cellStyle name="T_Book1_BOQ MC 0 Earth Work_Summary BOQ amandement 4 overall_Schedule  PCM" xfId="7400"/>
    <cellStyle name="T_Book1_BOQ MC 0 Earth Work_Summary BOQ amandement 4 overall_Schedule  PCM 2" xfId="7399"/>
    <cellStyle name="T_Book1_BOQ MC 0 Earth Work_Summary BOQ amandement 4 overall_Schedule  PCM 3" xfId="7398"/>
    <cellStyle name="T_Book1_BOQ MC 0 Earth Work_Summary BOQ amandement 4 overall_Schedule  PCM 4" xfId="7397"/>
    <cellStyle name="T_Book1_BOQ MC 0 Earth Work_Summary BOQ amandement 4 overall_Schedule  PCM 5" xfId="7396"/>
    <cellStyle name="T_Book1_BOQ MC 0 Earth Work_Summary BOQ amandement 4 overall_Schedule  PCM_schedule rev -2 paket AMS 8" xfId="7395"/>
    <cellStyle name="T_Book1_BOQ MC 0 Earth Work_Summary BOQ amandement 4 overall_Schedule  PCM_schedule rev -2 paket AMS 8 2" xfId="7394"/>
    <cellStyle name="T_Book1_BOQ MC 0 Earth Work_Summary BOQ amandement 4 overall_Schedule  PCM_schedule rev -2 paket AMS 8 3" xfId="7393"/>
    <cellStyle name="T_Book1_BOQ MC 0 Earth Work_Summary BOQ amandement 4 overall_Schedule  PCM_schedule rev -2 paket AMS 8 4" xfId="7392"/>
    <cellStyle name="T_Book1_BOQ MC 0 Earth Work_Summary BOQ amandement 4 overall_Schedule  PCM_schedule rev -2 paket AMS 8 5" xfId="7391"/>
    <cellStyle name="T_Book1_BOQ MC 0 Earth Work_Summary BOQ amandement 4 overall_Schedule Revisi 1" xfId="7390"/>
    <cellStyle name="T_Book1_BOQ MC 0 Earth Work_Summary BOQ amandement 4 overall_Schedule Revisi 1 2" xfId="7389"/>
    <cellStyle name="T_Book1_BOQ MC 0 Earth Work_Summary BOQ amandement 4 overall_Schedule Revisi 1 3" xfId="7388"/>
    <cellStyle name="T_Book1_BOQ MC 0 Earth Work_Summary BOQ amandement 4 overall_Schedule Revisi 1 4" xfId="7387"/>
    <cellStyle name="T_Book1_BOQ MC 0 Earth Work_Summary BOQ amandement 4 overall_Schedule Revisi 1 5" xfId="7386"/>
    <cellStyle name="T_Book1_BOQ MC 0 Earth Work_Summary BOQ amandement 4 overall_Schedule Revisi 1_schedule rev -2 paket AMS 8" xfId="7385"/>
    <cellStyle name="T_Book1_BOQ MC 0 Earth Work_Summary BOQ amandement 4 overall_Schedule Revisi 1_schedule rev -2 paket AMS 8 2" xfId="7384"/>
    <cellStyle name="T_Book1_BOQ MC 0 Earth Work_Summary BOQ amandement 4 overall_Schedule Revisi 1_schedule rev -2 paket AMS 8 3" xfId="7383"/>
    <cellStyle name="T_Book1_BOQ MC 0 Earth Work_Summary BOQ amandement 4 overall_Schedule Revisi 1_schedule rev -2 paket AMS 8 4" xfId="7382"/>
    <cellStyle name="T_Book1_BOQ MC 0 Earth Work_Summary BOQ amandement 4 overall_Schedule Revisi 1_schedule rev -2 paket AMS 8 5" xfId="7381"/>
    <cellStyle name="T_Book1_BOQ MC 0 Earth Work_Summary BOQ amandement 4 overall_summary amd 1 final" xfId="7380"/>
    <cellStyle name="T_Book1_BOQ MC 0 Earth Work_Summary BOQ amandement 4 overall_summary amd 1 final 2" xfId="7379"/>
    <cellStyle name="T_Book1_BOQ MC 0 Earth Work_Summary BOQ amandement 4 overall_summary amd 1 final 3" xfId="7378"/>
    <cellStyle name="T_Book1_BOQ MC 0 Earth Work_Summary BOQ amandement 4 overall_summary amd 1 final 4" xfId="7377"/>
    <cellStyle name="T_Book1_BOQ MC 0 Earth Work_Summary BOQ amandement 4 overall_summary amd 1 final 5" xfId="7376"/>
    <cellStyle name="T_Book1_BOQ MC 0 Earth Work_Summary BOQ amandement 4 overall_summary amd 1 final_schedule rev -2 paket AMS 8" xfId="7375"/>
    <cellStyle name="T_Book1_BOQ MC 0 Earth Work_Summary BOQ amandement 4 overall_summary amd 1 final_schedule rev -2 paket AMS 8 2" xfId="7374"/>
    <cellStyle name="T_Book1_BOQ MC 0 Earth Work_Summary BOQ amandement 4 overall_summary amd 1 final_schedule rev -2 paket AMS 8 3" xfId="7373"/>
    <cellStyle name="T_Book1_BOQ MC 0 Earth Work_Summary BOQ amandement 4 overall_summary amd 1 final_schedule rev -2 paket AMS 8 4" xfId="7372"/>
    <cellStyle name="T_Book1_BOQ MC 0 Earth Work_Summary BOQ amandement 4 overall_summary amd 1 final_schedule rev -2 paket AMS 8 5" xfId="7371"/>
    <cellStyle name="T_Book1_BOQ MC 0 Earth Work_Summary BOQ amandement 4_Evaluasi Negoisasi (Lampiran Berita Acara) - Rev 3" xfId="7370"/>
    <cellStyle name="T_Book1_BOQ MC 0 Earth Work_Summary BOQ amandement 4_Evaluasi Negoisasi (Lampiran Berita Acara) - Rev 3 2" xfId="7369"/>
    <cellStyle name="T_Book1_BOQ MC 0 Earth Work_Summary BOQ amandement 4_Evaluasi Negoisasi (Lampiran Berita Acara) - Rev 3 3" xfId="7368"/>
    <cellStyle name="T_Book1_BOQ MC 0 Earth Work_Summary BOQ amandement 4_Evaluasi Negoisasi (Lampiran Berita Acara) - Rev 3 4" xfId="7367"/>
    <cellStyle name="T_Book1_BOQ MC 0 Earth Work_Summary BOQ amandement 4_Evaluasi Negoisasi (Lampiran Berita Acara) - Rev 3 5" xfId="7366"/>
    <cellStyle name="T_Book1_BOQ MC 0 Earth Work_Summary BOQ amandement 4_Schedule  PCM" xfId="7365"/>
    <cellStyle name="T_Book1_BOQ MC 0 Earth Work_Summary BOQ amandement 4_Schedule  PCM 2" xfId="7364"/>
    <cellStyle name="T_Book1_BOQ MC 0 Earth Work_Summary BOQ amandement 4_Schedule  PCM 3" xfId="7363"/>
    <cellStyle name="T_Book1_BOQ MC 0 Earth Work_Summary BOQ amandement 4_Schedule  PCM 4" xfId="7362"/>
    <cellStyle name="T_Book1_BOQ MC 0 Earth Work_Summary BOQ amandement 4_Schedule  PCM 5" xfId="7361"/>
    <cellStyle name="T_Book1_BOQ MC 0 Earth Work_Summary BOQ amandement 4_Schedule  PCM_schedule rev -2 paket AMS 8" xfId="7360"/>
    <cellStyle name="T_Book1_BOQ MC 0 Earth Work_Summary BOQ amandement 4_Schedule  PCM_schedule rev -2 paket AMS 8 2" xfId="7359"/>
    <cellStyle name="T_Book1_BOQ MC 0 Earth Work_Summary BOQ amandement 4_Schedule  PCM_schedule rev -2 paket AMS 8 3" xfId="7358"/>
    <cellStyle name="T_Book1_BOQ MC 0 Earth Work_Summary BOQ amandement 4_Schedule  PCM_schedule rev -2 paket AMS 8 4" xfId="7357"/>
    <cellStyle name="T_Book1_BOQ MC 0 Earth Work_Summary BOQ amandement 4_Schedule  PCM_schedule rev -2 paket AMS 8 5" xfId="7356"/>
    <cellStyle name="T_Book1_BOQ MC 0 Earth Work_Summary BOQ amandement 4_Schedule Revisi 1" xfId="7355"/>
    <cellStyle name="T_Book1_BOQ MC 0 Earth Work_Summary BOQ amandement 4_Schedule Revisi 1 2" xfId="7354"/>
    <cellStyle name="T_Book1_BOQ MC 0 Earth Work_Summary BOQ amandement 4_Schedule Revisi 1 3" xfId="7353"/>
    <cellStyle name="T_Book1_BOQ MC 0 Earth Work_Summary BOQ amandement 4_Schedule Revisi 1 4" xfId="7352"/>
    <cellStyle name="T_Book1_BOQ MC 0 Earth Work_Summary BOQ amandement 4_Schedule Revisi 1 5" xfId="7351"/>
    <cellStyle name="T_Book1_BOQ MC 0 Earth Work_Summary BOQ amandement 4_Schedule Revisi 1_schedule rev -2 paket AMS 8" xfId="7350"/>
    <cellStyle name="T_Book1_BOQ MC 0 Earth Work_Summary BOQ amandement 4_Schedule Revisi 1_schedule rev -2 paket AMS 8 2" xfId="7349"/>
    <cellStyle name="T_Book1_BOQ MC 0 Earth Work_Summary BOQ amandement 4_Schedule Revisi 1_schedule rev -2 paket AMS 8 3" xfId="7348"/>
    <cellStyle name="T_Book1_BOQ MC 0 Earth Work_Summary BOQ amandement 4_Schedule Revisi 1_schedule rev -2 paket AMS 8 4" xfId="7347"/>
    <cellStyle name="T_Book1_BOQ MC 0 Earth Work_Summary BOQ amandement 4_Schedule Revisi 1_schedule rev -2 paket AMS 8 5" xfId="7346"/>
    <cellStyle name="T_Book1_BOQ MC 0 Earth Work_Summary BOQ amandement 4_summary amd 1 final" xfId="7345"/>
    <cellStyle name="T_Book1_BOQ MC 0 Earth Work_Summary BOQ amandement 4_summary amd 1 final 2" xfId="7344"/>
    <cellStyle name="T_Book1_BOQ MC 0 Earth Work_Summary BOQ amandement 4_summary amd 1 final 3" xfId="7343"/>
    <cellStyle name="T_Book1_BOQ MC 0 Earth Work_Summary BOQ amandement 4_summary amd 1 final 4" xfId="7342"/>
    <cellStyle name="T_Book1_BOQ MC 0 Earth Work_Summary BOQ amandement 4_summary amd 1 final 5" xfId="7341"/>
    <cellStyle name="T_Book1_BOQ MC 0 Earth Work_Summary BOQ amandement 4_summary amd 1 final_schedule rev -2 paket AMS 8" xfId="7340"/>
    <cellStyle name="T_Book1_BOQ MC 0 Earth Work_Summary BOQ amandement 4_summary amd 1 final_schedule rev -2 paket AMS 8 2" xfId="7339"/>
    <cellStyle name="T_Book1_BOQ MC 0 Earth Work_Summary BOQ amandement 4_summary amd 1 final_schedule rev -2 paket AMS 8 3" xfId="7338"/>
    <cellStyle name="T_Book1_BOQ MC 0 Earth Work_Summary BOQ amandement 4_summary amd 1 final_schedule rev -2 paket AMS 8 4" xfId="7337"/>
    <cellStyle name="T_Book1_BOQ MC 0 Earth Work_Summary BOQ amandement 4_summary amd 1 final_schedule rev -2 paket AMS 8 5" xfId="7336"/>
    <cellStyle name="T_Book1_BOQ MC 0 Earth Work_summary MC 0 amd 4 revisi" xfId="7335"/>
    <cellStyle name="T_Book1_BOQ MC 0 Earth Work_summary MC 0 amd 4 revisi 2" xfId="7334"/>
    <cellStyle name="T_Book1_BOQ MC 0 Earth Work_summary MC 0 amd 4 revisi 3" xfId="7333"/>
    <cellStyle name="T_Book1_BOQ MC 0 Earth Work_summary MC 0 amd 4 revisi 4" xfId="7332"/>
    <cellStyle name="T_Book1_BOQ MC 0 Earth Work_summary MC 0 amd 4 revisi 5" xfId="7331"/>
    <cellStyle name="T_Book1_BOQ MC 0 Earth Work_summary MC 0 amd 4 revisi_Evaluasi Negoisasi (Lampiran Berita Acara) - Rev 3" xfId="7330"/>
    <cellStyle name="T_Book1_BOQ MC 0 Earth Work_summary MC 0 amd 4 revisi_Evaluasi Negoisasi (Lampiran Berita Acara) - Rev 3 2" xfId="7329"/>
    <cellStyle name="T_Book1_BOQ MC 0 Earth Work_summary MC 0 amd 4 revisi_Evaluasi Negoisasi (Lampiran Berita Acara) - Rev 3 3" xfId="7328"/>
    <cellStyle name="T_Book1_BOQ MC 0 Earth Work_summary MC 0 amd 4 revisi_Evaluasi Negoisasi (Lampiran Berita Acara) - Rev 3 4" xfId="7327"/>
    <cellStyle name="T_Book1_BOQ MC 0 Earth Work_summary MC 0 amd 4 revisi_Evaluasi Negoisasi (Lampiran Berita Acara) - Rev 3 5" xfId="7326"/>
    <cellStyle name="T_Book1_BOQ MC 0 Earth Work_summary MC 0 amd 4 revisi_Schedule  PCM" xfId="7325"/>
    <cellStyle name="T_Book1_BOQ MC 0 Earth Work_summary MC 0 amd 4 revisi_Schedule  PCM 2" xfId="7324"/>
    <cellStyle name="T_Book1_BOQ MC 0 Earth Work_summary MC 0 amd 4 revisi_Schedule  PCM 3" xfId="7323"/>
    <cellStyle name="T_Book1_BOQ MC 0 Earth Work_summary MC 0 amd 4 revisi_Schedule  PCM 4" xfId="7322"/>
    <cellStyle name="T_Book1_BOQ MC 0 Earth Work_summary MC 0 amd 4 revisi_Schedule  PCM 5" xfId="7321"/>
    <cellStyle name="T_Book1_BOQ MC 0 Earth Work_summary MC 0 amd 4 revisi_Schedule  PCM_schedule rev -2 paket AMS 8" xfId="7320"/>
    <cellStyle name="T_Book1_BOQ MC 0 Earth Work_summary MC 0 amd 4 revisi_Schedule  PCM_schedule rev -2 paket AMS 8 2" xfId="7319"/>
    <cellStyle name="T_Book1_BOQ MC 0 Earth Work_summary MC 0 amd 4 revisi_Schedule  PCM_schedule rev -2 paket AMS 8 3" xfId="7318"/>
    <cellStyle name="T_Book1_BOQ MC 0 Earth Work_summary MC 0 amd 4 revisi_Schedule  PCM_schedule rev -2 paket AMS 8 4" xfId="7317"/>
    <cellStyle name="T_Book1_BOQ MC 0 Earth Work_summary MC 0 amd 4 revisi_Schedule  PCM_schedule rev -2 paket AMS 8 5" xfId="7316"/>
    <cellStyle name="T_Book1_BOQ MC 0 Earth Work_summary MC 0 amd 4 revisi_Schedule Revisi 1" xfId="7315"/>
    <cellStyle name="T_Book1_BOQ MC 0 Earth Work_summary MC 0 amd 4 revisi_Schedule Revisi 1 2" xfId="7314"/>
    <cellStyle name="T_Book1_BOQ MC 0 Earth Work_summary MC 0 amd 4 revisi_Schedule Revisi 1 3" xfId="7313"/>
    <cellStyle name="T_Book1_BOQ MC 0 Earth Work_summary MC 0 amd 4 revisi_Schedule Revisi 1 4" xfId="7312"/>
    <cellStyle name="T_Book1_BOQ MC 0 Earth Work_summary MC 0 amd 4 revisi_Schedule Revisi 1 5" xfId="7311"/>
    <cellStyle name="T_Book1_BOQ MC 0 Earth Work_summary MC 0 amd 4 revisi_Schedule Revisi 1_schedule rev -2 paket AMS 8" xfId="7310"/>
    <cellStyle name="T_Book1_BOQ MC 0 Earth Work_summary MC 0 amd 4 revisi_Schedule Revisi 1_schedule rev -2 paket AMS 8 2" xfId="7309"/>
    <cellStyle name="T_Book1_BOQ MC 0 Earth Work_summary MC 0 amd 4 revisi_Schedule Revisi 1_schedule rev -2 paket AMS 8 3" xfId="7308"/>
    <cellStyle name="T_Book1_BOQ MC 0 Earth Work_summary MC 0 amd 4 revisi_Schedule Revisi 1_schedule rev -2 paket AMS 8 4" xfId="7307"/>
    <cellStyle name="T_Book1_BOQ MC 0 Earth Work_summary MC 0 amd 4 revisi_Schedule Revisi 1_schedule rev -2 paket AMS 8 5" xfId="7306"/>
    <cellStyle name="T_Book1_BOQ MC 0 Earth Work_summary MC 0 amd 4 revisi_summary amd 1 final" xfId="7305"/>
    <cellStyle name="T_Book1_BOQ MC 0 Earth Work_summary MC 0 amd 4 revisi_summary amd 1 final 2" xfId="7304"/>
    <cellStyle name="T_Book1_BOQ MC 0 Earth Work_summary MC 0 amd 4 revisi_summary amd 1 final 3" xfId="7303"/>
    <cellStyle name="T_Book1_BOQ MC 0 Earth Work_summary MC 0 amd 4 revisi_summary amd 1 final 4" xfId="7302"/>
    <cellStyle name="T_Book1_BOQ MC 0 Earth Work_summary MC 0 amd 4 revisi_summary amd 1 final 5" xfId="7301"/>
    <cellStyle name="T_Book1_BOQ MC 0 Earth Work_summary MC 0 amd 4 revisi_summary amd 1 final_schedule rev -2 paket AMS 8" xfId="7300"/>
    <cellStyle name="T_Book1_BOQ MC 0 Earth Work_summary MC 0 amd 4 revisi_summary amd 1 final_schedule rev -2 paket AMS 8 2" xfId="7299"/>
    <cellStyle name="T_Book1_BOQ MC 0 Earth Work_summary MC 0 amd 4 revisi_summary amd 1 final_schedule rev -2 paket AMS 8 3" xfId="7298"/>
    <cellStyle name="T_Book1_BOQ MC 0 Earth Work_summary MC 0 amd 4 revisi_summary amd 1 final_schedule rev -2 paket AMS 8 4" xfId="7297"/>
    <cellStyle name="T_Book1_BOQ MC 0 Earth Work_summary MC 0 amd 4 revisi_summary amd 1 final_schedule rev -2 paket AMS 8 5" xfId="7296"/>
    <cellStyle name="T_Book1_BOQ MC 0 Earth Work_summary MC 0 final '" xfId="7295"/>
    <cellStyle name="T_Book1_BOQ MC 0 Earth Work_summary MC 0 final ' 2" xfId="7294"/>
    <cellStyle name="T_Book1_BOQ MC 0 Earth Work_summary MC 0 final ' 3" xfId="7293"/>
    <cellStyle name="T_Book1_BOQ MC 0 Earth Work_summary MC 0 final ' 4" xfId="7292"/>
    <cellStyle name="T_Book1_BOQ MC 0 Earth Work_summary MC 0 final ' 5" xfId="7291"/>
    <cellStyle name="T_Book1_BOQ MC 0 Earth Work_summary MC 0 final medan" xfId="7290"/>
    <cellStyle name="T_Book1_BOQ MC 0 Earth Work_summary MC 0 final medan 2" xfId="7289"/>
    <cellStyle name="T_Book1_BOQ MC 0 Earth Work_summary MC 0 final medan 3" xfId="7288"/>
    <cellStyle name="T_Book1_BOQ MC 0 Earth Work_summary MC 0 final medan 4" xfId="7287"/>
    <cellStyle name="T_Book1_BOQ MC 0 Earth Work_summary MC 0 final medan 5" xfId="7286"/>
    <cellStyle name="T_Book1_BOQ MC 0 Earth Work_summary MC 0 final medan_break down amd10 final" xfId="7285"/>
    <cellStyle name="T_Book1_BOQ MC 0 Earth Work_summary MC 0 final medan_break down amd10 final 2" xfId="7284"/>
    <cellStyle name="T_Book1_BOQ MC 0 Earth Work_summary MC 0 final medan_break down amd10 final 3" xfId="7283"/>
    <cellStyle name="T_Book1_BOQ MC 0 Earth Work_summary MC 0 final medan_break down amd10 final 4" xfId="7282"/>
    <cellStyle name="T_Book1_BOQ MC 0 Earth Work_summary MC 0 final medan_break down amd10 final 5" xfId="7281"/>
    <cellStyle name="T_Book1_BOQ MC 0 Earth Work_summary MC 0 final medan_break down amd10 final_Evaluasi Negoisasi (Lampiran Berita Acara) - Rev 3" xfId="7280"/>
    <cellStyle name="T_Book1_BOQ MC 0 Earth Work_summary MC 0 final medan_break down amd10 final_Evaluasi Negoisasi (Lampiran Berita Acara) - Rev 3 2" xfId="7279"/>
    <cellStyle name="T_Book1_BOQ MC 0 Earth Work_summary MC 0 final medan_break down amd10 final_Evaluasi Negoisasi (Lampiran Berita Acara) - Rev 3 3" xfId="7278"/>
    <cellStyle name="T_Book1_BOQ MC 0 Earth Work_summary MC 0 final medan_break down amd10 final_Evaluasi Negoisasi (Lampiran Berita Acara) - Rev 3 4" xfId="7277"/>
    <cellStyle name="T_Book1_BOQ MC 0 Earth Work_summary MC 0 final medan_break down amd10 final_Evaluasi Negoisasi (Lampiran Berita Acara) - Rev 3 5" xfId="7276"/>
    <cellStyle name="T_Book1_BOQ MC 0 Earth Work_summary MC 0 final medan_break down amd10 final_Schedule  PCM" xfId="7275"/>
    <cellStyle name="T_Book1_BOQ MC 0 Earth Work_summary MC 0 final medan_break down amd10 final_Schedule  PCM 2" xfId="7274"/>
    <cellStyle name="T_Book1_BOQ MC 0 Earth Work_summary MC 0 final medan_break down amd10 final_Schedule  PCM 3" xfId="7273"/>
    <cellStyle name="T_Book1_BOQ MC 0 Earth Work_summary MC 0 final medan_break down amd10 final_Schedule  PCM 4" xfId="7272"/>
    <cellStyle name="T_Book1_BOQ MC 0 Earth Work_summary MC 0 final medan_break down amd10 final_Schedule  PCM 5" xfId="7271"/>
    <cellStyle name="T_Book1_BOQ MC 0 Earth Work_summary MC 0 final medan_break down amd10 final_Schedule  PCM_schedule rev -2 paket AMS 8" xfId="7270"/>
    <cellStyle name="T_Book1_BOQ MC 0 Earth Work_summary MC 0 final medan_break down amd10 final_Schedule  PCM_schedule rev -2 paket AMS 8 2" xfId="7269"/>
    <cellStyle name="T_Book1_BOQ MC 0 Earth Work_summary MC 0 final medan_break down amd10 final_Schedule  PCM_schedule rev -2 paket AMS 8 3" xfId="7268"/>
    <cellStyle name="T_Book1_BOQ MC 0 Earth Work_summary MC 0 final medan_break down amd10 final_Schedule  PCM_schedule rev -2 paket AMS 8 4" xfId="7267"/>
    <cellStyle name="T_Book1_BOQ MC 0 Earth Work_summary MC 0 final medan_break down amd10 final_Schedule  PCM_schedule rev -2 paket AMS 8 5" xfId="7266"/>
    <cellStyle name="T_Book1_BOQ MC 0 Earth Work_summary MC 0 final medan_break down amd10 final_Schedule Revisi 1" xfId="7265"/>
    <cellStyle name="T_Book1_BOQ MC 0 Earth Work_summary MC 0 final medan_break down amd10 final_Schedule Revisi 1 2" xfId="7264"/>
    <cellStyle name="T_Book1_BOQ MC 0 Earth Work_summary MC 0 final medan_break down amd10 final_Schedule Revisi 1 3" xfId="7263"/>
    <cellStyle name="T_Book1_BOQ MC 0 Earth Work_summary MC 0 final medan_break down amd10 final_Schedule Revisi 1 4" xfId="7262"/>
    <cellStyle name="T_Book1_BOQ MC 0 Earth Work_summary MC 0 final medan_break down amd10 final_Schedule Revisi 1 5" xfId="7261"/>
    <cellStyle name="T_Book1_BOQ MC 0 Earth Work_summary MC 0 final medan_break down amd10 final_Schedule Revisi 1_schedule rev -2 paket AMS 8" xfId="7260"/>
    <cellStyle name="T_Book1_BOQ MC 0 Earth Work_summary MC 0 final medan_break down amd10 final_Schedule Revisi 1_schedule rev -2 paket AMS 8 2" xfId="7259"/>
    <cellStyle name="T_Book1_BOQ MC 0 Earth Work_summary MC 0 final medan_break down amd10 final_Schedule Revisi 1_schedule rev -2 paket AMS 8 3" xfId="7258"/>
    <cellStyle name="T_Book1_BOQ MC 0 Earth Work_summary MC 0 final medan_break down amd10 final_Schedule Revisi 1_schedule rev -2 paket AMS 8 4" xfId="7257"/>
    <cellStyle name="T_Book1_BOQ MC 0 Earth Work_summary MC 0 final medan_break down amd10 final_Schedule Revisi 1_schedule rev -2 paket AMS 8 5" xfId="7256"/>
    <cellStyle name="T_Book1_BOQ MC 0 Earth Work_summary MC 0 final medan_break down amd10 final_summary amd 1 final" xfId="7255"/>
    <cellStyle name="T_Book1_BOQ MC 0 Earth Work_summary MC 0 final medan_break down amd10 final_summary amd 1 final 2" xfId="7254"/>
    <cellStyle name="T_Book1_BOQ MC 0 Earth Work_summary MC 0 final medan_break down amd10 final_summary amd 1 final 3" xfId="7253"/>
    <cellStyle name="T_Book1_BOQ MC 0 Earth Work_summary MC 0 final medan_break down amd10 final_summary amd 1 final 4" xfId="7252"/>
    <cellStyle name="T_Book1_BOQ MC 0 Earth Work_summary MC 0 final medan_break down amd10 final_summary amd 1 final 5" xfId="7251"/>
    <cellStyle name="T_Book1_BOQ MC 0 Earth Work_summary MC 0 final medan_break down amd10 final_summary amd 1 final_schedule rev -2 paket AMS 8" xfId="7250"/>
    <cellStyle name="T_Book1_BOQ MC 0 Earth Work_summary MC 0 final medan_break down amd10 final_summary amd 1 final_schedule rev -2 paket AMS 8 2" xfId="7249"/>
    <cellStyle name="T_Book1_BOQ MC 0 Earth Work_summary MC 0 final medan_break down amd10 final_summary amd 1 final_schedule rev -2 paket AMS 8 3" xfId="7248"/>
    <cellStyle name="T_Book1_BOQ MC 0 Earth Work_summary MC 0 final medan_break down amd10 final_summary amd 1 final_schedule rev -2 paket AMS 8 4" xfId="7247"/>
    <cellStyle name="T_Book1_BOQ MC 0 Earth Work_summary MC 0 final medan_break down amd10 final_summary amd 1 final_schedule rev -2 paket AMS 8 5" xfId="7246"/>
    <cellStyle name="T_Book1_BOQ MC 0 Earth Work_summary MC 0 Plan" xfId="7245"/>
    <cellStyle name="T_Book1_BOQ MC 0 Earth Work_summary MC 0 Plan 2" xfId="7244"/>
    <cellStyle name="T_Book1_BOQ MC 0 Earth Work_summary MC 0 Plan 3" xfId="7243"/>
    <cellStyle name="T_Book1_BOQ MC 0 Earth Work_summary MC 0 Plan 4" xfId="7242"/>
    <cellStyle name="T_Book1_BOQ MC 0 Earth Work_summary MC 0 Plan 5" xfId="7241"/>
    <cellStyle name="T_Book1_BQ &amp; An Pds Gdg - KIM I" xfId="7240"/>
    <cellStyle name="T_Book1_BQ &amp; An Pds Gdg - KIM I 10" xfId="7239"/>
    <cellStyle name="T_Book1_BQ &amp; An Pds Gdg - KIM I 10 2" xfId="7238"/>
    <cellStyle name="T_Book1_BQ &amp; An Pds Gdg - KIM I 10 3" xfId="7237"/>
    <cellStyle name="T_Book1_BQ &amp; An Pds Gdg - KIM I 10 4" xfId="7236"/>
    <cellStyle name="T_Book1_BQ &amp; An Pds Gdg - KIM I 10 5" xfId="7235"/>
    <cellStyle name="T_Book1_BQ &amp; An Pds Gdg - KIM I 11" xfId="7234"/>
    <cellStyle name="T_Book1_BQ &amp; An Pds Gdg - KIM I 12" xfId="7233"/>
    <cellStyle name="T_Book1_BQ &amp; An Pds Gdg - KIM I 13" xfId="7232"/>
    <cellStyle name="T_Book1_BQ &amp; An Pds Gdg - KIM I 14" xfId="7231"/>
    <cellStyle name="T_Book1_BQ &amp; An Pds Gdg - KIM I 2" xfId="7230"/>
    <cellStyle name="T_Book1_BQ &amp; An Pds Gdg - KIM I 2 10" xfId="7229"/>
    <cellStyle name="T_Book1_BQ &amp; An Pds Gdg - KIM I 2 11" xfId="7228"/>
    <cellStyle name="T_Book1_BQ &amp; An Pds Gdg - KIM I 2 12" xfId="7227"/>
    <cellStyle name="T_Book1_BQ &amp; An Pds Gdg - KIM I 2 2" xfId="7226"/>
    <cellStyle name="T_Book1_BQ &amp; An Pds Gdg - KIM I 2 2 2" xfId="7225"/>
    <cellStyle name="T_Book1_BQ &amp; An Pds Gdg - KIM I 2 2 3" xfId="7224"/>
    <cellStyle name="T_Book1_BQ &amp; An Pds Gdg - KIM I 2 2 4" xfId="7223"/>
    <cellStyle name="T_Book1_BQ &amp; An Pds Gdg - KIM I 2 2 5" xfId="7222"/>
    <cellStyle name="T_Book1_BQ &amp; An Pds Gdg - KIM I 2 3" xfId="7221"/>
    <cellStyle name="T_Book1_BQ &amp; An Pds Gdg - KIM I 2 3 2" xfId="7220"/>
    <cellStyle name="T_Book1_BQ &amp; An Pds Gdg - KIM I 2 3 3" xfId="7219"/>
    <cellStyle name="T_Book1_BQ &amp; An Pds Gdg - KIM I 2 3 4" xfId="7218"/>
    <cellStyle name="T_Book1_BQ &amp; An Pds Gdg - KIM I 2 3 5" xfId="7217"/>
    <cellStyle name="T_Book1_BQ &amp; An Pds Gdg - KIM I 2 4" xfId="7216"/>
    <cellStyle name="T_Book1_BQ &amp; An Pds Gdg - KIM I 2 4 2" xfId="7215"/>
    <cellStyle name="T_Book1_BQ &amp; An Pds Gdg - KIM I 2 4 3" xfId="7214"/>
    <cellStyle name="T_Book1_BQ &amp; An Pds Gdg - KIM I 2 4 4" xfId="7213"/>
    <cellStyle name="T_Book1_BQ &amp; An Pds Gdg - KIM I 2 4 5" xfId="7212"/>
    <cellStyle name="T_Book1_BQ &amp; An Pds Gdg - KIM I 2 5" xfId="7211"/>
    <cellStyle name="T_Book1_BQ &amp; An Pds Gdg - KIM I 2 5 2" xfId="7210"/>
    <cellStyle name="T_Book1_BQ &amp; An Pds Gdg - KIM I 2 5 3" xfId="7209"/>
    <cellStyle name="T_Book1_BQ &amp; An Pds Gdg - KIM I 2 5 4" xfId="7208"/>
    <cellStyle name="T_Book1_BQ &amp; An Pds Gdg - KIM I 2 5 5" xfId="7207"/>
    <cellStyle name="T_Book1_BQ &amp; An Pds Gdg - KIM I 2 6" xfId="7206"/>
    <cellStyle name="T_Book1_BQ &amp; An Pds Gdg - KIM I 2 6 2" xfId="7205"/>
    <cellStyle name="T_Book1_BQ &amp; An Pds Gdg - KIM I 2 6 3" xfId="7204"/>
    <cellStyle name="T_Book1_BQ &amp; An Pds Gdg - KIM I 2 6 4" xfId="7203"/>
    <cellStyle name="T_Book1_BQ &amp; An Pds Gdg - KIM I 2 6 5" xfId="7202"/>
    <cellStyle name="T_Book1_BQ &amp; An Pds Gdg - KIM I 2 7" xfId="7201"/>
    <cellStyle name="T_Book1_BQ &amp; An Pds Gdg - KIM I 2 7 2" xfId="7200"/>
    <cellStyle name="T_Book1_BQ &amp; An Pds Gdg - KIM I 2 7 3" xfId="7199"/>
    <cellStyle name="T_Book1_BQ &amp; An Pds Gdg - KIM I 2 7 4" xfId="7198"/>
    <cellStyle name="T_Book1_BQ &amp; An Pds Gdg - KIM I 2 7 5" xfId="7197"/>
    <cellStyle name="T_Book1_BQ &amp; An Pds Gdg - KIM I 2 8" xfId="7196"/>
    <cellStyle name="T_Book1_BQ &amp; An Pds Gdg - KIM I 2 8 2" xfId="7195"/>
    <cellStyle name="T_Book1_BQ &amp; An Pds Gdg - KIM I 2 8 3" xfId="7194"/>
    <cellStyle name="T_Book1_BQ &amp; An Pds Gdg - KIM I 2 8 4" xfId="7193"/>
    <cellStyle name="T_Book1_BQ &amp; An Pds Gdg - KIM I 2 8 5" xfId="7192"/>
    <cellStyle name="T_Book1_BQ &amp; An Pds Gdg - KIM I 2 9" xfId="7191"/>
    <cellStyle name="T_Book1_BQ &amp; An Pds Gdg - KIM I 3" xfId="7190"/>
    <cellStyle name="T_Book1_BQ &amp; An Pds Gdg - KIM I 3 2" xfId="7189"/>
    <cellStyle name="T_Book1_BQ &amp; An Pds Gdg - KIM I 3 3" xfId="7188"/>
    <cellStyle name="T_Book1_BQ &amp; An Pds Gdg - KIM I 3 4" xfId="7187"/>
    <cellStyle name="T_Book1_BQ &amp; An Pds Gdg - KIM I 3 5" xfId="7186"/>
    <cellStyle name="T_Book1_BQ &amp; An Pds Gdg - KIM I 4" xfId="7185"/>
    <cellStyle name="T_Book1_BQ &amp; An Pds Gdg - KIM I 4 2" xfId="7184"/>
    <cellStyle name="T_Book1_BQ &amp; An Pds Gdg - KIM I 4 3" xfId="7183"/>
    <cellStyle name="T_Book1_BQ &amp; An Pds Gdg - KIM I 4 4" xfId="7182"/>
    <cellStyle name="T_Book1_BQ &amp; An Pds Gdg - KIM I 4 5" xfId="7181"/>
    <cellStyle name="T_Book1_BQ &amp; An Pds Gdg - KIM I 5" xfId="7180"/>
    <cellStyle name="T_Book1_BQ &amp; An Pds Gdg - KIM I 5 2" xfId="7179"/>
    <cellStyle name="T_Book1_BQ &amp; An Pds Gdg - KIM I 5 3" xfId="7178"/>
    <cellStyle name="T_Book1_BQ &amp; An Pds Gdg - KIM I 5 4" xfId="7177"/>
    <cellStyle name="T_Book1_BQ &amp; An Pds Gdg - KIM I 5 5" xfId="7176"/>
    <cellStyle name="T_Book1_BQ &amp; An Pds Gdg - KIM I 6" xfId="7175"/>
    <cellStyle name="T_Book1_BQ &amp; An Pds Gdg - KIM I 6 2" xfId="7174"/>
    <cellStyle name="T_Book1_BQ &amp; An Pds Gdg - KIM I 6 3" xfId="7173"/>
    <cellStyle name="T_Book1_BQ &amp; An Pds Gdg - KIM I 6 4" xfId="7172"/>
    <cellStyle name="T_Book1_BQ &amp; An Pds Gdg - KIM I 6 5" xfId="7171"/>
    <cellStyle name="T_Book1_BQ &amp; An Pds Gdg - KIM I 7" xfId="7170"/>
    <cellStyle name="T_Book1_BQ &amp; An Pds Gdg - KIM I 7 2" xfId="7169"/>
    <cellStyle name="T_Book1_BQ &amp; An Pds Gdg - KIM I 7 3" xfId="7168"/>
    <cellStyle name="T_Book1_BQ &amp; An Pds Gdg - KIM I 7 4" xfId="7167"/>
    <cellStyle name="T_Book1_BQ &amp; An Pds Gdg - KIM I 7 5" xfId="7166"/>
    <cellStyle name="T_Book1_BQ &amp; An Pds Gdg - KIM I 8" xfId="7165"/>
    <cellStyle name="T_Book1_BQ &amp; An Pds Gdg - KIM I 8 2" xfId="7164"/>
    <cellStyle name="T_Book1_BQ &amp; An Pds Gdg - KIM I 8 3" xfId="7163"/>
    <cellStyle name="T_Book1_BQ &amp; An Pds Gdg - KIM I 8 4" xfId="7162"/>
    <cellStyle name="T_Book1_BQ &amp; An Pds Gdg - KIM I 8 5" xfId="7161"/>
    <cellStyle name="T_Book1_BQ &amp; An Pds Gdg - KIM I 9" xfId="7160"/>
    <cellStyle name="T_Book1_BQ &amp; An Pds Gdg - KIM I 9 2" xfId="7159"/>
    <cellStyle name="T_Book1_BQ &amp; An Pds Gdg - KIM I 9 3" xfId="7158"/>
    <cellStyle name="T_Book1_BQ &amp; An Pds Gdg - KIM I 9 4" xfId="7157"/>
    <cellStyle name="T_Book1_BQ &amp; An Pds Gdg - KIM I 9 5" xfId="7156"/>
    <cellStyle name="T_Book1_BQ &amp; An Pds Gdg - KIM I_GALIAN C" xfId="7155"/>
    <cellStyle name="T_Book1_BQ &amp; An Pds Gdg - KIM I_GALIAN C 10" xfId="7154"/>
    <cellStyle name="T_Book1_BQ &amp; An Pds Gdg - KIM I_GALIAN C 11" xfId="7153"/>
    <cellStyle name="T_Book1_BQ &amp; An Pds Gdg - KIM I_GALIAN C 12" xfId="7152"/>
    <cellStyle name="T_Book1_BQ &amp; An Pds Gdg - KIM I_GALIAN C 2" xfId="7151"/>
    <cellStyle name="T_Book1_BQ &amp; An Pds Gdg - KIM I_GALIAN C 2 2" xfId="7150"/>
    <cellStyle name="T_Book1_BQ &amp; An Pds Gdg - KIM I_GALIAN C 2 3" xfId="7149"/>
    <cellStyle name="T_Book1_BQ &amp; An Pds Gdg - KIM I_GALIAN C 2 4" xfId="7148"/>
    <cellStyle name="T_Book1_BQ &amp; An Pds Gdg - KIM I_GALIAN C 2 5" xfId="7147"/>
    <cellStyle name="T_Book1_BQ &amp; An Pds Gdg - KIM I_GALIAN C 3" xfId="7146"/>
    <cellStyle name="T_Book1_BQ &amp; An Pds Gdg - KIM I_GALIAN C 3 2" xfId="7145"/>
    <cellStyle name="T_Book1_BQ &amp; An Pds Gdg - KIM I_GALIAN C 3 3" xfId="7144"/>
    <cellStyle name="T_Book1_BQ &amp; An Pds Gdg - KIM I_GALIAN C 3 4" xfId="7143"/>
    <cellStyle name="T_Book1_BQ &amp; An Pds Gdg - KIM I_GALIAN C 3 5" xfId="7142"/>
    <cellStyle name="T_Book1_BQ &amp; An Pds Gdg - KIM I_GALIAN C 4" xfId="7141"/>
    <cellStyle name="T_Book1_BQ &amp; An Pds Gdg - KIM I_GALIAN C 4 2" xfId="7140"/>
    <cellStyle name="T_Book1_BQ &amp; An Pds Gdg - KIM I_GALIAN C 4 3" xfId="7139"/>
    <cellStyle name="T_Book1_BQ &amp; An Pds Gdg - KIM I_GALIAN C 4 4" xfId="7138"/>
    <cellStyle name="T_Book1_BQ &amp; An Pds Gdg - KIM I_GALIAN C 4 5" xfId="7137"/>
    <cellStyle name="T_Book1_BQ &amp; An Pds Gdg - KIM I_GALIAN C 5" xfId="7136"/>
    <cellStyle name="T_Book1_BQ &amp; An Pds Gdg - KIM I_GALIAN C 5 2" xfId="7135"/>
    <cellStyle name="T_Book1_BQ &amp; An Pds Gdg - KIM I_GALIAN C 5 3" xfId="7134"/>
    <cellStyle name="T_Book1_BQ &amp; An Pds Gdg - KIM I_GALIAN C 5 4" xfId="7133"/>
    <cellStyle name="T_Book1_BQ &amp; An Pds Gdg - KIM I_GALIAN C 5 5" xfId="7132"/>
    <cellStyle name="T_Book1_BQ &amp; An Pds Gdg - KIM I_GALIAN C 6" xfId="7131"/>
    <cellStyle name="T_Book1_BQ &amp; An Pds Gdg - KIM I_GALIAN C 6 2" xfId="7130"/>
    <cellStyle name="T_Book1_BQ &amp; An Pds Gdg - KIM I_GALIAN C 6 3" xfId="7129"/>
    <cellStyle name="T_Book1_BQ &amp; An Pds Gdg - KIM I_GALIAN C 6 4" xfId="7128"/>
    <cellStyle name="T_Book1_BQ &amp; An Pds Gdg - KIM I_GALIAN C 6 5" xfId="7127"/>
    <cellStyle name="T_Book1_BQ &amp; An Pds Gdg - KIM I_GALIAN C 7" xfId="7126"/>
    <cellStyle name="T_Book1_BQ &amp; An Pds Gdg - KIM I_GALIAN C 7 2" xfId="7125"/>
    <cellStyle name="T_Book1_BQ &amp; An Pds Gdg - KIM I_GALIAN C 7 3" xfId="7124"/>
    <cellStyle name="T_Book1_BQ &amp; An Pds Gdg - KIM I_GALIAN C 7 4" xfId="7123"/>
    <cellStyle name="T_Book1_BQ &amp; An Pds Gdg - KIM I_GALIAN C 7 5" xfId="7122"/>
    <cellStyle name="T_Book1_BQ &amp; An Pds Gdg - KIM I_GALIAN C 8" xfId="7121"/>
    <cellStyle name="T_Book1_BQ &amp; An Pds Gdg - KIM I_GALIAN C 8 2" xfId="7120"/>
    <cellStyle name="T_Book1_BQ &amp; An Pds Gdg - KIM I_GALIAN C 8 3" xfId="7119"/>
    <cellStyle name="T_Book1_BQ &amp; An Pds Gdg - KIM I_GALIAN C 8 4" xfId="7118"/>
    <cellStyle name="T_Book1_BQ &amp; An Pds Gdg - KIM I_GALIAN C 8 5" xfId="7117"/>
    <cellStyle name="T_Book1_BQ &amp; An Pds Gdg - KIM I_GALIAN C 9" xfId="7116"/>
    <cellStyle name="T_Book1_BQ &amp; An Pds Gdg - KIM I_Pen- Kodja Revisi 02 November 2009 (Rev 11-11-09)" xfId="7115"/>
    <cellStyle name="T_Book1_BQ &amp; An Pds Gdg - KIM I_Pen- Kodja Revisi 02 November 2009 (Rev 11-11-09) 10" xfId="7114"/>
    <cellStyle name="T_Book1_BQ &amp; An Pds Gdg - KIM I_Pen- Kodja Revisi 02 November 2009 (Rev 11-11-09) 11" xfId="7113"/>
    <cellStyle name="T_Book1_BQ &amp; An Pds Gdg - KIM I_Pen- Kodja Revisi 02 November 2009 (Rev 11-11-09) 12" xfId="7112"/>
    <cellStyle name="T_Book1_BQ &amp; An Pds Gdg - KIM I_Pen- Kodja Revisi 02 November 2009 (Rev 11-11-09) 2" xfId="7111"/>
    <cellStyle name="T_Book1_BQ &amp; An Pds Gdg - KIM I_Pen- Kodja Revisi 02 November 2009 (Rev 11-11-09) 2 2" xfId="7110"/>
    <cellStyle name="T_Book1_BQ &amp; An Pds Gdg - KIM I_Pen- Kodja Revisi 02 November 2009 (Rev 11-11-09) 2 3" xfId="7109"/>
    <cellStyle name="T_Book1_BQ &amp; An Pds Gdg - KIM I_Pen- Kodja Revisi 02 November 2009 (Rev 11-11-09) 2 4" xfId="7108"/>
    <cellStyle name="T_Book1_BQ &amp; An Pds Gdg - KIM I_Pen- Kodja Revisi 02 November 2009 (Rev 11-11-09) 2 5" xfId="7107"/>
    <cellStyle name="T_Book1_BQ &amp; An Pds Gdg - KIM I_Pen- Kodja Revisi 02 November 2009 (Rev 11-11-09) 3" xfId="7106"/>
    <cellStyle name="T_Book1_BQ &amp; An Pds Gdg - KIM I_Pen- Kodja Revisi 02 November 2009 (Rev 11-11-09) 3 2" xfId="7105"/>
    <cellStyle name="T_Book1_BQ &amp; An Pds Gdg - KIM I_Pen- Kodja Revisi 02 November 2009 (Rev 11-11-09) 3 3" xfId="7104"/>
    <cellStyle name="T_Book1_BQ &amp; An Pds Gdg - KIM I_Pen- Kodja Revisi 02 November 2009 (Rev 11-11-09) 3 4" xfId="7103"/>
    <cellStyle name="T_Book1_BQ &amp; An Pds Gdg - KIM I_Pen- Kodja Revisi 02 November 2009 (Rev 11-11-09) 3 5" xfId="7102"/>
    <cellStyle name="T_Book1_BQ &amp; An Pds Gdg - KIM I_Pen- Kodja Revisi 02 November 2009 (Rev 11-11-09) 4" xfId="7101"/>
    <cellStyle name="T_Book1_BQ &amp; An Pds Gdg - KIM I_Pen- Kodja Revisi 02 November 2009 (Rev 11-11-09) 4 2" xfId="7100"/>
    <cellStyle name="T_Book1_BQ &amp; An Pds Gdg - KIM I_Pen- Kodja Revisi 02 November 2009 (Rev 11-11-09) 4 3" xfId="7099"/>
    <cellStyle name="T_Book1_BQ &amp; An Pds Gdg - KIM I_Pen- Kodja Revisi 02 November 2009 (Rev 11-11-09) 4 4" xfId="7098"/>
    <cellStyle name="T_Book1_BQ &amp; An Pds Gdg - KIM I_Pen- Kodja Revisi 02 November 2009 (Rev 11-11-09) 4 5" xfId="7097"/>
    <cellStyle name="T_Book1_BQ &amp; An Pds Gdg - KIM I_Pen- Kodja Revisi 02 November 2009 (Rev 11-11-09) 5" xfId="7096"/>
    <cellStyle name="T_Book1_BQ &amp; An Pds Gdg - KIM I_Pen- Kodja Revisi 02 November 2009 (Rev 11-11-09) 5 2" xfId="7095"/>
    <cellStyle name="T_Book1_BQ &amp; An Pds Gdg - KIM I_Pen- Kodja Revisi 02 November 2009 (Rev 11-11-09) 5 3" xfId="7094"/>
    <cellStyle name="T_Book1_BQ &amp; An Pds Gdg - KIM I_Pen- Kodja Revisi 02 November 2009 (Rev 11-11-09) 5 4" xfId="7093"/>
    <cellStyle name="T_Book1_BQ &amp; An Pds Gdg - KIM I_Pen- Kodja Revisi 02 November 2009 (Rev 11-11-09) 5 5" xfId="7092"/>
    <cellStyle name="T_Book1_BQ &amp; An Pds Gdg - KIM I_Pen- Kodja Revisi 02 November 2009 (Rev 11-11-09) 6" xfId="7091"/>
    <cellStyle name="T_Book1_BQ &amp; An Pds Gdg - KIM I_Pen- Kodja Revisi 02 November 2009 (Rev 11-11-09) 6 2" xfId="7090"/>
    <cellStyle name="T_Book1_BQ &amp; An Pds Gdg - KIM I_Pen- Kodja Revisi 02 November 2009 (Rev 11-11-09) 6 3" xfId="7089"/>
    <cellStyle name="T_Book1_BQ &amp; An Pds Gdg - KIM I_Pen- Kodja Revisi 02 November 2009 (Rev 11-11-09) 6 4" xfId="7088"/>
    <cellStyle name="T_Book1_BQ &amp; An Pds Gdg - KIM I_Pen- Kodja Revisi 02 November 2009 (Rev 11-11-09) 6 5" xfId="7087"/>
    <cellStyle name="T_Book1_BQ &amp; An Pds Gdg - KIM I_Pen- Kodja Revisi 02 November 2009 (Rev 11-11-09) 7" xfId="7086"/>
    <cellStyle name="T_Book1_BQ &amp; An Pds Gdg - KIM I_Pen- Kodja Revisi 02 November 2009 (Rev 11-11-09) 7 2" xfId="7085"/>
    <cellStyle name="T_Book1_BQ &amp; An Pds Gdg - KIM I_Pen- Kodja Revisi 02 November 2009 (Rev 11-11-09) 7 3" xfId="7084"/>
    <cellStyle name="T_Book1_BQ &amp; An Pds Gdg - KIM I_Pen- Kodja Revisi 02 November 2009 (Rev 11-11-09) 7 4" xfId="7083"/>
    <cellStyle name="T_Book1_BQ &amp; An Pds Gdg - KIM I_Pen- Kodja Revisi 02 November 2009 (Rev 11-11-09) 7 5" xfId="7082"/>
    <cellStyle name="T_Book1_BQ &amp; An Pds Gdg - KIM I_Pen- Kodja Revisi 02 November 2009 (Rev 11-11-09) 8" xfId="7081"/>
    <cellStyle name="T_Book1_BQ &amp; An Pds Gdg - KIM I_Pen- Kodja Revisi 02 November 2009 (Rev 11-11-09) 8 2" xfId="7080"/>
    <cellStyle name="T_Book1_BQ &amp; An Pds Gdg - KIM I_Pen- Kodja Revisi 02 November 2009 (Rev 11-11-09) 8 3" xfId="7079"/>
    <cellStyle name="T_Book1_BQ &amp; An Pds Gdg - KIM I_Pen- Kodja Revisi 02 November 2009 (Rev 11-11-09) 8 4" xfId="7078"/>
    <cellStyle name="T_Book1_BQ &amp; An Pds Gdg - KIM I_Pen- Kodja Revisi 02 November 2009 (Rev 11-11-09) 8 5" xfId="7077"/>
    <cellStyle name="T_Book1_BQ &amp; An Pds Gdg - KIM I_Pen- Kodja Revisi 02 November 2009 (Rev 11-11-09) 9" xfId="7076"/>
    <cellStyle name="T_Book1_BQ &amp; An Pds Gdg - KIM I_Pen- Kodja Revisi 27 JAN 2010" xfId="7075"/>
    <cellStyle name="T_Book1_BQ &amp; An Pds Gdg - KIM I_Pen- Kodja Revisi 27 JAN 2010 10" xfId="7074"/>
    <cellStyle name="T_Book1_BQ &amp; An Pds Gdg - KIM I_Pen- Kodja Revisi 27 JAN 2010 11" xfId="7073"/>
    <cellStyle name="T_Book1_BQ &amp; An Pds Gdg - KIM I_Pen- Kodja Revisi 27 JAN 2010 12" xfId="7072"/>
    <cellStyle name="T_Book1_BQ &amp; An Pds Gdg - KIM I_Pen- Kodja Revisi 27 JAN 2010 2" xfId="7071"/>
    <cellStyle name="T_Book1_BQ &amp; An Pds Gdg - KIM I_Pen- Kodja Revisi 27 JAN 2010 2 2" xfId="7070"/>
    <cellStyle name="T_Book1_BQ &amp; An Pds Gdg - KIM I_Pen- Kodja Revisi 27 JAN 2010 2 3" xfId="7069"/>
    <cellStyle name="T_Book1_BQ &amp; An Pds Gdg - KIM I_Pen- Kodja Revisi 27 JAN 2010 2 4" xfId="7068"/>
    <cellStyle name="T_Book1_BQ &amp; An Pds Gdg - KIM I_Pen- Kodja Revisi 27 JAN 2010 2 5" xfId="7067"/>
    <cellStyle name="T_Book1_BQ &amp; An Pds Gdg - KIM I_Pen- Kodja Revisi 27 JAN 2010 3" xfId="7066"/>
    <cellStyle name="T_Book1_BQ &amp; An Pds Gdg - KIM I_Pen- Kodja Revisi 27 JAN 2010 3 2" xfId="7065"/>
    <cellStyle name="T_Book1_BQ &amp; An Pds Gdg - KIM I_Pen- Kodja Revisi 27 JAN 2010 3 3" xfId="7064"/>
    <cellStyle name="T_Book1_BQ &amp; An Pds Gdg - KIM I_Pen- Kodja Revisi 27 JAN 2010 3 4" xfId="7063"/>
    <cellStyle name="T_Book1_BQ &amp; An Pds Gdg - KIM I_Pen- Kodja Revisi 27 JAN 2010 3 5" xfId="7062"/>
    <cellStyle name="T_Book1_BQ &amp; An Pds Gdg - KIM I_Pen- Kodja Revisi 27 JAN 2010 4" xfId="7061"/>
    <cellStyle name="T_Book1_BQ &amp; An Pds Gdg - KIM I_Pen- Kodja Revisi 27 JAN 2010 4 2" xfId="7060"/>
    <cellStyle name="T_Book1_BQ &amp; An Pds Gdg - KIM I_Pen- Kodja Revisi 27 JAN 2010 4 3" xfId="7059"/>
    <cellStyle name="T_Book1_BQ &amp; An Pds Gdg - KIM I_Pen- Kodja Revisi 27 JAN 2010 4 4" xfId="7058"/>
    <cellStyle name="T_Book1_BQ &amp; An Pds Gdg - KIM I_Pen- Kodja Revisi 27 JAN 2010 4 5" xfId="7057"/>
    <cellStyle name="T_Book1_BQ &amp; An Pds Gdg - KIM I_Pen- Kodja Revisi 27 JAN 2010 5" xfId="7056"/>
    <cellStyle name="T_Book1_BQ &amp; An Pds Gdg - KIM I_Pen- Kodja Revisi 27 JAN 2010 5 2" xfId="7055"/>
    <cellStyle name="T_Book1_BQ &amp; An Pds Gdg - KIM I_Pen- Kodja Revisi 27 JAN 2010 5 3" xfId="7054"/>
    <cellStyle name="T_Book1_BQ &amp; An Pds Gdg - KIM I_Pen- Kodja Revisi 27 JAN 2010 5 4" xfId="7053"/>
    <cellStyle name="T_Book1_BQ &amp; An Pds Gdg - KIM I_Pen- Kodja Revisi 27 JAN 2010 5 5" xfId="7052"/>
    <cellStyle name="T_Book1_BQ &amp; An Pds Gdg - KIM I_Pen- Kodja Revisi 27 JAN 2010 6" xfId="7051"/>
    <cellStyle name="T_Book1_BQ &amp; An Pds Gdg - KIM I_Pen- Kodja Revisi 27 JAN 2010 6 2" xfId="7050"/>
    <cellStyle name="T_Book1_BQ &amp; An Pds Gdg - KIM I_Pen- Kodja Revisi 27 JAN 2010 6 3" xfId="7049"/>
    <cellStyle name="T_Book1_BQ &amp; An Pds Gdg - KIM I_Pen- Kodja Revisi 27 JAN 2010 6 4" xfId="7048"/>
    <cellStyle name="T_Book1_BQ &amp; An Pds Gdg - KIM I_Pen- Kodja Revisi 27 JAN 2010 6 5" xfId="7047"/>
    <cellStyle name="T_Book1_BQ &amp; An Pds Gdg - KIM I_Pen- Kodja Revisi 27 JAN 2010 7" xfId="7046"/>
    <cellStyle name="T_Book1_BQ &amp; An Pds Gdg - KIM I_Pen- Kodja Revisi 27 JAN 2010 7 2" xfId="7045"/>
    <cellStyle name="T_Book1_BQ &amp; An Pds Gdg - KIM I_Pen- Kodja Revisi 27 JAN 2010 7 3" xfId="7044"/>
    <cellStyle name="T_Book1_BQ &amp; An Pds Gdg - KIM I_Pen- Kodja Revisi 27 JAN 2010 7 4" xfId="7043"/>
    <cellStyle name="T_Book1_BQ &amp; An Pds Gdg - KIM I_Pen- Kodja Revisi 27 JAN 2010 7 5" xfId="7042"/>
    <cellStyle name="T_Book1_BQ &amp; An Pds Gdg - KIM I_Pen- Kodja Revisi 27 JAN 2010 8" xfId="7041"/>
    <cellStyle name="T_Book1_BQ &amp; An Pds Gdg - KIM I_Pen- Kodja Revisi 27 JAN 2010 8 2" xfId="7040"/>
    <cellStyle name="T_Book1_BQ &amp; An Pds Gdg - KIM I_Pen- Kodja Revisi 27 JAN 2010 8 3" xfId="7039"/>
    <cellStyle name="T_Book1_BQ &amp; An Pds Gdg - KIM I_Pen- Kodja Revisi 27 JAN 2010 8 4" xfId="7038"/>
    <cellStyle name="T_Book1_BQ &amp; An Pds Gdg - KIM I_Pen- Kodja Revisi 27 JAN 2010 8 5" xfId="7037"/>
    <cellStyle name="T_Book1_BQ &amp; An Pds Gdg - KIM I_Pen- Kodja Revisi 27 JAN 2010 9" xfId="7036"/>
    <cellStyle name="T_Book1_BQ &amp; An Pds Gdg - KIM I_RAB Kodja Revisi 22 feb 2010" xfId="7035"/>
    <cellStyle name="T_Book1_BQ &amp; An Pds Gdg - KIM I_RAB Kodja Revisi 22 feb 2010 10" xfId="7034"/>
    <cellStyle name="T_Book1_BQ &amp; An Pds Gdg - KIM I_RAB Kodja Revisi 22 feb 2010 11" xfId="7033"/>
    <cellStyle name="T_Book1_BQ &amp; An Pds Gdg - KIM I_RAB Kodja Revisi 22 feb 2010 12" xfId="7032"/>
    <cellStyle name="T_Book1_BQ &amp; An Pds Gdg - KIM I_RAB Kodja Revisi 22 feb 2010 2" xfId="7031"/>
    <cellStyle name="T_Book1_BQ &amp; An Pds Gdg - KIM I_RAB Kodja Revisi 22 feb 2010 2 2" xfId="7030"/>
    <cellStyle name="T_Book1_BQ &amp; An Pds Gdg - KIM I_RAB Kodja Revisi 22 feb 2010 2 3" xfId="7029"/>
    <cellStyle name="T_Book1_BQ &amp; An Pds Gdg - KIM I_RAB Kodja Revisi 22 feb 2010 2 4" xfId="7028"/>
    <cellStyle name="T_Book1_BQ &amp; An Pds Gdg - KIM I_RAB Kodja Revisi 22 feb 2010 2 5" xfId="7027"/>
    <cellStyle name="T_Book1_BQ &amp; An Pds Gdg - KIM I_RAB Kodja Revisi 22 feb 2010 3" xfId="7026"/>
    <cellStyle name="T_Book1_BQ &amp; An Pds Gdg - KIM I_RAB Kodja Revisi 22 feb 2010 3 2" xfId="7025"/>
    <cellStyle name="T_Book1_BQ &amp; An Pds Gdg - KIM I_RAB Kodja Revisi 22 feb 2010 3 3" xfId="7024"/>
    <cellStyle name="T_Book1_BQ &amp; An Pds Gdg - KIM I_RAB Kodja Revisi 22 feb 2010 3 4" xfId="7023"/>
    <cellStyle name="T_Book1_BQ &amp; An Pds Gdg - KIM I_RAB Kodja Revisi 22 feb 2010 3 5" xfId="7022"/>
    <cellStyle name="T_Book1_BQ &amp; An Pds Gdg - KIM I_RAB Kodja Revisi 22 feb 2010 4" xfId="7021"/>
    <cellStyle name="T_Book1_BQ &amp; An Pds Gdg - KIM I_RAB Kodja Revisi 22 feb 2010 4 2" xfId="7020"/>
    <cellStyle name="T_Book1_BQ &amp; An Pds Gdg - KIM I_RAB Kodja Revisi 22 feb 2010 4 3" xfId="7019"/>
    <cellStyle name="T_Book1_BQ &amp; An Pds Gdg - KIM I_RAB Kodja Revisi 22 feb 2010 4 4" xfId="7018"/>
    <cellStyle name="T_Book1_BQ &amp; An Pds Gdg - KIM I_RAB Kodja Revisi 22 feb 2010 4 5" xfId="7017"/>
    <cellStyle name="T_Book1_BQ &amp; An Pds Gdg - KIM I_RAB Kodja Revisi 22 feb 2010 5" xfId="7016"/>
    <cellStyle name="T_Book1_BQ &amp; An Pds Gdg - KIM I_RAB Kodja Revisi 22 feb 2010 5 2" xfId="7015"/>
    <cellStyle name="T_Book1_BQ &amp; An Pds Gdg - KIM I_RAB Kodja Revisi 22 feb 2010 5 3" xfId="7014"/>
    <cellStyle name="T_Book1_BQ &amp; An Pds Gdg - KIM I_RAB Kodja Revisi 22 feb 2010 5 4" xfId="7013"/>
    <cellStyle name="T_Book1_BQ &amp; An Pds Gdg - KIM I_RAB Kodja Revisi 22 feb 2010 5 5" xfId="7012"/>
    <cellStyle name="T_Book1_BQ &amp; An Pds Gdg - KIM I_RAB Kodja Revisi 22 feb 2010 6" xfId="7011"/>
    <cellStyle name="T_Book1_BQ &amp; An Pds Gdg - KIM I_RAB Kodja Revisi 22 feb 2010 6 2" xfId="7010"/>
    <cellStyle name="T_Book1_BQ &amp; An Pds Gdg - KIM I_RAB Kodja Revisi 22 feb 2010 6 3" xfId="7009"/>
    <cellStyle name="T_Book1_BQ &amp; An Pds Gdg - KIM I_RAB Kodja Revisi 22 feb 2010 6 4" xfId="7008"/>
    <cellStyle name="T_Book1_BQ &amp; An Pds Gdg - KIM I_RAB Kodja Revisi 22 feb 2010 6 5" xfId="7007"/>
    <cellStyle name="T_Book1_BQ &amp; An Pds Gdg - KIM I_RAB Kodja Revisi 22 feb 2010 7" xfId="7006"/>
    <cellStyle name="T_Book1_BQ &amp; An Pds Gdg - KIM I_RAB Kodja Revisi 22 feb 2010 7 2" xfId="7005"/>
    <cellStyle name="T_Book1_BQ &amp; An Pds Gdg - KIM I_RAB Kodja Revisi 22 feb 2010 7 3" xfId="7004"/>
    <cellStyle name="T_Book1_BQ &amp; An Pds Gdg - KIM I_RAB Kodja Revisi 22 feb 2010 7 4" xfId="7003"/>
    <cellStyle name="T_Book1_BQ &amp; An Pds Gdg - KIM I_RAB Kodja Revisi 22 feb 2010 7 5" xfId="7002"/>
    <cellStyle name="T_Book1_BQ &amp; An Pds Gdg - KIM I_RAB Kodja Revisi 22 feb 2010 8" xfId="7001"/>
    <cellStyle name="T_Book1_BQ &amp; An Pds Gdg - KIM I_RAB Kodja Revisi 22 feb 2010 8 2" xfId="7000"/>
    <cellStyle name="T_Book1_BQ &amp; An Pds Gdg - KIM I_RAB Kodja Revisi 22 feb 2010 8 3" xfId="6999"/>
    <cellStyle name="T_Book1_BQ &amp; An Pds Gdg - KIM I_RAB Kodja Revisi 22 feb 2010 8 4" xfId="6998"/>
    <cellStyle name="T_Book1_BQ &amp; An Pds Gdg - KIM I_RAB Kodja Revisi 22 feb 2010 8 5" xfId="6997"/>
    <cellStyle name="T_Book1_BQ &amp; An Pds Gdg - KIM I_RAB Kodja Revisi 22 feb 2010 9" xfId="6996"/>
    <cellStyle name="T_Book1_BQ &amp; An Pds Gdg - KIM I_RAB Kodja Revisi 23 feb 2010, revisi analisa" xfId="6995"/>
    <cellStyle name="T_Book1_BQ &amp; An Pds Gdg - KIM I_RAB Kodja Revisi 23 feb 2010, revisi analisa 10" xfId="6994"/>
    <cellStyle name="T_Book1_BQ &amp; An Pds Gdg - KIM I_RAB Kodja Revisi 23 feb 2010, revisi analisa 11" xfId="6993"/>
    <cellStyle name="T_Book1_BQ &amp; An Pds Gdg - KIM I_RAB Kodja Revisi 23 feb 2010, revisi analisa 12" xfId="6992"/>
    <cellStyle name="T_Book1_BQ &amp; An Pds Gdg - KIM I_RAB Kodja Revisi 23 feb 2010, revisi analisa 2" xfId="6991"/>
    <cellStyle name="T_Book1_BQ &amp; An Pds Gdg - KIM I_RAB Kodja Revisi 23 feb 2010, revisi analisa 2 2" xfId="6990"/>
    <cellStyle name="T_Book1_BQ &amp; An Pds Gdg - KIM I_RAB Kodja Revisi 23 feb 2010, revisi analisa 2 3" xfId="6989"/>
    <cellStyle name="T_Book1_BQ &amp; An Pds Gdg - KIM I_RAB Kodja Revisi 23 feb 2010, revisi analisa 2 4" xfId="6988"/>
    <cellStyle name="T_Book1_BQ &amp; An Pds Gdg - KIM I_RAB Kodja Revisi 23 feb 2010, revisi analisa 2 5" xfId="6987"/>
    <cellStyle name="T_Book1_BQ &amp; An Pds Gdg - KIM I_RAB Kodja Revisi 23 feb 2010, revisi analisa 3" xfId="6986"/>
    <cellStyle name="T_Book1_BQ &amp; An Pds Gdg - KIM I_RAB Kodja Revisi 23 feb 2010, revisi analisa 3 2" xfId="6985"/>
    <cellStyle name="T_Book1_BQ &amp; An Pds Gdg - KIM I_RAB Kodja Revisi 23 feb 2010, revisi analisa 3 3" xfId="6984"/>
    <cellStyle name="T_Book1_BQ &amp; An Pds Gdg - KIM I_RAB Kodja Revisi 23 feb 2010, revisi analisa 3 4" xfId="6983"/>
    <cellStyle name="T_Book1_BQ &amp; An Pds Gdg - KIM I_RAB Kodja Revisi 23 feb 2010, revisi analisa 3 5" xfId="6982"/>
    <cellStyle name="T_Book1_BQ &amp; An Pds Gdg - KIM I_RAB Kodja Revisi 23 feb 2010, revisi analisa 4" xfId="6981"/>
    <cellStyle name="T_Book1_BQ &amp; An Pds Gdg - KIM I_RAB Kodja Revisi 23 feb 2010, revisi analisa 4 2" xfId="6980"/>
    <cellStyle name="T_Book1_BQ &amp; An Pds Gdg - KIM I_RAB Kodja Revisi 23 feb 2010, revisi analisa 4 3" xfId="6979"/>
    <cellStyle name="T_Book1_BQ &amp; An Pds Gdg - KIM I_RAB Kodja Revisi 23 feb 2010, revisi analisa 4 4" xfId="6978"/>
    <cellStyle name="T_Book1_BQ &amp; An Pds Gdg - KIM I_RAB Kodja Revisi 23 feb 2010, revisi analisa 4 5" xfId="6977"/>
    <cellStyle name="T_Book1_BQ &amp; An Pds Gdg - KIM I_RAB Kodja Revisi 23 feb 2010, revisi analisa 5" xfId="6976"/>
    <cellStyle name="T_Book1_BQ &amp; An Pds Gdg - KIM I_RAB Kodja Revisi 23 feb 2010, revisi analisa 5 2" xfId="6975"/>
    <cellStyle name="T_Book1_BQ &amp; An Pds Gdg - KIM I_RAB Kodja Revisi 23 feb 2010, revisi analisa 5 3" xfId="6974"/>
    <cellStyle name="T_Book1_BQ &amp; An Pds Gdg - KIM I_RAB Kodja Revisi 23 feb 2010, revisi analisa 5 4" xfId="6973"/>
    <cellStyle name="T_Book1_BQ &amp; An Pds Gdg - KIM I_RAB Kodja Revisi 23 feb 2010, revisi analisa 5 5" xfId="6972"/>
    <cellStyle name="T_Book1_BQ &amp; An Pds Gdg - KIM I_RAB Kodja Revisi 23 feb 2010, revisi analisa 6" xfId="6971"/>
    <cellStyle name="T_Book1_BQ &amp; An Pds Gdg - KIM I_RAB Kodja Revisi 23 feb 2010, revisi analisa 6 2" xfId="6970"/>
    <cellStyle name="T_Book1_BQ &amp; An Pds Gdg - KIM I_RAB Kodja Revisi 23 feb 2010, revisi analisa 6 3" xfId="6969"/>
    <cellStyle name="T_Book1_BQ &amp; An Pds Gdg - KIM I_RAB Kodja Revisi 23 feb 2010, revisi analisa 6 4" xfId="6968"/>
    <cellStyle name="T_Book1_BQ &amp; An Pds Gdg - KIM I_RAB Kodja Revisi 23 feb 2010, revisi analisa 6 5" xfId="6967"/>
    <cellStyle name="T_Book1_BQ &amp; An Pds Gdg - KIM I_RAB Kodja Revisi 23 feb 2010, revisi analisa 7" xfId="6966"/>
    <cellStyle name="T_Book1_BQ &amp; An Pds Gdg - KIM I_RAB Kodja Revisi 23 feb 2010, revisi analisa 7 2" xfId="6965"/>
    <cellStyle name="T_Book1_BQ &amp; An Pds Gdg - KIM I_RAB Kodja Revisi 23 feb 2010, revisi analisa 7 3" xfId="6964"/>
    <cellStyle name="T_Book1_BQ &amp; An Pds Gdg - KIM I_RAB Kodja Revisi 23 feb 2010, revisi analisa 7 4" xfId="6963"/>
    <cellStyle name="T_Book1_BQ &amp; An Pds Gdg - KIM I_RAB Kodja Revisi 23 feb 2010, revisi analisa 7 5" xfId="6962"/>
    <cellStyle name="T_Book1_BQ &amp; An Pds Gdg - KIM I_RAB Kodja Revisi 23 feb 2010, revisi analisa 8" xfId="6961"/>
    <cellStyle name="T_Book1_BQ &amp; An Pds Gdg - KIM I_RAB Kodja Revisi 23 feb 2010, revisi analisa 8 2" xfId="6960"/>
    <cellStyle name="T_Book1_BQ &amp; An Pds Gdg - KIM I_RAB Kodja Revisi 23 feb 2010, revisi analisa 8 3" xfId="6959"/>
    <cellStyle name="T_Book1_BQ &amp; An Pds Gdg - KIM I_RAB Kodja Revisi 23 feb 2010, revisi analisa 8 4" xfId="6958"/>
    <cellStyle name="T_Book1_BQ &amp; An Pds Gdg - KIM I_RAB Kodja Revisi 23 feb 2010, revisi analisa 8 5" xfId="6957"/>
    <cellStyle name="T_Book1_BQ &amp; An Pds Gdg - KIM I_RAB Kodja Revisi 23 feb 2010, revisi analisa 9" xfId="6956"/>
    <cellStyle name="T_Book1_BQ &amp; An Pondasi SEP &amp; WAREHOUSE-KIM I (R-0)" xfId="6955"/>
    <cellStyle name="T_Book1_BQ &amp; An Pondasi SEP &amp; WAREHOUSE-KIM I (R-0) 10" xfId="6954"/>
    <cellStyle name="T_Book1_BQ &amp; An Pondasi SEP &amp; WAREHOUSE-KIM I (R-0) 10 2" xfId="6953"/>
    <cellStyle name="T_Book1_BQ &amp; An Pondasi SEP &amp; WAREHOUSE-KIM I (R-0) 10 3" xfId="6952"/>
    <cellStyle name="T_Book1_BQ &amp; An Pondasi SEP &amp; WAREHOUSE-KIM I (R-0) 10 4" xfId="6951"/>
    <cellStyle name="T_Book1_BQ &amp; An Pondasi SEP &amp; WAREHOUSE-KIM I (R-0) 10 5" xfId="6950"/>
    <cellStyle name="T_Book1_BQ &amp; An Pondasi SEP &amp; WAREHOUSE-KIM I (R-0) 11" xfId="6949"/>
    <cellStyle name="T_Book1_BQ &amp; An Pondasi SEP &amp; WAREHOUSE-KIM I (R-0) 12" xfId="6948"/>
    <cellStyle name="T_Book1_BQ &amp; An Pondasi SEP &amp; WAREHOUSE-KIM I (R-0) 13" xfId="6947"/>
    <cellStyle name="T_Book1_BQ &amp; An Pondasi SEP &amp; WAREHOUSE-KIM I (R-0) 14" xfId="6946"/>
    <cellStyle name="T_Book1_BQ &amp; An Pondasi SEP &amp; WAREHOUSE-KIM I (R-0) 2" xfId="6945"/>
    <cellStyle name="T_Book1_BQ &amp; An Pondasi SEP &amp; WAREHOUSE-KIM I (R-0) 2 10" xfId="6944"/>
    <cellStyle name="T_Book1_BQ &amp; An Pondasi SEP &amp; WAREHOUSE-KIM I (R-0) 2 11" xfId="6943"/>
    <cellStyle name="T_Book1_BQ &amp; An Pondasi SEP &amp; WAREHOUSE-KIM I (R-0) 2 12" xfId="6942"/>
    <cellStyle name="T_Book1_BQ &amp; An Pondasi SEP &amp; WAREHOUSE-KIM I (R-0) 2 2" xfId="6941"/>
    <cellStyle name="T_Book1_BQ &amp; An Pondasi SEP &amp; WAREHOUSE-KIM I (R-0) 2 2 2" xfId="6940"/>
    <cellStyle name="T_Book1_BQ &amp; An Pondasi SEP &amp; WAREHOUSE-KIM I (R-0) 2 2 3" xfId="6939"/>
    <cellStyle name="T_Book1_BQ &amp; An Pondasi SEP &amp; WAREHOUSE-KIM I (R-0) 2 2 4" xfId="6938"/>
    <cellStyle name="T_Book1_BQ &amp; An Pondasi SEP &amp; WAREHOUSE-KIM I (R-0) 2 2 5" xfId="6937"/>
    <cellStyle name="T_Book1_BQ &amp; An Pondasi SEP &amp; WAREHOUSE-KIM I (R-0) 2 3" xfId="6936"/>
    <cellStyle name="T_Book1_BQ &amp; An Pondasi SEP &amp; WAREHOUSE-KIM I (R-0) 2 3 2" xfId="6935"/>
    <cellStyle name="T_Book1_BQ &amp; An Pondasi SEP &amp; WAREHOUSE-KIM I (R-0) 2 3 3" xfId="6934"/>
    <cellStyle name="T_Book1_BQ &amp; An Pondasi SEP &amp; WAREHOUSE-KIM I (R-0) 2 3 4" xfId="6933"/>
    <cellStyle name="T_Book1_BQ &amp; An Pondasi SEP &amp; WAREHOUSE-KIM I (R-0) 2 3 5" xfId="6932"/>
    <cellStyle name="T_Book1_BQ &amp; An Pondasi SEP &amp; WAREHOUSE-KIM I (R-0) 2 4" xfId="6931"/>
    <cellStyle name="T_Book1_BQ &amp; An Pondasi SEP &amp; WAREHOUSE-KIM I (R-0) 2 4 2" xfId="6930"/>
    <cellStyle name="T_Book1_BQ &amp; An Pondasi SEP &amp; WAREHOUSE-KIM I (R-0) 2 4 3" xfId="6929"/>
    <cellStyle name="T_Book1_BQ &amp; An Pondasi SEP &amp; WAREHOUSE-KIM I (R-0) 2 4 4" xfId="6928"/>
    <cellStyle name="T_Book1_BQ &amp; An Pondasi SEP &amp; WAREHOUSE-KIM I (R-0) 2 4 5" xfId="6927"/>
    <cellStyle name="T_Book1_BQ &amp; An Pondasi SEP &amp; WAREHOUSE-KIM I (R-0) 2 5" xfId="6926"/>
    <cellStyle name="T_Book1_BQ &amp; An Pondasi SEP &amp; WAREHOUSE-KIM I (R-0) 2 5 2" xfId="6925"/>
    <cellStyle name="T_Book1_BQ &amp; An Pondasi SEP &amp; WAREHOUSE-KIM I (R-0) 2 5 3" xfId="6924"/>
    <cellStyle name="T_Book1_BQ &amp; An Pondasi SEP &amp; WAREHOUSE-KIM I (R-0) 2 5 4" xfId="6923"/>
    <cellStyle name="T_Book1_BQ &amp; An Pondasi SEP &amp; WAREHOUSE-KIM I (R-0) 2 5 5" xfId="6922"/>
    <cellStyle name="T_Book1_BQ &amp; An Pondasi SEP &amp; WAREHOUSE-KIM I (R-0) 2 6" xfId="6921"/>
    <cellStyle name="T_Book1_BQ &amp; An Pondasi SEP &amp; WAREHOUSE-KIM I (R-0) 2 6 2" xfId="6920"/>
    <cellStyle name="T_Book1_BQ &amp; An Pondasi SEP &amp; WAREHOUSE-KIM I (R-0) 2 6 3" xfId="6919"/>
    <cellStyle name="T_Book1_BQ &amp; An Pondasi SEP &amp; WAREHOUSE-KIM I (R-0) 2 6 4" xfId="6918"/>
    <cellStyle name="T_Book1_BQ &amp; An Pondasi SEP &amp; WAREHOUSE-KIM I (R-0) 2 6 5" xfId="6917"/>
    <cellStyle name="T_Book1_BQ &amp; An Pondasi SEP &amp; WAREHOUSE-KIM I (R-0) 2 7" xfId="6916"/>
    <cellStyle name="T_Book1_BQ &amp; An Pondasi SEP &amp; WAREHOUSE-KIM I (R-0) 2 7 2" xfId="6915"/>
    <cellStyle name="T_Book1_BQ &amp; An Pondasi SEP &amp; WAREHOUSE-KIM I (R-0) 2 7 3" xfId="6914"/>
    <cellStyle name="T_Book1_BQ &amp; An Pondasi SEP &amp; WAREHOUSE-KIM I (R-0) 2 7 4" xfId="6913"/>
    <cellStyle name="T_Book1_BQ &amp; An Pondasi SEP &amp; WAREHOUSE-KIM I (R-0) 2 7 5" xfId="6912"/>
    <cellStyle name="T_Book1_BQ &amp; An Pondasi SEP &amp; WAREHOUSE-KIM I (R-0) 2 8" xfId="6911"/>
    <cellStyle name="T_Book1_BQ &amp; An Pondasi SEP &amp; WAREHOUSE-KIM I (R-0) 2 8 2" xfId="6910"/>
    <cellStyle name="T_Book1_BQ &amp; An Pondasi SEP &amp; WAREHOUSE-KIM I (R-0) 2 8 3" xfId="6909"/>
    <cellStyle name="T_Book1_BQ &amp; An Pondasi SEP &amp; WAREHOUSE-KIM I (R-0) 2 8 4" xfId="6908"/>
    <cellStyle name="T_Book1_BQ &amp; An Pondasi SEP &amp; WAREHOUSE-KIM I (R-0) 2 8 5" xfId="6907"/>
    <cellStyle name="T_Book1_BQ &amp; An Pondasi SEP &amp; WAREHOUSE-KIM I (R-0) 2 9" xfId="6906"/>
    <cellStyle name="T_Book1_BQ &amp; An Pondasi SEP &amp; WAREHOUSE-KIM I (R-0) 3" xfId="6905"/>
    <cellStyle name="T_Book1_BQ &amp; An Pondasi SEP &amp; WAREHOUSE-KIM I (R-0) 3 2" xfId="6904"/>
    <cellStyle name="T_Book1_BQ &amp; An Pondasi SEP &amp; WAREHOUSE-KIM I (R-0) 3 3" xfId="6903"/>
    <cellStyle name="T_Book1_BQ &amp; An Pondasi SEP &amp; WAREHOUSE-KIM I (R-0) 3 4" xfId="6902"/>
    <cellStyle name="T_Book1_BQ &amp; An Pondasi SEP &amp; WAREHOUSE-KIM I (R-0) 3 5" xfId="6901"/>
    <cellStyle name="T_Book1_BQ &amp; An Pondasi SEP &amp; WAREHOUSE-KIM I (R-0) 4" xfId="6900"/>
    <cellStyle name="T_Book1_BQ &amp; An Pondasi SEP &amp; WAREHOUSE-KIM I (R-0) 4 2" xfId="6899"/>
    <cellStyle name="T_Book1_BQ &amp; An Pondasi SEP &amp; WAREHOUSE-KIM I (R-0) 4 3" xfId="6898"/>
    <cellStyle name="T_Book1_BQ &amp; An Pondasi SEP &amp; WAREHOUSE-KIM I (R-0) 4 4" xfId="6897"/>
    <cellStyle name="T_Book1_BQ &amp; An Pondasi SEP &amp; WAREHOUSE-KIM I (R-0) 4 5" xfId="6896"/>
    <cellStyle name="T_Book1_BQ &amp; An Pondasi SEP &amp; WAREHOUSE-KIM I (R-0) 5" xfId="6895"/>
    <cellStyle name="T_Book1_BQ &amp; An Pondasi SEP &amp; WAREHOUSE-KIM I (R-0) 5 2" xfId="6894"/>
    <cellStyle name="T_Book1_BQ &amp; An Pondasi SEP &amp; WAREHOUSE-KIM I (R-0) 5 3" xfId="6893"/>
    <cellStyle name="T_Book1_BQ &amp; An Pondasi SEP &amp; WAREHOUSE-KIM I (R-0) 5 4" xfId="6892"/>
    <cellStyle name="T_Book1_BQ &amp; An Pondasi SEP &amp; WAREHOUSE-KIM I (R-0) 5 5" xfId="6891"/>
    <cellStyle name="T_Book1_BQ &amp; An Pondasi SEP &amp; WAREHOUSE-KIM I (R-0) 6" xfId="6890"/>
    <cellStyle name="T_Book1_BQ &amp; An Pondasi SEP &amp; WAREHOUSE-KIM I (R-0) 6 2" xfId="6889"/>
    <cellStyle name="T_Book1_BQ &amp; An Pondasi SEP &amp; WAREHOUSE-KIM I (R-0) 6 3" xfId="6888"/>
    <cellStyle name="T_Book1_BQ &amp; An Pondasi SEP &amp; WAREHOUSE-KIM I (R-0) 6 4" xfId="6887"/>
    <cellStyle name="T_Book1_BQ &amp; An Pondasi SEP &amp; WAREHOUSE-KIM I (R-0) 6 5" xfId="6886"/>
    <cellStyle name="T_Book1_BQ &amp; An Pondasi SEP &amp; WAREHOUSE-KIM I (R-0) 7" xfId="6885"/>
    <cellStyle name="T_Book1_BQ &amp; An Pondasi SEP &amp; WAREHOUSE-KIM I (R-0) 7 2" xfId="6884"/>
    <cellStyle name="T_Book1_BQ &amp; An Pondasi SEP &amp; WAREHOUSE-KIM I (R-0) 7 3" xfId="6883"/>
    <cellStyle name="T_Book1_BQ &amp; An Pondasi SEP &amp; WAREHOUSE-KIM I (R-0) 7 4" xfId="6882"/>
    <cellStyle name="T_Book1_BQ &amp; An Pondasi SEP &amp; WAREHOUSE-KIM I (R-0) 7 5" xfId="6881"/>
    <cellStyle name="T_Book1_BQ &amp; An Pondasi SEP &amp; WAREHOUSE-KIM I (R-0) 8" xfId="6880"/>
    <cellStyle name="T_Book1_BQ &amp; An Pondasi SEP &amp; WAREHOUSE-KIM I (R-0) 8 2" xfId="6879"/>
    <cellStyle name="T_Book1_BQ &amp; An Pondasi SEP &amp; WAREHOUSE-KIM I (R-0) 8 3" xfId="6878"/>
    <cellStyle name="T_Book1_BQ &amp; An Pondasi SEP &amp; WAREHOUSE-KIM I (R-0) 8 4" xfId="6877"/>
    <cellStyle name="T_Book1_BQ &amp; An Pondasi SEP &amp; WAREHOUSE-KIM I (R-0) 8 5" xfId="6876"/>
    <cellStyle name="T_Book1_BQ &amp; An Pondasi SEP &amp; WAREHOUSE-KIM I (R-0) 9" xfId="6875"/>
    <cellStyle name="T_Book1_BQ &amp; An Pondasi SEP &amp; WAREHOUSE-KIM I (R-0) 9 2" xfId="6874"/>
    <cellStyle name="T_Book1_BQ &amp; An Pondasi SEP &amp; WAREHOUSE-KIM I (R-0) 9 3" xfId="6873"/>
    <cellStyle name="T_Book1_BQ &amp; An Pondasi SEP &amp; WAREHOUSE-KIM I (R-0) 9 4" xfId="6872"/>
    <cellStyle name="T_Book1_BQ &amp; An Pondasi SEP &amp; WAREHOUSE-KIM I (R-0) 9 5" xfId="6871"/>
    <cellStyle name="T_Book1_BQ &amp; An Pondasi SEP &amp; WAREHOUSE-KIM I (R-0)_GALIAN C" xfId="6870"/>
    <cellStyle name="T_Book1_BQ &amp; An Pondasi SEP &amp; WAREHOUSE-KIM I (R-0)_GALIAN C 10" xfId="6869"/>
    <cellStyle name="T_Book1_BQ &amp; An Pondasi SEP &amp; WAREHOUSE-KIM I (R-0)_GALIAN C 11" xfId="6868"/>
    <cellStyle name="T_Book1_BQ &amp; An Pondasi SEP &amp; WAREHOUSE-KIM I (R-0)_GALIAN C 12" xfId="6867"/>
    <cellStyle name="T_Book1_BQ &amp; An Pondasi SEP &amp; WAREHOUSE-KIM I (R-0)_GALIAN C 2" xfId="6866"/>
    <cellStyle name="T_Book1_BQ &amp; An Pondasi SEP &amp; WAREHOUSE-KIM I (R-0)_GALIAN C 2 2" xfId="6865"/>
    <cellStyle name="T_Book1_BQ &amp; An Pondasi SEP &amp; WAREHOUSE-KIM I (R-0)_GALIAN C 2 3" xfId="6864"/>
    <cellStyle name="T_Book1_BQ &amp; An Pondasi SEP &amp; WAREHOUSE-KIM I (R-0)_GALIAN C 2 4" xfId="6863"/>
    <cellStyle name="T_Book1_BQ &amp; An Pondasi SEP &amp; WAREHOUSE-KIM I (R-0)_GALIAN C 2 5" xfId="6862"/>
    <cellStyle name="T_Book1_BQ &amp; An Pondasi SEP &amp; WAREHOUSE-KIM I (R-0)_GALIAN C 3" xfId="6861"/>
    <cellStyle name="T_Book1_BQ &amp; An Pondasi SEP &amp; WAREHOUSE-KIM I (R-0)_GALIAN C 3 2" xfId="6860"/>
    <cellStyle name="T_Book1_BQ &amp; An Pondasi SEP &amp; WAREHOUSE-KIM I (R-0)_GALIAN C 3 3" xfId="6859"/>
    <cellStyle name="T_Book1_BQ &amp; An Pondasi SEP &amp; WAREHOUSE-KIM I (R-0)_GALIAN C 3 4" xfId="6858"/>
    <cellStyle name="T_Book1_BQ &amp; An Pondasi SEP &amp; WAREHOUSE-KIM I (R-0)_GALIAN C 3 5" xfId="6857"/>
    <cellStyle name="T_Book1_BQ &amp; An Pondasi SEP &amp; WAREHOUSE-KIM I (R-0)_GALIAN C 4" xfId="6856"/>
    <cellStyle name="T_Book1_BQ &amp; An Pondasi SEP &amp; WAREHOUSE-KIM I (R-0)_GALIAN C 4 2" xfId="6855"/>
    <cellStyle name="T_Book1_BQ &amp; An Pondasi SEP &amp; WAREHOUSE-KIM I (R-0)_GALIAN C 4 3" xfId="6854"/>
    <cellStyle name="T_Book1_BQ &amp; An Pondasi SEP &amp; WAREHOUSE-KIM I (R-0)_GALIAN C 4 4" xfId="6853"/>
    <cellStyle name="T_Book1_BQ &amp; An Pondasi SEP &amp; WAREHOUSE-KIM I (R-0)_GALIAN C 4 5" xfId="6852"/>
    <cellStyle name="T_Book1_BQ &amp; An Pondasi SEP &amp; WAREHOUSE-KIM I (R-0)_GALIAN C 5" xfId="6851"/>
    <cellStyle name="T_Book1_BQ &amp; An Pondasi SEP &amp; WAREHOUSE-KIM I (R-0)_GALIAN C 5 2" xfId="6850"/>
    <cellStyle name="T_Book1_BQ &amp; An Pondasi SEP &amp; WAREHOUSE-KIM I (R-0)_GALIAN C 5 3" xfId="6849"/>
    <cellStyle name="T_Book1_BQ &amp; An Pondasi SEP &amp; WAREHOUSE-KIM I (R-0)_GALIAN C 5 4" xfId="6848"/>
    <cellStyle name="T_Book1_BQ &amp; An Pondasi SEP &amp; WAREHOUSE-KIM I (R-0)_GALIAN C 5 5" xfId="6847"/>
    <cellStyle name="T_Book1_BQ &amp; An Pondasi SEP &amp; WAREHOUSE-KIM I (R-0)_GALIAN C 6" xfId="6846"/>
    <cellStyle name="T_Book1_BQ &amp; An Pondasi SEP &amp; WAREHOUSE-KIM I (R-0)_GALIAN C 6 2" xfId="6845"/>
    <cellStyle name="T_Book1_BQ &amp; An Pondasi SEP &amp; WAREHOUSE-KIM I (R-0)_GALIAN C 6 3" xfId="6844"/>
    <cellStyle name="T_Book1_BQ &amp; An Pondasi SEP &amp; WAREHOUSE-KIM I (R-0)_GALIAN C 6 4" xfId="6843"/>
    <cellStyle name="T_Book1_BQ &amp; An Pondasi SEP &amp; WAREHOUSE-KIM I (R-0)_GALIAN C 6 5" xfId="6842"/>
    <cellStyle name="T_Book1_BQ &amp; An Pondasi SEP &amp; WAREHOUSE-KIM I (R-0)_GALIAN C 7" xfId="6841"/>
    <cellStyle name="T_Book1_BQ &amp; An Pondasi SEP &amp; WAREHOUSE-KIM I (R-0)_GALIAN C 7 2" xfId="6840"/>
    <cellStyle name="T_Book1_BQ &amp; An Pondasi SEP &amp; WAREHOUSE-KIM I (R-0)_GALIAN C 7 3" xfId="6839"/>
    <cellStyle name="T_Book1_BQ &amp; An Pondasi SEP &amp; WAREHOUSE-KIM I (R-0)_GALIAN C 7 4" xfId="6838"/>
    <cellStyle name="T_Book1_BQ &amp; An Pondasi SEP &amp; WAREHOUSE-KIM I (R-0)_GALIAN C 7 5" xfId="6837"/>
    <cellStyle name="T_Book1_BQ &amp; An Pondasi SEP &amp; WAREHOUSE-KIM I (R-0)_GALIAN C 8" xfId="6836"/>
    <cellStyle name="T_Book1_BQ &amp; An Pondasi SEP &amp; WAREHOUSE-KIM I (R-0)_GALIAN C 8 2" xfId="6835"/>
    <cellStyle name="T_Book1_BQ &amp; An Pondasi SEP &amp; WAREHOUSE-KIM I (R-0)_GALIAN C 8 3" xfId="6834"/>
    <cellStyle name="T_Book1_BQ &amp; An Pondasi SEP &amp; WAREHOUSE-KIM I (R-0)_GALIAN C 8 4" xfId="6833"/>
    <cellStyle name="T_Book1_BQ &amp; An Pondasi SEP &amp; WAREHOUSE-KIM I (R-0)_GALIAN C 8 5" xfId="6832"/>
    <cellStyle name="T_Book1_BQ &amp; An Pondasi SEP &amp; WAREHOUSE-KIM I (R-0)_GALIAN C 9" xfId="6831"/>
    <cellStyle name="T_Book1_BQ &amp; An Pondasi SEP &amp; WAREHOUSE-KIM I (R-0)_Pen- Kodja Revisi 02 November 2009 (Rev 11-11-09)" xfId="6830"/>
    <cellStyle name="T_Book1_BQ &amp; An Pondasi SEP &amp; WAREHOUSE-KIM I (R-0)_Pen- Kodja Revisi 02 November 2009 (Rev 11-11-09) 10" xfId="6829"/>
    <cellStyle name="T_Book1_BQ &amp; An Pondasi SEP &amp; WAREHOUSE-KIM I (R-0)_Pen- Kodja Revisi 02 November 2009 (Rev 11-11-09) 11" xfId="6828"/>
    <cellStyle name="T_Book1_BQ &amp; An Pondasi SEP &amp; WAREHOUSE-KIM I (R-0)_Pen- Kodja Revisi 02 November 2009 (Rev 11-11-09) 12" xfId="6827"/>
    <cellStyle name="T_Book1_BQ &amp; An Pondasi SEP &amp; WAREHOUSE-KIM I (R-0)_Pen- Kodja Revisi 02 November 2009 (Rev 11-11-09) 2" xfId="6826"/>
    <cellStyle name="T_Book1_BQ &amp; An Pondasi SEP &amp; WAREHOUSE-KIM I (R-0)_Pen- Kodja Revisi 02 November 2009 (Rev 11-11-09) 2 2" xfId="6825"/>
    <cellStyle name="T_Book1_BQ &amp; An Pondasi SEP &amp; WAREHOUSE-KIM I (R-0)_Pen- Kodja Revisi 02 November 2009 (Rev 11-11-09) 2 3" xfId="6824"/>
    <cellStyle name="T_Book1_BQ &amp; An Pondasi SEP &amp; WAREHOUSE-KIM I (R-0)_Pen- Kodja Revisi 02 November 2009 (Rev 11-11-09) 2 4" xfId="6823"/>
    <cellStyle name="T_Book1_BQ &amp; An Pondasi SEP &amp; WAREHOUSE-KIM I (R-0)_Pen- Kodja Revisi 02 November 2009 (Rev 11-11-09) 2 5" xfId="6822"/>
    <cellStyle name="T_Book1_BQ &amp; An Pondasi SEP &amp; WAREHOUSE-KIM I (R-0)_Pen- Kodja Revisi 02 November 2009 (Rev 11-11-09) 3" xfId="6821"/>
    <cellStyle name="T_Book1_BQ &amp; An Pondasi SEP &amp; WAREHOUSE-KIM I (R-0)_Pen- Kodja Revisi 02 November 2009 (Rev 11-11-09) 3 2" xfId="6820"/>
    <cellStyle name="T_Book1_BQ &amp; An Pondasi SEP &amp; WAREHOUSE-KIM I (R-0)_Pen- Kodja Revisi 02 November 2009 (Rev 11-11-09) 3 3" xfId="6819"/>
    <cellStyle name="T_Book1_BQ &amp; An Pondasi SEP &amp; WAREHOUSE-KIM I (R-0)_Pen- Kodja Revisi 02 November 2009 (Rev 11-11-09) 3 4" xfId="6818"/>
    <cellStyle name="T_Book1_BQ &amp; An Pondasi SEP &amp; WAREHOUSE-KIM I (R-0)_Pen- Kodja Revisi 02 November 2009 (Rev 11-11-09) 3 5" xfId="6817"/>
    <cellStyle name="T_Book1_BQ &amp; An Pondasi SEP &amp; WAREHOUSE-KIM I (R-0)_Pen- Kodja Revisi 02 November 2009 (Rev 11-11-09) 4" xfId="6816"/>
    <cellStyle name="T_Book1_BQ &amp; An Pondasi SEP &amp; WAREHOUSE-KIM I (R-0)_Pen- Kodja Revisi 02 November 2009 (Rev 11-11-09) 4 2" xfId="6815"/>
    <cellStyle name="T_Book1_BQ &amp; An Pondasi SEP &amp; WAREHOUSE-KIM I (R-0)_Pen- Kodja Revisi 02 November 2009 (Rev 11-11-09) 4 3" xfId="6814"/>
    <cellStyle name="T_Book1_BQ &amp; An Pondasi SEP &amp; WAREHOUSE-KIM I (R-0)_Pen- Kodja Revisi 02 November 2009 (Rev 11-11-09) 4 4" xfId="6813"/>
    <cellStyle name="T_Book1_BQ &amp; An Pondasi SEP &amp; WAREHOUSE-KIM I (R-0)_Pen- Kodja Revisi 02 November 2009 (Rev 11-11-09) 4 5" xfId="6812"/>
    <cellStyle name="T_Book1_BQ &amp; An Pondasi SEP &amp; WAREHOUSE-KIM I (R-0)_Pen- Kodja Revisi 02 November 2009 (Rev 11-11-09) 5" xfId="6811"/>
    <cellStyle name="T_Book1_BQ &amp; An Pondasi SEP &amp; WAREHOUSE-KIM I (R-0)_Pen- Kodja Revisi 02 November 2009 (Rev 11-11-09) 5 2" xfId="6810"/>
    <cellStyle name="T_Book1_BQ &amp; An Pondasi SEP &amp; WAREHOUSE-KIM I (R-0)_Pen- Kodja Revisi 02 November 2009 (Rev 11-11-09) 5 3" xfId="6809"/>
    <cellStyle name="T_Book1_BQ &amp; An Pondasi SEP &amp; WAREHOUSE-KIM I (R-0)_Pen- Kodja Revisi 02 November 2009 (Rev 11-11-09) 5 4" xfId="6808"/>
    <cellStyle name="T_Book1_BQ &amp; An Pondasi SEP &amp; WAREHOUSE-KIM I (R-0)_Pen- Kodja Revisi 02 November 2009 (Rev 11-11-09) 5 5" xfId="6807"/>
    <cellStyle name="T_Book1_BQ &amp; An Pondasi SEP &amp; WAREHOUSE-KIM I (R-0)_Pen- Kodja Revisi 02 November 2009 (Rev 11-11-09) 6" xfId="6806"/>
    <cellStyle name="T_Book1_BQ &amp; An Pondasi SEP &amp; WAREHOUSE-KIM I (R-0)_Pen- Kodja Revisi 02 November 2009 (Rev 11-11-09) 6 2" xfId="6805"/>
    <cellStyle name="T_Book1_BQ &amp; An Pondasi SEP &amp; WAREHOUSE-KIM I (R-0)_Pen- Kodja Revisi 02 November 2009 (Rev 11-11-09) 6 3" xfId="6804"/>
    <cellStyle name="T_Book1_BQ &amp; An Pondasi SEP &amp; WAREHOUSE-KIM I (R-0)_Pen- Kodja Revisi 02 November 2009 (Rev 11-11-09) 6 4" xfId="6803"/>
    <cellStyle name="T_Book1_BQ &amp; An Pondasi SEP &amp; WAREHOUSE-KIM I (R-0)_Pen- Kodja Revisi 02 November 2009 (Rev 11-11-09) 6 5" xfId="6802"/>
    <cellStyle name="T_Book1_BQ &amp; An Pondasi SEP &amp; WAREHOUSE-KIM I (R-0)_Pen- Kodja Revisi 02 November 2009 (Rev 11-11-09) 7" xfId="6801"/>
    <cellStyle name="T_Book1_BQ &amp; An Pondasi SEP &amp; WAREHOUSE-KIM I (R-0)_Pen- Kodja Revisi 02 November 2009 (Rev 11-11-09) 7 2" xfId="6800"/>
    <cellStyle name="T_Book1_BQ &amp; An Pondasi SEP &amp; WAREHOUSE-KIM I (R-0)_Pen- Kodja Revisi 02 November 2009 (Rev 11-11-09) 7 3" xfId="6799"/>
    <cellStyle name="T_Book1_BQ &amp; An Pondasi SEP &amp; WAREHOUSE-KIM I (R-0)_Pen- Kodja Revisi 02 November 2009 (Rev 11-11-09) 7 4" xfId="6798"/>
    <cellStyle name="T_Book1_BQ &amp; An Pondasi SEP &amp; WAREHOUSE-KIM I (R-0)_Pen- Kodja Revisi 02 November 2009 (Rev 11-11-09) 7 5" xfId="6797"/>
    <cellStyle name="T_Book1_BQ &amp; An Pondasi SEP &amp; WAREHOUSE-KIM I (R-0)_Pen- Kodja Revisi 02 November 2009 (Rev 11-11-09) 8" xfId="6796"/>
    <cellStyle name="T_Book1_BQ &amp; An Pondasi SEP &amp; WAREHOUSE-KIM I (R-0)_Pen- Kodja Revisi 02 November 2009 (Rev 11-11-09) 8 2" xfId="6795"/>
    <cellStyle name="T_Book1_BQ &amp; An Pondasi SEP &amp; WAREHOUSE-KIM I (R-0)_Pen- Kodja Revisi 02 November 2009 (Rev 11-11-09) 8 3" xfId="6794"/>
    <cellStyle name="T_Book1_BQ &amp; An Pondasi SEP &amp; WAREHOUSE-KIM I (R-0)_Pen- Kodja Revisi 02 November 2009 (Rev 11-11-09) 8 4" xfId="6793"/>
    <cellStyle name="T_Book1_BQ &amp; An Pondasi SEP &amp; WAREHOUSE-KIM I (R-0)_Pen- Kodja Revisi 02 November 2009 (Rev 11-11-09) 8 5" xfId="6792"/>
    <cellStyle name="T_Book1_BQ &amp; An Pondasi SEP &amp; WAREHOUSE-KIM I (R-0)_Pen- Kodja Revisi 02 November 2009 (Rev 11-11-09) 9" xfId="6791"/>
    <cellStyle name="T_Book1_BQ &amp; An Pondasi SEP &amp; WAREHOUSE-KIM I (R-0)_Pen- Kodja Revisi 27 JAN 2010" xfId="6790"/>
    <cellStyle name="T_Book1_BQ &amp; An Pondasi SEP &amp; WAREHOUSE-KIM I (R-0)_Pen- Kodja Revisi 27 JAN 2010 10" xfId="6789"/>
    <cellStyle name="T_Book1_BQ &amp; An Pondasi SEP &amp; WAREHOUSE-KIM I (R-0)_Pen- Kodja Revisi 27 JAN 2010 11" xfId="6788"/>
    <cellStyle name="T_Book1_BQ &amp; An Pondasi SEP &amp; WAREHOUSE-KIM I (R-0)_Pen- Kodja Revisi 27 JAN 2010 12" xfId="6787"/>
    <cellStyle name="T_Book1_BQ &amp; An Pondasi SEP &amp; WAREHOUSE-KIM I (R-0)_Pen- Kodja Revisi 27 JAN 2010 2" xfId="6786"/>
    <cellStyle name="T_Book1_BQ &amp; An Pondasi SEP &amp; WAREHOUSE-KIM I (R-0)_Pen- Kodja Revisi 27 JAN 2010 2 2" xfId="6785"/>
    <cellStyle name="T_Book1_BQ &amp; An Pondasi SEP &amp; WAREHOUSE-KIM I (R-0)_Pen- Kodja Revisi 27 JAN 2010 2 3" xfId="6784"/>
    <cellStyle name="T_Book1_BQ &amp; An Pondasi SEP &amp; WAREHOUSE-KIM I (R-0)_Pen- Kodja Revisi 27 JAN 2010 2 4" xfId="6783"/>
    <cellStyle name="T_Book1_BQ &amp; An Pondasi SEP &amp; WAREHOUSE-KIM I (R-0)_Pen- Kodja Revisi 27 JAN 2010 2 5" xfId="6782"/>
    <cellStyle name="T_Book1_BQ &amp; An Pondasi SEP &amp; WAREHOUSE-KIM I (R-0)_Pen- Kodja Revisi 27 JAN 2010 3" xfId="6781"/>
    <cellStyle name="T_Book1_BQ &amp; An Pondasi SEP &amp; WAREHOUSE-KIM I (R-0)_Pen- Kodja Revisi 27 JAN 2010 3 2" xfId="6780"/>
    <cellStyle name="T_Book1_BQ &amp; An Pondasi SEP &amp; WAREHOUSE-KIM I (R-0)_Pen- Kodja Revisi 27 JAN 2010 3 3" xfId="6779"/>
    <cellStyle name="T_Book1_BQ &amp; An Pondasi SEP &amp; WAREHOUSE-KIM I (R-0)_Pen- Kodja Revisi 27 JAN 2010 3 4" xfId="6778"/>
    <cellStyle name="T_Book1_BQ &amp; An Pondasi SEP &amp; WAREHOUSE-KIM I (R-0)_Pen- Kodja Revisi 27 JAN 2010 3 5" xfId="6777"/>
    <cellStyle name="T_Book1_BQ &amp; An Pondasi SEP &amp; WAREHOUSE-KIM I (R-0)_Pen- Kodja Revisi 27 JAN 2010 4" xfId="6776"/>
    <cellStyle name="T_Book1_BQ &amp; An Pondasi SEP &amp; WAREHOUSE-KIM I (R-0)_Pen- Kodja Revisi 27 JAN 2010 4 2" xfId="6775"/>
    <cellStyle name="T_Book1_BQ &amp; An Pondasi SEP &amp; WAREHOUSE-KIM I (R-0)_Pen- Kodja Revisi 27 JAN 2010 4 3" xfId="6774"/>
    <cellStyle name="T_Book1_BQ &amp; An Pondasi SEP &amp; WAREHOUSE-KIM I (R-0)_Pen- Kodja Revisi 27 JAN 2010 4 4" xfId="6773"/>
    <cellStyle name="T_Book1_BQ &amp; An Pondasi SEP &amp; WAREHOUSE-KIM I (R-0)_Pen- Kodja Revisi 27 JAN 2010 4 5" xfId="6772"/>
    <cellStyle name="T_Book1_BQ &amp; An Pondasi SEP &amp; WAREHOUSE-KIM I (R-0)_Pen- Kodja Revisi 27 JAN 2010 5" xfId="6771"/>
    <cellStyle name="T_Book1_BQ &amp; An Pondasi SEP &amp; WAREHOUSE-KIM I (R-0)_Pen- Kodja Revisi 27 JAN 2010 5 2" xfId="6770"/>
    <cellStyle name="T_Book1_BQ &amp; An Pondasi SEP &amp; WAREHOUSE-KIM I (R-0)_Pen- Kodja Revisi 27 JAN 2010 5 3" xfId="6769"/>
    <cellStyle name="T_Book1_BQ &amp; An Pondasi SEP &amp; WAREHOUSE-KIM I (R-0)_Pen- Kodja Revisi 27 JAN 2010 5 4" xfId="6768"/>
    <cellStyle name="T_Book1_BQ &amp; An Pondasi SEP &amp; WAREHOUSE-KIM I (R-0)_Pen- Kodja Revisi 27 JAN 2010 5 5" xfId="6767"/>
    <cellStyle name="T_Book1_BQ &amp; An Pondasi SEP &amp; WAREHOUSE-KIM I (R-0)_Pen- Kodja Revisi 27 JAN 2010 6" xfId="6766"/>
    <cellStyle name="T_Book1_BQ &amp; An Pondasi SEP &amp; WAREHOUSE-KIM I (R-0)_Pen- Kodja Revisi 27 JAN 2010 6 2" xfId="6765"/>
    <cellStyle name="T_Book1_BQ &amp; An Pondasi SEP &amp; WAREHOUSE-KIM I (R-0)_Pen- Kodja Revisi 27 JAN 2010 6 3" xfId="6764"/>
    <cellStyle name="T_Book1_BQ &amp; An Pondasi SEP &amp; WAREHOUSE-KIM I (R-0)_Pen- Kodja Revisi 27 JAN 2010 6 4" xfId="6763"/>
    <cellStyle name="T_Book1_BQ &amp; An Pondasi SEP &amp; WAREHOUSE-KIM I (R-0)_Pen- Kodja Revisi 27 JAN 2010 6 5" xfId="6762"/>
    <cellStyle name="T_Book1_BQ &amp; An Pondasi SEP &amp; WAREHOUSE-KIM I (R-0)_Pen- Kodja Revisi 27 JAN 2010 7" xfId="6761"/>
    <cellStyle name="T_Book1_BQ &amp; An Pondasi SEP &amp; WAREHOUSE-KIM I (R-0)_Pen- Kodja Revisi 27 JAN 2010 7 2" xfId="6760"/>
    <cellStyle name="T_Book1_BQ &amp; An Pondasi SEP &amp; WAREHOUSE-KIM I (R-0)_Pen- Kodja Revisi 27 JAN 2010 7 3" xfId="6759"/>
    <cellStyle name="T_Book1_BQ &amp; An Pondasi SEP &amp; WAREHOUSE-KIM I (R-0)_Pen- Kodja Revisi 27 JAN 2010 7 4" xfId="6758"/>
    <cellStyle name="T_Book1_BQ &amp; An Pondasi SEP &amp; WAREHOUSE-KIM I (R-0)_Pen- Kodja Revisi 27 JAN 2010 7 5" xfId="6757"/>
    <cellStyle name="T_Book1_BQ &amp; An Pondasi SEP &amp; WAREHOUSE-KIM I (R-0)_Pen- Kodja Revisi 27 JAN 2010 8" xfId="6756"/>
    <cellStyle name="T_Book1_BQ &amp; An Pondasi SEP &amp; WAREHOUSE-KIM I (R-0)_Pen- Kodja Revisi 27 JAN 2010 8 2" xfId="6755"/>
    <cellStyle name="T_Book1_BQ &amp; An Pondasi SEP &amp; WAREHOUSE-KIM I (R-0)_Pen- Kodja Revisi 27 JAN 2010 8 3" xfId="6754"/>
    <cellStyle name="T_Book1_BQ &amp; An Pondasi SEP &amp; WAREHOUSE-KIM I (R-0)_Pen- Kodja Revisi 27 JAN 2010 8 4" xfId="6753"/>
    <cellStyle name="T_Book1_BQ &amp; An Pondasi SEP &amp; WAREHOUSE-KIM I (R-0)_Pen- Kodja Revisi 27 JAN 2010 8 5" xfId="6752"/>
    <cellStyle name="T_Book1_BQ &amp; An Pondasi SEP &amp; WAREHOUSE-KIM I (R-0)_Pen- Kodja Revisi 27 JAN 2010 9" xfId="6751"/>
    <cellStyle name="T_Book1_BQ &amp; An Pondasi SEP &amp; WAREHOUSE-KIM I (R-0)_RAB Kodja Revisi 22 feb 2010" xfId="6750"/>
    <cellStyle name="T_Book1_BQ &amp; An Pondasi SEP &amp; WAREHOUSE-KIM I (R-0)_RAB Kodja Revisi 22 feb 2010 10" xfId="6749"/>
    <cellStyle name="T_Book1_BQ &amp; An Pondasi SEP &amp; WAREHOUSE-KIM I (R-0)_RAB Kodja Revisi 22 feb 2010 11" xfId="6748"/>
    <cellStyle name="T_Book1_BQ &amp; An Pondasi SEP &amp; WAREHOUSE-KIM I (R-0)_RAB Kodja Revisi 22 feb 2010 12" xfId="6747"/>
    <cellStyle name="T_Book1_BQ &amp; An Pondasi SEP &amp; WAREHOUSE-KIM I (R-0)_RAB Kodja Revisi 22 feb 2010 2" xfId="6746"/>
    <cellStyle name="T_Book1_BQ &amp; An Pondasi SEP &amp; WAREHOUSE-KIM I (R-0)_RAB Kodja Revisi 22 feb 2010 2 2" xfId="6745"/>
    <cellStyle name="T_Book1_BQ &amp; An Pondasi SEP &amp; WAREHOUSE-KIM I (R-0)_RAB Kodja Revisi 22 feb 2010 2 3" xfId="6744"/>
    <cellStyle name="T_Book1_BQ &amp; An Pondasi SEP &amp; WAREHOUSE-KIM I (R-0)_RAB Kodja Revisi 22 feb 2010 2 4" xfId="6743"/>
    <cellStyle name="T_Book1_BQ &amp; An Pondasi SEP &amp; WAREHOUSE-KIM I (R-0)_RAB Kodja Revisi 22 feb 2010 2 5" xfId="6742"/>
    <cellStyle name="T_Book1_BQ &amp; An Pondasi SEP &amp; WAREHOUSE-KIM I (R-0)_RAB Kodja Revisi 22 feb 2010 3" xfId="6741"/>
    <cellStyle name="T_Book1_BQ &amp; An Pondasi SEP &amp; WAREHOUSE-KIM I (R-0)_RAB Kodja Revisi 22 feb 2010 3 2" xfId="6740"/>
    <cellStyle name="T_Book1_BQ &amp; An Pondasi SEP &amp; WAREHOUSE-KIM I (R-0)_RAB Kodja Revisi 22 feb 2010 3 3" xfId="6739"/>
    <cellStyle name="T_Book1_BQ &amp; An Pondasi SEP &amp; WAREHOUSE-KIM I (R-0)_RAB Kodja Revisi 22 feb 2010 3 4" xfId="6738"/>
    <cellStyle name="T_Book1_BQ &amp; An Pondasi SEP &amp; WAREHOUSE-KIM I (R-0)_RAB Kodja Revisi 22 feb 2010 3 5" xfId="6737"/>
    <cellStyle name="T_Book1_BQ &amp; An Pondasi SEP &amp; WAREHOUSE-KIM I (R-0)_RAB Kodja Revisi 22 feb 2010 4" xfId="6736"/>
    <cellStyle name="T_Book1_BQ &amp; An Pondasi SEP &amp; WAREHOUSE-KIM I (R-0)_RAB Kodja Revisi 22 feb 2010 4 2" xfId="6735"/>
    <cellStyle name="T_Book1_BQ &amp; An Pondasi SEP &amp; WAREHOUSE-KIM I (R-0)_RAB Kodja Revisi 22 feb 2010 4 3" xfId="6734"/>
    <cellStyle name="T_Book1_BQ &amp; An Pondasi SEP &amp; WAREHOUSE-KIM I (R-0)_RAB Kodja Revisi 22 feb 2010 4 4" xfId="6733"/>
    <cellStyle name="T_Book1_BQ &amp; An Pondasi SEP &amp; WAREHOUSE-KIM I (R-0)_RAB Kodja Revisi 22 feb 2010 4 5" xfId="6732"/>
    <cellStyle name="T_Book1_BQ &amp; An Pondasi SEP &amp; WAREHOUSE-KIM I (R-0)_RAB Kodja Revisi 22 feb 2010 5" xfId="6731"/>
    <cellStyle name="T_Book1_BQ &amp; An Pondasi SEP &amp; WAREHOUSE-KIM I (R-0)_RAB Kodja Revisi 22 feb 2010 5 2" xfId="6730"/>
    <cellStyle name="T_Book1_BQ &amp; An Pondasi SEP &amp; WAREHOUSE-KIM I (R-0)_RAB Kodja Revisi 22 feb 2010 5 3" xfId="6729"/>
    <cellStyle name="T_Book1_BQ &amp; An Pondasi SEP &amp; WAREHOUSE-KIM I (R-0)_RAB Kodja Revisi 22 feb 2010 5 4" xfId="6728"/>
    <cellStyle name="T_Book1_BQ &amp; An Pondasi SEP &amp; WAREHOUSE-KIM I (R-0)_RAB Kodja Revisi 22 feb 2010 5 5" xfId="6727"/>
    <cellStyle name="T_Book1_BQ &amp; An Pondasi SEP &amp; WAREHOUSE-KIM I (R-0)_RAB Kodja Revisi 22 feb 2010 6" xfId="6726"/>
    <cellStyle name="T_Book1_BQ &amp; An Pondasi SEP &amp; WAREHOUSE-KIM I (R-0)_RAB Kodja Revisi 22 feb 2010 6 2" xfId="6725"/>
    <cellStyle name="T_Book1_BQ &amp; An Pondasi SEP &amp; WAREHOUSE-KIM I (R-0)_RAB Kodja Revisi 22 feb 2010 6 3" xfId="6724"/>
    <cellStyle name="T_Book1_BQ &amp; An Pondasi SEP &amp; WAREHOUSE-KIM I (R-0)_RAB Kodja Revisi 22 feb 2010 6 4" xfId="6723"/>
    <cellStyle name="T_Book1_BQ &amp; An Pondasi SEP &amp; WAREHOUSE-KIM I (R-0)_RAB Kodja Revisi 22 feb 2010 6 5" xfId="6722"/>
    <cellStyle name="T_Book1_BQ &amp; An Pondasi SEP &amp; WAREHOUSE-KIM I (R-0)_RAB Kodja Revisi 22 feb 2010 7" xfId="6721"/>
    <cellStyle name="T_Book1_BQ &amp; An Pondasi SEP &amp; WAREHOUSE-KIM I (R-0)_RAB Kodja Revisi 22 feb 2010 7 2" xfId="6720"/>
    <cellStyle name="T_Book1_BQ &amp; An Pondasi SEP &amp; WAREHOUSE-KIM I (R-0)_RAB Kodja Revisi 22 feb 2010 7 3" xfId="6719"/>
    <cellStyle name="T_Book1_BQ &amp; An Pondasi SEP &amp; WAREHOUSE-KIM I (R-0)_RAB Kodja Revisi 22 feb 2010 7 4" xfId="6718"/>
    <cellStyle name="T_Book1_BQ &amp; An Pondasi SEP &amp; WAREHOUSE-KIM I (R-0)_RAB Kodja Revisi 22 feb 2010 7 5" xfId="6717"/>
    <cellStyle name="T_Book1_BQ &amp; An Pondasi SEP &amp; WAREHOUSE-KIM I (R-0)_RAB Kodja Revisi 22 feb 2010 8" xfId="6716"/>
    <cellStyle name="T_Book1_BQ &amp; An Pondasi SEP &amp; WAREHOUSE-KIM I (R-0)_RAB Kodja Revisi 22 feb 2010 8 2" xfId="6715"/>
    <cellStyle name="T_Book1_BQ &amp; An Pondasi SEP &amp; WAREHOUSE-KIM I (R-0)_RAB Kodja Revisi 22 feb 2010 8 3" xfId="6714"/>
    <cellStyle name="T_Book1_BQ &amp; An Pondasi SEP &amp; WAREHOUSE-KIM I (R-0)_RAB Kodja Revisi 22 feb 2010 8 4" xfId="6713"/>
    <cellStyle name="T_Book1_BQ &amp; An Pondasi SEP &amp; WAREHOUSE-KIM I (R-0)_RAB Kodja Revisi 22 feb 2010 8 5" xfId="6712"/>
    <cellStyle name="T_Book1_BQ &amp; An Pondasi SEP &amp; WAREHOUSE-KIM I (R-0)_RAB Kodja Revisi 22 feb 2010 9" xfId="6711"/>
    <cellStyle name="T_Book1_BQ &amp; An Pondasi SEP &amp; WAREHOUSE-KIM I (R-0)_RAB Kodja Revisi 23 feb 2010, revisi analisa" xfId="6710"/>
    <cellStyle name="T_Book1_BQ &amp; An Pondasi SEP &amp; WAREHOUSE-KIM I (R-0)_RAB Kodja Revisi 23 feb 2010, revisi analisa 10" xfId="6709"/>
    <cellStyle name="T_Book1_BQ &amp; An Pondasi SEP &amp; WAREHOUSE-KIM I (R-0)_RAB Kodja Revisi 23 feb 2010, revisi analisa 11" xfId="6708"/>
    <cellStyle name="T_Book1_BQ &amp; An Pondasi SEP &amp; WAREHOUSE-KIM I (R-0)_RAB Kodja Revisi 23 feb 2010, revisi analisa 12" xfId="6707"/>
    <cellStyle name="T_Book1_BQ &amp; An Pondasi SEP &amp; WAREHOUSE-KIM I (R-0)_RAB Kodja Revisi 23 feb 2010, revisi analisa 2" xfId="6706"/>
    <cellStyle name="T_Book1_BQ &amp; An Pondasi SEP &amp; WAREHOUSE-KIM I (R-0)_RAB Kodja Revisi 23 feb 2010, revisi analisa 2 2" xfId="6705"/>
    <cellStyle name="T_Book1_BQ &amp; An Pondasi SEP &amp; WAREHOUSE-KIM I (R-0)_RAB Kodja Revisi 23 feb 2010, revisi analisa 2 3" xfId="6704"/>
    <cellStyle name="T_Book1_BQ &amp; An Pondasi SEP &amp; WAREHOUSE-KIM I (R-0)_RAB Kodja Revisi 23 feb 2010, revisi analisa 2 4" xfId="6703"/>
    <cellStyle name="T_Book1_BQ &amp; An Pondasi SEP &amp; WAREHOUSE-KIM I (R-0)_RAB Kodja Revisi 23 feb 2010, revisi analisa 2 5" xfId="6702"/>
    <cellStyle name="T_Book1_BQ &amp; An Pondasi SEP &amp; WAREHOUSE-KIM I (R-0)_RAB Kodja Revisi 23 feb 2010, revisi analisa 3" xfId="6701"/>
    <cellStyle name="T_Book1_BQ &amp; An Pondasi SEP &amp; WAREHOUSE-KIM I (R-0)_RAB Kodja Revisi 23 feb 2010, revisi analisa 3 2" xfId="6700"/>
    <cellStyle name="T_Book1_BQ &amp; An Pondasi SEP &amp; WAREHOUSE-KIM I (R-0)_RAB Kodja Revisi 23 feb 2010, revisi analisa 3 3" xfId="6699"/>
    <cellStyle name="T_Book1_BQ &amp; An Pondasi SEP &amp; WAREHOUSE-KIM I (R-0)_RAB Kodja Revisi 23 feb 2010, revisi analisa 3 4" xfId="6698"/>
    <cellStyle name="T_Book1_BQ &amp; An Pondasi SEP &amp; WAREHOUSE-KIM I (R-0)_RAB Kodja Revisi 23 feb 2010, revisi analisa 3 5" xfId="6697"/>
    <cellStyle name="T_Book1_BQ &amp; An Pondasi SEP &amp; WAREHOUSE-KIM I (R-0)_RAB Kodja Revisi 23 feb 2010, revisi analisa 4" xfId="6696"/>
    <cellStyle name="T_Book1_BQ &amp; An Pondasi SEP &amp; WAREHOUSE-KIM I (R-0)_RAB Kodja Revisi 23 feb 2010, revisi analisa 4 2" xfId="6695"/>
    <cellStyle name="T_Book1_BQ &amp; An Pondasi SEP &amp; WAREHOUSE-KIM I (R-0)_RAB Kodja Revisi 23 feb 2010, revisi analisa 4 3" xfId="6694"/>
    <cellStyle name="T_Book1_BQ &amp; An Pondasi SEP &amp; WAREHOUSE-KIM I (R-0)_RAB Kodja Revisi 23 feb 2010, revisi analisa 4 4" xfId="6693"/>
    <cellStyle name="T_Book1_BQ &amp; An Pondasi SEP &amp; WAREHOUSE-KIM I (R-0)_RAB Kodja Revisi 23 feb 2010, revisi analisa 4 5" xfId="6692"/>
    <cellStyle name="T_Book1_BQ &amp; An Pondasi SEP &amp; WAREHOUSE-KIM I (R-0)_RAB Kodja Revisi 23 feb 2010, revisi analisa 5" xfId="6691"/>
    <cellStyle name="T_Book1_BQ &amp; An Pondasi SEP &amp; WAREHOUSE-KIM I (R-0)_RAB Kodja Revisi 23 feb 2010, revisi analisa 5 2" xfId="6690"/>
    <cellStyle name="T_Book1_BQ &amp; An Pondasi SEP &amp; WAREHOUSE-KIM I (R-0)_RAB Kodja Revisi 23 feb 2010, revisi analisa 5 3" xfId="6689"/>
    <cellStyle name="T_Book1_BQ &amp; An Pondasi SEP &amp; WAREHOUSE-KIM I (R-0)_RAB Kodja Revisi 23 feb 2010, revisi analisa 5 4" xfId="6688"/>
    <cellStyle name="T_Book1_BQ &amp; An Pondasi SEP &amp; WAREHOUSE-KIM I (R-0)_RAB Kodja Revisi 23 feb 2010, revisi analisa 5 5" xfId="6687"/>
    <cellStyle name="T_Book1_BQ &amp; An Pondasi SEP &amp; WAREHOUSE-KIM I (R-0)_RAB Kodja Revisi 23 feb 2010, revisi analisa 6" xfId="6686"/>
    <cellStyle name="T_Book1_BQ &amp; An Pondasi SEP &amp; WAREHOUSE-KIM I (R-0)_RAB Kodja Revisi 23 feb 2010, revisi analisa 6 2" xfId="6685"/>
    <cellStyle name="T_Book1_BQ &amp; An Pondasi SEP &amp; WAREHOUSE-KIM I (R-0)_RAB Kodja Revisi 23 feb 2010, revisi analisa 6 3" xfId="6684"/>
    <cellStyle name="T_Book1_BQ &amp; An Pondasi SEP &amp; WAREHOUSE-KIM I (R-0)_RAB Kodja Revisi 23 feb 2010, revisi analisa 6 4" xfId="6683"/>
    <cellStyle name="T_Book1_BQ &amp; An Pondasi SEP &amp; WAREHOUSE-KIM I (R-0)_RAB Kodja Revisi 23 feb 2010, revisi analisa 6 5" xfId="6682"/>
    <cellStyle name="T_Book1_BQ &amp; An Pondasi SEP &amp; WAREHOUSE-KIM I (R-0)_RAB Kodja Revisi 23 feb 2010, revisi analisa 7" xfId="6681"/>
    <cellStyle name="T_Book1_BQ &amp; An Pondasi SEP &amp; WAREHOUSE-KIM I (R-0)_RAB Kodja Revisi 23 feb 2010, revisi analisa 7 2" xfId="6680"/>
    <cellStyle name="T_Book1_BQ &amp; An Pondasi SEP &amp; WAREHOUSE-KIM I (R-0)_RAB Kodja Revisi 23 feb 2010, revisi analisa 7 3" xfId="6679"/>
    <cellStyle name="T_Book1_BQ &amp; An Pondasi SEP &amp; WAREHOUSE-KIM I (R-0)_RAB Kodja Revisi 23 feb 2010, revisi analisa 7 4" xfId="6678"/>
    <cellStyle name="T_Book1_BQ &amp; An Pondasi SEP &amp; WAREHOUSE-KIM I (R-0)_RAB Kodja Revisi 23 feb 2010, revisi analisa 7 5" xfId="6677"/>
    <cellStyle name="T_Book1_BQ &amp; An Pondasi SEP &amp; WAREHOUSE-KIM I (R-0)_RAB Kodja Revisi 23 feb 2010, revisi analisa 8" xfId="6676"/>
    <cellStyle name="T_Book1_BQ &amp; An Pondasi SEP &amp; WAREHOUSE-KIM I (R-0)_RAB Kodja Revisi 23 feb 2010, revisi analisa 8 2" xfId="6675"/>
    <cellStyle name="T_Book1_BQ &amp; An Pondasi SEP &amp; WAREHOUSE-KIM I (R-0)_RAB Kodja Revisi 23 feb 2010, revisi analisa 8 3" xfId="6674"/>
    <cellStyle name="T_Book1_BQ &amp; An Pondasi SEP &amp; WAREHOUSE-KIM I (R-0)_RAB Kodja Revisi 23 feb 2010, revisi analisa 8 4" xfId="6673"/>
    <cellStyle name="T_Book1_BQ &amp; An Pondasi SEP &amp; WAREHOUSE-KIM I (R-0)_RAB Kodja Revisi 23 feb 2010, revisi analisa 8 5" xfId="6672"/>
    <cellStyle name="T_Book1_BQ &amp; An Pondasi SEP &amp; WAREHOUSE-KIM I (R-0)_RAB Kodja Revisi 23 feb 2010, revisi analisa 9" xfId="6671"/>
    <cellStyle name="T_Book1_BQ KUSEN TANJUNG PIANNG_EMAIL(2)" xfId="6670"/>
    <cellStyle name="T_Book1_BQ KUSEN TANJUNG PIANNG_EMAIL(2) 10" xfId="6669"/>
    <cellStyle name="T_Book1_BQ KUSEN TANJUNG PIANNG_EMAIL(2) 11" xfId="6668"/>
    <cellStyle name="T_Book1_BQ KUSEN TANJUNG PIANNG_EMAIL(2) 12" xfId="6667"/>
    <cellStyle name="T_Book1_BQ KUSEN TANJUNG PIANNG_EMAIL(2) 2" xfId="6666"/>
    <cellStyle name="T_Book1_BQ KUSEN TANJUNG PIANNG_EMAIL(2) 2 2" xfId="6665"/>
    <cellStyle name="T_Book1_BQ KUSEN TANJUNG PIANNG_EMAIL(2) 2 3" xfId="6664"/>
    <cellStyle name="T_Book1_BQ KUSEN TANJUNG PIANNG_EMAIL(2) 2 4" xfId="6663"/>
    <cellStyle name="T_Book1_BQ KUSEN TANJUNG PIANNG_EMAIL(2) 2 5" xfId="6662"/>
    <cellStyle name="T_Book1_BQ KUSEN TANJUNG PIANNG_EMAIL(2) 3" xfId="6661"/>
    <cellStyle name="T_Book1_BQ KUSEN TANJUNG PIANNG_EMAIL(2) 3 2" xfId="6660"/>
    <cellStyle name="T_Book1_BQ KUSEN TANJUNG PIANNG_EMAIL(2) 3 3" xfId="6659"/>
    <cellStyle name="T_Book1_BQ KUSEN TANJUNG PIANNG_EMAIL(2) 3 4" xfId="6658"/>
    <cellStyle name="T_Book1_BQ KUSEN TANJUNG PIANNG_EMAIL(2) 3 5" xfId="6657"/>
    <cellStyle name="T_Book1_BQ KUSEN TANJUNG PIANNG_EMAIL(2) 4" xfId="6656"/>
    <cellStyle name="T_Book1_BQ KUSEN TANJUNG PIANNG_EMAIL(2) 4 2" xfId="6655"/>
    <cellStyle name="T_Book1_BQ KUSEN TANJUNG PIANNG_EMAIL(2) 4 3" xfId="6654"/>
    <cellStyle name="T_Book1_BQ KUSEN TANJUNG PIANNG_EMAIL(2) 4 4" xfId="6653"/>
    <cellStyle name="T_Book1_BQ KUSEN TANJUNG PIANNG_EMAIL(2) 4 5" xfId="6652"/>
    <cellStyle name="T_Book1_BQ KUSEN TANJUNG PIANNG_EMAIL(2) 5" xfId="6651"/>
    <cellStyle name="T_Book1_BQ KUSEN TANJUNG PIANNG_EMAIL(2) 5 2" xfId="6650"/>
    <cellStyle name="T_Book1_BQ KUSEN TANJUNG PIANNG_EMAIL(2) 5 3" xfId="6649"/>
    <cellStyle name="T_Book1_BQ KUSEN TANJUNG PIANNG_EMAIL(2) 5 4" xfId="6648"/>
    <cellStyle name="T_Book1_BQ KUSEN TANJUNG PIANNG_EMAIL(2) 5 5" xfId="6647"/>
    <cellStyle name="T_Book1_BQ KUSEN TANJUNG PIANNG_EMAIL(2) 6" xfId="6646"/>
    <cellStyle name="T_Book1_BQ KUSEN TANJUNG PIANNG_EMAIL(2) 6 2" xfId="6645"/>
    <cellStyle name="T_Book1_BQ KUSEN TANJUNG PIANNG_EMAIL(2) 6 3" xfId="6644"/>
    <cellStyle name="T_Book1_BQ KUSEN TANJUNG PIANNG_EMAIL(2) 6 4" xfId="6643"/>
    <cellStyle name="T_Book1_BQ KUSEN TANJUNG PIANNG_EMAIL(2) 6 5" xfId="6642"/>
    <cellStyle name="T_Book1_BQ KUSEN TANJUNG PIANNG_EMAIL(2) 7" xfId="6641"/>
    <cellStyle name="T_Book1_BQ KUSEN TANJUNG PIANNG_EMAIL(2) 7 2" xfId="6640"/>
    <cellStyle name="T_Book1_BQ KUSEN TANJUNG PIANNG_EMAIL(2) 7 3" xfId="6639"/>
    <cellStyle name="T_Book1_BQ KUSEN TANJUNG PIANNG_EMAIL(2) 7 4" xfId="6638"/>
    <cellStyle name="T_Book1_BQ KUSEN TANJUNG PIANNG_EMAIL(2) 7 5" xfId="6637"/>
    <cellStyle name="T_Book1_BQ KUSEN TANJUNG PIANNG_EMAIL(2) 8" xfId="6636"/>
    <cellStyle name="T_Book1_BQ KUSEN TANJUNG PIANNG_EMAIL(2) 8 2" xfId="6635"/>
    <cellStyle name="T_Book1_BQ KUSEN TANJUNG PIANNG_EMAIL(2) 8 3" xfId="6634"/>
    <cellStyle name="T_Book1_BQ KUSEN TANJUNG PIANNG_EMAIL(2) 8 4" xfId="6633"/>
    <cellStyle name="T_Book1_BQ KUSEN TANJUNG PIANNG_EMAIL(2) 8 5" xfId="6632"/>
    <cellStyle name="T_Book1_BQ KUSEN TANJUNG PIANNG_EMAIL(2) 9" xfId="6631"/>
    <cellStyle name="T_Book1_break down amd10 final" xfId="6630"/>
    <cellStyle name="T_Book1_break down amd10 final 2" xfId="6629"/>
    <cellStyle name="T_Book1_break down amd10 final 3" xfId="6628"/>
    <cellStyle name="T_Book1_break down amd10 final 4" xfId="6627"/>
    <cellStyle name="T_Book1_break down amd10 final 5" xfId="6626"/>
    <cellStyle name="T_Book1_break down amd10 final_Evaluasi Negoisasi (Lampiran Berita Acara) - Rev 3" xfId="6625"/>
    <cellStyle name="T_Book1_break down amd10 final_Evaluasi Negoisasi (Lampiran Berita Acara) - Rev 3 2" xfId="6624"/>
    <cellStyle name="T_Book1_break down amd10 final_Evaluasi Negoisasi (Lampiran Berita Acara) - Rev 3 3" xfId="6623"/>
    <cellStyle name="T_Book1_break down amd10 final_Evaluasi Negoisasi (Lampiran Berita Acara) - Rev 3 4" xfId="6622"/>
    <cellStyle name="T_Book1_break down amd10 final_Evaluasi Negoisasi (Lampiran Berita Acara) - Rev 3 5" xfId="6621"/>
    <cellStyle name="T_Book1_break down amd10 final_Schedule  PCM" xfId="6620"/>
    <cellStyle name="T_Book1_break down amd10 final_Schedule  PCM 2" xfId="6619"/>
    <cellStyle name="T_Book1_break down amd10 final_Schedule  PCM 3" xfId="6618"/>
    <cellStyle name="T_Book1_break down amd10 final_Schedule  PCM 4" xfId="6617"/>
    <cellStyle name="T_Book1_break down amd10 final_Schedule  PCM 5" xfId="6616"/>
    <cellStyle name="T_Book1_break down amd10 final_Schedule  PCM_schedule rev -2 paket AMS 8" xfId="6615"/>
    <cellStyle name="T_Book1_break down amd10 final_Schedule  PCM_schedule rev -2 paket AMS 8 2" xfId="6614"/>
    <cellStyle name="T_Book1_break down amd10 final_Schedule  PCM_schedule rev -2 paket AMS 8 3" xfId="6613"/>
    <cellStyle name="T_Book1_break down amd10 final_Schedule  PCM_schedule rev -2 paket AMS 8 4" xfId="6612"/>
    <cellStyle name="T_Book1_break down amd10 final_Schedule  PCM_schedule rev -2 paket AMS 8 5" xfId="6611"/>
    <cellStyle name="T_Book1_break down amd10 final_Schedule Revisi 1" xfId="6610"/>
    <cellStyle name="T_Book1_break down amd10 final_Schedule Revisi 1 2" xfId="6609"/>
    <cellStyle name="T_Book1_break down amd10 final_Schedule Revisi 1 3" xfId="6608"/>
    <cellStyle name="T_Book1_break down amd10 final_Schedule Revisi 1 4" xfId="6607"/>
    <cellStyle name="T_Book1_break down amd10 final_Schedule Revisi 1 5" xfId="6606"/>
    <cellStyle name="T_Book1_break down amd10 final_Schedule Revisi 1_schedule rev -2 paket AMS 8" xfId="6605"/>
    <cellStyle name="T_Book1_break down amd10 final_Schedule Revisi 1_schedule rev -2 paket AMS 8 2" xfId="6604"/>
    <cellStyle name="T_Book1_break down amd10 final_Schedule Revisi 1_schedule rev -2 paket AMS 8 3" xfId="6603"/>
    <cellStyle name="T_Book1_break down amd10 final_Schedule Revisi 1_schedule rev -2 paket AMS 8 4" xfId="6602"/>
    <cellStyle name="T_Book1_break down amd10 final_Schedule Revisi 1_schedule rev -2 paket AMS 8 5" xfId="6601"/>
    <cellStyle name="T_Book1_break down amd10 final_summary amd 1 final" xfId="6600"/>
    <cellStyle name="T_Book1_break down amd10 final_summary amd 1 final 2" xfId="6599"/>
    <cellStyle name="T_Book1_break down amd10 final_summary amd 1 final 3" xfId="6598"/>
    <cellStyle name="T_Book1_break down amd10 final_summary amd 1 final 4" xfId="6597"/>
    <cellStyle name="T_Book1_break down amd10 final_summary amd 1 final 5" xfId="6596"/>
    <cellStyle name="T_Book1_break down amd10 final_summary amd 1 final_schedule rev -2 paket AMS 8" xfId="6595"/>
    <cellStyle name="T_Book1_break down amd10 final_summary amd 1 final_schedule rev -2 paket AMS 8 2" xfId="6594"/>
    <cellStyle name="T_Book1_break down amd10 final_summary amd 1 final_schedule rev -2 paket AMS 8 3" xfId="6593"/>
    <cellStyle name="T_Book1_break down amd10 final_summary amd 1 final_schedule rev -2 paket AMS 8 4" xfId="6592"/>
    <cellStyle name="T_Book1_break down amd10 final_summary amd 1 final_schedule rev -2 paket AMS 8 5" xfId="6591"/>
    <cellStyle name="T_Book1_GALIAN C" xfId="6590"/>
    <cellStyle name="T_Book1_GALIAN C 10" xfId="6589"/>
    <cellStyle name="T_Book1_GALIAN C 11" xfId="6588"/>
    <cellStyle name="T_Book1_GALIAN C 12" xfId="6587"/>
    <cellStyle name="T_Book1_GALIAN C 2" xfId="6586"/>
    <cellStyle name="T_Book1_GALIAN C 2 2" xfId="6585"/>
    <cellStyle name="T_Book1_GALIAN C 2 3" xfId="6584"/>
    <cellStyle name="T_Book1_GALIAN C 2 4" xfId="6583"/>
    <cellStyle name="T_Book1_GALIAN C 2 5" xfId="6582"/>
    <cellStyle name="T_Book1_GALIAN C 3" xfId="6581"/>
    <cellStyle name="T_Book1_GALIAN C 3 2" xfId="6580"/>
    <cellStyle name="T_Book1_GALIAN C 3 3" xfId="6579"/>
    <cellStyle name="T_Book1_GALIAN C 3 4" xfId="6578"/>
    <cellStyle name="T_Book1_GALIAN C 3 5" xfId="6577"/>
    <cellStyle name="T_Book1_GALIAN C 4" xfId="6576"/>
    <cellStyle name="T_Book1_GALIAN C 4 2" xfId="6575"/>
    <cellStyle name="T_Book1_GALIAN C 4 3" xfId="6574"/>
    <cellStyle name="T_Book1_GALIAN C 4 4" xfId="6573"/>
    <cellStyle name="T_Book1_GALIAN C 4 5" xfId="6572"/>
    <cellStyle name="T_Book1_GALIAN C 5" xfId="6571"/>
    <cellStyle name="T_Book1_GALIAN C 5 2" xfId="6570"/>
    <cellStyle name="T_Book1_GALIAN C 5 3" xfId="6569"/>
    <cellStyle name="T_Book1_GALIAN C 5 4" xfId="6568"/>
    <cellStyle name="T_Book1_GALIAN C 5 5" xfId="6567"/>
    <cellStyle name="T_Book1_GALIAN C 6" xfId="6566"/>
    <cellStyle name="T_Book1_GALIAN C 6 2" xfId="6565"/>
    <cellStyle name="T_Book1_GALIAN C 6 3" xfId="6564"/>
    <cellStyle name="T_Book1_GALIAN C 6 4" xfId="6563"/>
    <cellStyle name="T_Book1_GALIAN C 6 5" xfId="6562"/>
    <cellStyle name="T_Book1_GALIAN C 7" xfId="6561"/>
    <cellStyle name="T_Book1_GALIAN C 7 2" xfId="6560"/>
    <cellStyle name="T_Book1_GALIAN C 7 3" xfId="6559"/>
    <cellStyle name="T_Book1_GALIAN C 7 4" xfId="6558"/>
    <cellStyle name="T_Book1_GALIAN C 7 5" xfId="6557"/>
    <cellStyle name="T_Book1_GALIAN C 8" xfId="6556"/>
    <cellStyle name="T_Book1_GALIAN C 8 2" xfId="6555"/>
    <cellStyle name="T_Book1_GALIAN C 8 3" xfId="6554"/>
    <cellStyle name="T_Book1_GALIAN C 8 4" xfId="6553"/>
    <cellStyle name="T_Book1_GALIAN C 8 5" xfId="6552"/>
    <cellStyle name="T_Book1_GALIAN C 9" xfId="6551"/>
    <cellStyle name="T_Book1_Linning saluran Sukatani format baru" xfId="6550"/>
    <cellStyle name="T_Book1_Linning saluran Sukatani format baru 2" xfId="6549"/>
    <cellStyle name="T_Book1_Linning saluran Sukatani format baru 3" xfId="6548"/>
    <cellStyle name="T_Book1_Linning saluran Sukatani format baru 4" xfId="6547"/>
    <cellStyle name="T_Book1_Linning saluran Sukatani format baru 5" xfId="6546"/>
    <cellStyle name="T_Book1_Monthly Report -September 2008 u laporan " xfId="6545"/>
    <cellStyle name="T_Book1_Monthly Report -September 2008 u laporan  2" xfId="6544"/>
    <cellStyle name="T_Book1_Monthly Report -September 2008 u laporan  3" xfId="6543"/>
    <cellStyle name="T_Book1_Monthly Report -September 2008 u laporan  4" xfId="6542"/>
    <cellStyle name="T_Book1_Monthly Report -September 2008 u laporan  5" xfId="6541"/>
    <cellStyle name="T_Book1_Pen- Kodja Revisi 02 November 2009 (Rev 11-11-09)" xfId="6540"/>
    <cellStyle name="T_Book1_Pen- Kodja Revisi 02 November 2009 (Rev 11-11-09) 10" xfId="6539"/>
    <cellStyle name="T_Book1_Pen- Kodja Revisi 02 November 2009 (Rev 11-11-09) 11" xfId="6538"/>
    <cellStyle name="T_Book1_Pen- Kodja Revisi 02 November 2009 (Rev 11-11-09) 12" xfId="6537"/>
    <cellStyle name="T_Book1_Pen- Kodja Revisi 02 November 2009 (Rev 11-11-09) 2" xfId="6536"/>
    <cellStyle name="T_Book1_Pen- Kodja Revisi 02 November 2009 (Rev 11-11-09) 2 2" xfId="6535"/>
    <cellStyle name="T_Book1_Pen- Kodja Revisi 02 November 2009 (Rev 11-11-09) 2 3" xfId="6534"/>
    <cellStyle name="T_Book1_Pen- Kodja Revisi 02 November 2009 (Rev 11-11-09) 2 4" xfId="6533"/>
    <cellStyle name="T_Book1_Pen- Kodja Revisi 02 November 2009 (Rev 11-11-09) 2 5" xfId="6532"/>
    <cellStyle name="T_Book1_Pen- Kodja Revisi 02 November 2009 (Rev 11-11-09) 3" xfId="6531"/>
    <cellStyle name="T_Book1_Pen- Kodja Revisi 02 November 2009 (Rev 11-11-09) 3 2" xfId="6530"/>
    <cellStyle name="T_Book1_Pen- Kodja Revisi 02 November 2009 (Rev 11-11-09) 3 3" xfId="6529"/>
    <cellStyle name="T_Book1_Pen- Kodja Revisi 02 November 2009 (Rev 11-11-09) 3 4" xfId="6528"/>
    <cellStyle name="T_Book1_Pen- Kodja Revisi 02 November 2009 (Rev 11-11-09) 3 5" xfId="6527"/>
    <cellStyle name="T_Book1_Pen- Kodja Revisi 02 November 2009 (Rev 11-11-09) 4" xfId="6526"/>
    <cellStyle name="T_Book1_Pen- Kodja Revisi 02 November 2009 (Rev 11-11-09) 4 2" xfId="6525"/>
    <cellStyle name="T_Book1_Pen- Kodja Revisi 02 November 2009 (Rev 11-11-09) 4 3" xfId="6524"/>
    <cellStyle name="T_Book1_Pen- Kodja Revisi 02 November 2009 (Rev 11-11-09) 4 4" xfId="6523"/>
    <cellStyle name="T_Book1_Pen- Kodja Revisi 02 November 2009 (Rev 11-11-09) 4 5" xfId="6522"/>
    <cellStyle name="T_Book1_Pen- Kodja Revisi 02 November 2009 (Rev 11-11-09) 5" xfId="6521"/>
    <cellStyle name="T_Book1_Pen- Kodja Revisi 02 November 2009 (Rev 11-11-09) 5 2" xfId="6520"/>
    <cellStyle name="T_Book1_Pen- Kodja Revisi 02 November 2009 (Rev 11-11-09) 5 3" xfId="6519"/>
    <cellStyle name="T_Book1_Pen- Kodja Revisi 02 November 2009 (Rev 11-11-09) 5 4" xfId="6518"/>
    <cellStyle name="T_Book1_Pen- Kodja Revisi 02 November 2009 (Rev 11-11-09) 5 5" xfId="6517"/>
    <cellStyle name="T_Book1_Pen- Kodja Revisi 02 November 2009 (Rev 11-11-09) 6" xfId="6516"/>
    <cellStyle name="T_Book1_Pen- Kodja Revisi 02 November 2009 (Rev 11-11-09) 6 2" xfId="6515"/>
    <cellStyle name="T_Book1_Pen- Kodja Revisi 02 November 2009 (Rev 11-11-09) 6 3" xfId="6514"/>
    <cellStyle name="T_Book1_Pen- Kodja Revisi 02 November 2009 (Rev 11-11-09) 6 4" xfId="6513"/>
    <cellStyle name="T_Book1_Pen- Kodja Revisi 02 November 2009 (Rev 11-11-09) 6 5" xfId="6512"/>
    <cellStyle name="T_Book1_Pen- Kodja Revisi 02 November 2009 (Rev 11-11-09) 7" xfId="6511"/>
    <cellStyle name="T_Book1_Pen- Kodja Revisi 02 November 2009 (Rev 11-11-09) 7 2" xfId="6510"/>
    <cellStyle name="T_Book1_Pen- Kodja Revisi 02 November 2009 (Rev 11-11-09) 7 3" xfId="6509"/>
    <cellStyle name="T_Book1_Pen- Kodja Revisi 02 November 2009 (Rev 11-11-09) 7 4" xfId="6508"/>
    <cellStyle name="T_Book1_Pen- Kodja Revisi 02 November 2009 (Rev 11-11-09) 7 5" xfId="6507"/>
    <cellStyle name="T_Book1_Pen- Kodja Revisi 02 November 2009 (Rev 11-11-09) 8" xfId="6506"/>
    <cellStyle name="T_Book1_Pen- Kodja Revisi 02 November 2009 (Rev 11-11-09) 8 2" xfId="6505"/>
    <cellStyle name="T_Book1_Pen- Kodja Revisi 02 November 2009 (Rev 11-11-09) 8 3" xfId="6504"/>
    <cellStyle name="T_Book1_Pen- Kodja Revisi 02 November 2009 (Rev 11-11-09) 8 4" xfId="6503"/>
    <cellStyle name="T_Book1_Pen- Kodja Revisi 02 November 2009 (Rev 11-11-09) 8 5" xfId="6502"/>
    <cellStyle name="T_Book1_Pen- Kodja Revisi 02 November 2009 (Rev 11-11-09) 9" xfId="6501"/>
    <cellStyle name="T_Book1_Pen- Kodja Revisi 27 JAN 2010" xfId="6500"/>
    <cellStyle name="T_Book1_Pen- Kodja Revisi 27 JAN 2010 10" xfId="6499"/>
    <cellStyle name="T_Book1_Pen- Kodja Revisi 27 JAN 2010 11" xfId="6498"/>
    <cellStyle name="T_Book1_Pen- Kodja Revisi 27 JAN 2010 12" xfId="6497"/>
    <cellStyle name="T_Book1_Pen- Kodja Revisi 27 JAN 2010 2" xfId="6496"/>
    <cellStyle name="T_Book1_Pen- Kodja Revisi 27 JAN 2010 2 2" xfId="6495"/>
    <cellStyle name="T_Book1_Pen- Kodja Revisi 27 JAN 2010 2 3" xfId="6494"/>
    <cellStyle name="T_Book1_Pen- Kodja Revisi 27 JAN 2010 2 4" xfId="6493"/>
    <cellStyle name="T_Book1_Pen- Kodja Revisi 27 JAN 2010 2 5" xfId="6492"/>
    <cellStyle name="T_Book1_Pen- Kodja Revisi 27 JAN 2010 3" xfId="6491"/>
    <cellStyle name="T_Book1_Pen- Kodja Revisi 27 JAN 2010 3 2" xfId="6490"/>
    <cellStyle name="T_Book1_Pen- Kodja Revisi 27 JAN 2010 3 3" xfId="6489"/>
    <cellStyle name="T_Book1_Pen- Kodja Revisi 27 JAN 2010 3 4" xfId="6488"/>
    <cellStyle name="T_Book1_Pen- Kodja Revisi 27 JAN 2010 3 5" xfId="6487"/>
    <cellStyle name="T_Book1_Pen- Kodja Revisi 27 JAN 2010 4" xfId="6486"/>
    <cellStyle name="T_Book1_Pen- Kodja Revisi 27 JAN 2010 4 2" xfId="6485"/>
    <cellStyle name="T_Book1_Pen- Kodja Revisi 27 JAN 2010 4 3" xfId="6484"/>
    <cellStyle name="T_Book1_Pen- Kodja Revisi 27 JAN 2010 4 4" xfId="6483"/>
    <cellStyle name="T_Book1_Pen- Kodja Revisi 27 JAN 2010 4 5" xfId="6482"/>
    <cellStyle name="T_Book1_Pen- Kodja Revisi 27 JAN 2010 5" xfId="6481"/>
    <cellStyle name="T_Book1_Pen- Kodja Revisi 27 JAN 2010 5 2" xfId="6480"/>
    <cellStyle name="T_Book1_Pen- Kodja Revisi 27 JAN 2010 5 3" xfId="6479"/>
    <cellStyle name="T_Book1_Pen- Kodja Revisi 27 JAN 2010 5 4" xfId="6478"/>
    <cellStyle name="T_Book1_Pen- Kodja Revisi 27 JAN 2010 5 5" xfId="6477"/>
    <cellStyle name="T_Book1_Pen- Kodja Revisi 27 JAN 2010 6" xfId="6476"/>
    <cellStyle name="T_Book1_Pen- Kodja Revisi 27 JAN 2010 6 2" xfId="6475"/>
    <cellStyle name="T_Book1_Pen- Kodja Revisi 27 JAN 2010 6 3" xfId="6474"/>
    <cellStyle name="T_Book1_Pen- Kodja Revisi 27 JAN 2010 6 4" xfId="6473"/>
    <cellStyle name="T_Book1_Pen- Kodja Revisi 27 JAN 2010 6 5" xfId="6472"/>
    <cellStyle name="T_Book1_Pen- Kodja Revisi 27 JAN 2010 7" xfId="6471"/>
    <cellStyle name="T_Book1_Pen- Kodja Revisi 27 JAN 2010 7 2" xfId="6470"/>
    <cellStyle name="T_Book1_Pen- Kodja Revisi 27 JAN 2010 7 3" xfId="6469"/>
    <cellStyle name="T_Book1_Pen- Kodja Revisi 27 JAN 2010 7 4" xfId="6468"/>
    <cellStyle name="T_Book1_Pen- Kodja Revisi 27 JAN 2010 7 5" xfId="6467"/>
    <cellStyle name="T_Book1_Pen- Kodja Revisi 27 JAN 2010 8" xfId="6466"/>
    <cellStyle name="T_Book1_Pen- Kodja Revisi 27 JAN 2010 8 2" xfId="6465"/>
    <cellStyle name="T_Book1_Pen- Kodja Revisi 27 JAN 2010 8 3" xfId="6464"/>
    <cellStyle name="T_Book1_Pen- Kodja Revisi 27 JAN 2010 8 4" xfId="6463"/>
    <cellStyle name="T_Book1_Pen- Kodja Revisi 27 JAN 2010 8 5" xfId="6462"/>
    <cellStyle name="T_Book1_Pen- Kodja Revisi 27 JAN 2010 9" xfId="6461"/>
    <cellStyle name="T_Book1_Progres April 08" xfId="6460"/>
    <cellStyle name="T_Book1_Progres April 08 2" xfId="6459"/>
    <cellStyle name="T_Book1_Progres April 08 3" xfId="6458"/>
    <cellStyle name="T_Book1_Progres April 08 4" xfId="6457"/>
    <cellStyle name="T_Book1_Progres April 08 5" xfId="6456"/>
    <cellStyle name="T_Book1_Progres April 08_Evaluasi Negoisasi (Lampiran Berita Acara) - Rev 3" xfId="6455"/>
    <cellStyle name="T_Book1_Progres April 08_Evaluasi Negoisasi (Lampiran Berita Acara) - Rev 3 2" xfId="6454"/>
    <cellStyle name="T_Book1_Progres April 08_Evaluasi Negoisasi (Lampiran Berita Acara) - Rev 3 3" xfId="6453"/>
    <cellStyle name="T_Book1_Progres April 08_Evaluasi Negoisasi (Lampiran Berita Acara) - Rev 3 4" xfId="6452"/>
    <cellStyle name="T_Book1_Progres April 08_Evaluasi Negoisasi (Lampiran Berita Acara) - Rev 3 5" xfId="6451"/>
    <cellStyle name="T_Book1_Progres April 08_Linning saluran Sukatani format baru" xfId="6450"/>
    <cellStyle name="T_Book1_Progres April 08_Linning saluran Sukatani format baru 2" xfId="6449"/>
    <cellStyle name="T_Book1_Progres April 08_Linning saluran Sukatani format baru 3" xfId="6448"/>
    <cellStyle name="T_Book1_Progres April 08_Linning saluran Sukatani format baru 4" xfId="6447"/>
    <cellStyle name="T_Book1_Progres April 08_Linning saluran Sukatani format baru 5" xfId="6446"/>
    <cellStyle name="T_Book1_Progres April 08_Schedule  PCM" xfId="6445"/>
    <cellStyle name="T_Book1_Progres April 08_Schedule  PCM 2" xfId="6444"/>
    <cellStyle name="T_Book1_Progres April 08_Schedule  PCM 3" xfId="6443"/>
    <cellStyle name="T_Book1_Progres April 08_Schedule  PCM 4" xfId="6442"/>
    <cellStyle name="T_Book1_Progres April 08_Schedule  PCM 5" xfId="6441"/>
    <cellStyle name="T_Book1_Progres April 08_Schedule  PCM_schedule rev -2 paket AMS 8" xfId="6440"/>
    <cellStyle name="T_Book1_Progres April 08_Schedule  PCM_schedule rev -2 paket AMS 8 2" xfId="6439"/>
    <cellStyle name="T_Book1_Progres April 08_Schedule  PCM_schedule rev -2 paket AMS 8 3" xfId="6438"/>
    <cellStyle name="T_Book1_Progres April 08_Schedule  PCM_schedule rev -2 paket AMS 8 4" xfId="6437"/>
    <cellStyle name="T_Book1_Progres April 08_Schedule  PCM_schedule rev -2 paket AMS 8 5" xfId="6436"/>
    <cellStyle name="T_Book1_Progres April 08_Schedule Revisi 1" xfId="6435"/>
    <cellStyle name="T_Book1_Progres April 08_Schedule Revisi 1 2" xfId="6434"/>
    <cellStyle name="T_Book1_Progres April 08_Schedule Revisi 1 3" xfId="6433"/>
    <cellStyle name="T_Book1_Progres April 08_Schedule Revisi 1 4" xfId="6432"/>
    <cellStyle name="T_Book1_Progres April 08_Schedule Revisi 1 5" xfId="6431"/>
    <cellStyle name="T_Book1_Progres April 08_Schedule Revisi 1_schedule rev -2 paket AMS 8" xfId="6430"/>
    <cellStyle name="T_Book1_Progres April 08_Schedule Revisi 1_schedule rev -2 paket AMS 8 2" xfId="6429"/>
    <cellStyle name="T_Book1_Progres April 08_Schedule Revisi 1_schedule rev -2 paket AMS 8 3" xfId="6428"/>
    <cellStyle name="T_Book1_Progres April 08_Schedule Revisi 1_schedule rev -2 paket AMS 8 4" xfId="6427"/>
    <cellStyle name="T_Book1_Progres April 08_Schedule Revisi 1_schedule rev -2 paket AMS 8 5" xfId="6426"/>
    <cellStyle name="T_Book1_Progres April 08_summary amd 1 final" xfId="6425"/>
    <cellStyle name="T_Book1_Progres April 08_summary amd 1 final 2" xfId="6424"/>
    <cellStyle name="T_Book1_Progres April 08_summary amd 1 final 3" xfId="6423"/>
    <cellStyle name="T_Book1_Progres April 08_summary amd 1 final 4" xfId="6422"/>
    <cellStyle name="T_Book1_Progres April 08_summary amd 1 final 5" xfId="6421"/>
    <cellStyle name="T_Book1_Progres April 08_summary amd 1 final_schedule rev -2 paket AMS 8" xfId="6420"/>
    <cellStyle name="T_Book1_Progres April 08_summary amd 1 final_schedule rev -2 paket AMS 8 2" xfId="6419"/>
    <cellStyle name="T_Book1_Progres April 08_summary amd 1 final_schedule rev -2 paket AMS 8 3" xfId="6418"/>
    <cellStyle name="T_Book1_Progres April 08_summary amd 1 final_schedule rev -2 paket AMS 8 4" xfId="6417"/>
    <cellStyle name="T_Book1_Progres April 08_summary amd 1 final_schedule rev -2 paket AMS 8 5" xfId="6416"/>
    <cellStyle name="T_Book1_Progres laporan ke Wilayah up to april 08" xfId="6415"/>
    <cellStyle name="T_Book1_Progres laporan ke Wilayah up to april 08 2" xfId="6414"/>
    <cellStyle name="T_Book1_Progres laporan ke Wilayah up to april 08 3" xfId="6413"/>
    <cellStyle name="T_Book1_Progres laporan ke Wilayah up to april 08 4" xfId="6412"/>
    <cellStyle name="T_Book1_Progres laporan ke Wilayah up to april 08 5" xfId="6411"/>
    <cellStyle name="T_Book1_Progres laporan ke Wilayah up to april 08_Evaluasi Negoisasi (Lampiran Berita Acara) - Rev 3" xfId="6410"/>
    <cellStyle name="T_Book1_Progres laporan ke Wilayah up to april 08_Evaluasi Negoisasi (Lampiran Berita Acara) - Rev 3 2" xfId="6409"/>
    <cellStyle name="T_Book1_Progres laporan ke Wilayah up to april 08_Evaluasi Negoisasi (Lampiran Berita Acara) - Rev 3 3" xfId="6408"/>
    <cellStyle name="T_Book1_Progres laporan ke Wilayah up to april 08_Evaluasi Negoisasi (Lampiran Berita Acara) - Rev 3 4" xfId="6407"/>
    <cellStyle name="T_Book1_Progres laporan ke Wilayah up to april 08_Evaluasi Negoisasi (Lampiran Berita Acara) - Rev 3 5" xfId="6406"/>
    <cellStyle name="T_Book1_Progres laporan ke Wilayah up to april 08_Linning saluran Sukatani format baru" xfId="6405"/>
    <cellStyle name="T_Book1_Progres laporan ke Wilayah up to april 08_Linning saluran Sukatani format baru 2" xfId="6404"/>
    <cellStyle name="T_Book1_Progres laporan ke Wilayah up to april 08_Linning saluran Sukatani format baru 3" xfId="6403"/>
    <cellStyle name="T_Book1_Progres laporan ke Wilayah up to april 08_Linning saluran Sukatani format baru 4" xfId="6402"/>
    <cellStyle name="T_Book1_Progres laporan ke Wilayah up to april 08_Linning saluran Sukatani format baru 5" xfId="6401"/>
    <cellStyle name="T_Book1_Progres laporan ke Wilayah up to april 08_Schedule  PCM" xfId="6400"/>
    <cellStyle name="T_Book1_Progres laporan ke Wilayah up to april 08_Schedule  PCM 2" xfId="6399"/>
    <cellStyle name="T_Book1_Progres laporan ke Wilayah up to april 08_Schedule  PCM 3" xfId="6398"/>
    <cellStyle name="T_Book1_Progres laporan ke Wilayah up to april 08_Schedule  PCM 4" xfId="6397"/>
    <cellStyle name="T_Book1_Progres laporan ke Wilayah up to april 08_Schedule  PCM 5" xfId="6396"/>
    <cellStyle name="T_Book1_Progres laporan ke Wilayah up to april 08_Schedule  PCM_schedule rev -2 paket AMS 8" xfId="6395"/>
    <cellStyle name="T_Book1_Progres laporan ke Wilayah up to april 08_Schedule  PCM_schedule rev -2 paket AMS 8 2" xfId="6394"/>
    <cellStyle name="T_Book1_Progres laporan ke Wilayah up to april 08_Schedule  PCM_schedule rev -2 paket AMS 8 3" xfId="6393"/>
    <cellStyle name="T_Book1_Progres laporan ke Wilayah up to april 08_Schedule  PCM_schedule rev -2 paket AMS 8 4" xfId="6392"/>
    <cellStyle name="T_Book1_Progres laporan ke Wilayah up to april 08_Schedule  PCM_schedule rev -2 paket AMS 8 5" xfId="6391"/>
    <cellStyle name="T_Book1_Progres laporan ke Wilayah up to april 08_Schedule Revisi 1" xfId="6390"/>
    <cellStyle name="T_Book1_Progres laporan ke Wilayah up to april 08_Schedule Revisi 1 2" xfId="6389"/>
    <cellStyle name="T_Book1_Progres laporan ke Wilayah up to april 08_Schedule Revisi 1 3" xfId="6388"/>
    <cellStyle name="T_Book1_Progres laporan ke Wilayah up to april 08_Schedule Revisi 1 4" xfId="6387"/>
    <cellStyle name="T_Book1_Progres laporan ke Wilayah up to april 08_Schedule Revisi 1 5" xfId="6386"/>
    <cellStyle name="T_Book1_Progres laporan ke Wilayah up to april 08_Schedule Revisi 1_schedule rev -2 paket AMS 8" xfId="6385"/>
    <cellStyle name="T_Book1_Progres laporan ke Wilayah up to april 08_Schedule Revisi 1_schedule rev -2 paket AMS 8 2" xfId="6384"/>
    <cellStyle name="T_Book1_Progres laporan ke Wilayah up to april 08_Schedule Revisi 1_schedule rev -2 paket AMS 8 3" xfId="6383"/>
    <cellStyle name="T_Book1_Progres laporan ke Wilayah up to april 08_Schedule Revisi 1_schedule rev -2 paket AMS 8 4" xfId="6382"/>
    <cellStyle name="T_Book1_Progres laporan ke Wilayah up to april 08_Schedule Revisi 1_schedule rev -2 paket AMS 8 5" xfId="6381"/>
    <cellStyle name="T_Book1_Progres laporan ke Wilayah up to april 08_summary amd 1 final" xfId="6380"/>
    <cellStyle name="T_Book1_Progres laporan ke Wilayah up to april 08_summary amd 1 final 2" xfId="6379"/>
    <cellStyle name="T_Book1_Progres laporan ke Wilayah up to april 08_summary amd 1 final 3" xfId="6378"/>
    <cellStyle name="T_Book1_Progres laporan ke Wilayah up to april 08_summary amd 1 final 4" xfId="6377"/>
    <cellStyle name="T_Book1_Progres laporan ke Wilayah up to april 08_summary amd 1 final 5" xfId="6376"/>
    <cellStyle name="T_Book1_Progres laporan ke Wilayah up to april 08_summary amd 1 final_schedule rev -2 paket AMS 8" xfId="6375"/>
    <cellStyle name="T_Book1_Progres laporan ke Wilayah up to april 08_summary amd 1 final_schedule rev -2 paket AMS 8 2" xfId="6374"/>
    <cellStyle name="T_Book1_Progres laporan ke Wilayah up to april 08_summary amd 1 final_schedule rev -2 paket AMS 8 3" xfId="6373"/>
    <cellStyle name="T_Book1_Progres laporan ke Wilayah up to april 08_summary amd 1 final_schedule rev -2 paket AMS 8 4" xfId="6372"/>
    <cellStyle name="T_Book1_Progres laporan ke Wilayah up to april 08_summary amd 1 final_schedule rev -2 paket AMS 8 5" xfId="6371"/>
    <cellStyle name="T_Book1_QTT Sal Lao Tengis" xfId="6370"/>
    <cellStyle name="T_Book1_QTT Sal Lao Tengis 2" xfId="6369"/>
    <cellStyle name="T_Book1_QTT Sal Lao Tengis 3" xfId="6368"/>
    <cellStyle name="T_Book1_QTT Sal Lao Tengis 4" xfId="6367"/>
    <cellStyle name="T_Book1_QTT Sal Lao Tengis 5" xfId="6366"/>
    <cellStyle name="T_Book1_QTT Sal Lao Tengis_Evaluasi Negoisasi (Lampiran Berita Acara) - Rev 3" xfId="6365"/>
    <cellStyle name="T_Book1_QTT Sal Lao Tengis_Evaluasi Negoisasi (Lampiran Berita Acara) - Rev 3 2" xfId="6364"/>
    <cellStyle name="T_Book1_QTT Sal Lao Tengis_Evaluasi Negoisasi (Lampiran Berita Acara) - Rev 3 3" xfId="6363"/>
    <cellStyle name="T_Book1_QTT Sal Lao Tengis_Evaluasi Negoisasi (Lampiran Berita Acara) - Rev 3 4" xfId="6362"/>
    <cellStyle name="T_Book1_QTT Sal Lao Tengis_Evaluasi Negoisasi (Lampiran Berita Acara) - Rev 3 5" xfId="6361"/>
    <cellStyle name="T_Book1_QTT Sal Lao Tengis_Schedule  PCM" xfId="6360"/>
    <cellStyle name="T_Book1_QTT Sal Lao Tengis_Schedule  PCM 2" xfId="6359"/>
    <cellStyle name="T_Book1_QTT Sal Lao Tengis_Schedule  PCM 3" xfId="6358"/>
    <cellStyle name="T_Book1_QTT Sal Lao Tengis_Schedule  PCM 4" xfId="6357"/>
    <cellStyle name="T_Book1_QTT Sal Lao Tengis_Schedule  PCM 5" xfId="6356"/>
    <cellStyle name="T_Book1_QTT Sal Lao Tengis_Schedule  PCM_schedule rev -2 paket AMS 8" xfId="6355"/>
    <cellStyle name="T_Book1_QTT Sal Lao Tengis_Schedule  PCM_schedule rev -2 paket AMS 8 2" xfId="6354"/>
    <cellStyle name="T_Book1_QTT Sal Lao Tengis_Schedule  PCM_schedule rev -2 paket AMS 8 3" xfId="6353"/>
    <cellStyle name="T_Book1_QTT Sal Lao Tengis_Schedule  PCM_schedule rev -2 paket AMS 8 4" xfId="6352"/>
    <cellStyle name="T_Book1_QTT Sal Lao Tengis_Schedule  PCM_schedule rev -2 paket AMS 8 5" xfId="6351"/>
    <cellStyle name="T_Book1_QTT Sal Lao Tengis_Schedule Revisi 1" xfId="6350"/>
    <cellStyle name="T_Book1_QTT Sal Lao Tengis_Schedule Revisi 1 2" xfId="6349"/>
    <cellStyle name="T_Book1_QTT Sal Lao Tengis_Schedule Revisi 1 3" xfId="6348"/>
    <cellStyle name="T_Book1_QTT Sal Lao Tengis_Schedule Revisi 1 4" xfId="6347"/>
    <cellStyle name="T_Book1_QTT Sal Lao Tengis_Schedule Revisi 1 5" xfId="6346"/>
    <cellStyle name="T_Book1_QTT Sal Lao Tengis_Schedule Revisi 1_schedule rev -2 paket AMS 8" xfId="6345"/>
    <cellStyle name="T_Book1_QTT Sal Lao Tengis_Schedule Revisi 1_schedule rev -2 paket AMS 8 2" xfId="6344"/>
    <cellStyle name="T_Book1_QTT Sal Lao Tengis_Schedule Revisi 1_schedule rev -2 paket AMS 8 3" xfId="6343"/>
    <cellStyle name="T_Book1_QTT Sal Lao Tengis_Schedule Revisi 1_schedule rev -2 paket AMS 8 4" xfId="6342"/>
    <cellStyle name="T_Book1_QTT Sal Lao Tengis_Schedule Revisi 1_schedule rev -2 paket AMS 8 5" xfId="6341"/>
    <cellStyle name="T_Book1_QTT Sal Lao Tengis_summary amd 1 final" xfId="6340"/>
    <cellStyle name="T_Book1_QTT Sal Lao Tengis_summary amd 1 final 2" xfId="6339"/>
    <cellStyle name="T_Book1_QTT Sal Lao Tengis_summary amd 1 final 3" xfId="6338"/>
    <cellStyle name="T_Book1_QTT Sal Lao Tengis_summary amd 1 final 4" xfId="6337"/>
    <cellStyle name="T_Book1_QTT Sal Lao Tengis_summary amd 1 final 5" xfId="6336"/>
    <cellStyle name="T_Book1_QTT Sal Lao Tengis_summary amd 1 final_schedule rev -2 paket AMS 8" xfId="6335"/>
    <cellStyle name="T_Book1_QTT Sal Lao Tengis_summary amd 1 final_schedule rev -2 paket AMS 8 2" xfId="6334"/>
    <cellStyle name="T_Book1_QTT Sal Lao Tengis_summary amd 1 final_schedule rev -2 paket AMS 8 3" xfId="6333"/>
    <cellStyle name="T_Book1_QTT Sal Lao Tengis_summary amd 1 final_schedule rev -2 paket AMS 8 4" xfId="6332"/>
    <cellStyle name="T_Book1_QTT Sal Lao Tengis_summary amd 1 final_schedule rev -2 paket AMS 8 5" xfId="6331"/>
    <cellStyle name="T_Book1_QTT Sal Marcapada" xfId="6330"/>
    <cellStyle name="T_Book1_QTT Sal Marcapada 2" xfId="6329"/>
    <cellStyle name="T_Book1_QTT Sal Marcapada 3" xfId="6328"/>
    <cellStyle name="T_Book1_QTT Sal Marcapada 4" xfId="6327"/>
    <cellStyle name="T_Book1_QTT Sal Marcapada 5" xfId="6326"/>
    <cellStyle name="T_Book1_QTT Sal Marcapada_Evaluasi Negoisasi (Lampiran Berita Acara) - Rev 3" xfId="6325"/>
    <cellStyle name="T_Book1_QTT Sal Marcapada_Evaluasi Negoisasi (Lampiran Berita Acara) - Rev 3 2" xfId="6324"/>
    <cellStyle name="T_Book1_QTT Sal Marcapada_Evaluasi Negoisasi (Lampiran Berita Acara) - Rev 3 3" xfId="6323"/>
    <cellStyle name="T_Book1_QTT Sal Marcapada_Evaluasi Negoisasi (Lampiran Berita Acara) - Rev 3 4" xfId="6322"/>
    <cellStyle name="T_Book1_QTT Sal Marcapada_Evaluasi Negoisasi (Lampiran Berita Acara) - Rev 3 5" xfId="6321"/>
    <cellStyle name="T_Book1_QTT Sal Marcapada_Schedule  PCM" xfId="6320"/>
    <cellStyle name="T_Book1_QTT Sal Marcapada_Schedule  PCM 2" xfId="6319"/>
    <cellStyle name="T_Book1_QTT Sal Marcapada_Schedule  PCM 3" xfId="6318"/>
    <cellStyle name="T_Book1_QTT Sal Marcapada_Schedule  PCM 4" xfId="6317"/>
    <cellStyle name="T_Book1_QTT Sal Marcapada_Schedule  PCM 5" xfId="6316"/>
    <cellStyle name="T_Book1_QTT Sal Marcapada_Schedule  PCM_schedule rev -2 paket AMS 8" xfId="6315"/>
    <cellStyle name="T_Book1_QTT Sal Marcapada_Schedule  PCM_schedule rev -2 paket AMS 8 2" xfId="6314"/>
    <cellStyle name="T_Book1_QTT Sal Marcapada_Schedule  PCM_schedule rev -2 paket AMS 8 3" xfId="6313"/>
    <cellStyle name="T_Book1_QTT Sal Marcapada_Schedule  PCM_schedule rev -2 paket AMS 8 4" xfId="6312"/>
    <cellStyle name="T_Book1_QTT Sal Marcapada_Schedule  PCM_schedule rev -2 paket AMS 8 5" xfId="6311"/>
    <cellStyle name="T_Book1_QTT Sal Marcapada_Schedule Revisi 1" xfId="6310"/>
    <cellStyle name="T_Book1_QTT Sal Marcapada_Schedule Revisi 1 2" xfId="6309"/>
    <cellStyle name="T_Book1_QTT Sal Marcapada_Schedule Revisi 1 3" xfId="6308"/>
    <cellStyle name="T_Book1_QTT Sal Marcapada_Schedule Revisi 1 4" xfId="6307"/>
    <cellStyle name="T_Book1_QTT Sal Marcapada_Schedule Revisi 1 5" xfId="6306"/>
    <cellStyle name="T_Book1_QTT Sal Marcapada_Schedule Revisi 1_schedule rev -2 paket AMS 8" xfId="6305"/>
    <cellStyle name="T_Book1_QTT Sal Marcapada_Schedule Revisi 1_schedule rev -2 paket AMS 8 2" xfId="6304"/>
    <cellStyle name="T_Book1_QTT Sal Marcapada_Schedule Revisi 1_schedule rev -2 paket AMS 8 3" xfId="6303"/>
    <cellStyle name="T_Book1_QTT Sal Marcapada_Schedule Revisi 1_schedule rev -2 paket AMS 8 4" xfId="6302"/>
    <cellStyle name="T_Book1_QTT Sal Marcapada_Schedule Revisi 1_schedule rev -2 paket AMS 8 5" xfId="6301"/>
    <cellStyle name="T_Book1_QTT Sal Marcapada_summary amd 1 final" xfId="6300"/>
    <cellStyle name="T_Book1_QTT Sal Marcapada_summary amd 1 final 2" xfId="6299"/>
    <cellStyle name="T_Book1_QTT Sal Marcapada_summary amd 1 final 3" xfId="6298"/>
    <cellStyle name="T_Book1_QTT Sal Marcapada_summary amd 1 final 4" xfId="6297"/>
    <cellStyle name="T_Book1_QTT Sal Marcapada_summary amd 1 final 5" xfId="6296"/>
    <cellStyle name="T_Book1_QTT Sal Marcapada_summary amd 1 final_schedule rev -2 paket AMS 8" xfId="6295"/>
    <cellStyle name="T_Book1_QTT Sal Marcapada_summary amd 1 final_schedule rev -2 paket AMS 8 2" xfId="6294"/>
    <cellStyle name="T_Book1_QTT Sal Marcapada_summary amd 1 final_schedule rev -2 paket AMS 8 3" xfId="6293"/>
    <cellStyle name="T_Book1_QTT Sal Marcapada_summary amd 1 final_schedule rev -2 paket AMS 8 4" xfId="6292"/>
    <cellStyle name="T_Book1_QTT Sal Marcapada_summary amd 1 final_schedule rev -2 paket AMS 8 5" xfId="6291"/>
    <cellStyle name="T_Book1_QTT Sal Namu Tating" xfId="6290"/>
    <cellStyle name="T_Book1_QTT Sal Namu Tating 2" xfId="6289"/>
    <cellStyle name="T_Book1_QTT Sal Namu Tating 3" xfId="6288"/>
    <cellStyle name="T_Book1_QTT Sal Namu Tating 4" xfId="6287"/>
    <cellStyle name="T_Book1_QTT Sal Namu Tating 5" xfId="6286"/>
    <cellStyle name="T_Book1_QTT Sal Namu Tating_Evaluasi Negoisasi (Lampiran Berita Acara) - Rev 3" xfId="6285"/>
    <cellStyle name="T_Book1_QTT Sal Namu Tating_Evaluasi Negoisasi (Lampiran Berita Acara) - Rev 3 2" xfId="6284"/>
    <cellStyle name="T_Book1_QTT Sal Namu Tating_Evaluasi Negoisasi (Lampiran Berita Acara) - Rev 3 3" xfId="6283"/>
    <cellStyle name="T_Book1_QTT Sal Namu Tating_Evaluasi Negoisasi (Lampiran Berita Acara) - Rev 3 4" xfId="6282"/>
    <cellStyle name="T_Book1_QTT Sal Namu Tating_Evaluasi Negoisasi (Lampiran Berita Acara) - Rev 3 5" xfId="6281"/>
    <cellStyle name="T_Book1_QTT Sal Namu Tating_Schedule  PCM" xfId="6280"/>
    <cellStyle name="T_Book1_QTT Sal Namu Tating_Schedule  PCM 2" xfId="6279"/>
    <cellStyle name="T_Book1_QTT Sal Namu Tating_Schedule  PCM 3" xfId="6278"/>
    <cellStyle name="T_Book1_QTT Sal Namu Tating_Schedule  PCM 4" xfId="6277"/>
    <cellStyle name="T_Book1_QTT Sal Namu Tating_Schedule  PCM 5" xfId="6276"/>
    <cellStyle name="T_Book1_QTT Sal Namu Tating_Schedule  PCM_schedule rev -2 paket AMS 8" xfId="6275"/>
    <cellStyle name="T_Book1_QTT Sal Namu Tating_Schedule  PCM_schedule rev -2 paket AMS 8 2" xfId="6274"/>
    <cellStyle name="T_Book1_QTT Sal Namu Tating_Schedule  PCM_schedule rev -2 paket AMS 8 3" xfId="6273"/>
    <cellStyle name="T_Book1_QTT Sal Namu Tating_Schedule  PCM_schedule rev -2 paket AMS 8 4" xfId="6272"/>
    <cellStyle name="T_Book1_QTT Sal Namu Tating_Schedule  PCM_schedule rev -2 paket AMS 8 5" xfId="6271"/>
    <cellStyle name="T_Book1_QTT Sal Namu Tating_Schedule Revisi 1" xfId="6270"/>
    <cellStyle name="T_Book1_QTT Sal Namu Tating_Schedule Revisi 1 2" xfId="6269"/>
    <cellStyle name="T_Book1_QTT Sal Namu Tating_Schedule Revisi 1 3" xfId="6268"/>
    <cellStyle name="T_Book1_QTT Sal Namu Tating_Schedule Revisi 1 4" xfId="6267"/>
    <cellStyle name="T_Book1_QTT Sal Namu Tating_Schedule Revisi 1 5" xfId="6266"/>
    <cellStyle name="T_Book1_QTT Sal Namu Tating_Schedule Revisi 1_schedule rev -2 paket AMS 8" xfId="6265"/>
    <cellStyle name="T_Book1_QTT Sal Namu Tating_Schedule Revisi 1_schedule rev -2 paket AMS 8 2" xfId="6264"/>
    <cellStyle name="T_Book1_QTT Sal Namu Tating_Schedule Revisi 1_schedule rev -2 paket AMS 8 3" xfId="6263"/>
    <cellStyle name="T_Book1_QTT Sal Namu Tating_Schedule Revisi 1_schedule rev -2 paket AMS 8 4" xfId="6262"/>
    <cellStyle name="T_Book1_QTT Sal Namu Tating_Schedule Revisi 1_schedule rev -2 paket AMS 8 5" xfId="6261"/>
    <cellStyle name="T_Book1_QTT Sal Namu Tating_summary amd 1 final" xfId="6260"/>
    <cellStyle name="T_Book1_QTT Sal Namu Tating_summary amd 1 final 2" xfId="6259"/>
    <cellStyle name="T_Book1_QTT Sal Namu Tating_summary amd 1 final 3" xfId="6258"/>
    <cellStyle name="T_Book1_QTT Sal Namu Tating_summary amd 1 final 4" xfId="6257"/>
    <cellStyle name="T_Book1_QTT Sal Namu Tating_summary amd 1 final 5" xfId="6256"/>
    <cellStyle name="T_Book1_QTT Sal Namu Tating_summary amd 1 final_schedule rev -2 paket AMS 8" xfId="6255"/>
    <cellStyle name="T_Book1_QTT Sal Namu Tating_summary amd 1 final_schedule rev -2 paket AMS 8 2" xfId="6254"/>
    <cellStyle name="T_Book1_QTT Sal Namu Tating_summary amd 1 final_schedule rev -2 paket AMS 8 3" xfId="6253"/>
    <cellStyle name="T_Book1_QTT Sal Namu Tating_summary amd 1 final_schedule rev -2 paket AMS 8 4" xfId="6252"/>
    <cellStyle name="T_Book1_QTT Sal Namu Tating_summary amd 1 final_schedule rev -2 paket AMS 8 5" xfId="6251"/>
    <cellStyle name="T_Book1_QTT Sal Namu Ukur Kanan" xfId="6250"/>
    <cellStyle name="T_Book1_QTT Sal Namu Ukur Kanan 2" xfId="6249"/>
    <cellStyle name="T_Book1_QTT Sal Namu Ukur Kanan 3" xfId="6248"/>
    <cellStyle name="T_Book1_QTT Sal Namu Ukur Kanan 4" xfId="6247"/>
    <cellStyle name="T_Book1_QTT Sal Namu Ukur Kanan 5" xfId="6246"/>
    <cellStyle name="T_Book1_QTT Sal Namu Ukur Kanan_Evaluasi Negoisasi (Lampiran Berita Acara) - Rev 3" xfId="6245"/>
    <cellStyle name="T_Book1_QTT Sal Namu Ukur Kanan_Evaluasi Negoisasi (Lampiran Berita Acara) - Rev 3 2" xfId="6244"/>
    <cellStyle name="T_Book1_QTT Sal Namu Ukur Kanan_Evaluasi Negoisasi (Lampiran Berita Acara) - Rev 3 3" xfId="6243"/>
    <cellStyle name="T_Book1_QTT Sal Namu Ukur Kanan_Evaluasi Negoisasi (Lampiran Berita Acara) - Rev 3 4" xfId="6242"/>
    <cellStyle name="T_Book1_QTT Sal Namu Ukur Kanan_Evaluasi Negoisasi (Lampiran Berita Acara) - Rev 3 5" xfId="6241"/>
    <cellStyle name="T_Book1_QTT Sal Namu Ukur Kanan_Schedule  PCM" xfId="6240"/>
    <cellStyle name="T_Book1_QTT Sal Namu Ukur Kanan_Schedule  PCM 2" xfId="6239"/>
    <cellStyle name="T_Book1_QTT Sal Namu Ukur Kanan_Schedule  PCM 3" xfId="6238"/>
    <cellStyle name="T_Book1_QTT Sal Namu Ukur Kanan_Schedule  PCM 4" xfId="6237"/>
    <cellStyle name="T_Book1_QTT Sal Namu Ukur Kanan_Schedule  PCM 5" xfId="6236"/>
    <cellStyle name="T_Book1_QTT Sal Namu Ukur Kanan_Schedule  PCM_schedule rev -2 paket AMS 8" xfId="6235"/>
    <cellStyle name="T_Book1_QTT Sal Namu Ukur Kanan_Schedule  PCM_schedule rev -2 paket AMS 8 2" xfId="6234"/>
    <cellStyle name="T_Book1_QTT Sal Namu Ukur Kanan_Schedule  PCM_schedule rev -2 paket AMS 8 3" xfId="6233"/>
    <cellStyle name="T_Book1_QTT Sal Namu Ukur Kanan_Schedule  PCM_schedule rev -2 paket AMS 8 4" xfId="6232"/>
    <cellStyle name="T_Book1_QTT Sal Namu Ukur Kanan_Schedule  PCM_schedule rev -2 paket AMS 8 5" xfId="6231"/>
    <cellStyle name="T_Book1_QTT Sal Namu Ukur Kanan_Schedule Revisi 1" xfId="6230"/>
    <cellStyle name="T_Book1_QTT Sal Namu Ukur Kanan_Schedule Revisi 1 2" xfId="6229"/>
    <cellStyle name="T_Book1_QTT Sal Namu Ukur Kanan_Schedule Revisi 1 3" xfId="6228"/>
    <cellStyle name="T_Book1_QTT Sal Namu Ukur Kanan_Schedule Revisi 1 4" xfId="6227"/>
    <cellStyle name="T_Book1_QTT Sal Namu Ukur Kanan_Schedule Revisi 1 5" xfId="6226"/>
    <cellStyle name="T_Book1_QTT Sal Namu Ukur Kanan_Schedule Revisi 1_schedule rev -2 paket AMS 8" xfId="6225"/>
    <cellStyle name="T_Book1_QTT Sal Namu Ukur Kanan_Schedule Revisi 1_schedule rev -2 paket AMS 8 2" xfId="6224"/>
    <cellStyle name="T_Book1_QTT Sal Namu Ukur Kanan_Schedule Revisi 1_schedule rev -2 paket AMS 8 3" xfId="6223"/>
    <cellStyle name="T_Book1_QTT Sal Namu Ukur Kanan_Schedule Revisi 1_schedule rev -2 paket AMS 8 4" xfId="6222"/>
    <cellStyle name="T_Book1_QTT Sal Namu Ukur Kanan_Schedule Revisi 1_schedule rev -2 paket AMS 8 5" xfId="6221"/>
    <cellStyle name="T_Book1_QTT Sal Namu Ukur Kanan_summary amd 1 final" xfId="6220"/>
    <cellStyle name="T_Book1_QTT Sal Namu Ukur Kanan_summary amd 1 final 2" xfId="6219"/>
    <cellStyle name="T_Book1_QTT Sal Namu Ukur Kanan_summary amd 1 final 3" xfId="6218"/>
    <cellStyle name="T_Book1_QTT Sal Namu Ukur Kanan_summary amd 1 final 4" xfId="6217"/>
    <cellStyle name="T_Book1_QTT Sal Namu Ukur Kanan_summary amd 1 final 5" xfId="6216"/>
    <cellStyle name="T_Book1_QTT Sal Namu Ukur Kanan_summary amd 1 final_schedule rev -2 paket AMS 8" xfId="6215"/>
    <cellStyle name="T_Book1_QTT Sal Namu Ukur Kanan_summary amd 1 final_schedule rev -2 paket AMS 8 2" xfId="6214"/>
    <cellStyle name="T_Book1_QTT Sal Namu Ukur Kanan_summary amd 1 final_schedule rev -2 paket AMS 8 3" xfId="6213"/>
    <cellStyle name="T_Book1_QTT Sal Namu Ukur Kanan_summary amd 1 final_schedule rev -2 paket AMS 8 4" xfId="6212"/>
    <cellStyle name="T_Book1_QTT Sal Namu Ukur Kanan_summary amd 1 final_schedule rev -2 paket AMS 8 5" xfId="6211"/>
    <cellStyle name="T_Book1_QTT Sal Sei Bingai" xfId="6210"/>
    <cellStyle name="T_Book1_QTT Sal Sei Bingai 2" xfId="6209"/>
    <cellStyle name="T_Book1_QTT Sal Sei Bingai 3" xfId="6208"/>
    <cellStyle name="T_Book1_QTT Sal Sei Bingai 4" xfId="6207"/>
    <cellStyle name="T_Book1_QTT Sal Sei Bingai 5" xfId="6206"/>
    <cellStyle name="T_Book1_QTT Sal Sei Bingai_Evaluasi Negoisasi (Lampiran Berita Acara) - Rev 3" xfId="6205"/>
    <cellStyle name="T_Book1_QTT Sal Sei Bingai_Evaluasi Negoisasi (Lampiran Berita Acara) - Rev 3 2" xfId="6204"/>
    <cellStyle name="T_Book1_QTT Sal Sei Bingai_Evaluasi Negoisasi (Lampiran Berita Acara) - Rev 3 3" xfId="6203"/>
    <cellStyle name="T_Book1_QTT Sal Sei Bingai_Evaluasi Negoisasi (Lampiran Berita Acara) - Rev 3 4" xfId="6202"/>
    <cellStyle name="T_Book1_QTT Sal Sei Bingai_Evaluasi Negoisasi (Lampiran Berita Acara) - Rev 3 5" xfId="6201"/>
    <cellStyle name="T_Book1_QTT Sal Sei Bingai_Schedule  PCM" xfId="6200"/>
    <cellStyle name="T_Book1_QTT Sal Sei Bingai_Schedule  PCM 2" xfId="6199"/>
    <cellStyle name="T_Book1_QTT Sal Sei Bingai_Schedule  PCM 3" xfId="6198"/>
    <cellStyle name="T_Book1_QTT Sal Sei Bingai_Schedule  PCM 4" xfId="6197"/>
    <cellStyle name="T_Book1_QTT Sal Sei Bingai_Schedule  PCM 5" xfId="6196"/>
    <cellStyle name="T_Book1_QTT Sal Sei Bingai_Schedule  PCM_schedule rev -2 paket AMS 8" xfId="6195"/>
    <cellStyle name="T_Book1_QTT Sal Sei Bingai_Schedule  PCM_schedule rev -2 paket AMS 8 2" xfId="6194"/>
    <cellStyle name="T_Book1_QTT Sal Sei Bingai_Schedule  PCM_schedule rev -2 paket AMS 8 3" xfId="6193"/>
    <cellStyle name="T_Book1_QTT Sal Sei Bingai_Schedule  PCM_schedule rev -2 paket AMS 8 4" xfId="6192"/>
    <cellStyle name="T_Book1_QTT Sal Sei Bingai_Schedule  PCM_schedule rev -2 paket AMS 8 5" xfId="6191"/>
    <cellStyle name="T_Book1_QTT Sal Sei Bingai_Schedule Revisi 1" xfId="6190"/>
    <cellStyle name="T_Book1_QTT Sal Sei Bingai_Schedule Revisi 1 2" xfId="6189"/>
    <cellStyle name="T_Book1_QTT Sal Sei Bingai_Schedule Revisi 1 3" xfId="6188"/>
    <cellStyle name="T_Book1_QTT Sal Sei Bingai_Schedule Revisi 1 4" xfId="6187"/>
    <cellStyle name="T_Book1_QTT Sal Sei Bingai_Schedule Revisi 1 5" xfId="6186"/>
    <cellStyle name="T_Book1_QTT Sal Sei Bingai_Schedule Revisi 1_schedule rev -2 paket AMS 8" xfId="6185"/>
    <cellStyle name="T_Book1_QTT Sal Sei Bingai_Schedule Revisi 1_schedule rev -2 paket AMS 8 2" xfId="6184"/>
    <cellStyle name="T_Book1_QTT Sal Sei Bingai_Schedule Revisi 1_schedule rev -2 paket AMS 8 3" xfId="6183"/>
    <cellStyle name="T_Book1_QTT Sal Sei Bingai_Schedule Revisi 1_schedule rev -2 paket AMS 8 4" xfId="6182"/>
    <cellStyle name="T_Book1_QTT Sal Sei Bingai_Schedule Revisi 1_schedule rev -2 paket AMS 8 5" xfId="6181"/>
    <cellStyle name="T_Book1_QTT Sal Sei Bingai_summary amd 1 final" xfId="6180"/>
    <cellStyle name="T_Book1_QTT Sal Sei Bingai_summary amd 1 final 2" xfId="6179"/>
    <cellStyle name="T_Book1_QTT Sal Sei Bingai_summary amd 1 final 3" xfId="6178"/>
    <cellStyle name="T_Book1_QTT Sal Sei Bingai_summary amd 1 final 4" xfId="6177"/>
    <cellStyle name="T_Book1_QTT Sal Sei Bingai_summary amd 1 final 5" xfId="6176"/>
    <cellStyle name="T_Book1_QTT Sal Sei Bingai_summary amd 1 final_schedule rev -2 paket AMS 8" xfId="6175"/>
    <cellStyle name="T_Book1_QTT Sal Sei Bingai_summary amd 1 final_schedule rev -2 paket AMS 8 2" xfId="6174"/>
    <cellStyle name="T_Book1_QTT Sal Sei Bingai_summary amd 1 final_schedule rev -2 paket AMS 8 3" xfId="6173"/>
    <cellStyle name="T_Book1_QTT Sal Sei Bingai_summary amd 1 final_schedule rev -2 paket AMS 8 4" xfId="6172"/>
    <cellStyle name="T_Book1_QTT Sal Sei Bingai_summary amd 1 final_schedule rev -2 paket AMS 8 5" xfId="6171"/>
    <cellStyle name="T_Book1_QTT saluran Bela Rakyat" xfId="6170"/>
    <cellStyle name="T_Book1_QTT saluran Bela Rakyat 2" xfId="6169"/>
    <cellStyle name="T_Book1_QTT saluran Bela Rakyat 3" xfId="6168"/>
    <cellStyle name="T_Book1_QTT saluran Bela Rakyat 4" xfId="6167"/>
    <cellStyle name="T_Book1_QTT saluran Bela Rakyat 5" xfId="6166"/>
    <cellStyle name="T_Book1_QTT saluran Bela Rakyat_Evaluasi Negoisasi (Lampiran Berita Acara) - Rev 3" xfId="6165"/>
    <cellStyle name="T_Book1_QTT saluran Bela Rakyat_Evaluasi Negoisasi (Lampiran Berita Acara) - Rev 3 2" xfId="6164"/>
    <cellStyle name="T_Book1_QTT saluran Bela Rakyat_Evaluasi Negoisasi (Lampiran Berita Acara) - Rev 3 3" xfId="6163"/>
    <cellStyle name="T_Book1_QTT saluran Bela Rakyat_Evaluasi Negoisasi (Lampiran Berita Acara) - Rev 3 4" xfId="6162"/>
    <cellStyle name="T_Book1_QTT saluran Bela Rakyat_Evaluasi Negoisasi (Lampiran Berita Acara) - Rev 3 5" xfId="6161"/>
    <cellStyle name="T_Book1_QTT saluran Bela Rakyat_Schedule  PCM" xfId="6160"/>
    <cellStyle name="T_Book1_QTT saluran Bela Rakyat_Schedule  PCM 2" xfId="6159"/>
    <cellStyle name="T_Book1_QTT saluran Bela Rakyat_Schedule  PCM 3" xfId="6158"/>
    <cellStyle name="T_Book1_QTT saluran Bela Rakyat_Schedule  PCM 4" xfId="6157"/>
    <cellStyle name="T_Book1_QTT saluran Bela Rakyat_Schedule  PCM 5" xfId="6156"/>
    <cellStyle name="T_Book1_QTT saluran Bela Rakyat_Schedule  PCM_schedule rev -2 paket AMS 8" xfId="6155"/>
    <cellStyle name="T_Book1_QTT saluran Bela Rakyat_Schedule  PCM_schedule rev -2 paket AMS 8 2" xfId="6154"/>
    <cellStyle name="T_Book1_QTT saluran Bela Rakyat_Schedule  PCM_schedule rev -2 paket AMS 8 3" xfId="6153"/>
    <cellStyle name="T_Book1_QTT saluran Bela Rakyat_Schedule  PCM_schedule rev -2 paket AMS 8 4" xfId="6152"/>
    <cellStyle name="T_Book1_QTT saluran Bela Rakyat_Schedule  PCM_schedule rev -2 paket AMS 8 5" xfId="6151"/>
    <cellStyle name="T_Book1_QTT saluran Bela Rakyat_Schedule Revisi 1" xfId="6150"/>
    <cellStyle name="T_Book1_QTT saluran Bela Rakyat_Schedule Revisi 1 2" xfId="6149"/>
    <cellStyle name="T_Book1_QTT saluran Bela Rakyat_Schedule Revisi 1 3" xfId="6148"/>
    <cellStyle name="T_Book1_QTT saluran Bela Rakyat_Schedule Revisi 1 4" xfId="6147"/>
    <cellStyle name="T_Book1_QTT saluran Bela Rakyat_Schedule Revisi 1 5" xfId="6146"/>
    <cellStyle name="T_Book1_QTT saluran Bela Rakyat_Schedule Revisi 1_schedule rev -2 paket AMS 8" xfId="6145"/>
    <cellStyle name="T_Book1_QTT saluran Bela Rakyat_Schedule Revisi 1_schedule rev -2 paket AMS 8 2" xfId="6144"/>
    <cellStyle name="T_Book1_QTT saluran Bela Rakyat_Schedule Revisi 1_schedule rev -2 paket AMS 8 3" xfId="6143"/>
    <cellStyle name="T_Book1_QTT saluran Bela Rakyat_Schedule Revisi 1_schedule rev -2 paket AMS 8 4" xfId="6142"/>
    <cellStyle name="T_Book1_QTT saluran Bela Rakyat_Schedule Revisi 1_schedule rev -2 paket AMS 8 5" xfId="6141"/>
    <cellStyle name="T_Book1_QTT saluran Bela Rakyat_summary amd 1 final" xfId="6140"/>
    <cellStyle name="T_Book1_QTT saluran Bela Rakyat_summary amd 1 final 2" xfId="6139"/>
    <cellStyle name="T_Book1_QTT saluran Bela Rakyat_summary amd 1 final 3" xfId="6138"/>
    <cellStyle name="T_Book1_QTT saluran Bela Rakyat_summary amd 1 final 4" xfId="6137"/>
    <cellStyle name="T_Book1_QTT saluran Bela Rakyat_summary amd 1 final 5" xfId="6136"/>
    <cellStyle name="T_Book1_QTT saluran Bela Rakyat_summary amd 1 final_schedule rev -2 paket AMS 8" xfId="6135"/>
    <cellStyle name="T_Book1_QTT saluran Bela Rakyat_summary amd 1 final_schedule rev -2 paket AMS 8 2" xfId="6134"/>
    <cellStyle name="T_Book1_QTT saluran Bela Rakyat_summary amd 1 final_schedule rev -2 paket AMS 8 3" xfId="6133"/>
    <cellStyle name="T_Book1_QTT saluran Bela Rakyat_summary amd 1 final_schedule rev -2 paket AMS 8 4" xfId="6132"/>
    <cellStyle name="T_Book1_QTT saluran Bela Rakyat_summary amd 1 final_schedule rev -2 paket AMS 8 5" xfId="6131"/>
    <cellStyle name="T_Book1_QTT Saluran Namu Ukur Kiri" xfId="6130"/>
    <cellStyle name="T_Book1_QTT Saluran Namu Ukur Kiri 2" xfId="6129"/>
    <cellStyle name="T_Book1_QTT Saluran Namu Ukur Kiri 3" xfId="6128"/>
    <cellStyle name="T_Book1_QTT Saluran Namu Ukur Kiri 4" xfId="6127"/>
    <cellStyle name="T_Book1_QTT Saluran Namu Ukur Kiri 5" xfId="6126"/>
    <cellStyle name="T_Book1_QTT Saluran Namu Ukur Kiri_Evaluasi Negoisasi (Lampiran Berita Acara) - Rev 3" xfId="6125"/>
    <cellStyle name="T_Book1_QTT Saluran Namu Ukur Kiri_Evaluasi Negoisasi (Lampiran Berita Acara) - Rev 3 2" xfId="6124"/>
    <cellStyle name="T_Book1_QTT Saluran Namu Ukur Kiri_Evaluasi Negoisasi (Lampiran Berita Acara) - Rev 3 3" xfId="6123"/>
    <cellStyle name="T_Book1_QTT Saluran Namu Ukur Kiri_Evaluasi Negoisasi (Lampiran Berita Acara) - Rev 3 4" xfId="6122"/>
    <cellStyle name="T_Book1_QTT Saluran Namu Ukur Kiri_Evaluasi Negoisasi (Lampiran Berita Acara) - Rev 3 5" xfId="6121"/>
    <cellStyle name="T_Book1_QTT Saluran Namu Ukur Kiri_Schedule  PCM" xfId="6120"/>
    <cellStyle name="T_Book1_QTT Saluran Namu Ukur Kiri_Schedule  PCM 2" xfId="6119"/>
    <cellStyle name="T_Book1_QTT Saluran Namu Ukur Kiri_Schedule  PCM 3" xfId="6118"/>
    <cellStyle name="T_Book1_QTT Saluran Namu Ukur Kiri_Schedule  PCM 4" xfId="6117"/>
    <cellStyle name="T_Book1_QTT Saluran Namu Ukur Kiri_Schedule  PCM 5" xfId="6116"/>
    <cellStyle name="T_Book1_QTT Saluran Namu Ukur Kiri_Schedule  PCM_schedule rev -2 paket AMS 8" xfId="6115"/>
    <cellStyle name="T_Book1_QTT Saluran Namu Ukur Kiri_Schedule  PCM_schedule rev -2 paket AMS 8 2" xfId="6114"/>
    <cellStyle name="T_Book1_QTT Saluran Namu Ukur Kiri_Schedule  PCM_schedule rev -2 paket AMS 8 3" xfId="6113"/>
    <cellStyle name="T_Book1_QTT Saluran Namu Ukur Kiri_Schedule  PCM_schedule rev -2 paket AMS 8 4" xfId="6112"/>
    <cellStyle name="T_Book1_QTT Saluran Namu Ukur Kiri_Schedule  PCM_schedule rev -2 paket AMS 8 5" xfId="6111"/>
    <cellStyle name="T_Book1_QTT Saluran Namu Ukur Kiri_Schedule Revisi 1" xfId="6110"/>
    <cellStyle name="T_Book1_QTT Saluran Namu Ukur Kiri_Schedule Revisi 1 2" xfId="6109"/>
    <cellStyle name="T_Book1_QTT Saluran Namu Ukur Kiri_Schedule Revisi 1 3" xfId="6108"/>
    <cellStyle name="T_Book1_QTT Saluran Namu Ukur Kiri_Schedule Revisi 1 4" xfId="6107"/>
    <cellStyle name="T_Book1_QTT Saluran Namu Ukur Kiri_Schedule Revisi 1 5" xfId="6106"/>
    <cellStyle name="T_Book1_QTT Saluran Namu Ukur Kiri_Schedule Revisi 1_schedule rev -2 paket AMS 8" xfId="6105"/>
    <cellStyle name="T_Book1_QTT Saluran Namu Ukur Kiri_Schedule Revisi 1_schedule rev -2 paket AMS 8 2" xfId="6104"/>
    <cellStyle name="T_Book1_QTT Saluran Namu Ukur Kiri_Schedule Revisi 1_schedule rev -2 paket AMS 8 3" xfId="6103"/>
    <cellStyle name="T_Book1_QTT Saluran Namu Ukur Kiri_Schedule Revisi 1_schedule rev -2 paket AMS 8 4" xfId="6102"/>
    <cellStyle name="T_Book1_QTT Saluran Namu Ukur Kiri_Schedule Revisi 1_schedule rev -2 paket AMS 8 5" xfId="6101"/>
    <cellStyle name="T_Book1_QTT Saluran Namu Ukur Kiri_summary amd 1 final" xfId="6100"/>
    <cellStyle name="T_Book1_QTT Saluran Namu Ukur Kiri_summary amd 1 final 2" xfId="6099"/>
    <cellStyle name="T_Book1_QTT Saluran Namu Ukur Kiri_summary amd 1 final 3" xfId="6098"/>
    <cellStyle name="T_Book1_QTT Saluran Namu Ukur Kiri_summary amd 1 final 4" xfId="6097"/>
    <cellStyle name="T_Book1_QTT Saluran Namu Ukur Kiri_summary amd 1 final 5" xfId="6096"/>
    <cellStyle name="T_Book1_QTT Saluran Namu Ukur Kiri_summary amd 1 final_schedule rev -2 paket AMS 8" xfId="6095"/>
    <cellStyle name="T_Book1_QTT Saluran Namu Ukur Kiri_summary amd 1 final_schedule rev -2 paket AMS 8 2" xfId="6094"/>
    <cellStyle name="T_Book1_QTT Saluran Namu Ukur Kiri_summary amd 1 final_schedule rev -2 paket AMS 8 3" xfId="6093"/>
    <cellStyle name="T_Book1_QTT Saluran Namu Ukur Kiri_summary amd 1 final_schedule rev -2 paket AMS 8 4" xfId="6092"/>
    <cellStyle name="T_Book1_QTT Saluran Namu Ukur Kiri_summary amd 1 final_schedule rev -2 paket AMS 8 5" xfId="6091"/>
    <cellStyle name="T_Book1_QTT Saluran Sampai Gunung" xfId="6090"/>
    <cellStyle name="T_Book1_QTT Saluran Sampai Gunung 2" xfId="6089"/>
    <cellStyle name="T_Book1_QTT Saluran Sampai Gunung 3" xfId="6088"/>
    <cellStyle name="T_Book1_QTT Saluran Sampai Gunung 4" xfId="6087"/>
    <cellStyle name="T_Book1_QTT Saluran Sampai Gunung 5" xfId="6086"/>
    <cellStyle name="T_Book1_QTT Saluran Sampai Gunung_Evaluasi Negoisasi (Lampiran Berita Acara) - Rev 3" xfId="6085"/>
    <cellStyle name="T_Book1_QTT Saluran Sampai Gunung_Evaluasi Negoisasi (Lampiran Berita Acara) - Rev 3 2" xfId="6084"/>
    <cellStyle name="T_Book1_QTT Saluran Sampai Gunung_Evaluasi Negoisasi (Lampiran Berita Acara) - Rev 3 3" xfId="6083"/>
    <cellStyle name="T_Book1_QTT Saluran Sampai Gunung_Evaluasi Negoisasi (Lampiran Berita Acara) - Rev 3 4" xfId="6082"/>
    <cellStyle name="T_Book1_QTT Saluran Sampai Gunung_Evaluasi Negoisasi (Lampiran Berita Acara) - Rev 3 5" xfId="6081"/>
    <cellStyle name="T_Book1_QTT Saluran Sampai Gunung_Schedule  PCM" xfId="6080"/>
    <cellStyle name="T_Book1_QTT Saluran Sampai Gunung_Schedule  PCM 2" xfId="6079"/>
    <cellStyle name="T_Book1_QTT Saluran Sampai Gunung_Schedule  PCM 3" xfId="6078"/>
    <cellStyle name="T_Book1_QTT Saluran Sampai Gunung_Schedule  PCM 4" xfId="6077"/>
    <cellStyle name="T_Book1_QTT Saluran Sampai Gunung_Schedule  PCM 5" xfId="6076"/>
    <cellStyle name="T_Book1_QTT Saluran Sampai Gunung_Schedule  PCM_schedule rev -2 paket AMS 8" xfId="6075"/>
    <cellStyle name="T_Book1_QTT Saluran Sampai Gunung_Schedule  PCM_schedule rev -2 paket AMS 8 2" xfId="6074"/>
    <cellStyle name="T_Book1_QTT Saluran Sampai Gunung_Schedule  PCM_schedule rev -2 paket AMS 8 3" xfId="6073"/>
    <cellStyle name="T_Book1_QTT Saluran Sampai Gunung_Schedule  PCM_schedule rev -2 paket AMS 8 4" xfId="6072"/>
    <cellStyle name="T_Book1_QTT Saluran Sampai Gunung_Schedule  PCM_schedule rev -2 paket AMS 8 5" xfId="6071"/>
    <cellStyle name="T_Book1_QTT Saluran Sampai Gunung_Schedule Revisi 1" xfId="6070"/>
    <cellStyle name="T_Book1_QTT Saluran Sampai Gunung_Schedule Revisi 1 2" xfId="6069"/>
    <cellStyle name="T_Book1_QTT Saluran Sampai Gunung_Schedule Revisi 1 3" xfId="6068"/>
    <cellStyle name="T_Book1_QTT Saluran Sampai Gunung_Schedule Revisi 1 4" xfId="6067"/>
    <cellStyle name="T_Book1_QTT Saluran Sampai Gunung_Schedule Revisi 1 5" xfId="6066"/>
    <cellStyle name="T_Book1_QTT Saluran Sampai Gunung_Schedule Revisi 1_schedule rev -2 paket AMS 8" xfId="6065"/>
    <cellStyle name="T_Book1_QTT Saluran Sampai Gunung_Schedule Revisi 1_schedule rev -2 paket AMS 8 2" xfId="6064"/>
    <cellStyle name="T_Book1_QTT Saluran Sampai Gunung_Schedule Revisi 1_schedule rev -2 paket AMS 8 3" xfId="6063"/>
    <cellStyle name="T_Book1_QTT Saluran Sampai Gunung_Schedule Revisi 1_schedule rev -2 paket AMS 8 4" xfId="6062"/>
    <cellStyle name="T_Book1_QTT Saluran Sampai Gunung_Schedule Revisi 1_schedule rev -2 paket AMS 8 5" xfId="6061"/>
    <cellStyle name="T_Book1_QTT Saluran Sampai Gunung_summary amd 1 final" xfId="6060"/>
    <cellStyle name="T_Book1_QTT Saluran Sampai Gunung_summary amd 1 final 2" xfId="6059"/>
    <cellStyle name="T_Book1_QTT Saluran Sampai Gunung_summary amd 1 final 3" xfId="6058"/>
    <cellStyle name="T_Book1_QTT Saluran Sampai Gunung_summary amd 1 final 4" xfId="6057"/>
    <cellStyle name="T_Book1_QTT Saluran Sampai Gunung_summary amd 1 final 5" xfId="6056"/>
    <cellStyle name="T_Book1_QTT Saluran Sampai Gunung_summary amd 1 final_schedule rev -2 paket AMS 8" xfId="6055"/>
    <cellStyle name="T_Book1_QTT Saluran Sampai Gunung_summary amd 1 final_schedule rev -2 paket AMS 8 2" xfId="6054"/>
    <cellStyle name="T_Book1_QTT Saluran Sampai Gunung_summary amd 1 final_schedule rev -2 paket AMS 8 3" xfId="6053"/>
    <cellStyle name="T_Book1_QTT Saluran Sampai Gunung_summary amd 1 final_schedule rev -2 paket AMS 8 4" xfId="6052"/>
    <cellStyle name="T_Book1_QTT Saluran Sampai Gunung_summary amd 1 final_schedule rev -2 paket AMS 8 5" xfId="6051"/>
    <cellStyle name="T_Book1_QTT Saluran Suka Tani" xfId="6050"/>
    <cellStyle name="T_Book1_QTT Saluran Suka Tani 2" xfId="6049"/>
    <cellStyle name="T_Book1_QTT Saluran Suka Tani 3" xfId="6048"/>
    <cellStyle name="T_Book1_QTT Saluran Suka Tani 4" xfId="6047"/>
    <cellStyle name="T_Book1_QTT Saluran Suka Tani 5" xfId="6046"/>
    <cellStyle name="T_Book1_QTT Saluran Suka Tani_Evaluasi Negoisasi (Lampiran Berita Acara) - Rev 3" xfId="6045"/>
    <cellStyle name="T_Book1_QTT Saluran Suka Tani_Evaluasi Negoisasi (Lampiran Berita Acara) - Rev 3 2" xfId="6044"/>
    <cellStyle name="T_Book1_QTT Saluran Suka Tani_Evaluasi Negoisasi (Lampiran Berita Acara) - Rev 3 3" xfId="6043"/>
    <cellStyle name="T_Book1_QTT Saluran Suka Tani_Evaluasi Negoisasi (Lampiran Berita Acara) - Rev 3 4" xfId="6042"/>
    <cellStyle name="T_Book1_QTT Saluran Suka Tani_Evaluasi Negoisasi (Lampiran Berita Acara) - Rev 3 5" xfId="6041"/>
    <cellStyle name="T_Book1_QTT Saluran Suka Tani_Schedule  PCM" xfId="6040"/>
    <cellStyle name="T_Book1_QTT Saluran Suka Tani_Schedule  PCM 2" xfId="6039"/>
    <cellStyle name="T_Book1_QTT Saluran Suka Tani_Schedule  PCM 3" xfId="6038"/>
    <cellStyle name="T_Book1_QTT Saluran Suka Tani_Schedule  PCM 4" xfId="6037"/>
    <cellStyle name="T_Book1_QTT Saluran Suka Tani_Schedule  PCM 5" xfId="6036"/>
    <cellStyle name="T_Book1_QTT Saluran Suka Tani_Schedule  PCM_schedule rev -2 paket AMS 8" xfId="6035"/>
    <cellStyle name="T_Book1_QTT Saluran Suka Tani_Schedule  PCM_schedule rev -2 paket AMS 8 2" xfId="6034"/>
    <cellStyle name="T_Book1_QTT Saluran Suka Tani_Schedule  PCM_schedule rev -2 paket AMS 8 3" xfId="6033"/>
    <cellStyle name="T_Book1_QTT Saluran Suka Tani_Schedule  PCM_schedule rev -2 paket AMS 8 4" xfId="6032"/>
    <cellStyle name="T_Book1_QTT Saluran Suka Tani_Schedule  PCM_schedule rev -2 paket AMS 8 5" xfId="6031"/>
    <cellStyle name="T_Book1_QTT Saluran Suka Tani_Schedule Revisi 1" xfId="6030"/>
    <cellStyle name="T_Book1_QTT Saluran Suka Tani_Schedule Revisi 1 2" xfId="6029"/>
    <cellStyle name="T_Book1_QTT Saluran Suka Tani_Schedule Revisi 1 3" xfId="6028"/>
    <cellStyle name="T_Book1_QTT Saluran Suka Tani_Schedule Revisi 1 4" xfId="6027"/>
    <cellStyle name="T_Book1_QTT Saluran Suka Tani_Schedule Revisi 1 5" xfId="6026"/>
    <cellStyle name="T_Book1_QTT Saluran Suka Tani_Schedule Revisi 1_schedule rev -2 paket AMS 8" xfId="6025"/>
    <cellStyle name="T_Book1_QTT Saluran Suka Tani_Schedule Revisi 1_schedule rev -2 paket AMS 8 2" xfId="6024"/>
    <cellStyle name="T_Book1_QTT Saluran Suka Tani_Schedule Revisi 1_schedule rev -2 paket AMS 8 3" xfId="6023"/>
    <cellStyle name="T_Book1_QTT Saluran Suka Tani_Schedule Revisi 1_schedule rev -2 paket AMS 8 4" xfId="6022"/>
    <cellStyle name="T_Book1_QTT Saluran Suka Tani_Schedule Revisi 1_schedule rev -2 paket AMS 8 5" xfId="6021"/>
    <cellStyle name="T_Book1_QTT Saluran Suka Tani_summary amd 1 final" xfId="6020"/>
    <cellStyle name="T_Book1_QTT Saluran Suka Tani_summary amd 1 final 2" xfId="6019"/>
    <cellStyle name="T_Book1_QTT Saluran Suka Tani_summary amd 1 final 3" xfId="6018"/>
    <cellStyle name="T_Book1_QTT Saluran Suka Tani_summary amd 1 final 4" xfId="6017"/>
    <cellStyle name="T_Book1_QTT Saluran Suka Tani_summary amd 1 final 5" xfId="6016"/>
    <cellStyle name="T_Book1_QTT Saluran Suka Tani_summary amd 1 final_schedule rev -2 paket AMS 8" xfId="6015"/>
    <cellStyle name="T_Book1_QTT Saluran Suka Tani_summary amd 1 final_schedule rev -2 paket AMS 8 2" xfId="6014"/>
    <cellStyle name="T_Book1_QTT Saluran Suka Tani_summary amd 1 final_schedule rev -2 paket AMS 8 3" xfId="6013"/>
    <cellStyle name="T_Book1_QTT Saluran Suka Tani_summary amd 1 final_schedule rev -2 paket AMS 8 4" xfId="6012"/>
    <cellStyle name="T_Book1_QTT Saluran Suka Tani_summary amd 1 final_schedule rev -2 paket AMS 8 5" xfId="6011"/>
    <cellStyle name="T_Book1_RAB Kodja Revisi 22 feb 2010" xfId="6010"/>
    <cellStyle name="T_Book1_RAB Kodja Revisi 22 feb 2010 10" xfId="6009"/>
    <cellStyle name="T_Book1_RAB Kodja Revisi 22 feb 2010 11" xfId="6008"/>
    <cellStyle name="T_Book1_RAB Kodja Revisi 22 feb 2010 12" xfId="6007"/>
    <cellStyle name="T_Book1_RAB Kodja Revisi 22 feb 2010 2" xfId="6006"/>
    <cellStyle name="T_Book1_RAB Kodja Revisi 22 feb 2010 2 2" xfId="6005"/>
    <cellStyle name="T_Book1_RAB Kodja Revisi 22 feb 2010 2 3" xfId="6004"/>
    <cellStyle name="T_Book1_RAB Kodja Revisi 22 feb 2010 2 4" xfId="6003"/>
    <cellStyle name="T_Book1_RAB Kodja Revisi 22 feb 2010 2 5" xfId="6002"/>
    <cellStyle name="T_Book1_RAB Kodja Revisi 22 feb 2010 3" xfId="6001"/>
    <cellStyle name="T_Book1_RAB Kodja Revisi 22 feb 2010 3 2" xfId="6000"/>
    <cellStyle name="T_Book1_RAB Kodja Revisi 22 feb 2010 3 3" xfId="5999"/>
    <cellStyle name="T_Book1_RAB Kodja Revisi 22 feb 2010 3 4" xfId="5998"/>
    <cellStyle name="T_Book1_RAB Kodja Revisi 22 feb 2010 3 5" xfId="5997"/>
    <cellStyle name="T_Book1_RAB Kodja Revisi 22 feb 2010 4" xfId="5996"/>
    <cellStyle name="T_Book1_RAB Kodja Revisi 22 feb 2010 4 2" xfId="5995"/>
    <cellStyle name="T_Book1_RAB Kodja Revisi 22 feb 2010 4 3" xfId="5994"/>
    <cellStyle name="T_Book1_RAB Kodja Revisi 22 feb 2010 4 4" xfId="5993"/>
    <cellStyle name="T_Book1_RAB Kodja Revisi 22 feb 2010 4 5" xfId="5992"/>
    <cellStyle name="T_Book1_RAB Kodja Revisi 22 feb 2010 5" xfId="5991"/>
    <cellStyle name="T_Book1_RAB Kodja Revisi 22 feb 2010 5 2" xfId="5990"/>
    <cellStyle name="T_Book1_RAB Kodja Revisi 22 feb 2010 5 3" xfId="5989"/>
    <cellStyle name="T_Book1_RAB Kodja Revisi 22 feb 2010 5 4" xfId="5988"/>
    <cellStyle name="T_Book1_RAB Kodja Revisi 22 feb 2010 5 5" xfId="5987"/>
    <cellStyle name="T_Book1_RAB Kodja Revisi 22 feb 2010 6" xfId="5986"/>
    <cellStyle name="T_Book1_RAB Kodja Revisi 22 feb 2010 6 2" xfId="5985"/>
    <cellStyle name="T_Book1_RAB Kodja Revisi 22 feb 2010 6 3" xfId="5984"/>
    <cellStyle name="T_Book1_RAB Kodja Revisi 22 feb 2010 6 4" xfId="5983"/>
    <cellStyle name="T_Book1_RAB Kodja Revisi 22 feb 2010 6 5" xfId="5982"/>
    <cellStyle name="T_Book1_RAB Kodja Revisi 22 feb 2010 7" xfId="5981"/>
    <cellStyle name="T_Book1_RAB Kodja Revisi 22 feb 2010 7 2" xfId="5980"/>
    <cellStyle name="T_Book1_RAB Kodja Revisi 22 feb 2010 7 3" xfId="5979"/>
    <cellStyle name="T_Book1_RAB Kodja Revisi 22 feb 2010 7 4" xfId="5978"/>
    <cellStyle name="T_Book1_RAB Kodja Revisi 22 feb 2010 7 5" xfId="5977"/>
    <cellStyle name="T_Book1_RAB Kodja Revisi 22 feb 2010 8" xfId="5976"/>
    <cellStyle name="T_Book1_RAB Kodja Revisi 22 feb 2010 8 2" xfId="5975"/>
    <cellStyle name="T_Book1_RAB Kodja Revisi 22 feb 2010 8 3" xfId="5974"/>
    <cellStyle name="T_Book1_RAB Kodja Revisi 22 feb 2010 8 4" xfId="5973"/>
    <cellStyle name="T_Book1_RAB Kodja Revisi 22 feb 2010 8 5" xfId="5972"/>
    <cellStyle name="T_Book1_RAB Kodja Revisi 22 feb 2010 9" xfId="5971"/>
    <cellStyle name="T_Book1_RAB Kodja Revisi 23 feb 2010, revisi analisa" xfId="5970"/>
    <cellStyle name="T_Book1_RAB Kodja Revisi 23 feb 2010, revisi analisa 10" xfId="5969"/>
    <cellStyle name="T_Book1_RAB Kodja Revisi 23 feb 2010, revisi analisa 11" xfId="5968"/>
    <cellStyle name="T_Book1_RAB Kodja Revisi 23 feb 2010, revisi analisa 12" xfId="5967"/>
    <cellStyle name="T_Book1_RAB Kodja Revisi 23 feb 2010, revisi analisa 2" xfId="5966"/>
    <cellStyle name="T_Book1_RAB Kodja Revisi 23 feb 2010, revisi analisa 2 2" xfId="5965"/>
    <cellStyle name="T_Book1_RAB Kodja Revisi 23 feb 2010, revisi analisa 2 3" xfId="5964"/>
    <cellStyle name="T_Book1_RAB Kodja Revisi 23 feb 2010, revisi analisa 2 4" xfId="5963"/>
    <cellStyle name="T_Book1_RAB Kodja Revisi 23 feb 2010, revisi analisa 2 5" xfId="5962"/>
    <cellStyle name="T_Book1_RAB Kodja Revisi 23 feb 2010, revisi analisa 3" xfId="5961"/>
    <cellStyle name="T_Book1_RAB Kodja Revisi 23 feb 2010, revisi analisa 3 2" xfId="5960"/>
    <cellStyle name="T_Book1_RAB Kodja Revisi 23 feb 2010, revisi analisa 3 3" xfId="5959"/>
    <cellStyle name="T_Book1_RAB Kodja Revisi 23 feb 2010, revisi analisa 3 4" xfId="5958"/>
    <cellStyle name="T_Book1_RAB Kodja Revisi 23 feb 2010, revisi analisa 3 5" xfId="5957"/>
    <cellStyle name="T_Book1_RAB Kodja Revisi 23 feb 2010, revisi analisa 4" xfId="5956"/>
    <cellStyle name="T_Book1_RAB Kodja Revisi 23 feb 2010, revisi analisa 4 2" xfId="5955"/>
    <cellStyle name="T_Book1_RAB Kodja Revisi 23 feb 2010, revisi analisa 4 3" xfId="5954"/>
    <cellStyle name="T_Book1_RAB Kodja Revisi 23 feb 2010, revisi analisa 4 4" xfId="5953"/>
    <cellStyle name="T_Book1_RAB Kodja Revisi 23 feb 2010, revisi analisa 4 5" xfId="5952"/>
    <cellStyle name="T_Book1_RAB Kodja Revisi 23 feb 2010, revisi analisa 5" xfId="5951"/>
    <cellStyle name="T_Book1_RAB Kodja Revisi 23 feb 2010, revisi analisa 5 2" xfId="5950"/>
    <cellStyle name="T_Book1_RAB Kodja Revisi 23 feb 2010, revisi analisa 5 3" xfId="5949"/>
    <cellStyle name="T_Book1_RAB Kodja Revisi 23 feb 2010, revisi analisa 5 4" xfId="5948"/>
    <cellStyle name="T_Book1_RAB Kodja Revisi 23 feb 2010, revisi analisa 5 5" xfId="5947"/>
    <cellStyle name="T_Book1_RAB Kodja Revisi 23 feb 2010, revisi analisa 6" xfId="5946"/>
    <cellStyle name="T_Book1_RAB Kodja Revisi 23 feb 2010, revisi analisa 6 2" xfId="5945"/>
    <cellStyle name="T_Book1_RAB Kodja Revisi 23 feb 2010, revisi analisa 6 3" xfId="5944"/>
    <cellStyle name="T_Book1_RAB Kodja Revisi 23 feb 2010, revisi analisa 6 4" xfId="5943"/>
    <cellStyle name="T_Book1_RAB Kodja Revisi 23 feb 2010, revisi analisa 6 5" xfId="5942"/>
    <cellStyle name="T_Book1_RAB Kodja Revisi 23 feb 2010, revisi analisa 7" xfId="5941"/>
    <cellStyle name="T_Book1_RAB Kodja Revisi 23 feb 2010, revisi analisa 7 2" xfId="5940"/>
    <cellStyle name="T_Book1_RAB Kodja Revisi 23 feb 2010, revisi analisa 7 3" xfId="5939"/>
    <cellStyle name="T_Book1_RAB Kodja Revisi 23 feb 2010, revisi analisa 7 4" xfId="5938"/>
    <cellStyle name="T_Book1_RAB Kodja Revisi 23 feb 2010, revisi analisa 7 5" xfId="5937"/>
    <cellStyle name="T_Book1_RAB Kodja Revisi 23 feb 2010, revisi analisa 8" xfId="5936"/>
    <cellStyle name="T_Book1_RAB Kodja Revisi 23 feb 2010, revisi analisa 8 2" xfId="5935"/>
    <cellStyle name="T_Book1_RAB Kodja Revisi 23 feb 2010, revisi analisa 8 3" xfId="5934"/>
    <cellStyle name="T_Book1_RAB Kodja Revisi 23 feb 2010, revisi analisa 8 4" xfId="5933"/>
    <cellStyle name="T_Book1_RAB Kodja Revisi 23 feb 2010, revisi analisa 8 5" xfId="5932"/>
    <cellStyle name="T_Book1_RAB Kodja Revisi 23 feb 2010, revisi analisa 9" xfId="5931"/>
    <cellStyle name="T_Book1_rab lanjutan print" xfId="5930"/>
    <cellStyle name="T_Book1_rab lanjutan print 10" xfId="5929"/>
    <cellStyle name="T_Book1_rab lanjutan print 11" xfId="5928"/>
    <cellStyle name="T_Book1_rab lanjutan print 2" xfId="5927"/>
    <cellStyle name="T_Book1_rab lanjutan print 2 2" xfId="5926"/>
    <cellStyle name="T_Book1_rab lanjutan print 2 3" xfId="5925"/>
    <cellStyle name="T_Book1_rab lanjutan print 2 4" xfId="5924"/>
    <cellStyle name="T_Book1_rab lanjutan print 3" xfId="5923"/>
    <cellStyle name="T_Book1_rab lanjutan print 3 2" xfId="5922"/>
    <cellStyle name="T_Book1_rab lanjutan print 3 3" xfId="5921"/>
    <cellStyle name="T_Book1_rab lanjutan print 3 4" xfId="5920"/>
    <cellStyle name="T_Book1_rab lanjutan print 4" xfId="5919"/>
    <cellStyle name="T_Book1_rab lanjutan print 4 2" xfId="5918"/>
    <cellStyle name="T_Book1_rab lanjutan print 4 3" xfId="5917"/>
    <cellStyle name="T_Book1_rab lanjutan print 4 4" xfId="5916"/>
    <cellStyle name="T_Book1_rab lanjutan print 5" xfId="5915"/>
    <cellStyle name="T_Book1_rab lanjutan print 5 2" xfId="5914"/>
    <cellStyle name="T_Book1_rab lanjutan print 5 3" xfId="5913"/>
    <cellStyle name="T_Book1_rab lanjutan print 5 4" xfId="5912"/>
    <cellStyle name="T_Book1_rab lanjutan print 6" xfId="5911"/>
    <cellStyle name="T_Book1_rab lanjutan print 6 2" xfId="5910"/>
    <cellStyle name="T_Book1_rab lanjutan print 6 3" xfId="5909"/>
    <cellStyle name="T_Book1_rab lanjutan print 6 4" xfId="5908"/>
    <cellStyle name="T_Book1_rab lanjutan print 7" xfId="5907"/>
    <cellStyle name="T_Book1_rab lanjutan print 7 2" xfId="5906"/>
    <cellStyle name="T_Book1_rab lanjutan print 7 3" xfId="5905"/>
    <cellStyle name="T_Book1_rab lanjutan print 7 4" xfId="5904"/>
    <cellStyle name="T_Book1_rab lanjutan print 8" xfId="5903"/>
    <cellStyle name="T_Book1_rab lanjutan print 8 2" xfId="5902"/>
    <cellStyle name="T_Book1_rab lanjutan print 8 3" xfId="5901"/>
    <cellStyle name="T_Book1_rab lanjutan print 8 4" xfId="5900"/>
    <cellStyle name="T_Book1_rab lanjutan print 9" xfId="5899"/>
    <cellStyle name="T_Book1_rab mesjid raya" xfId="5898"/>
    <cellStyle name="T_Book1_rab mesjid raya 10" xfId="5897"/>
    <cellStyle name="T_Book1_rab mesjid raya 11" xfId="5896"/>
    <cellStyle name="T_Book1_rab mesjid raya 12" xfId="5895"/>
    <cellStyle name="T_Book1_rab mesjid raya 2" xfId="5894"/>
    <cellStyle name="T_Book1_rab mesjid raya 2 2" xfId="5893"/>
    <cellStyle name="T_Book1_rab mesjid raya 2 3" xfId="5892"/>
    <cellStyle name="T_Book1_rab mesjid raya 2 4" xfId="5891"/>
    <cellStyle name="T_Book1_rab mesjid raya 2 5" xfId="5890"/>
    <cellStyle name="T_Book1_rab mesjid raya 3" xfId="5889"/>
    <cellStyle name="T_Book1_rab mesjid raya 3 2" xfId="5888"/>
    <cellStyle name="T_Book1_rab mesjid raya 3 3" xfId="5887"/>
    <cellStyle name="T_Book1_rab mesjid raya 3 4" xfId="5886"/>
    <cellStyle name="T_Book1_rab mesjid raya 3 5" xfId="5885"/>
    <cellStyle name="T_Book1_rab mesjid raya 4" xfId="5884"/>
    <cellStyle name="T_Book1_rab mesjid raya 4 2" xfId="5883"/>
    <cellStyle name="T_Book1_rab mesjid raya 4 3" xfId="5882"/>
    <cellStyle name="T_Book1_rab mesjid raya 4 4" xfId="5881"/>
    <cellStyle name="T_Book1_rab mesjid raya 4 5" xfId="5880"/>
    <cellStyle name="T_Book1_rab mesjid raya 5" xfId="5879"/>
    <cellStyle name="T_Book1_rab mesjid raya 5 2" xfId="5878"/>
    <cellStyle name="T_Book1_rab mesjid raya 5 3" xfId="5877"/>
    <cellStyle name="T_Book1_rab mesjid raya 5 4" xfId="5876"/>
    <cellStyle name="T_Book1_rab mesjid raya 5 5" xfId="5875"/>
    <cellStyle name="T_Book1_rab mesjid raya 6" xfId="5874"/>
    <cellStyle name="T_Book1_rab mesjid raya 6 2" xfId="5873"/>
    <cellStyle name="T_Book1_rab mesjid raya 6 3" xfId="5872"/>
    <cellStyle name="T_Book1_rab mesjid raya 6 4" xfId="5871"/>
    <cellStyle name="T_Book1_rab mesjid raya 6 5" xfId="5870"/>
    <cellStyle name="T_Book1_rab mesjid raya 7" xfId="5869"/>
    <cellStyle name="T_Book1_rab mesjid raya 7 2" xfId="5868"/>
    <cellStyle name="T_Book1_rab mesjid raya 7 3" xfId="5867"/>
    <cellStyle name="T_Book1_rab mesjid raya 7 4" xfId="5866"/>
    <cellStyle name="T_Book1_rab mesjid raya 7 5" xfId="5865"/>
    <cellStyle name="T_Book1_rab mesjid raya 8" xfId="5864"/>
    <cellStyle name="T_Book1_rab mesjid raya 8 2" xfId="5863"/>
    <cellStyle name="T_Book1_rab mesjid raya 8 3" xfId="5862"/>
    <cellStyle name="T_Book1_rab mesjid raya 8 4" xfId="5861"/>
    <cellStyle name="T_Book1_rab mesjid raya 8 5" xfId="5860"/>
    <cellStyle name="T_Book1_rab mesjid raya 9" xfId="5859"/>
    <cellStyle name="T_Book1_rab proyek bpk" xfId="5858"/>
    <cellStyle name="T_Book1_rab proyek bpk 10" xfId="5857"/>
    <cellStyle name="T_Book1_rab proyek bpk 11" xfId="5856"/>
    <cellStyle name="T_Book1_rab proyek bpk 2" xfId="5855"/>
    <cellStyle name="T_Book1_rab proyek bpk 2 2" xfId="5854"/>
    <cellStyle name="T_Book1_rab proyek bpk 2 3" xfId="5853"/>
    <cellStyle name="T_Book1_rab proyek bpk 2 4" xfId="5852"/>
    <cellStyle name="T_Book1_rab proyek bpk 3" xfId="5851"/>
    <cellStyle name="T_Book1_rab proyek bpk 3 2" xfId="5850"/>
    <cellStyle name="T_Book1_rab proyek bpk 3 3" xfId="5849"/>
    <cellStyle name="T_Book1_rab proyek bpk 3 4" xfId="5848"/>
    <cellStyle name="T_Book1_rab proyek bpk 4" xfId="5847"/>
    <cellStyle name="T_Book1_rab proyek bpk 4 2" xfId="5846"/>
    <cellStyle name="T_Book1_rab proyek bpk 4 3" xfId="5845"/>
    <cellStyle name="T_Book1_rab proyek bpk 4 4" xfId="5844"/>
    <cellStyle name="T_Book1_rab proyek bpk 5" xfId="5843"/>
    <cellStyle name="T_Book1_rab proyek bpk 5 2" xfId="5842"/>
    <cellStyle name="T_Book1_rab proyek bpk 5 3" xfId="5841"/>
    <cellStyle name="T_Book1_rab proyek bpk 5 4" xfId="5840"/>
    <cellStyle name="T_Book1_rab proyek bpk 6" xfId="5839"/>
    <cellStyle name="T_Book1_rab proyek bpk 6 2" xfId="5838"/>
    <cellStyle name="T_Book1_rab proyek bpk 6 3" xfId="5837"/>
    <cellStyle name="T_Book1_rab proyek bpk 6 4" xfId="5836"/>
    <cellStyle name="T_Book1_rab proyek bpk 7" xfId="5835"/>
    <cellStyle name="T_Book1_rab proyek bpk 7 2" xfId="5834"/>
    <cellStyle name="T_Book1_rab proyek bpk 7 3" xfId="5833"/>
    <cellStyle name="T_Book1_rab proyek bpk 7 4" xfId="5832"/>
    <cellStyle name="T_Book1_rab proyek bpk 8" xfId="5831"/>
    <cellStyle name="T_Book1_rab proyek bpk 8 2" xfId="5830"/>
    <cellStyle name="T_Book1_rab proyek bpk 8 3" xfId="5829"/>
    <cellStyle name="T_Book1_rab proyek bpk 8 4" xfId="5828"/>
    <cellStyle name="T_Book1_rab proyek bpk 9" xfId="5827"/>
    <cellStyle name="T_Book1_RAB. STR &amp; ARS_SISA 8 GEDUNG &amp; SITE ( TAHAP 1 )" xfId="5826"/>
    <cellStyle name="T_Book1_RAB. STR &amp; ARS_SISA 8 GEDUNG &amp; SITE ( TAHAP 1 ) 2" xfId="5825"/>
    <cellStyle name="T_Book1_RAB. STR &amp; ARS_SISA 8 GEDUNG &amp; SITE ( TAHAP 1 ) 3" xfId="5824"/>
    <cellStyle name="T_Book1_RAB. STR &amp; ARS_SISA 8 GEDUNG &amp; SITE ( TAHAP 1 ) 4" xfId="5823"/>
    <cellStyle name="T_Book1_RAB. STR &amp; ARS_SISA 8 GEDUNG &amp; SITE ( TAHAP 1 ) 5" xfId="5822"/>
    <cellStyle name="T_Book1_Realisasi Kontrak Kampar 31 agustus 2009" xfId="5821"/>
    <cellStyle name="T_Book1_Realisasi Kontrak Kampar 31 agustus 2009 10" xfId="5820"/>
    <cellStyle name="T_Book1_Realisasi Kontrak Kampar 31 agustus 2009 11" xfId="5819"/>
    <cellStyle name="T_Book1_Realisasi Kontrak Kampar 31 agustus 2009 12" xfId="5818"/>
    <cellStyle name="T_Book1_Realisasi Kontrak Kampar 31 agustus 2009 2" xfId="5817"/>
    <cellStyle name="T_Book1_Realisasi Kontrak Kampar 31 agustus 2009 2 2" xfId="5816"/>
    <cellStyle name="T_Book1_Realisasi Kontrak Kampar 31 agustus 2009 2 3" xfId="5815"/>
    <cellStyle name="T_Book1_Realisasi Kontrak Kampar 31 agustus 2009 2 4" xfId="5814"/>
    <cellStyle name="T_Book1_Realisasi Kontrak Kampar 31 agustus 2009 2 5" xfId="5813"/>
    <cellStyle name="T_Book1_Realisasi Kontrak Kampar 31 agustus 2009 3" xfId="5812"/>
    <cellStyle name="T_Book1_Realisasi Kontrak Kampar 31 agustus 2009 3 2" xfId="5811"/>
    <cellStyle name="T_Book1_Realisasi Kontrak Kampar 31 agustus 2009 3 3" xfId="5810"/>
    <cellStyle name="T_Book1_Realisasi Kontrak Kampar 31 agustus 2009 3 4" xfId="5809"/>
    <cellStyle name="T_Book1_Realisasi Kontrak Kampar 31 agustus 2009 3 5" xfId="5808"/>
    <cellStyle name="T_Book1_Realisasi Kontrak Kampar 31 agustus 2009 4" xfId="5807"/>
    <cellStyle name="T_Book1_Realisasi Kontrak Kampar 31 agustus 2009 4 2" xfId="5806"/>
    <cellStyle name="T_Book1_Realisasi Kontrak Kampar 31 agustus 2009 4 3" xfId="5805"/>
    <cellStyle name="T_Book1_Realisasi Kontrak Kampar 31 agustus 2009 4 4" xfId="5804"/>
    <cellStyle name="T_Book1_Realisasi Kontrak Kampar 31 agustus 2009 4 5" xfId="5803"/>
    <cellStyle name="T_Book1_Realisasi Kontrak Kampar 31 agustus 2009 5" xfId="5802"/>
    <cellStyle name="T_Book1_Realisasi Kontrak Kampar 31 agustus 2009 5 2" xfId="5801"/>
    <cellStyle name="T_Book1_Realisasi Kontrak Kampar 31 agustus 2009 5 3" xfId="5800"/>
    <cellStyle name="T_Book1_Realisasi Kontrak Kampar 31 agustus 2009 5 4" xfId="5799"/>
    <cellStyle name="T_Book1_Realisasi Kontrak Kampar 31 agustus 2009 5 5" xfId="5798"/>
    <cellStyle name="T_Book1_Realisasi Kontrak Kampar 31 agustus 2009 6" xfId="5797"/>
    <cellStyle name="T_Book1_Realisasi Kontrak Kampar 31 agustus 2009 6 2" xfId="5796"/>
    <cellStyle name="T_Book1_Realisasi Kontrak Kampar 31 agustus 2009 6 3" xfId="5795"/>
    <cellStyle name="T_Book1_Realisasi Kontrak Kampar 31 agustus 2009 6 4" xfId="5794"/>
    <cellStyle name="T_Book1_Realisasi Kontrak Kampar 31 agustus 2009 6 5" xfId="5793"/>
    <cellStyle name="T_Book1_Realisasi Kontrak Kampar 31 agustus 2009 7" xfId="5792"/>
    <cellStyle name="T_Book1_Realisasi Kontrak Kampar 31 agustus 2009 7 2" xfId="5791"/>
    <cellStyle name="T_Book1_Realisasi Kontrak Kampar 31 agustus 2009 7 3" xfId="5790"/>
    <cellStyle name="T_Book1_Realisasi Kontrak Kampar 31 agustus 2009 7 4" xfId="5789"/>
    <cellStyle name="T_Book1_Realisasi Kontrak Kampar 31 agustus 2009 7 5" xfId="5788"/>
    <cellStyle name="T_Book1_Realisasi Kontrak Kampar 31 agustus 2009 8" xfId="5787"/>
    <cellStyle name="T_Book1_Realisasi Kontrak Kampar 31 agustus 2009 8 2" xfId="5786"/>
    <cellStyle name="T_Book1_Realisasi Kontrak Kampar 31 agustus 2009 8 3" xfId="5785"/>
    <cellStyle name="T_Book1_Realisasi Kontrak Kampar 31 agustus 2009 8 4" xfId="5784"/>
    <cellStyle name="T_Book1_Realisasi Kontrak Kampar 31 agustus 2009 8 5" xfId="5783"/>
    <cellStyle name="T_Book1_Realisasi Kontrak Kampar 31 agustus 2009 9" xfId="5782"/>
    <cellStyle name="T_Book1_REKAP TOTAL" xfId="5781"/>
    <cellStyle name="T_Book1_REKAP TOTAL 10" xfId="5780"/>
    <cellStyle name="T_Book1_REKAP TOTAL 11" xfId="5779"/>
    <cellStyle name="T_Book1_REKAP TOTAL 2" xfId="5778"/>
    <cellStyle name="T_Book1_REKAP TOTAL 2 2" xfId="5777"/>
    <cellStyle name="T_Book1_REKAP TOTAL 2 3" xfId="5776"/>
    <cellStyle name="T_Book1_REKAP TOTAL 2 4" xfId="5775"/>
    <cellStyle name="T_Book1_REKAP TOTAL 3" xfId="5774"/>
    <cellStyle name="T_Book1_REKAP TOTAL 3 2" xfId="5773"/>
    <cellStyle name="T_Book1_REKAP TOTAL 3 3" xfId="5772"/>
    <cellStyle name="T_Book1_REKAP TOTAL 3 4" xfId="5771"/>
    <cellStyle name="T_Book1_REKAP TOTAL 4" xfId="5770"/>
    <cellStyle name="T_Book1_REKAP TOTAL 4 2" xfId="5769"/>
    <cellStyle name="T_Book1_REKAP TOTAL 4 3" xfId="5768"/>
    <cellStyle name="T_Book1_REKAP TOTAL 4 4" xfId="5767"/>
    <cellStyle name="T_Book1_REKAP TOTAL 5" xfId="5766"/>
    <cellStyle name="T_Book1_REKAP TOTAL 5 2" xfId="5765"/>
    <cellStyle name="T_Book1_REKAP TOTAL 5 3" xfId="5764"/>
    <cellStyle name="T_Book1_REKAP TOTAL 5 4" xfId="5763"/>
    <cellStyle name="T_Book1_REKAP TOTAL 6" xfId="5762"/>
    <cellStyle name="T_Book1_REKAP TOTAL 6 2" xfId="5761"/>
    <cellStyle name="T_Book1_REKAP TOTAL 6 3" xfId="5760"/>
    <cellStyle name="T_Book1_REKAP TOTAL 6 4" xfId="5759"/>
    <cellStyle name="T_Book1_REKAP TOTAL 7" xfId="5758"/>
    <cellStyle name="T_Book1_REKAP TOTAL 7 2" xfId="5757"/>
    <cellStyle name="T_Book1_REKAP TOTAL 7 3" xfId="5756"/>
    <cellStyle name="T_Book1_REKAP TOTAL 7 4" xfId="5755"/>
    <cellStyle name="T_Book1_REKAP TOTAL 8" xfId="5754"/>
    <cellStyle name="T_Book1_REKAP TOTAL 8 2" xfId="5753"/>
    <cellStyle name="T_Book1_REKAP TOTAL 8 3" xfId="5752"/>
    <cellStyle name="T_Book1_REKAP TOTAL 8 4" xfId="5751"/>
    <cellStyle name="T_Book1_REKAP TOTAL 9" xfId="5750"/>
    <cellStyle name="T_Book1_Schedule" xfId="5749"/>
    <cellStyle name="T_Book1_Schedule 2" xfId="5748"/>
    <cellStyle name="T_Book1_Schedule 2 2" xfId="5747"/>
    <cellStyle name="T_Book1_Schedule 3" xfId="5746"/>
    <cellStyle name="T_Book1_Schedule 4" xfId="5745"/>
    <cellStyle name="T_Book1_Schedule 5" xfId="5744"/>
    <cellStyle name="T_Book1_Schedule_Tertiary_Batang_Angkola (Revised 2) Amd-4 - cek konsultan" xfId="5743"/>
    <cellStyle name="T_Book1_Schedule_Tertiary_Batang_Angkola (Revised 2) Amd-4 - cek konsultan 2" xfId="5742"/>
    <cellStyle name="T_Book1_Schedule_Tertiary_Batang_Angkola (Revised 2) Amd-4 - cek konsultan 2 2" xfId="5741"/>
    <cellStyle name="T_Book1_Schedule_Tertiary_Batang_Angkola (Revised 2) Amd-4 - cek konsultan 3" xfId="5740"/>
    <cellStyle name="T_Book1_Schedule_Tertiary_Batang_Angkola (Revised 2) Amd-4 - cek konsultan 4" xfId="5739"/>
    <cellStyle name="T_Book1_Schedule_Tertiary_Batang_Angkola (Revised 2) Amd-4 - cek konsultan 5" xfId="5738"/>
    <cellStyle name="T_Book1_Sommary Vol_April" xfId="5737"/>
    <cellStyle name="T_Book1_Sommary Vol_April 2" xfId="5736"/>
    <cellStyle name="T_Book1_Sommary Vol_April 2 2" xfId="5735"/>
    <cellStyle name="T_Book1_Sommary Vol_April 3" xfId="5734"/>
    <cellStyle name="T_Book1_Sommary Vol_April 4" xfId="5733"/>
    <cellStyle name="T_Book1_Sommary Vol_April 5" xfId="5732"/>
    <cellStyle name="T_Book1_Sommary Vol_April_Evaluasi Negoisasi (Lampiran Berita Acara) - Rev 3" xfId="5731"/>
    <cellStyle name="T_Book1_Sommary Vol_April_Evaluasi Negoisasi (Lampiran Berita Acara) - Rev 3 2" xfId="5730"/>
    <cellStyle name="T_Book1_Sommary Vol_April_Evaluasi Negoisasi (Lampiran Berita Acara) - Rev 3 2 2" xfId="5729"/>
    <cellStyle name="T_Book1_Sommary Vol_April_Evaluasi Negoisasi (Lampiran Berita Acara) - Rev 3 3" xfId="5728"/>
    <cellStyle name="T_Book1_Sommary Vol_April_Evaluasi Negoisasi (Lampiran Berita Acara) - Rev 3 4" xfId="5727"/>
    <cellStyle name="T_Book1_Sommary Vol_April_Evaluasi Negoisasi (Lampiran Berita Acara) - Rev 3 5" xfId="5726"/>
    <cellStyle name="T_Book1_Sommary Vol_April_Linning saluran Sukatani format baru" xfId="5725"/>
    <cellStyle name="T_Book1_Sommary Vol_April_Linning saluran Sukatani format baru 2" xfId="5724"/>
    <cellStyle name="T_Book1_Sommary Vol_April_Linning saluran Sukatani format baru 2 2" xfId="5723"/>
    <cellStyle name="T_Book1_Sommary Vol_April_Linning saluran Sukatani format baru 3" xfId="5722"/>
    <cellStyle name="T_Book1_Sommary Vol_April_Linning saluran Sukatani format baru 4" xfId="5721"/>
    <cellStyle name="T_Book1_Sommary Vol_April_Linning saluran Sukatani format baru 5" xfId="5720"/>
    <cellStyle name="T_Book1_Sommary Vol_April_Schedule  PCM" xfId="5719"/>
    <cellStyle name="T_Book1_Sommary Vol_April_Schedule  PCM 2" xfId="5718"/>
    <cellStyle name="T_Book1_Sommary Vol_April_Schedule  PCM 2 2" xfId="5717"/>
    <cellStyle name="T_Book1_Sommary Vol_April_Schedule  PCM 3" xfId="5716"/>
    <cellStyle name="T_Book1_Sommary Vol_April_Schedule  PCM 4" xfId="5715"/>
    <cellStyle name="T_Book1_Sommary Vol_April_Schedule  PCM 5" xfId="5714"/>
    <cellStyle name="T_Book1_Sommary Vol_April_Schedule  PCM_schedule rev -2 paket AMS 8" xfId="5713"/>
    <cellStyle name="T_Book1_Sommary Vol_April_Schedule  PCM_schedule rev -2 paket AMS 8 2" xfId="5712"/>
    <cellStyle name="T_Book1_Sommary Vol_April_Schedule  PCM_schedule rev -2 paket AMS 8 2 2" xfId="5711"/>
    <cellStyle name="T_Book1_Sommary Vol_April_Schedule  PCM_schedule rev -2 paket AMS 8 3" xfId="5710"/>
    <cellStyle name="T_Book1_Sommary Vol_April_Schedule  PCM_schedule rev -2 paket AMS 8 4" xfId="5709"/>
    <cellStyle name="T_Book1_Sommary Vol_April_Schedule  PCM_schedule rev -2 paket AMS 8 5" xfId="5708"/>
    <cellStyle name="T_Book1_Sommary Vol_April_Schedule Revisi 1" xfId="5707"/>
    <cellStyle name="T_Book1_Sommary Vol_April_Schedule Revisi 1 2" xfId="5706"/>
    <cellStyle name="T_Book1_Sommary Vol_April_Schedule Revisi 1 2 2" xfId="5705"/>
    <cellStyle name="T_Book1_Sommary Vol_April_Schedule Revisi 1 3" xfId="5704"/>
    <cellStyle name="T_Book1_Sommary Vol_April_Schedule Revisi 1 4" xfId="5703"/>
    <cellStyle name="T_Book1_Sommary Vol_April_Schedule Revisi 1 5" xfId="5702"/>
    <cellStyle name="T_Book1_Sommary Vol_April_Schedule Revisi 1_schedule rev -2 paket AMS 8" xfId="5701"/>
    <cellStyle name="T_Book1_Sommary Vol_April_Schedule Revisi 1_schedule rev -2 paket AMS 8 2" xfId="5700"/>
    <cellStyle name="T_Book1_Sommary Vol_April_Schedule Revisi 1_schedule rev -2 paket AMS 8 2 2" xfId="5699"/>
    <cellStyle name="T_Book1_Sommary Vol_April_Schedule Revisi 1_schedule rev -2 paket AMS 8 3" xfId="5698"/>
    <cellStyle name="T_Book1_Sommary Vol_April_Schedule Revisi 1_schedule rev -2 paket AMS 8 4" xfId="5697"/>
    <cellStyle name="T_Book1_Sommary Vol_April_Schedule Revisi 1_schedule rev -2 paket AMS 8 5" xfId="5696"/>
    <cellStyle name="T_Book1_Sommary Vol_April_summary amd 1 final" xfId="5695"/>
    <cellStyle name="T_Book1_Sommary Vol_April_summary amd 1 final 2" xfId="5694"/>
    <cellStyle name="T_Book1_Sommary Vol_April_summary amd 1 final 2 2" xfId="5693"/>
    <cellStyle name="T_Book1_Sommary Vol_April_summary amd 1 final 3" xfId="5692"/>
    <cellStyle name="T_Book1_Sommary Vol_April_summary amd 1 final 4" xfId="5691"/>
    <cellStyle name="T_Book1_Sommary Vol_April_summary amd 1 final 5" xfId="5690"/>
    <cellStyle name="T_Book1_Sommary Vol_April_summary amd 1 final_schedule rev -2 paket AMS 8" xfId="5689"/>
    <cellStyle name="T_Book1_Sommary Vol_April_summary amd 1 final_schedule rev -2 paket AMS 8 2" xfId="5688"/>
    <cellStyle name="T_Book1_Sommary Vol_April_summary amd 1 final_schedule rev -2 paket AMS 8 2 2" xfId="5687"/>
    <cellStyle name="T_Book1_Sommary Vol_April_summary amd 1 final_schedule rev -2 paket AMS 8 3" xfId="5686"/>
    <cellStyle name="T_Book1_Sommary Vol_April_summary amd 1 final_schedule rev -2 paket AMS 8 4" xfId="5685"/>
    <cellStyle name="T_Book1_Sommary Vol_April_summary amd 1 final_schedule rev -2 paket AMS 8 5" xfId="5684"/>
    <cellStyle name="T_Book1_summary amd7 draft" xfId="5683"/>
    <cellStyle name="T_Book1_summary amd7 draft 2" xfId="5682"/>
    <cellStyle name="T_Book1_summary amd7 draft 2 2" xfId="5681"/>
    <cellStyle name="T_Book1_summary amd7 draft 3" xfId="5680"/>
    <cellStyle name="T_Book1_summary amd7 draft 4" xfId="5679"/>
    <cellStyle name="T_Book1_summary amd7 draft 5" xfId="5678"/>
    <cellStyle name="T_Book1_summary amd7 draft_Evaluasi Negoisasi (Lampiran Berita Acara) - Rev 3" xfId="5677"/>
    <cellStyle name="T_Book1_summary amd7 draft_Evaluasi Negoisasi (Lampiran Berita Acara) - Rev 3 2" xfId="5676"/>
    <cellStyle name="T_Book1_summary amd7 draft_Evaluasi Negoisasi (Lampiran Berita Acara) - Rev 3 2 2" xfId="5675"/>
    <cellStyle name="T_Book1_summary amd7 draft_Evaluasi Negoisasi (Lampiran Berita Acara) - Rev 3 3" xfId="5674"/>
    <cellStyle name="T_Book1_summary amd7 draft_Evaluasi Negoisasi (Lampiran Berita Acara) - Rev 3 4" xfId="5673"/>
    <cellStyle name="T_Book1_summary amd7 draft_Evaluasi Negoisasi (Lampiran Berita Acara) - Rev 3 5" xfId="5672"/>
    <cellStyle name="T_Book1_summary amd7 draft_Schedule  PCM" xfId="5671"/>
    <cellStyle name="T_Book1_summary amd7 draft_Schedule  PCM 2" xfId="5670"/>
    <cellStyle name="T_Book1_summary amd7 draft_Schedule  PCM 2 2" xfId="5669"/>
    <cellStyle name="T_Book1_summary amd7 draft_Schedule  PCM 3" xfId="5668"/>
    <cellStyle name="T_Book1_summary amd7 draft_Schedule  PCM 4" xfId="5667"/>
    <cellStyle name="T_Book1_summary amd7 draft_Schedule  PCM 5" xfId="5666"/>
    <cellStyle name="T_Book1_summary amd7 draft_Schedule  PCM_schedule rev -2 paket AMS 8" xfId="5665"/>
    <cellStyle name="T_Book1_summary amd7 draft_Schedule  PCM_schedule rev -2 paket AMS 8 2" xfId="5664"/>
    <cellStyle name="T_Book1_summary amd7 draft_Schedule  PCM_schedule rev -2 paket AMS 8 2 2" xfId="5663"/>
    <cellStyle name="T_Book1_summary amd7 draft_Schedule  PCM_schedule rev -2 paket AMS 8 3" xfId="5662"/>
    <cellStyle name="T_Book1_summary amd7 draft_Schedule  PCM_schedule rev -2 paket AMS 8 4" xfId="5661"/>
    <cellStyle name="T_Book1_summary amd7 draft_Schedule  PCM_schedule rev -2 paket AMS 8 5" xfId="5660"/>
    <cellStyle name="T_Book1_summary amd7 draft_Schedule Revisi 1" xfId="5659"/>
    <cellStyle name="T_Book1_summary amd7 draft_Schedule Revisi 1 2" xfId="5658"/>
    <cellStyle name="T_Book1_summary amd7 draft_Schedule Revisi 1 2 2" xfId="5657"/>
    <cellStyle name="T_Book1_summary amd7 draft_Schedule Revisi 1 3" xfId="5656"/>
    <cellStyle name="T_Book1_summary amd7 draft_Schedule Revisi 1 4" xfId="5655"/>
    <cellStyle name="T_Book1_summary amd7 draft_Schedule Revisi 1 5" xfId="5654"/>
    <cellStyle name="T_Book1_summary amd7 draft_Schedule Revisi 1_schedule rev -2 paket AMS 8" xfId="5653"/>
    <cellStyle name="T_Book1_summary amd7 draft_Schedule Revisi 1_schedule rev -2 paket AMS 8 2" xfId="5652"/>
    <cellStyle name="T_Book1_summary amd7 draft_Schedule Revisi 1_schedule rev -2 paket AMS 8 2 2" xfId="5651"/>
    <cellStyle name="T_Book1_summary amd7 draft_Schedule Revisi 1_schedule rev -2 paket AMS 8 3" xfId="5650"/>
    <cellStyle name="T_Book1_summary amd7 draft_Schedule Revisi 1_schedule rev -2 paket AMS 8 4" xfId="5649"/>
    <cellStyle name="T_Book1_summary amd7 draft_Schedule Revisi 1_schedule rev -2 paket AMS 8 5" xfId="5648"/>
    <cellStyle name="T_Book1_summary amd7 draft_summary amd 1 final" xfId="5647"/>
    <cellStyle name="T_Book1_summary amd7 draft_summary amd 1 final 2" xfId="5646"/>
    <cellStyle name="T_Book1_summary amd7 draft_summary amd 1 final 2 2" xfId="5645"/>
    <cellStyle name="T_Book1_summary amd7 draft_summary amd 1 final 3" xfId="5644"/>
    <cellStyle name="T_Book1_summary amd7 draft_summary amd 1 final 4" xfId="5643"/>
    <cellStyle name="T_Book1_summary amd7 draft_summary amd 1 final 5" xfId="5642"/>
    <cellStyle name="T_Book1_summary amd7 draft_summary amd 1 final_schedule rev -2 paket AMS 8" xfId="5641"/>
    <cellStyle name="T_Book1_summary amd7 draft_summary amd 1 final_schedule rev -2 paket AMS 8 2" xfId="5640"/>
    <cellStyle name="T_Book1_summary amd7 draft_summary amd 1 final_schedule rev -2 paket AMS 8 2 2" xfId="5639"/>
    <cellStyle name="T_Book1_summary amd7 draft_summary amd 1 final_schedule rev -2 paket AMS 8 3" xfId="5638"/>
    <cellStyle name="T_Book1_summary amd7 draft_summary amd 1 final_schedule rev -2 paket AMS 8 4" xfId="5637"/>
    <cellStyle name="T_Book1_summary amd7 draft_summary amd 1 final_schedule rev -2 paket AMS 8 5" xfId="5636"/>
    <cellStyle name="T_Book1_summary back up amd6" xfId="5635"/>
    <cellStyle name="T_Book1_summary back up amd6 2" xfId="5634"/>
    <cellStyle name="T_Book1_summary back up amd6 2 2" xfId="5633"/>
    <cellStyle name="T_Book1_summary back up amd6 3" xfId="5632"/>
    <cellStyle name="T_Book1_summary back up amd6 4" xfId="5631"/>
    <cellStyle name="T_Book1_summary back up amd6 5" xfId="5630"/>
    <cellStyle name="T_Book1_summary back up amd6 rev" xfId="5629"/>
    <cellStyle name="T_Book1_summary back up amd6 rev 2" xfId="5628"/>
    <cellStyle name="T_Book1_summary back up amd6 rev 2 2" xfId="5627"/>
    <cellStyle name="T_Book1_summary back up amd6 rev 3" xfId="5626"/>
    <cellStyle name="T_Book1_summary back up amd6 rev 4" xfId="5625"/>
    <cellStyle name="T_Book1_summary back up amd6 rev 5" xfId="5624"/>
    <cellStyle name="T_Book1_summary back up amd6 rev_Evaluasi Negoisasi (Lampiran Berita Acara) - Rev 3" xfId="5623"/>
    <cellStyle name="T_Book1_summary back up amd6 rev_Evaluasi Negoisasi (Lampiran Berita Acara) - Rev 3 2" xfId="5622"/>
    <cellStyle name="T_Book1_summary back up amd6 rev_Evaluasi Negoisasi (Lampiran Berita Acara) - Rev 3 2 2" xfId="5621"/>
    <cellStyle name="T_Book1_summary back up amd6 rev_Evaluasi Negoisasi (Lampiran Berita Acara) - Rev 3 3" xfId="5620"/>
    <cellStyle name="T_Book1_summary back up amd6 rev_Evaluasi Negoisasi (Lampiran Berita Acara) - Rev 3 4" xfId="5619"/>
    <cellStyle name="T_Book1_summary back up amd6 rev_Evaluasi Negoisasi (Lampiran Berita Acara) - Rev 3 5" xfId="5618"/>
    <cellStyle name="T_Book1_summary back up amd6 rev_Schedule  PCM" xfId="5617"/>
    <cellStyle name="T_Book1_summary back up amd6 rev_Schedule  PCM 2" xfId="5616"/>
    <cellStyle name="T_Book1_summary back up amd6 rev_Schedule  PCM 2 2" xfId="5615"/>
    <cellStyle name="T_Book1_summary back up amd6 rev_Schedule  PCM 3" xfId="5614"/>
    <cellStyle name="T_Book1_summary back up amd6 rev_Schedule  PCM 4" xfId="5613"/>
    <cellStyle name="T_Book1_summary back up amd6 rev_Schedule  PCM 5" xfId="5612"/>
    <cellStyle name="T_Book1_summary back up amd6 rev_Schedule  PCM_schedule rev -2 paket AMS 8" xfId="5611"/>
    <cellStyle name="T_Book1_summary back up amd6 rev_Schedule  PCM_schedule rev -2 paket AMS 8 2" xfId="5610"/>
    <cellStyle name="T_Book1_summary back up amd6 rev_Schedule  PCM_schedule rev -2 paket AMS 8 2 2" xfId="5609"/>
    <cellStyle name="T_Book1_summary back up amd6 rev_Schedule  PCM_schedule rev -2 paket AMS 8 3" xfId="5608"/>
    <cellStyle name="T_Book1_summary back up amd6 rev_Schedule  PCM_schedule rev -2 paket AMS 8 4" xfId="5607"/>
    <cellStyle name="T_Book1_summary back up amd6 rev_Schedule  PCM_schedule rev -2 paket AMS 8 5" xfId="5606"/>
    <cellStyle name="T_Book1_summary back up amd6 rev_Schedule Revisi 1" xfId="5605"/>
    <cellStyle name="T_Book1_summary back up amd6 rev_Schedule Revisi 1 2" xfId="5604"/>
    <cellStyle name="T_Book1_summary back up amd6 rev_Schedule Revisi 1 2 2" xfId="5603"/>
    <cellStyle name="T_Book1_summary back up amd6 rev_Schedule Revisi 1 3" xfId="5602"/>
    <cellStyle name="T_Book1_summary back up amd6 rev_Schedule Revisi 1 4" xfId="5601"/>
    <cellStyle name="T_Book1_summary back up amd6 rev_Schedule Revisi 1 5" xfId="5600"/>
    <cellStyle name="T_Book1_summary back up amd6 rev_Schedule Revisi 1_schedule rev -2 paket AMS 8" xfId="5599"/>
    <cellStyle name="T_Book1_summary back up amd6 rev_Schedule Revisi 1_schedule rev -2 paket AMS 8 2" xfId="5598"/>
    <cellStyle name="T_Book1_summary back up amd6 rev_Schedule Revisi 1_schedule rev -2 paket AMS 8 2 2" xfId="5597"/>
    <cellStyle name="T_Book1_summary back up amd6 rev_Schedule Revisi 1_schedule rev -2 paket AMS 8 3" xfId="5596"/>
    <cellStyle name="T_Book1_summary back up amd6 rev_Schedule Revisi 1_schedule rev -2 paket AMS 8 4" xfId="5595"/>
    <cellStyle name="T_Book1_summary back up amd6 rev_Schedule Revisi 1_schedule rev -2 paket AMS 8 5" xfId="5594"/>
    <cellStyle name="T_Book1_summary back up amd6 rev_summary amd 1 final" xfId="5593"/>
    <cellStyle name="T_Book1_summary back up amd6 rev_summary amd 1 final 2" xfId="5592"/>
    <cellStyle name="T_Book1_summary back up amd6 rev_summary amd 1 final 2 2" xfId="5591"/>
    <cellStyle name="T_Book1_summary back up amd6 rev_summary amd 1 final 3" xfId="5590"/>
    <cellStyle name="T_Book1_summary back up amd6 rev_summary amd 1 final 4" xfId="5589"/>
    <cellStyle name="T_Book1_summary back up amd6 rev_summary amd 1 final 5" xfId="5588"/>
    <cellStyle name="T_Book1_summary back up amd6 rev_summary amd 1 final_schedule rev -2 paket AMS 8" xfId="5587"/>
    <cellStyle name="T_Book1_summary back up amd6 rev_summary amd 1 final_schedule rev -2 paket AMS 8 2" xfId="5586"/>
    <cellStyle name="T_Book1_summary back up amd6 rev_summary amd 1 final_schedule rev -2 paket AMS 8 2 2" xfId="5585"/>
    <cellStyle name="T_Book1_summary back up amd6 rev_summary amd 1 final_schedule rev -2 paket AMS 8 3" xfId="5584"/>
    <cellStyle name="T_Book1_summary back up amd6 rev_summary amd 1 final_schedule rev -2 paket AMS 8 4" xfId="5583"/>
    <cellStyle name="T_Book1_summary back up amd6 rev_summary amd 1 final_schedule rev -2 paket AMS 8 5" xfId="5582"/>
    <cellStyle name="T_Book1_summary back up amd6_Evaluasi Negoisasi (Lampiran Berita Acara) - Rev 3" xfId="5581"/>
    <cellStyle name="T_Book1_summary back up amd6_Evaluasi Negoisasi (Lampiran Berita Acara) - Rev 3 2" xfId="5580"/>
    <cellStyle name="T_Book1_summary back up amd6_Evaluasi Negoisasi (Lampiran Berita Acara) - Rev 3 2 2" xfId="5579"/>
    <cellStyle name="T_Book1_summary back up amd6_Evaluasi Negoisasi (Lampiran Berita Acara) - Rev 3 3" xfId="5578"/>
    <cellStyle name="T_Book1_summary back up amd6_Evaluasi Negoisasi (Lampiran Berita Acara) - Rev 3 4" xfId="5577"/>
    <cellStyle name="T_Book1_summary back up amd6_Evaluasi Negoisasi (Lampiran Berita Acara) - Rev 3 5" xfId="5576"/>
    <cellStyle name="T_Book1_summary back up amd6_Schedule  PCM" xfId="5575"/>
    <cellStyle name="T_Book1_summary back up amd6_Schedule  PCM 2" xfId="5574"/>
    <cellStyle name="T_Book1_summary back up amd6_Schedule  PCM 2 2" xfId="5573"/>
    <cellStyle name="T_Book1_summary back up amd6_Schedule  PCM 3" xfId="5572"/>
    <cellStyle name="T_Book1_summary back up amd6_Schedule  PCM 4" xfId="5571"/>
    <cellStyle name="T_Book1_summary back up amd6_Schedule  PCM 5" xfId="5570"/>
    <cellStyle name="T_Book1_summary back up amd6_Schedule  PCM_schedule rev -2 paket AMS 8" xfId="5569"/>
    <cellStyle name="T_Book1_summary back up amd6_Schedule  PCM_schedule rev -2 paket AMS 8 2" xfId="5568"/>
    <cellStyle name="T_Book1_summary back up amd6_Schedule  PCM_schedule rev -2 paket AMS 8 2 2" xfId="5567"/>
    <cellStyle name="T_Book1_summary back up amd6_Schedule  PCM_schedule rev -2 paket AMS 8 3" xfId="5566"/>
    <cellStyle name="T_Book1_summary back up amd6_Schedule  PCM_schedule rev -2 paket AMS 8 4" xfId="5565"/>
    <cellStyle name="T_Book1_summary back up amd6_Schedule  PCM_schedule rev -2 paket AMS 8 5" xfId="5564"/>
    <cellStyle name="T_Book1_summary back up amd6_Schedule Revisi 1" xfId="5563"/>
    <cellStyle name="T_Book1_summary back up amd6_Schedule Revisi 1 2" xfId="5562"/>
    <cellStyle name="T_Book1_summary back up amd6_Schedule Revisi 1 2 2" xfId="5561"/>
    <cellStyle name="T_Book1_summary back up amd6_Schedule Revisi 1 3" xfId="5560"/>
    <cellStyle name="T_Book1_summary back up amd6_Schedule Revisi 1 4" xfId="5559"/>
    <cellStyle name="T_Book1_summary back up amd6_Schedule Revisi 1 5" xfId="5558"/>
    <cellStyle name="T_Book1_summary back up amd6_Schedule Revisi 1_schedule rev -2 paket AMS 8" xfId="5557"/>
    <cellStyle name="T_Book1_summary back up amd6_Schedule Revisi 1_schedule rev -2 paket AMS 8 2" xfId="5556"/>
    <cellStyle name="T_Book1_summary back up amd6_Schedule Revisi 1_schedule rev -2 paket AMS 8 2 2" xfId="5555"/>
    <cellStyle name="T_Book1_summary back up amd6_Schedule Revisi 1_schedule rev -2 paket AMS 8 3" xfId="5554"/>
    <cellStyle name="T_Book1_summary back up amd6_Schedule Revisi 1_schedule rev -2 paket AMS 8 4" xfId="5553"/>
    <cellStyle name="T_Book1_summary back up amd6_Schedule Revisi 1_schedule rev -2 paket AMS 8 5" xfId="5552"/>
    <cellStyle name="T_Book1_summary back up amd6_summary amd 1 final" xfId="5551"/>
    <cellStyle name="T_Book1_summary back up amd6_summary amd 1 final 2" xfId="5550"/>
    <cellStyle name="T_Book1_summary back up amd6_summary amd 1 final 2 2" xfId="5549"/>
    <cellStyle name="T_Book1_summary back up amd6_summary amd 1 final 3" xfId="5548"/>
    <cellStyle name="T_Book1_summary back up amd6_summary amd 1 final 4" xfId="5547"/>
    <cellStyle name="T_Book1_summary back up amd6_summary amd 1 final 5" xfId="5546"/>
    <cellStyle name="T_Book1_summary back up amd6_summary amd 1 final_schedule rev -2 paket AMS 8" xfId="5545"/>
    <cellStyle name="T_Book1_summary back up amd6_summary amd 1 final_schedule rev -2 paket AMS 8 2" xfId="5544"/>
    <cellStyle name="T_Book1_summary back up amd6_summary amd 1 final_schedule rev -2 paket AMS 8 2 2" xfId="5543"/>
    <cellStyle name="T_Book1_summary back up amd6_summary amd 1 final_schedule rev -2 paket AMS 8 3" xfId="5542"/>
    <cellStyle name="T_Book1_summary back up amd6_summary amd 1 final_schedule rev -2 paket AMS 8 4" xfId="5541"/>
    <cellStyle name="T_Book1_summary back up amd6_summary amd 1 final_schedule rev -2 paket AMS 8 5" xfId="5540"/>
    <cellStyle name="T_Book1_Summary BOQ amandement 4" xfId="5539"/>
    <cellStyle name="T_Book1_Summary BOQ amandement 4 2" xfId="5538"/>
    <cellStyle name="T_Book1_Summary BOQ amandement 4 2 2" xfId="5537"/>
    <cellStyle name="T_Book1_Summary BOQ amandement 4 3" xfId="5536"/>
    <cellStyle name="T_Book1_Summary BOQ amandement 4 4" xfId="5535"/>
    <cellStyle name="T_Book1_Summary BOQ amandement 4 5" xfId="5534"/>
    <cellStyle name="T_Book1_Summary BOQ amandement 4 overall" xfId="5533"/>
    <cellStyle name="T_Book1_Summary BOQ amandement 4 overall 2" xfId="5532"/>
    <cellStyle name="T_Book1_Summary BOQ amandement 4 overall 2 2" xfId="5531"/>
    <cellStyle name="T_Book1_Summary BOQ amandement 4 overall 3" xfId="5530"/>
    <cellStyle name="T_Book1_Summary BOQ amandement 4 overall 4" xfId="5529"/>
    <cellStyle name="T_Book1_Summary BOQ amandement 4 overall 5" xfId="5528"/>
    <cellStyle name="T_Book1_Summary BOQ amandement 4 overall_Evaluasi Negoisasi (Lampiran Berita Acara) - Rev 3" xfId="5527"/>
    <cellStyle name="T_Book1_Summary BOQ amandement 4 overall_Evaluasi Negoisasi (Lampiran Berita Acara) - Rev 3 2" xfId="5526"/>
    <cellStyle name="T_Book1_Summary BOQ amandement 4 overall_Evaluasi Negoisasi (Lampiran Berita Acara) - Rev 3 2 2" xfId="5525"/>
    <cellStyle name="T_Book1_Summary BOQ amandement 4 overall_Evaluasi Negoisasi (Lampiran Berita Acara) - Rev 3 3" xfId="5524"/>
    <cellStyle name="T_Book1_Summary BOQ amandement 4 overall_Evaluasi Negoisasi (Lampiran Berita Acara) - Rev 3 4" xfId="5523"/>
    <cellStyle name="T_Book1_Summary BOQ amandement 4 overall_Evaluasi Negoisasi (Lampiran Berita Acara) - Rev 3 5" xfId="5522"/>
    <cellStyle name="T_Book1_Summary BOQ amandement 4 overall_Schedule  PCM" xfId="5521"/>
    <cellStyle name="T_Book1_Summary BOQ amandement 4 overall_Schedule  PCM 2" xfId="5520"/>
    <cellStyle name="T_Book1_Summary BOQ amandement 4 overall_Schedule  PCM 2 2" xfId="5519"/>
    <cellStyle name="T_Book1_Summary BOQ amandement 4 overall_Schedule  PCM 3" xfId="5518"/>
    <cellStyle name="T_Book1_Summary BOQ amandement 4 overall_Schedule  PCM 4" xfId="5517"/>
    <cellStyle name="T_Book1_Summary BOQ amandement 4 overall_Schedule  PCM 5" xfId="5516"/>
    <cellStyle name="T_Book1_Summary BOQ amandement 4 overall_Schedule  PCM_schedule rev -2 paket AMS 8" xfId="5515"/>
    <cellStyle name="T_Book1_Summary BOQ amandement 4 overall_Schedule  PCM_schedule rev -2 paket AMS 8 2" xfId="5514"/>
    <cellStyle name="T_Book1_Summary BOQ amandement 4 overall_Schedule  PCM_schedule rev -2 paket AMS 8 2 2" xfId="5513"/>
    <cellStyle name="T_Book1_Summary BOQ amandement 4 overall_Schedule  PCM_schedule rev -2 paket AMS 8 3" xfId="5512"/>
    <cellStyle name="T_Book1_Summary BOQ amandement 4 overall_Schedule  PCM_schedule rev -2 paket AMS 8 4" xfId="5511"/>
    <cellStyle name="T_Book1_Summary BOQ amandement 4 overall_Schedule  PCM_schedule rev -2 paket AMS 8 5" xfId="5510"/>
    <cellStyle name="T_Book1_Summary BOQ amandement 4 overall_Schedule Revisi 1" xfId="5509"/>
    <cellStyle name="T_Book1_Summary BOQ amandement 4 overall_Schedule Revisi 1 2" xfId="5508"/>
    <cellStyle name="T_Book1_Summary BOQ amandement 4 overall_Schedule Revisi 1 2 2" xfId="5507"/>
    <cellStyle name="T_Book1_Summary BOQ amandement 4 overall_Schedule Revisi 1 3" xfId="5506"/>
    <cellStyle name="T_Book1_Summary BOQ amandement 4 overall_Schedule Revisi 1 4" xfId="5505"/>
    <cellStyle name="T_Book1_Summary BOQ amandement 4 overall_Schedule Revisi 1 5" xfId="5504"/>
    <cellStyle name="T_Book1_Summary BOQ amandement 4 overall_Schedule Revisi 1_schedule rev -2 paket AMS 8" xfId="5503"/>
    <cellStyle name="T_Book1_Summary BOQ amandement 4 overall_Schedule Revisi 1_schedule rev -2 paket AMS 8 2" xfId="5502"/>
    <cellStyle name="T_Book1_Summary BOQ amandement 4 overall_Schedule Revisi 1_schedule rev -2 paket AMS 8 2 2" xfId="5501"/>
    <cellStyle name="T_Book1_Summary BOQ amandement 4 overall_Schedule Revisi 1_schedule rev -2 paket AMS 8 3" xfId="5500"/>
    <cellStyle name="T_Book1_Summary BOQ amandement 4 overall_Schedule Revisi 1_schedule rev -2 paket AMS 8 4" xfId="5499"/>
    <cellStyle name="T_Book1_Summary BOQ amandement 4 overall_Schedule Revisi 1_schedule rev -2 paket AMS 8 5" xfId="5498"/>
    <cellStyle name="T_Book1_Summary BOQ amandement 4 overall_summary amd 1 final" xfId="5497"/>
    <cellStyle name="T_Book1_Summary BOQ amandement 4 overall_summary amd 1 final 2" xfId="5496"/>
    <cellStyle name="T_Book1_Summary BOQ amandement 4 overall_summary amd 1 final 2 2" xfId="5495"/>
    <cellStyle name="T_Book1_Summary BOQ amandement 4 overall_summary amd 1 final 3" xfId="5494"/>
    <cellStyle name="T_Book1_Summary BOQ amandement 4 overall_summary amd 1 final 4" xfId="5493"/>
    <cellStyle name="T_Book1_Summary BOQ amandement 4 overall_summary amd 1 final 5" xfId="5492"/>
    <cellStyle name="T_Book1_Summary BOQ amandement 4 overall_summary amd 1 final_schedule rev -2 paket AMS 8" xfId="5491"/>
    <cellStyle name="T_Book1_Summary BOQ amandement 4 overall_summary amd 1 final_schedule rev -2 paket AMS 8 2" xfId="5490"/>
    <cellStyle name="T_Book1_Summary BOQ amandement 4 overall_summary amd 1 final_schedule rev -2 paket AMS 8 2 2" xfId="5489"/>
    <cellStyle name="T_Book1_Summary BOQ amandement 4 overall_summary amd 1 final_schedule rev -2 paket AMS 8 3" xfId="5488"/>
    <cellStyle name="T_Book1_Summary BOQ amandement 4 overall_summary amd 1 final_schedule rev -2 paket AMS 8 4" xfId="5487"/>
    <cellStyle name="T_Book1_Summary BOQ amandement 4 overall_summary amd 1 final_schedule rev -2 paket AMS 8 5" xfId="5486"/>
    <cellStyle name="T_Book1_Summary BOQ amandement 4_Evaluasi Negoisasi (Lampiran Berita Acara) - Rev 3" xfId="5485"/>
    <cellStyle name="T_Book1_Summary BOQ amandement 4_Evaluasi Negoisasi (Lampiran Berita Acara) - Rev 3 2" xfId="5484"/>
    <cellStyle name="T_Book1_Summary BOQ amandement 4_Evaluasi Negoisasi (Lampiran Berita Acara) - Rev 3 2 2" xfId="5483"/>
    <cellStyle name="T_Book1_Summary BOQ amandement 4_Evaluasi Negoisasi (Lampiran Berita Acara) - Rev 3 3" xfId="5482"/>
    <cellStyle name="T_Book1_Summary BOQ amandement 4_Evaluasi Negoisasi (Lampiran Berita Acara) - Rev 3 4" xfId="5481"/>
    <cellStyle name="T_Book1_Summary BOQ amandement 4_Evaluasi Negoisasi (Lampiran Berita Acara) - Rev 3 5" xfId="5480"/>
    <cellStyle name="T_Book1_Summary BOQ amandement 4_Schedule  PCM" xfId="5479"/>
    <cellStyle name="T_Book1_Summary BOQ amandement 4_Schedule  PCM 2" xfId="5478"/>
    <cellStyle name="T_Book1_Summary BOQ amandement 4_Schedule  PCM 2 2" xfId="5477"/>
    <cellStyle name="T_Book1_Summary BOQ amandement 4_Schedule  PCM 3" xfId="5476"/>
    <cellStyle name="T_Book1_Summary BOQ amandement 4_Schedule  PCM 4" xfId="5475"/>
    <cellStyle name="T_Book1_Summary BOQ amandement 4_Schedule  PCM 5" xfId="5474"/>
    <cellStyle name="T_Book1_Summary BOQ amandement 4_Schedule  PCM_schedule rev -2 paket AMS 8" xfId="5473"/>
    <cellStyle name="T_Book1_Summary BOQ amandement 4_Schedule  PCM_schedule rev -2 paket AMS 8 2" xfId="5472"/>
    <cellStyle name="T_Book1_Summary BOQ amandement 4_Schedule  PCM_schedule rev -2 paket AMS 8 2 2" xfId="5471"/>
    <cellStyle name="T_Book1_Summary BOQ amandement 4_Schedule  PCM_schedule rev -2 paket AMS 8 3" xfId="5470"/>
    <cellStyle name="T_Book1_Summary BOQ amandement 4_Schedule  PCM_schedule rev -2 paket AMS 8 4" xfId="5469"/>
    <cellStyle name="T_Book1_Summary BOQ amandement 4_Schedule  PCM_schedule rev -2 paket AMS 8 5" xfId="5468"/>
    <cellStyle name="T_Book1_Summary BOQ amandement 4_Schedule Revisi 1" xfId="5467"/>
    <cellStyle name="T_Book1_Summary BOQ amandement 4_Schedule Revisi 1 2" xfId="5466"/>
    <cellStyle name="T_Book1_Summary BOQ amandement 4_Schedule Revisi 1 2 2" xfId="5465"/>
    <cellStyle name="T_Book1_Summary BOQ amandement 4_Schedule Revisi 1 3" xfId="5464"/>
    <cellStyle name="T_Book1_Summary BOQ amandement 4_Schedule Revisi 1 4" xfId="5463"/>
    <cellStyle name="T_Book1_Summary BOQ amandement 4_Schedule Revisi 1 5" xfId="5462"/>
    <cellStyle name="T_Book1_Summary BOQ amandement 4_Schedule Revisi 1_schedule rev -2 paket AMS 8" xfId="5461"/>
    <cellStyle name="T_Book1_Summary BOQ amandement 4_Schedule Revisi 1_schedule rev -2 paket AMS 8 2" xfId="5460"/>
    <cellStyle name="T_Book1_Summary BOQ amandement 4_Schedule Revisi 1_schedule rev -2 paket AMS 8 2 2" xfId="5459"/>
    <cellStyle name="T_Book1_Summary BOQ amandement 4_Schedule Revisi 1_schedule rev -2 paket AMS 8 3" xfId="5458"/>
    <cellStyle name="T_Book1_Summary BOQ amandement 4_Schedule Revisi 1_schedule rev -2 paket AMS 8 4" xfId="5457"/>
    <cellStyle name="T_Book1_Summary BOQ amandement 4_Schedule Revisi 1_schedule rev -2 paket AMS 8 5" xfId="5456"/>
    <cellStyle name="T_Book1_Summary BOQ amandement 4_summary amd 1 final" xfId="5455"/>
    <cellStyle name="T_Book1_Summary BOQ amandement 4_summary amd 1 final 2" xfId="5454"/>
    <cellStyle name="T_Book1_Summary BOQ amandement 4_summary amd 1 final 2 2" xfId="5453"/>
    <cellStyle name="T_Book1_Summary BOQ amandement 4_summary amd 1 final 3" xfId="5452"/>
    <cellStyle name="T_Book1_Summary BOQ amandement 4_summary amd 1 final 4" xfId="5451"/>
    <cellStyle name="T_Book1_Summary BOQ amandement 4_summary amd 1 final 5" xfId="5450"/>
    <cellStyle name="T_Book1_Summary BOQ amandement 4_summary amd 1 final_schedule rev -2 paket AMS 8" xfId="5449"/>
    <cellStyle name="T_Book1_Summary BOQ amandement 4_summary amd 1 final_schedule rev -2 paket AMS 8 2" xfId="5448"/>
    <cellStyle name="T_Book1_Summary BOQ amandement 4_summary amd 1 final_schedule rev -2 paket AMS 8 2 2" xfId="5447"/>
    <cellStyle name="T_Book1_Summary BOQ amandement 4_summary amd 1 final_schedule rev -2 paket AMS 8 3" xfId="5446"/>
    <cellStyle name="T_Book1_Summary BOQ amandement 4_summary amd 1 final_schedule rev -2 paket AMS 8 4" xfId="5445"/>
    <cellStyle name="T_Book1_Summary BOQ amandement 4_summary amd 1 final_schedule rev -2 paket AMS 8 5" xfId="5444"/>
    <cellStyle name="T_Book1_summary MC 0 alt 2 rev 9 mar 08" xfId="5443"/>
    <cellStyle name="T_Book1_summary MC 0 alt 2 rev 9 mar 08 2" xfId="5442"/>
    <cellStyle name="T_Book1_summary MC 0 alt 2 rev 9 mar 08 2 2" xfId="5441"/>
    <cellStyle name="T_Book1_summary MC 0 alt 2 rev 9 mar 08 3" xfId="5440"/>
    <cellStyle name="T_Book1_summary MC 0 alt 2 rev 9 mar 08 4" xfId="5439"/>
    <cellStyle name="T_Book1_summary MC 0 alt 2 rev 9 mar 08 5" xfId="5438"/>
    <cellStyle name="T_Book1_summary MC 0 alt 2 rev 9 mar 08_break down amd10 final" xfId="5437"/>
    <cellStyle name="T_Book1_summary MC 0 alt 2 rev 9 mar 08_break down amd10 final 2" xfId="5436"/>
    <cellStyle name="T_Book1_summary MC 0 alt 2 rev 9 mar 08_break down amd10 final 2 2" xfId="5435"/>
    <cellStyle name="T_Book1_summary MC 0 alt 2 rev 9 mar 08_break down amd10 final 3" xfId="5434"/>
    <cellStyle name="T_Book1_summary MC 0 alt 2 rev 9 mar 08_break down amd10 final 4" xfId="5433"/>
    <cellStyle name="T_Book1_summary MC 0 alt 2 rev 9 mar 08_break down amd10 final 5" xfId="5432"/>
    <cellStyle name="T_Book1_summary MC 0 alt 2 rev 9 mar 08_break down amd10 final_Evaluasi Negoisasi (Lampiran Berita Acara) - Rev 3" xfId="5431"/>
    <cellStyle name="T_Book1_summary MC 0 alt 2 rev 9 mar 08_break down amd10 final_Evaluasi Negoisasi (Lampiran Berita Acara) - Rev 3 2" xfId="5430"/>
    <cellStyle name="T_Book1_summary MC 0 alt 2 rev 9 mar 08_break down amd10 final_Evaluasi Negoisasi (Lampiran Berita Acara) - Rev 3 2 2" xfId="5429"/>
    <cellStyle name="T_Book1_summary MC 0 alt 2 rev 9 mar 08_break down amd10 final_Evaluasi Negoisasi (Lampiran Berita Acara) - Rev 3 3" xfId="5428"/>
    <cellStyle name="T_Book1_summary MC 0 alt 2 rev 9 mar 08_break down amd10 final_Evaluasi Negoisasi (Lampiran Berita Acara) - Rev 3 4" xfId="5427"/>
    <cellStyle name="T_Book1_summary MC 0 alt 2 rev 9 mar 08_break down amd10 final_Evaluasi Negoisasi (Lampiran Berita Acara) - Rev 3 5" xfId="5426"/>
    <cellStyle name="T_Book1_summary MC 0 alt 2 rev 9 mar 08_break down amd10 final_Schedule  PCM" xfId="5425"/>
    <cellStyle name="T_Book1_summary MC 0 alt 2 rev 9 mar 08_break down amd10 final_Schedule  PCM 2" xfId="5424"/>
    <cellStyle name="T_Book1_summary MC 0 alt 2 rev 9 mar 08_break down amd10 final_Schedule  PCM 2 2" xfId="5423"/>
    <cellStyle name="T_Book1_summary MC 0 alt 2 rev 9 mar 08_break down amd10 final_Schedule  PCM 3" xfId="5422"/>
    <cellStyle name="T_Book1_summary MC 0 alt 2 rev 9 mar 08_break down amd10 final_Schedule  PCM 4" xfId="5421"/>
    <cellStyle name="T_Book1_summary MC 0 alt 2 rev 9 mar 08_break down amd10 final_Schedule  PCM 5" xfId="5420"/>
    <cellStyle name="T_Book1_summary MC 0 alt 2 rev 9 mar 08_break down amd10 final_Schedule  PCM_schedule rev -2 paket AMS 8" xfId="5419"/>
    <cellStyle name="T_Book1_summary MC 0 alt 2 rev 9 mar 08_break down amd10 final_Schedule  PCM_schedule rev -2 paket AMS 8 2" xfId="5418"/>
    <cellStyle name="T_Book1_summary MC 0 alt 2 rev 9 mar 08_break down amd10 final_Schedule  PCM_schedule rev -2 paket AMS 8 2 2" xfId="5417"/>
    <cellStyle name="T_Book1_summary MC 0 alt 2 rev 9 mar 08_break down amd10 final_Schedule  PCM_schedule rev -2 paket AMS 8 3" xfId="5416"/>
    <cellStyle name="T_Book1_summary MC 0 alt 2 rev 9 mar 08_break down amd10 final_Schedule  PCM_schedule rev -2 paket AMS 8 4" xfId="5415"/>
    <cellStyle name="T_Book1_summary MC 0 alt 2 rev 9 mar 08_break down amd10 final_Schedule  PCM_schedule rev -2 paket AMS 8 5" xfId="5414"/>
    <cellStyle name="T_Book1_summary MC 0 alt 2 rev 9 mar 08_break down amd10 final_Schedule Revisi 1" xfId="5413"/>
    <cellStyle name="T_Book1_summary MC 0 alt 2 rev 9 mar 08_break down amd10 final_Schedule Revisi 1 2" xfId="5412"/>
    <cellStyle name="T_Book1_summary MC 0 alt 2 rev 9 mar 08_break down amd10 final_Schedule Revisi 1 2 2" xfId="5411"/>
    <cellStyle name="T_Book1_summary MC 0 alt 2 rev 9 mar 08_break down amd10 final_Schedule Revisi 1 3" xfId="5410"/>
    <cellStyle name="T_Book1_summary MC 0 alt 2 rev 9 mar 08_break down amd10 final_Schedule Revisi 1 4" xfId="5409"/>
    <cellStyle name="T_Book1_summary MC 0 alt 2 rev 9 mar 08_break down amd10 final_Schedule Revisi 1 5" xfId="5408"/>
    <cellStyle name="T_Book1_summary MC 0 alt 2 rev 9 mar 08_break down amd10 final_Schedule Revisi 1_schedule rev -2 paket AMS 8" xfId="5407"/>
    <cellStyle name="T_Book1_summary MC 0 alt 2 rev 9 mar 08_break down amd10 final_Schedule Revisi 1_schedule rev -2 paket AMS 8 2" xfId="5406"/>
    <cellStyle name="T_Book1_summary MC 0 alt 2 rev 9 mar 08_break down amd10 final_Schedule Revisi 1_schedule rev -2 paket AMS 8 2 2" xfId="5405"/>
    <cellStyle name="T_Book1_summary MC 0 alt 2 rev 9 mar 08_break down amd10 final_Schedule Revisi 1_schedule rev -2 paket AMS 8 3" xfId="5404"/>
    <cellStyle name="T_Book1_summary MC 0 alt 2 rev 9 mar 08_break down amd10 final_Schedule Revisi 1_schedule rev -2 paket AMS 8 4" xfId="5403"/>
    <cellStyle name="T_Book1_summary MC 0 alt 2 rev 9 mar 08_break down amd10 final_Schedule Revisi 1_schedule rev -2 paket AMS 8 5" xfId="5402"/>
    <cellStyle name="T_Book1_summary MC 0 alt 2 rev 9 mar 08_break down amd10 final_summary amd 1 final" xfId="5401"/>
    <cellStyle name="T_Book1_summary MC 0 alt 2 rev 9 mar 08_break down amd10 final_summary amd 1 final 2" xfId="5400"/>
    <cellStyle name="T_Book1_summary MC 0 alt 2 rev 9 mar 08_break down amd10 final_summary amd 1 final 2 2" xfId="5399"/>
    <cellStyle name="T_Book1_summary MC 0 alt 2 rev 9 mar 08_break down amd10 final_summary amd 1 final 3" xfId="5398"/>
    <cellStyle name="T_Book1_summary MC 0 alt 2 rev 9 mar 08_break down amd10 final_summary amd 1 final 4" xfId="5397"/>
    <cellStyle name="T_Book1_summary MC 0 alt 2 rev 9 mar 08_break down amd10 final_summary amd 1 final 5" xfId="5396"/>
    <cellStyle name="T_Book1_summary MC 0 alt 2 rev 9 mar 08_break down amd10 final_summary amd 1 final_schedule rev -2 paket AMS 8" xfId="5395"/>
    <cellStyle name="T_Book1_summary MC 0 alt 2 rev 9 mar 08_break down amd10 final_summary amd 1 final_schedule rev -2 paket AMS 8 2" xfId="5394"/>
    <cellStyle name="T_Book1_summary MC 0 alt 2 rev 9 mar 08_break down amd10 final_summary amd 1 final_schedule rev -2 paket AMS 8 2 2" xfId="5393"/>
    <cellStyle name="T_Book1_summary MC 0 alt 2 rev 9 mar 08_break down amd10 final_summary amd 1 final_schedule rev -2 paket AMS 8 3" xfId="5392"/>
    <cellStyle name="T_Book1_summary MC 0 alt 2 rev 9 mar 08_break down amd10 final_summary amd 1 final_schedule rev -2 paket AMS 8 4" xfId="5391"/>
    <cellStyle name="T_Book1_summary MC 0 alt 2 rev 9 mar 08_break down amd10 final_summary amd 1 final_schedule rev -2 paket AMS 8 5" xfId="5390"/>
    <cellStyle name="T_Book1_summary MC 0 amd 4 revisi" xfId="5389"/>
    <cellStyle name="T_Book1_summary MC 0 amd 4 revisi 2" xfId="5388"/>
    <cellStyle name="T_Book1_summary MC 0 amd 4 revisi 2 2" xfId="5387"/>
    <cellStyle name="T_Book1_summary MC 0 amd 4 revisi 3" xfId="5386"/>
    <cellStyle name="T_Book1_summary MC 0 amd 4 revisi 4" xfId="5385"/>
    <cellStyle name="T_Book1_summary MC 0 amd 4 revisi 5" xfId="5384"/>
    <cellStyle name="T_Book1_summary MC 0 amd 4 revisi_Evaluasi Negoisasi (Lampiran Berita Acara) - Rev 3" xfId="5383"/>
    <cellStyle name="T_Book1_summary MC 0 amd 4 revisi_Evaluasi Negoisasi (Lampiran Berita Acara) - Rev 3 2" xfId="5382"/>
    <cellStyle name="T_Book1_summary MC 0 amd 4 revisi_Evaluasi Negoisasi (Lampiran Berita Acara) - Rev 3 2 2" xfId="5381"/>
    <cellStyle name="T_Book1_summary MC 0 amd 4 revisi_Evaluasi Negoisasi (Lampiran Berita Acara) - Rev 3 3" xfId="5380"/>
    <cellStyle name="T_Book1_summary MC 0 amd 4 revisi_Evaluasi Negoisasi (Lampiran Berita Acara) - Rev 3 4" xfId="5379"/>
    <cellStyle name="T_Book1_summary MC 0 amd 4 revisi_Evaluasi Negoisasi (Lampiran Berita Acara) - Rev 3 5" xfId="5378"/>
    <cellStyle name="T_Book1_summary MC 0 amd 4 revisi_Schedule  PCM" xfId="5377"/>
    <cellStyle name="T_Book1_summary MC 0 amd 4 revisi_Schedule  PCM 2" xfId="5376"/>
    <cellStyle name="T_Book1_summary MC 0 amd 4 revisi_Schedule  PCM 2 2" xfId="5375"/>
    <cellStyle name="T_Book1_summary MC 0 amd 4 revisi_Schedule  PCM 3" xfId="5374"/>
    <cellStyle name="T_Book1_summary MC 0 amd 4 revisi_Schedule  PCM 4" xfId="5373"/>
    <cellStyle name="T_Book1_summary MC 0 amd 4 revisi_Schedule  PCM 5" xfId="5372"/>
    <cellStyle name="T_Book1_summary MC 0 amd 4 revisi_Schedule  PCM_schedule rev -2 paket AMS 8" xfId="5371"/>
    <cellStyle name="T_Book1_summary MC 0 amd 4 revisi_Schedule  PCM_schedule rev -2 paket AMS 8 2" xfId="5370"/>
    <cellStyle name="T_Book1_summary MC 0 amd 4 revisi_Schedule  PCM_schedule rev -2 paket AMS 8 2 2" xfId="5369"/>
    <cellStyle name="T_Book1_summary MC 0 amd 4 revisi_Schedule  PCM_schedule rev -2 paket AMS 8 3" xfId="5368"/>
    <cellStyle name="T_Book1_summary MC 0 amd 4 revisi_Schedule  PCM_schedule rev -2 paket AMS 8 4" xfId="5367"/>
    <cellStyle name="T_Book1_summary MC 0 amd 4 revisi_Schedule  PCM_schedule rev -2 paket AMS 8 5" xfId="5366"/>
    <cellStyle name="T_Book1_summary MC 0 amd 4 revisi_Schedule Revisi 1" xfId="5365"/>
    <cellStyle name="T_Book1_summary MC 0 amd 4 revisi_Schedule Revisi 1 2" xfId="5364"/>
    <cellStyle name="T_Book1_summary MC 0 amd 4 revisi_Schedule Revisi 1 2 2" xfId="5363"/>
    <cellStyle name="T_Book1_summary MC 0 amd 4 revisi_Schedule Revisi 1 3" xfId="5362"/>
    <cellStyle name="T_Book1_summary MC 0 amd 4 revisi_Schedule Revisi 1 4" xfId="5361"/>
    <cellStyle name="T_Book1_summary MC 0 amd 4 revisi_Schedule Revisi 1 5" xfId="5360"/>
    <cellStyle name="T_Book1_summary MC 0 amd 4 revisi_Schedule Revisi 1_schedule rev -2 paket AMS 8" xfId="5359"/>
    <cellStyle name="T_Book1_summary MC 0 amd 4 revisi_Schedule Revisi 1_schedule rev -2 paket AMS 8 2" xfId="5358"/>
    <cellStyle name="T_Book1_summary MC 0 amd 4 revisi_Schedule Revisi 1_schedule rev -2 paket AMS 8 2 2" xfId="5357"/>
    <cellStyle name="T_Book1_summary MC 0 amd 4 revisi_Schedule Revisi 1_schedule rev -2 paket AMS 8 3" xfId="5356"/>
    <cellStyle name="T_Book1_summary MC 0 amd 4 revisi_Schedule Revisi 1_schedule rev -2 paket AMS 8 4" xfId="5355"/>
    <cellStyle name="T_Book1_summary MC 0 amd 4 revisi_Schedule Revisi 1_schedule rev -2 paket AMS 8 5" xfId="5354"/>
    <cellStyle name="T_Book1_summary MC 0 amd 4 revisi_summary amd 1 final" xfId="5353"/>
    <cellStyle name="T_Book1_summary MC 0 amd 4 revisi_summary amd 1 final 2" xfId="5352"/>
    <cellStyle name="T_Book1_summary MC 0 amd 4 revisi_summary amd 1 final 2 2" xfId="5351"/>
    <cellStyle name="T_Book1_summary MC 0 amd 4 revisi_summary amd 1 final 3" xfId="5350"/>
    <cellStyle name="T_Book1_summary MC 0 amd 4 revisi_summary amd 1 final 4" xfId="5349"/>
    <cellStyle name="T_Book1_summary MC 0 amd 4 revisi_summary amd 1 final 5" xfId="5348"/>
    <cellStyle name="T_Book1_summary MC 0 amd 4 revisi_summary amd 1 final_schedule rev -2 paket AMS 8" xfId="5347"/>
    <cellStyle name="T_Book1_summary MC 0 amd 4 revisi_summary amd 1 final_schedule rev -2 paket AMS 8 2" xfId="5346"/>
    <cellStyle name="T_Book1_summary MC 0 amd 4 revisi_summary amd 1 final_schedule rev -2 paket AMS 8 2 2" xfId="5345"/>
    <cellStyle name="T_Book1_summary MC 0 amd 4 revisi_summary amd 1 final_schedule rev -2 paket AMS 8 3" xfId="5344"/>
    <cellStyle name="T_Book1_summary MC 0 amd 4 revisi_summary amd 1 final_schedule rev -2 paket AMS 8 4" xfId="5343"/>
    <cellStyle name="T_Book1_summary MC 0 amd 4 revisi_summary amd 1 final_schedule rev -2 paket AMS 8 5" xfId="5342"/>
    <cellStyle name="T_Book1_summary MC 0 final medan" xfId="5341"/>
    <cellStyle name="T_Book1_summary MC 0 final medan 2" xfId="5340"/>
    <cellStyle name="T_Book1_summary MC 0 final medan 2 2" xfId="5339"/>
    <cellStyle name="T_Book1_summary MC 0 final medan 3" xfId="5338"/>
    <cellStyle name="T_Book1_summary MC 0 final medan 4" xfId="5337"/>
    <cellStyle name="T_Book1_summary MC 0 final medan 5" xfId="5336"/>
    <cellStyle name="T_Book1_summary MC 0 final medan_break down amd10 final" xfId="5335"/>
    <cellStyle name="T_Book1_summary MC 0 final medan_break down amd10 final 2" xfId="5334"/>
    <cellStyle name="T_Book1_summary MC 0 final medan_break down amd10 final 2 2" xfId="5333"/>
    <cellStyle name="T_Book1_summary MC 0 final medan_break down amd10 final 3" xfId="5332"/>
    <cellStyle name="T_Book1_summary MC 0 final medan_break down amd10 final 4" xfId="5331"/>
    <cellStyle name="T_Book1_summary MC 0 final medan_break down amd10 final 5" xfId="5330"/>
    <cellStyle name="T_Book1_summary MC 0 final medan_break down amd10 final_Evaluasi Negoisasi (Lampiran Berita Acara) - Rev 3" xfId="5329"/>
    <cellStyle name="T_Book1_summary MC 0 final medan_break down amd10 final_Evaluasi Negoisasi (Lampiran Berita Acara) - Rev 3 2" xfId="5328"/>
    <cellStyle name="T_Book1_summary MC 0 final medan_break down amd10 final_Evaluasi Negoisasi (Lampiran Berita Acara) - Rev 3 2 2" xfId="5327"/>
    <cellStyle name="T_Book1_summary MC 0 final medan_break down amd10 final_Evaluasi Negoisasi (Lampiran Berita Acara) - Rev 3 3" xfId="5326"/>
    <cellStyle name="T_Book1_summary MC 0 final medan_break down amd10 final_Evaluasi Negoisasi (Lampiran Berita Acara) - Rev 3 4" xfId="5325"/>
    <cellStyle name="T_Book1_summary MC 0 final medan_break down amd10 final_Evaluasi Negoisasi (Lampiran Berita Acara) - Rev 3 5" xfId="5324"/>
    <cellStyle name="T_Book1_summary MC 0 final medan_break down amd10 final_Schedule  PCM" xfId="5323"/>
    <cellStyle name="T_Book1_summary MC 0 final medan_break down amd10 final_Schedule  PCM 2" xfId="5322"/>
    <cellStyle name="T_Book1_summary MC 0 final medan_break down amd10 final_Schedule  PCM 2 2" xfId="5321"/>
    <cellStyle name="T_Book1_summary MC 0 final medan_break down amd10 final_Schedule  PCM 3" xfId="5320"/>
    <cellStyle name="T_Book1_summary MC 0 final medan_break down amd10 final_Schedule  PCM 4" xfId="5319"/>
    <cellStyle name="T_Book1_summary MC 0 final medan_break down amd10 final_Schedule  PCM 5" xfId="5318"/>
    <cellStyle name="T_Book1_summary MC 0 final medan_break down amd10 final_Schedule  PCM_schedule rev -2 paket AMS 8" xfId="5317"/>
    <cellStyle name="T_Book1_summary MC 0 final medan_break down amd10 final_Schedule  PCM_schedule rev -2 paket AMS 8 2" xfId="5316"/>
    <cellStyle name="T_Book1_summary MC 0 final medan_break down amd10 final_Schedule  PCM_schedule rev -2 paket AMS 8 2 2" xfId="5315"/>
    <cellStyle name="T_Book1_summary MC 0 final medan_break down amd10 final_Schedule  PCM_schedule rev -2 paket AMS 8 3" xfId="5314"/>
    <cellStyle name="T_Book1_summary MC 0 final medan_break down amd10 final_Schedule  PCM_schedule rev -2 paket AMS 8 4" xfId="5313"/>
    <cellStyle name="T_Book1_summary MC 0 final medan_break down amd10 final_Schedule  PCM_schedule rev -2 paket AMS 8 5" xfId="5312"/>
    <cellStyle name="T_Book1_summary MC 0 final medan_break down amd10 final_Schedule Revisi 1" xfId="5311"/>
    <cellStyle name="T_Book1_summary MC 0 final medan_break down amd10 final_Schedule Revisi 1 2" xfId="5310"/>
    <cellStyle name="T_Book1_summary MC 0 final medan_break down amd10 final_Schedule Revisi 1 2 2" xfId="5309"/>
    <cellStyle name="T_Book1_summary MC 0 final medan_break down amd10 final_Schedule Revisi 1 3" xfId="5308"/>
    <cellStyle name="T_Book1_summary MC 0 final medan_break down amd10 final_Schedule Revisi 1 4" xfId="5307"/>
    <cellStyle name="T_Book1_summary MC 0 final medan_break down amd10 final_Schedule Revisi 1 5" xfId="5306"/>
    <cellStyle name="T_Book1_summary MC 0 final medan_break down amd10 final_Schedule Revisi 1_schedule rev -2 paket AMS 8" xfId="5305"/>
    <cellStyle name="T_Book1_summary MC 0 final medan_break down amd10 final_Schedule Revisi 1_schedule rev -2 paket AMS 8 2" xfId="5304"/>
    <cellStyle name="T_Book1_summary MC 0 final medan_break down amd10 final_Schedule Revisi 1_schedule rev -2 paket AMS 8 2 2" xfId="5303"/>
    <cellStyle name="T_Book1_summary MC 0 final medan_break down amd10 final_Schedule Revisi 1_schedule rev -2 paket AMS 8 3" xfId="5302"/>
    <cellStyle name="T_Book1_summary MC 0 final medan_break down amd10 final_Schedule Revisi 1_schedule rev -2 paket AMS 8 4" xfId="5301"/>
    <cellStyle name="T_Book1_summary MC 0 final medan_break down amd10 final_Schedule Revisi 1_schedule rev -2 paket AMS 8 5" xfId="5300"/>
    <cellStyle name="T_Book1_summary MC 0 final medan_break down amd10 final_summary amd 1 final" xfId="5299"/>
    <cellStyle name="T_Book1_summary MC 0 final medan_break down amd10 final_summary amd 1 final 2" xfId="5298"/>
    <cellStyle name="T_Book1_summary MC 0 final medan_break down amd10 final_summary amd 1 final 2 2" xfId="5297"/>
    <cellStyle name="T_Book1_summary MC 0 final medan_break down amd10 final_summary amd 1 final 3" xfId="5296"/>
    <cellStyle name="T_Book1_summary MC 0 final medan_break down amd10 final_summary amd 1 final 4" xfId="5295"/>
    <cellStyle name="T_Book1_summary MC 0 final medan_break down amd10 final_summary amd 1 final 5" xfId="5294"/>
    <cellStyle name="T_Book1_summary MC 0 final medan_break down amd10 final_summary amd 1 final_schedule rev -2 paket AMS 8" xfId="5293"/>
    <cellStyle name="T_Book1_summary MC 0 final medan_break down amd10 final_summary amd 1 final_schedule rev -2 paket AMS 8 2" xfId="5292"/>
    <cellStyle name="T_Book1_summary MC 0 final medan_break down amd10 final_summary amd 1 final_schedule rev -2 paket AMS 8 2 2" xfId="5291"/>
    <cellStyle name="T_Book1_summary MC 0 final medan_break down amd10 final_summary amd 1 final_schedule rev -2 paket AMS 8 3" xfId="5290"/>
    <cellStyle name="T_Book1_summary MC 0 final medan_break down amd10 final_summary amd 1 final_schedule rev -2 paket AMS 8 4" xfId="5289"/>
    <cellStyle name="T_Book1_summary MC 0 final medan_break down amd10 final_summary amd 1 final_schedule rev -2 paket AMS 8 5" xfId="5288"/>
    <cellStyle name="T_Book1_summary MC 0 koreksi" xfId="5287"/>
    <cellStyle name="T_Book1_summary MC 0 koreksi 2" xfId="5286"/>
    <cellStyle name="T_Book1_summary MC 0 koreksi 2 2" xfId="5285"/>
    <cellStyle name="T_Book1_summary MC 0 koreksi 3" xfId="5284"/>
    <cellStyle name="T_Book1_summary MC 0 koreksi 4" xfId="5283"/>
    <cellStyle name="T_Book1_summary MC 0 koreksi 5" xfId="5282"/>
    <cellStyle name="T_Book1_summary MC 0 koreksi alt 3" xfId="5281"/>
    <cellStyle name="T_Book1_summary MC 0 koreksi alt 3 2" xfId="5280"/>
    <cellStyle name="T_Book1_summary MC 0 koreksi alt 3 2 2" xfId="5279"/>
    <cellStyle name="T_Book1_summary MC 0 koreksi alt 3 3" xfId="5278"/>
    <cellStyle name="T_Book1_summary MC 0 koreksi alt 3 4" xfId="5277"/>
    <cellStyle name="T_Book1_summary MC 0 koreksi alt 3 5" xfId="5276"/>
    <cellStyle name="T_Book1_summary MC 0 rev 4 mar 08" xfId="5275"/>
    <cellStyle name="T_Book1_summary MC 0 rev 4 mar 08 2" xfId="5274"/>
    <cellStyle name="T_Book1_summary MC 0 rev 4 mar 08 2 2" xfId="5273"/>
    <cellStyle name="T_Book1_summary MC 0 rev 4 mar 08 3" xfId="5272"/>
    <cellStyle name="T_Book1_summary MC 0 rev 4 mar 08 4" xfId="5271"/>
    <cellStyle name="T_Book1_summary MC 0 rev 4 mar 08 5" xfId="5270"/>
    <cellStyle name="T_Book1_summary mc 0 up dated pak hasan" xfId="5269"/>
    <cellStyle name="T_Book1_summary mc 0 up dated pak hasan 2" xfId="5268"/>
    <cellStyle name="T_Book1_summary mc 0 up dated pak hasan 2 2" xfId="5267"/>
    <cellStyle name="T_Book1_summary mc 0 up dated pak hasan 3" xfId="5266"/>
    <cellStyle name="T_Book1_summary mc 0 up dated pak hasan 4" xfId="5265"/>
    <cellStyle name="T_Book1_summary mc 0 up dated pak hasan 5" xfId="5264"/>
    <cellStyle name="T_Book1_summary mc 0 up dated pak hasan_Evaluasi Negoisasi (Lampiran Berita Acara) - Rev 3" xfId="5263"/>
    <cellStyle name="T_Book1_summary mc 0 up dated pak hasan_Evaluasi Negoisasi (Lampiran Berita Acara) - Rev 3 2" xfId="5262"/>
    <cellStyle name="T_Book1_summary mc 0 up dated pak hasan_Evaluasi Negoisasi (Lampiran Berita Acara) - Rev 3 2 2" xfId="5261"/>
    <cellStyle name="T_Book1_summary mc 0 up dated pak hasan_Evaluasi Negoisasi (Lampiran Berita Acara) - Rev 3 3" xfId="5260"/>
    <cellStyle name="T_Book1_summary mc 0 up dated pak hasan_Evaluasi Negoisasi (Lampiran Berita Acara) - Rev 3 4" xfId="5259"/>
    <cellStyle name="T_Book1_summary mc 0 up dated pak hasan_Evaluasi Negoisasi (Lampiran Berita Acara) - Rev 3 5" xfId="5258"/>
    <cellStyle name="T_Book1_summary mc 0 up dated pak hasan_Schedule  PCM" xfId="5257"/>
    <cellStyle name="T_Book1_summary mc 0 up dated pak hasan_Schedule  PCM 2" xfId="5256"/>
    <cellStyle name="T_Book1_summary mc 0 up dated pak hasan_Schedule  PCM 2 2" xfId="5255"/>
    <cellStyle name="T_Book1_summary mc 0 up dated pak hasan_Schedule  PCM 3" xfId="5254"/>
    <cellStyle name="T_Book1_summary mc 0 up dated pak hasan_Schedule  PCM 4" xfId="5253"/>
    <cellStyle name="T_Book1_summary mc 0 up dated pak hasan_Schedule  PCM 5" xfId="5252"/>
    <cellStyle name="T_Book1_summary mc 0 up dated pak hasan_Schedule  PCM_schedule rev -2 paket AMS 8" xfId="5251"/>
    <cellStyle name="T_Book1_summary mc 0 up dated pak hasan_Schedule  PCM_schedule rev -2 paket AMS 8 2" xfId="5250"/>
    <cellStyle name="T_Book1_summary mc 0 up dated pak hasan_Schedule  PCM_schedule rev -2 paket AMS 8 2 2" xfId="5249"/>
    <cellStyle name="T_Book1_summary mc 0 up dated pak hasan_Schedule  PCM_schedule rev -2 paket AMS 8 3" xfId="5248"/>
    <cellStyle name="T_Book1_summary mc 0 up dated pak hasan_Schedule  PCM_schedule rev -2 paket AMS 8 4" xfId="5247"/>
    <cellStyle name="T_Book1_summary mc 0 up dated pak hasan_Schedule  PCM_schedule rev -2 paket AMS 8 5" xfId="5246"/>
    <cellStyle name="T_Book1_summary mc 0 up dated pak hasan_Schedule Revisi 1" xfId="5245"/>
    <cellStyle name="T_Book1_summary mc 0 up dated pak hasan_Schedule Revisi 1 2" xfId="5244"/>
    <cellStyle name="T_Book1_summary mc 0 up dated pak hasan_Schedule Revisi 1 2 2" xfId="5243"/>
    <cellStyle name="T_Book1_summary mc 0 up dated pak hasan_Schedule Revisi 1 3" xfId="5242"/>
    <cellStyle name="T_Book1_summary mc 0 up dated pak hasan_Schedule Revisi 1 4" xfId="5241"/>
    <cellStyle name="T_Book1_summary mc 0 up dated pak hasan_Schedule Revisi 1 5" xfId="5240"/>
    <cellStyle name="T_Book1_summary mc 0 up dated pak hasan_Schedule Revisi 1_schedule rev -2 paket AMS 8" xfId="5239"/>
    <cellStyle name="T_Book1_summary mc 0 up dated pak hasan_Schedule Revisi 1_schedule rev -2 paket AMS 8 2" xfId="5238"/>
    <cellStyle name="T_Book1_summary mc 0 up dated pak hasan_Schedule Revisi 1_schedule rev -2 paket AMS 8 2 2" xfId="5237"/>
    <cellStyle name="T_Book1_summary mc 0 up dated pak hasan_Schedule Revisi 1_schedule rev -2 paket AMS 8 3" xfId="5236"/>
    <cellStyle name="T_Book1_summary mc 0 up dated pak hasan_Schedule Revisi 1_schedule rev -2 paket AMS 8 4" xfId="5235"/>
    <cellStyle name="T_Book1_summary mc 0 up dated pak hasan_Schedule Revisi 1_schedule rev -2 paket AMS 8 5" xfId="5234"/>
    <cellStyle name="T_Book1_summary mc 0 up dated pak hasan_summary amd 1 final" xfId="5233"/>
    <cellStyle name="T_Book1_summary mc 0 up dated pak hasan_summary amd 1 final 2" xfId="5232"/>
    <cellStyle name="T_Book1_summary mc 0 up dated pak hasan_summary amd 1 final 2 2" xfId="5231"/>
    <cellStyle name="T_Book1_summary mc 0 up dated pak hasan_summary amd 1 final 3" xfId="5230"/>
    <cellStyle name="T_Book1_summary mc 0 up dated pak hasan_summary amd 1 final 4" xfId="5229"/>
    <cellStyle name="T_Book1_summary mc 0 up dated pak hasan_summary amd 1 final 5" xfId="5228"/>
    <cellStyle name="T_Book1_summary mc 0 up dated pak hasan_summary amd 1 final_schedule rev -2 paket AMS 8" xfId="5227"/>
    <cellStyle name="T_Book1_summary mc 0 up dated pak hasan_summary amd 1 final_schedule rev -2 paket AMS 8 2" xfId="5226"/>
    <cellStyle name="T_Book1_summary mc 0 up dated pak hasan_summary amd 1 final_schedule rev -2 paket AMS 8 2 2" xfId="5225"/>
    <cellStyle name="T_Book1_summary mc 0 up dated pak hasan_summary amd 1 final_schedule rev -2 paket AMS 8 3" xfId="5224"/>
    <cellStyle name="T_Book1_summary mc 0 up dated pak hasan_summary amd 1 final_schedule rev -2 paket AMS 8 4" xfId="5223"/>
    <cellStyle name="T_Book1_summary mc 0 up dated pak hasan_summary amd 1 final_schedule rev -2 paket AMS 8 5" xfId="5222"/>
    <cellStyle name="T_Book1_summary MC 100  ok" xfId="5221"/>
    <cellStyle name="T_Book1_summary MC 100  ok 2" xfId="5220"/>
    <cellStyle name="T_Book1_summary MC 100  ok 2 2" xfId="5219"/>
    <cellStyle name="T_Book1_summary MC 100  ok 3" xfId="5218"/>
    <cellStyle name="T_Book1_summary MC 100  ok 4" xfId="5217"/>
    <cellStyle name="T_Book1_summary MC 100  ok 5" xfId="5216"/>
    <cellStyle name="T_Book1_summary MC 100  ok_Evaluasi Negoisasi (Lampiran Berita Acara) - Rev 3" xfId="5215"/>
    <cellStyle name="T_Book1_summary MC 100  ok_Evaluasi Negoisasi (Lampiran Berita Acara) - Rev 3 2" xfId="5214"/>
    <cellStyle name="T_Book1_summary MC 100  ok_Evaluasi Negoisasi (Lampiran Berita Acara) - Rev 3 2 2" xfId="5213"/>
    <cellStyle name="T_Book1_summary MC 100  ok_Evaluasi Negoisasi (Lampiran Berita Acara) - Rev 3 3" xfId="5212"/>
    <cellStyle name="T_Book1_summary MC 100  ok_Evaluasi Negoisasi (Lampiran Berita Acara) - Rev 3 4" xfId="5211"/>
    <cellStyle name="T_Book1_summary MC 100  ok_Evaluasi Negoisasi (Lampiran Berita Acara) - Rev 3 5" xfId="5210"/>
    <cellStyle name="T_Book1_summary MC 100  ok_Schedule  PCM" xfId="5209"/>
    <cellStyle name="T_Book1_summary MC 100  ok_Schedule  PCM 2" xfId="5208"/>
    <cellStyle name="T_Book1_summary MC 100  ok_Schedule  PCM 2 2" xfId="5207"/>
    <cellStyle name="T_Book1_summary MC 100  ok_Schedule  PCM 3" xfId="5206"/>
    <cellStyle name="T_Book1_summary MC 100  ok_Schedule  PCM 4" xfId="5205"/>
    <cellStyle name="T_Book1_summary MC 100  ok_Schedule  PCM 5" xfId="5204"/>
    <cellStyle name="T_Book1_summary MC 100  ok_Schedule  PCM_schedule rev -2 paket AMS 8" xfId="5203"/>
    <cellStyle name="T_Book1_summary MC 100  ok_Schedule  PCM_schedule rev -2 paket AMS 8 2" xfId="5202"/>
    <cellStyle name="T_Book1_summary MC 100  ok_Schedule  PCM_schedule rev -2 paket AMS 8 2 2" xfId="5201"/>
    <cellStyle name="T_Book1_summary MC 100  ok_Schedule  PCM_schedule rev -2 paket AMS 8 3" xfId="5200"/>
    <cellStyle name="T_Book1_summary MC 100  ok_Schedule  PCM_schedule rev -2 paket AMS 8 4" xfId="5199"/>
    <cellStyle name="T_Book1_summary MC 100  ok_Schedule  PCM_schedule rev -2 paket AMS 8 5" xfId="5198"/>
    <cellStyle name="T_Book1_summary MC 100  ok_Schedule Revisi 1" xfId="5197"/>
    <cellStyle name="T_Book1_summary MC 100  ok_Schedule Revisi 1 2" xfId="5196"/>
    <cellStyle name="T_Book1_summary MC 100  ok_Schedule Revisi 1 2 2" xfId="5195"/>
    <cellStyle name="T_Book1_summary MC 100  ok_Schedule Revisi 1 3" xfId="5194"/>
    <cellStyle name="T_Book1_summary MC 100  ok_Schedule Revisi 1 4" xfId="5193"/>
    <cellStyle name="T_Book1_summary MC 100  ok_Schedule Revisi 1 5" xfId="5192"/>
    <cellStyle name="T_Book1_summary MC 100  ok_Schedule Revisi 1_schedule rev -2 paket AMS 8" xfId="5191"/>
    <cellStyle name="T_Book1_summary MC 100  ok_Schedule Revisi 1_schedule rev -2 paket AMS 8 2" xfId="5190"/>
    <cellStyle name="T_Book1_summary MC 100  ok_Schedule Revisi 1_schedule rev -2 paket AMS 8 2 2" xfId="5189"/>
    <cellStyle name="T_Book1_summary MC 100  ok_Schedule Revisi 1_schedule rev -2 paket AMS 8 3" xfId="5188"/>
    <cellStyle name="T_Book1_summary MC 100  ok_Schedule Revisi 1_schedule rev -2 paket AMS 8 4" xfId="5187"/>
    <cellStyle name="T_Book1_summary MC 100  ok_Schedule Revisi 1_schedule rev -2 paket AMS 8 5" xfId="5186"/>
    <cellStyle name="T_Book1_summary MC 100  ok_summary amd 1 final" xfId="5185"/>
    <cellStyle name="T_Book1_summary MC 100  ok_summary amd 1 final 2" xfId="5184"/>
    <cellStyle name="T_Book1_summary MC 100  ok_summary amd 1 final 2 2" xfId="5183"/>
    <cellStyle name="T_Book1_summary MC 100  ok_summary amd 1 final 3" xfId="5182"/>
    <cellStyle name="T_Book1_summary MC 100  ok_summary amd 1 final 4" xfId="5181"/>
    <cellStyle name="T_Book1_summary MC 100  ok_summary amd 1 final 5" xfId="5180"/>
    <cellStyle name="T_Book1_summary MC 100  ok_summary amd 1 final_schedule rev -2 paket AMS 8" xfId="5179"/>
    <cellStyle name="T_Book1_summary MC 100  ok_summary amd 1 final_schedule rev -2 paket AMS 8 2" xfId="5178"/>
    <cellStyle name="T_Book1_summary MC 100  ok_summary amd 1 final_schedule rev -2 paket AMS 8 2 2" xfId="5177"/>
    <cellStyle name="T_Book1_summary MC 100  ok_summary amd 1 final_schedule rev -2 paket AMS 8 3" xfId="5176"/>
    <cellStyle name="T_Book1_summary MC 100  ok_summary amd 1 final_schedule rev -2 paket AMS 8 4" xfId="5175"/>
    <cellStyle name="T_Book1_summary MC 100  ok_summary amd 1 final_schedule rev -2 paket AMS 8 5" xfId="5174"/>
    <cellStyle name="T_Book1_summary pasangan JI" xfId="5173"/>
    <cellStyle name="T_Book1_summary pasangan JI 2" xfId="5172"/>
    <cellStyle name="T_Book1_summary pasangan JI 2 2" xfId="5171"/>
    <cellStyle name="T_Book1_summary pasangan JI 3" xfId="5170"/>
    <cellStyle name="T_Book1_summary pasangan JI 4" xfId="5169"/>
    <cellStyle name="T_Book1_summary pasangan JI 5" xfId="5168"/>
    <cellStyle name="T_Book1_Summary Termijn 1 LINK" xfId="5167"/>
    <cellStyle name="T_Book1_Summary Termijn 1 LINK 2" xfId="5166"/>
    <cellStyle name="T_Book1_Summary Termijn 1 LINK 2 2" xfId="5165"/>
    <cellStyle name="T_Book1_Summary Termijn 1 LINK 3" xfId="5164"/>
    <cellStyle name="T_Book1_Summary Termijn 1 LINK 4" xfId="5163"/>
    <cellStyle name="T_Book1_Summary Termijn 1 LINK 5" xfId="5162"/>
    <cellStyle name="T_Book1_Summary Termijn 1 LINK_Evaluasi Negoisasi (Lampiran Berita Acara) - Rev 3" xfId="5161"/>
    <cellStyle name="T_Book1_Summary Termijn 1 LINK_Evaluasi Negoisasi (Lampiran Berita Acara) - Rev 3 2" xfId="5160"/>
    <cellStyle name="T_Book1_Summary Termijn 1 LINK_Evaluasi Negoisasi (Lampiran Berita Acara) - Rev 3 2 2" xfId="5159"/>
    <cellStyle name="T_Book1_Summary Termijn 1 LINK_Evaluasi Negoisasi (Lampiran Berita Acara) - Rev 3 3" xfId="5158"/>
    <cellStyle name="T_Book1_Summary Termijn 1 LINK_Evaluasi Negoisasi (Lampiran Berita Acara) - Rev 3 4" xfId="5157"/>
    <cellStyle name="T_Book1_Summary Termijn 1 LINK_Evaluasi Negoisasi (Lampiran Berita Acara) - Rev 3 5" xfId="5156"/>
    <cellStyle name="T_Book1_Summary Termijn 1 LINK_Schedule  PCM" xfId="5155"/>
    <cellStyle name="T_Book1_Summary Termijn 1 LINK_Schedule  PCM 2" xfId="5154"/>
    <cellStyle name="T_Book1_Summary Termijn 1 LINK_Schedule  PCM 2 2" xfId="5153"/>
    <cellStyle name="T_Book1_Summary Termijn 1 LINK_Schedule  PCM 3" xfId="5152"/>
    <cellStyle name="T_Book1_Summary Termijn 1 LINK_Schedule  PCM 4" xfId="5151"/>
    <cellStyle name="T_Book1_Summary Termijn 1 LINK_Schedule  PCM 5" xfId="5150"/>
    <cellStyle name="T_Book1_Summary Termijn 1 LINK_Schedule  PCM_schedule rev -2 paket AMS 8" xfId="5149"/>
    <cellStyle name="T_Book1_Summary Termijn 1 LINK_Schedule  PCM_schedule rev -2 paket AMS 8 2" xfId="5148"/>
    <cellStyle name="T_Book1_Summary Termijn 1 LINK_Schedule  PCM_schedule rev -2 paket AMS 8 2 2" xfId="5147"/>
    <cellStyle name="T_Book1_Summary Termijn 1 LINK_Schedule  PCM_schedule rev -2 paket AMS 8 3" xfId="5146"/>
    <cellStyle name="T_Book1_Summary Termijn 1 LINK_Schedule  PCM_schedule rev -2 paket AMS 8 4" xfId="5145"/>
    <cellStyle name="T_Book1_Summary Termijn 1 LINK_Schedule  PCM_schedule rev -2 paket AMS 8 5" xfId="5144"/>
    <cellStyle name="T_Book1_Summary Termijn 1 LINK_Schedule Revisi 1" xfId="5143"/>
    <cellStyle name="T_Book1_Summary Termijn 1 LINK_Schedule Revisi 1 2" xfId="5142"/>
    <cellStyle name="T_Book1_Summary Termijn 1 LINK_Schedule Revisi 1 2 2" xfId="5141"/>
    <cellStyle name="T_Book1_Summary Termijn 1 LINK_Schedule Revisi 1 3" xfId="5140"/>
    <cellStyle name="T_Book1_Summary Termijn 1 LINK_Schedule Revisi 1 4" xfId="5139"/>
    <cellStyle name="T_Book1_Summary Termijn 1 LINK_Schedule Revisi 1 5" xfId="5138"/>
    <cellStyle name="T_Book1_Summary Termijn 1 LINK_Schedule Revisi 1_schedule rev -2 paket AMS 8" xfId="5137"/>
    <cellStyle name="T_Book1_Summary Termijn 1 LINK_Schedule Revisi 1_schedule rev -2 paket AMS 8 2" xfId="5136"/>
    <cellStyle name="T_Book1_Summary Termijn 1 LINK_Schedule Revisi 1_schedule rev -2 paket AMS 8 2 2" xfId="5135"/>
    <cellStyle name="T_Book1_Summary Termijn 1 LINK_Schedule Revisi 1_schedule rev -2 paket AMS 8 3" xfId="5134"/>
    <cellStyle name="T_Book1_Summary Termijn 1 LINK_Schedule Revisi 1_schedule rev -2 paket AMS 8 4" xfId="5133"/>
    <cellStyle name="T_Book1_Summary Termijn 1 LINK_Schedule Revisi 1_schedule rev -2 paket AMS 8 5" xfId="5132"/>
    <cellStyle name="T_Book1_Summary Termijn 1 LINK_summary amd 1 final" xfId="5131"/>
    <cellStyle name="T_Book1_Summary Termijn 1 LINK_summary amd 1 final 2" xfId="5130"/>
    <cellStyle name="T_Book1_Summary Termijn 1 LINK_summary amd 1 final 2 2" xfId="5129"/>
    <cellStyle name="T_Book1_Summary Termijn 1 LINK_summary amd 1 final 3" xfId="5128"/>
    <cellStyle name="T_Book1_Summary Termijn 1 LINK_summary amd 1 final 4" xfId="5127"/>
    <cellStyle name="T_Book1_Summary Termijn 1 LINK_summary amd 1 final 5" xfId="5126"/>
    <cellStyle name="T_Book1_Summary Termijn 1 LINK_summary amd 1 final_schedule rev -2 paket AMS 8" xfId="5125"/>
    <cellStyle name="T_Book1_Summary Termijn 1 LINK_summary amd 1 final_schedule rev -2 paket AMS 8 2" xfId="5124"/>
    <cellStyle name="T_Book1_Summary Termijn 1 LINK_summary amd 1 final_schedule rev -2 paket AMS 8 2 2" xfId="5123"/>
    <cellStyle name="T_Book1_Summary Termijn 1 LINK_summary amd 1 final_schedule rev -2 paket AMS 8 3" xfId="5122"/>
    <cellStyle name="T_Book1_Summary Termijn 1 LINK_summary amd 1 final_schedule rev -2 paket AMS 8 4" xfId="5121"/>
    <cellStyle name="T_Book1_Summary Termijn 1 LINK_summary amd 1 final_schedule rev -2 paket AMS 8 5" xfId="5120"/>
    <cellStyle name="T_Book1_Summary Termijn 2" xfId="5119"/>
    <cellStyle name="T_Book1_Summary Termijn 2 2" xfId="5118"/>
    <cellStyle name="T_Book1_Summary Termijn 2 2 2" xfId="5117"/>
    <cellStyle name="T_Book1_Summary Termijn 2 3" xfId="5116"/>
    <cellStyle name="T_Book1_Summary Termijn 2 4" xfId="5115"/>
    <cellStyle name="T_Book1_Summary Termijn 2 5" xfId="5114"/>
    <cellStyle name="T_Book1_Summary Termijn 2_Evaluasi Negoisasi (Lampiran Berita Acara) - Rev 3" xfId="5113"/>
    <cellStyle name="T_Book1_Summary Termijn 2_Evaluasi Negoisasi (Lampiran Berita Acara) - Rev 3 2" xfId="5112"/>
    <cellStyle name="T_Book1_Summary Termijn 2_Evaluasi Negoisasi (Lampiran Berita Acara) - Rev 3 2 2" xfId="5111"/>
    <cellStyle name="T_Book1_Summary Termijn 2_Evaluasi Negoisasi (Lampiran Berita Acara) - Rev 3 3" xfId="5110"/>
    <cellStyle name="T_Book1_Summary Termijn 2_Evaluasi Negoisasi (Lampiran Berita Acara) - Rev 3 4" xfId="5109"/>
    <cellStyle name="T_Book1_Summary Termijn 2_Evaluasi Negoisasi (Lampiran Berita Acara) - Rev 3 5" xfId="5108"/>
    <cellStyle name="T_Book1_Summary Termijn 2_Schedule  PCM" xfId="5107"/>
    <cellStyle name="T_Book1_Summary Termijn 2_Schedule  PCM 2" xfId="5106"/>
    <cellStyle name="T_Book1_Summary Termijn 2_Schedule  PCM 2 2" xfId="5105"/>
    <cellStyle name="T_Book1_Summary Termijn 2_Schedule  PCM 3" xfId="5104"/>
    <cellStyle name="T_Book1_Summary Termijn 2_Schedule  PCM 4" xfId="5103"/>
    <cellStyle name="T_Book1_Summary Termijn 2_Schedule  PCM 5" xfId="5102"/>
    <cellStyle name="T_Book1_Summary Termijn 2_Schedule  PCM_schedule rev -2 paket AMS 8" xfId="5101"/>
    <cellStyle name="T_Book1_Summary Termijn 2_Schedule  PCM_schedule rev -2 paket AMS 8 2" xfId="5100"/>
    <cellStyle name="T_Book1_Summary Termijn 2_Schedule  PCM_schedule rev -2 paket AMS 8 2 2" xfId="5099"/>
    <cellStyle name="T_Book1_Summary Termijn 2_Schedule  PCM_schedule rev -2 paket AMS 8 3" xfId="5098"/>
    <cellStyle name="T_Book1_Summary Termijn 2_Schedule  PCM_schedule rev -2 paket AMS 8 4" xfId="5097"/>
    <cellStyle name="T_Book1_Summary Termijn 2_Schedule  PCM_schedule rev -2 paket AMS 8 5" xfId="5096"/>
    <cellStyle name="T_Book1_Summary Termijn 2_Schedule Revisi 1" xfId="5095"/>
    <cellStyle name="T_Book1_Summary Termijn 2_Schedule Revisi 1 2" xfId="5094"/>
    <cellStyle name="T_Book1_Summary Termijn 2_Schedule Revisi 1 2 2" xfId="5093"/>
    <cellStyle name="T_Book1_Summary Termijn 2_Schedule Revisi 1 3" xfId="5092"/>
    <cellStyle name="T_Book1_Summary Termijn 2_Schedule Revisi 1 4" xfId="5091"/>
    <cellStyle name="T_Book1_Summary Termijn 2_Schedule Revisi 1 5" xfId="5090"/>
    <cellStyle name="T_Book1_Summary Termijn 2_Schedule Revisi 1_schedule rev -2 paket AMS 8" xfId="5089"/>
    <cellStyle name="T_Book1_Summary Termijn 2_Schedule Revisi 1_schedule rev -2 paket AMS 8 2" xfId="5088"/>
    <cellStyle name="T_Book1_Summary Termijn 2_Schedule Revisi 1_schedule rev -2 paket AMS 8 2 2" xfId="5087"/>
    <cellStyle name="T_Book1_Summary Termijn 2_Schedule Revisi 1_schedule rev -2 paket AMS 8 3" xfId="5086"/>
    <cellStyle name="T_Book1_Summary Termijn 2_Schedule Revisi 1_schedule rev -2 paket AMS 8 4" xfId="5085"/>
    <cellStyle name="T_Book1_Summary Termijn 2_Schedule Revisi 1_schedule rev -2 paket AMS 8 5" xfId="5084"/>
    <cellStyle name="T_Book1_Summary Termijn 2_summary amd 1 final" xfId="5083"/>
    <cellStyle name="T_Book1_Summary Termijn 2_summary amd 1 final 2" xfId="5082"/>
    <cellStyle name="T_Book1_Summary Termijn 2_summary amd 1 final 2 2" xfId="5081"/>
    <cellStyle name="T_Book1_Summary Termijn 2_summary amd 1 final 3" xfId="5080"/>
    <cellStyle name="T_Book1_Summary Termijn 2_summary amd 1 final 4" xfId="5079"/>
    <cellStyle name="T_Book1_Summary Termijn 2_summary amd 1 final 5" xfId="5078"/>
    <cellStyle name="T_Book1_Summary Termijn 2_summary amd 1 final_schedule rev -2 paket AMS 8" xfId="5077"/>
    <cellStyle name="T_Book1_Summary Termijn 2_summary amd 1 final_schedule rev -2 paket AMS 8 2" xfId="5076"/>
    <cellStyle name="T_Book1_Summary Termijn 2_summary amd 1 final_schedule rev -2 paket AMS 8 2 2" xfId="5075"/>
    <cellStyle name="T_Book1_Summary Termijn 2_summary amd 1 final_schedule rev -2 paket AMS 8 3" xfId="5074"/>
    <cellStyle name="T_Book1_Summary Termijn 2_summary amd 1 final_schedule rev -2 paket AMS 8 4" xfId="5073"/>
    <cellStyle name="T_Book1_Summary Termijn 2_summary amd 1 final_schedule rev -2 paket AMS 8 5" xfId="5072"/>
    <cellStyle name="t_BoQ BI Ponti-PM" xfId="5071"/>
    <cellStyle name="t_BoQ BI Ponti-PM 2" xfId="5070"/>
    <cellStyle name="t_BoQ BI Ponti-PM 2 2" xfId="5069"/>
    <cellStyle name="t_BoQ BI Ponti-PM 2 2 2" xfId="5068"/>
    <cellStyle name="t_BoQ BI Ponti-PM 2 3" xfId="5067"/>
    <cellStyle name="t_BoQ BI Ponti-PM 3" xfId="5066"/>
    <cellStyle name="t_BoQ BI Ponti-PM 3 2" xfId="5065"/>
    <cellStyle name="t_BoQ BI Ponti-PM 3 2 2" xfId="5064"/>
    <cellStyle name="t_BoQ BI Ponti-PM 3 3" xfId="5063"/>
    <cellStyle name="t_BoQ BI Ponti-PM 4" xfId="5062"/>
    <cellStyle name="t_BoQ BI Ponti-PM 4 2" xfId="5061"/>
    <cellStyle name="t_BoQ BI Ponti-PM 4 2 2" xfId="5060"/>
    <cellStyle name="t_BoQ BI Ponti-PM 4 3" xfId="5059"/>
    <cellStyle name="t_BoQ BI Ponti-PM 5" xfId="5058"/>
    <cellStyle name="t_BoQ BI Ponti-PM 5 2" xfId="5057"/>
    <cellStyle name="t_BoQ BI Ponti-PM 5 2 2" xfId="5056"/>
    <cellStyle name="t_BoQ BI Ponti-PM 5 3" xfId="5055"/>
    <cellStyle name="t_BoQ BI Ponti-PM 6" xfId="5054"/>
    <cellStyle name="t_BoQ BI Ponti-PM 6 2" xfId="5053"/>
    <cellStyle name="t_BoQ BI Ponti-PM 6 2 2" xfId="5052"/>
    <cellStyle name="t_BoQ BI Ponti-PM 6 3" xfId="5051"/>
    <cellStyle name="t_BoQ BI Ponti-PM 7" xfId="5050"/>
    <cellStyle name="t_BoQ BI Ponti-PM 7 2" xfId="5049"/>
    <cellStyle name="t_BoQ BI Ponti-PM 7 2 2" xfId="5048"/>
    <cellStyle name="t_BoQ BI Ponti-PM 7 3" xfId="5047"/>
    <cellStyle name="t_BoQ BI Ponti-PM 8" xfId="5046"/>
    <cellStyle name="t_BoQ BI Ponti-PM 8 2" xfId="5045"/>
    <cellStyle name="t_BoQ BI Ponti-PM 9" xfId="5044"/>
    <cellStyle name="t_BoQ BI Ponti-PM_Realisasi Kontrak Kampar 31 agustus 2009" xfId="5043"/>
    <cellStyle name="t_BoQ BI Ponti-PM_Realisasi Kontrak Kampar 31 agustus 2009 2" xfId="5042"/>
    <cellStyle name="t_BoQ BI Ponti-PM_Realisasi Kontrak Kampar 31 agustus 2009 2 2" xfId="5041"/>
    <cellStyle name="t_BoQ BI Ponti-PM_Realisasi Kontrak Kampar 31 agustus 2009 2 2 2" xfId="5040"/>
    <cellStyle name="t_BoQ BI Ponti-PM_Realisasi Kontrak Kampar 31 agustus 2009 2 3" xfId="5039"/>
    <cellStyle name="t_BoQ BI Ponti-PM_Realisasi Kontrak Kampar 31 agustus 2009 3" xfId="5038"/>
    <cellStyle name="t_BoQ BI Ponti-PM_Realisasi Kontrak Kampar 31 agustus 2009 3 2" xfId="5037"/>
    <cellStyle name="t_BoQ BI Ponti-PM_Realisasi Kontrak Kampar 31 agustus 2009 3 2 2" xfId="5036"/>
    <cellStyle name="t_BoQ BI Ponti-PM_Realisasi Kontrak Kampar 31 agustus 2009 3 3" xfId="5035"/>
    <cellStyle name="t_BoQ BI Ponti-PM_Realisasi Kontrak Kampar 31 agustus 2009 4" xfId="5034"/>
    <cellStyle name="t_BoQ BI Ponti-PM_Realisasi Kontrak Kampar 31 agustus 2009 4 2" xfId="5033"/>
    <cellStyle name="t_BoQ BI Ponti-PM_Realisasi Kontrak Kampar 31 agustus 2009 4 2 2" xfId="5032"/>
    <cellStyle name="t_BoQ BI Ponti-PM_Realisasi Kontrak Kampar 31 agustus 2009 4 3" xfId="5031"/>
    <cellStyle name="t_BoQ BI Ponti-PM_Realisasi Kontrak Kampar 31 agustus 2009 5" xfId="5030"/>
    <cellStyle name="t_BoQ BI Ponti-PM_Realisasi Kontrak Kampar 31 agustus 2009 5 2" xfId="5029"/>
    <cellStyle name="t_BoQ BI Ponti-PM_Realisasi Kontrak Kampar 31 agustus 2009 5 2 2" xfId="5028"/>
    <cellStyle name="t_BoQ BI Ponti-PM_Realisasi Kontrak Kampar 31 agustus 2009 5 3" xfId="5027"/>
    <cellStyle name="t_BoQ BI Ponti-PM_Realisasi Kontrak Kampar 31 agustus 2009 6" xfId="5026"/>
    <cellStyle name="t_BoQ BI Ponti-PM_Realisasi Kontrak Kampar 31 agustus 2009 6 2" xfId="5025"/>
    <cellStyle name="t_BoQ BI Ponti-PM_Realisasi Kontrak Kampar 31 agustus 2009 6 2 2" xfId="5024"/>
    <cellStyle name="t_BoQ BI Ponti-PM_Realisasi Kontrak Kampar 31 agustus 2009 6 3" xfId="5023"/>
    <cellStyle name="t_BoQ BI Ponti-PM_Realisasi Kontrak Kampar 31 agustus 2009 7" xfId="5022"/>
    <cellStyle name="t_BoQ BI Ponti-PM_Realisasi Kontrak Kampar 31 agustus 2009 7 2" xfId="5021"/>
    <cellStyle name="t_BoQ BI Ponti-PM_Realisasi Kontrak Kampar 31 agustus 2009 7 2 2" xfId="5020"/>
    <cellStyle name="t_BoQ BI Ponti-PM_Realisasi Kontrak Kampar 31 agustus 2009 7 3" xfId="5019"/>
    <cellStyle name="t_BoQ BI Ponti-PM_Realisasi Kontrak Kampar 31 agustus 2009 8" xfId="5018"/>
    <cellStyle name="t_BoQ BI Ponti-PM_Realisasi Kontrak Kampar 31 agustus 2009 8 2" xfId="5017"/>
    <cellStyle name="t_BoQ BI Ponti-PM_Realisasi Kontrak Kampar 31 agustus 2009 9" xfId="5016"/>
    <cellStyle name="t_BOQ Dinas Teknis Jatibaru - Andrew" xfId="5015"/>
    <cellStyle name="t_BOQ Dinas Teknis Jatibaru - Andrew 2" xfId="5014"/>
    <cellStyle name="t_BOQ Dinas Teknis Jatibaru - Andrew 2 2" xfId="5013"/>
    <cellStyle name="t_BOQ Dinas Teknis Jatibaru - Andrew 2 2 2" xfId="5012"/>
    <cellStyle name="t_BOQ Dinas Teknis Jatibaru - Andrew 2 3" xfId="5011"/>
    <cellStyle name="t_BOQ Dinas Teknis Jatibaru - Andrew 3" xfId="5010"/>
    <cellStyle name="t_BOQ Dinas Teknis Jatibaru - Andrew 3 2" xfId="5009"/>
    <cellStyle name="t_BOQ Dinas Teknis Jatibaru - Andrew 3 2 2" xfId="5008"/>
    <cellStyle name="t_BOQ Dinas Teknis Jatibaru - Andrew 3 3" xfId="5007"/>
    <cellStyle name="t_BOQ Dinas Teknis Jatibaru - Andrew 4" xfId="5006"/>
    <cellStyle name="t_BOQ Dinas Teknis Jatibaru - Andrew 4 2" xfId="5005"/>
    <cellStyle name="t_BOQ Dinas Teknis Jatibaru - Andrew 4 2 2" xfId="5004"/>
    <cellStyle name="t_BOQ Dinas Teknis Jatibaru - Andrew 4 3" xfId="5003"/>
    <cellStyle name="t_BOQ Dinas Teknis Jatibaru - Andrew 5" xfId="5002"/>
    <cellStyle name="t_BOQ Dinas Teknis Jatibaru - Andrew 5 2" xfId="5001"/>
    <cellStyle name="t_BOQ Dinas Teknis Jatibaru - Andrew 5 2 2" xfId="5000"/>
    <cellStyle name="t_BOQ Dinas Teknis Jatibaru - Andrew 5 3" xfId="4999"/>
    <cellStyle name="t_BOQ Dinas Teknis Jatibaru - Andrew 6" xfId="4998"/>
    <cellStyle name="t_BOQ Dinas Teknis Jatibaru - Andrew 6 2" xfId="4997"/>
    <cellStyle name="t_BOQ Dinas Teknis Jatibaru - Andrew 6 2 2" xfId="4996"/>
    <cellStyle name="t_BOQ Dinas Teknis Jatibaru - Andrew 6 3" xfId="4995"/>
    <cellStyle name="t_BOQ Dinas Teknis Jatibaru - Andrew 7" xfId="4994"/>
    <cellStyle name="t_BOQ Dinas Teknis Jatibaru - Andrew 7 2" xfId="4993"/>
    <cellStyle name="t_BOQ Dinas Teknis Jatibaru - Andrew 7 2 2" xfId="4992"/>
    <cellStyle name="t_BOQ Dinas Teknis Jatibaru - Andrew 7 3" xfId="4991"/>
    <cellStyle name="t_BOQ Dinas Teknis Jatibaru - Andrew 8" xfId="4990"/>
    <cellStyle name="t_BOQ Dinas Teknis Jatibaru - Andrew 8 2" xfId="4989"/>
    <cellStyle name="t_BOQ Dinas Teknis Jatibaru - Andrew 9" xfId="4988"/>
    <cellStyle name="t_BOQ Dinas Teknis Jatibaru - Andrew_Realisasi Kontrak Kampar 31 agustus 2009" xfId="4987"/>
    <cellStyle name="t_BOQ Dinas Teknis Jatibaru - Andrew_Realisasi Kontrak Kampar 31 agustus 2009 2" xfId="4986"/>
    <cellStyle name="t_BOQ Dinas Teknis Jatibaru - Andrew_Realisasi Kontrak Kampar 31 agustus 2009 2 2" xfId="4985"/>
    <cellStyle name="t_BOQ Dinas Teknis Jatibaru - Andrew_Realisasi Kontrak Kampar 31 agustus 2009 2 2 2" xfId="4984"/>
    <cellStyle name="t_BOQ Dinas Teknis Jatibaru - Andrew_Realisasi Kontrak Kampar 31 agustus 2009 2 3" xfId="4983"/>
    <cellStyle name="t_BOQ Dinas Teknis Jatibaru - Andrew_Realisasi Kontrak Kampar 31 agustus 2009 3" xfId="4982"/>
    <cellStyle name="t_BOQ Dinas Teknis Jatibaru - Andrew_Realisasi Kontrak Kampar 31 agustus 2009 3 2" xfId="4981"/>
    <cellStyle name="t_BOQ Dinas Teknis Jatibaru - Andrew_Realisasi Kontrak Kampar 31 agustus 2009 3 2 2" xfId="4980"/>
    <cellStyle name="t_BOQ Dinas Teknis Jatibaru - Andrew_Realisasi Kontrak Kampar 31 agustus 2009 3 3" xfId="4979"/>
    <cellStyle name="t_BOQ Dinas Teknis Jatibaru - Andrew_Realisasi Kontrak Kampar 31 agustus 2009 4" xfId="4978"/>
    <cellStyle name="t_BOQ Dinas Teknis Jatibaru - Andrew_Realisasi Kontrak Kampar 31 agustus 2009 4 2" xfId="4977"/>
    <cellStyle name="t_BOQ Dinas Teknis Jatibaru - Andrew_Realisasi Kontrak Kampar 31 agustus 2009 4 2 2" xfId="4976"/>
    <cellStyle name="t_BOQ Dinas Teknis Jatibaru - Andrew_Realisasi Kontrak Kampar 31 agustus 2009 4 3" xfId="4975"/>
    <cellStyle name="t_BOQ Dinas Teknis Jatibaru - Andrew_Realisasi Kontrak Kampar 31 agustus 2009 5" xfId="4974"/>
    <cellStyle name="t_BOQ Dinas Teknis Jatibaru - Andrew_Realisasi Kontrak Kampar 31 agustus 2009 5 2" xfId="4973"/>
    <cellStyle name="t_BOQ Dinas Teknis Jatibaru - Andrew_Realisasi Kontrak Kampar 31 agustus 2009 5 2 2" xfId="4972"/>
    <cellStyle name="t_BOQ Dinas Teknis Jatibaru - Andrew_Realisasi Kontrak Kampar 31 agustus 2009 5 3" xfId="4971"/>
    <cellStyle name="t_BOQ Dinas Teknis Jatibaru - Andrew_Realisasi Kontrak Kampar 31 agustus 2009 6" xfId="4970"/>
    <cellStyle name="t_BOQ Dinas Teknis Jatibaru - Andrew_Realisasi Kontrak Kampar 31 agustus 2009 6 2" xfId="4969"/>
    <cellStyle name="t_BOQ Dinas Teknis Jatibaru - Andrew_Realisasi Kontrak Kampar 31 agustus 2009 6 2 2" xfId="4968"/>
    <cellStyle name="t_BOQ Dinas Teknis Jatibaru - Andrew_Realisasi Kontrak Kampar 31 agustus 2009 6 3" xfId="4967"/>
    <cellStyle name="t_BOQ Dinas Teknis Jatibaru - Andrew_Realisasi Kontrak Kampar 31 agustus 2009 7" xfId="4966"/>
    <cellStyle name="t_BOQ Dinas Teknis Jatibaru - Andrew_Realisasi Kontrak Kampar 31 agustus 2009 7 2" xfId="4965"/>
    <cellStyle name="t_BOQ Dinas Teknis Jatibaru - Andrew_Realisasi Kontrak Kampar 31 agustus 2009 7 2 2" xfId="4964"/>
    <cellStyle name="t_BOQ Dinas Teknis Jatibaru - Andrew_Realisasi Kontrak Kampar 31 agustus 2009 7 3" xfId="4963"/>
    <cellStyle name="t_BOQ Dinas Teknis Jatibaru - Andrew_Realisasi Kontrak Kampar 31 agustus 2009 8" xfId="4962"/>
    <cellStyle name="t_BOQ Dinas Teknis Jatibaru - Andrew_Realisasi Kontrak Kampar 31 agustus 2009 8 2" xfId="4961"/>
    <cellStyle name="t_BOQ Dinas Teknis Jatibaru - Andrew_Realisasi Kontrak Kampar 31 agustus 2009 9" xfId="4960"/>
    <cellStyle name="t_BQ ACP ALUCOBOND ECO_OPT_RAPP_1" xfId="4959"/>
    <cellStyle name="t_BQ ACP ALUCOBOND ECO_OPT_RAPP_1 2" xfId="4958"/>
    <cellStyle name="t_BQ ACP ALUCOBOND ECO_OPT_RAPP_1 2 2" xfId="4957"/>
    <cellStyle name="t_BQ ACP ALUCOBOND ECO_OPT_RAPP_1 2 2 2" xfId="4956"/>
    <cellStyle name="t_BQ ACP ALUCOBOND ECO_OPT_RAPP_1 2 3" xfId="4955"/>
    <cellStyle name="t_BQ ACP ALUCOBOND ECO_OPT_RAPP_1 3" xfId="4954"/>
    <cellStyle name="t_BQ ACP ALUCOBOND ECO_OPT_RAPP_1 3 2" xfId="4953"/>
    <cellStyle name="t_BQ ACP ALUCOBOND ECO_OPT_RAPP_1 3 2 2" xfId="4952"/>
    <cellStyle name="t_BQ ACP ALUCOBOND ECO_OPT_RAPP_1 3 3" xfId="4951"/>
    <cellStyle name="t_BQ ACP ALUCOBOND ECO_OPT_RAPP_1 4" xfId="4950"/>
    <cellStyle name="t_BQ ACP ALUCOBOND ECO_OPT_RAPP_1 4 2" xfId="4949"/>
    <cellStyle name="t_BQ ACP ALUCOBOND ECO_OPT_RAPP_1 4 2 2" xfId="4948"/>
    <cellStyle name="t_BQ ACP ALUCOBOND ECO_OPT_RAPP_1 4 3" xfId="4947"/>
    <cellStyle name="t_BQ ACP ALUCOBOND ECO_OPT_RAPP_1 5" xfId="4946"/>
    <cellStyle name="t_BQ ACP ALUCOBOND ECO_OPT_RAPP_1 5 2" xfId="4945"/>
    <cellStyle name="t_BQ ACP ALUCOBOND ECO_OPT_RAPP_1 5 2 2" xfId="4944"/>
    <cellStyle name="t_BQ ACP ALUCOBOND ECO_OPT_RAPP_1 5 3" xfId="4943"/>
    <cellStyle name="t_BQ ACP ALUCOBOND ECO_OPT_RAPP_1 6" xfId="4942"/>
    <cellStyle name="t_BQ ACP ALUCOBOND ECO_OPT_RAPP_1 6 2" xfId="4941"/>
    <cellStyle name="t_BQ ACP ALUCOBOND ECO_OPT_RAPP_1 6 2 2" xfId="4940"/>
    <cellStyle name="t_BQ ACP ALUCOBOND ECO_OPT_RAPP_1 6 3" xfId="4939"/>
    <cellStyle name="t_BQ ACP ALUCOBOND ECO_OPT_RAPP_1 7" xfId="4938"/>
    <cellStyle name="t_BQ ACP ALUCOBOND ECO_OPT_RAPP_1 7 2" xfId="4937"/>
    <cellStyle name="t_BQ ACP ALUCOBOND ECO_OPT_RAPP_1 7 2 2" xfId="4936"/>
    <cellStyle name="t_BQ ACP ALUCOBOND ECO_OPT_RAPP_1 7 3" xfId="4935"/>
    <cellStyle name="t_BQ ACP ALUCOBOND ECO_OPT_RAPP_1 8" xfId="4934"/>
    <cellStyle name="t_BQ ACP ALUCOBOND ECO_OPT_RAPP_1 8 2" xfId="4933"/>
    <cellStyle name="t_BQ ACP ALUCOBOND ECO_OPT_RAPP_1 9" xfId="4932"/>
    <cellStyle name="t_BQ ACP ALUCOBOND ECO_OPT_RAPP_1_Realisasi Kontrak Kampar 31 agustus 2009" xfId="4931"/>
    <cellStyle name="t_BQ ACP ALUCOBOND ECO_OPT_RAPP_1_Realisasi Kontrak Kampar 31 agustus 2009 2" xfId="4930"/>
    <cellStyle name="t_BQ ACP ALUCOBOND ECO_OPT_RAPP_1_Realisasi Kontrak Kampar 31 agustus 2009 2 2" xfId="4929"/>
    <cellStyle name="t_BQ ACP ALUCOBOND ECO_OPT_RAPP_1_Realisasi Kontrak Kampar 31 agustus 2009 2 2 2" xfId="4928"/>
    <cellStyle name="t_BQ ACP ALUCOBOND ECO_OPT_RAPP_1_Realisasi Kontrak Kampar 31 agustus 2009 2 3" xfId="4927"/>
    <cellStyle name="t_BQ ACP ALUCOBOND ECO_OPT_RAPP_1_Realisasi Kontrak Kampar 31 agustus 2009 3" xfId="4926"/>
    <cellStyle name="t_BQ ACP ALUCOBOND ECO_OPT_RAPP_1_Realisasi Kontrak Kampar 31 agustus 2009 3 2" xfId="4925"/>
    <cellStyle name="t_BQ ACP ALUCOBOND ECO_OPT_RAPP_1_Realisasi Kontrak Kampar 31 agustus 2009 3 2 2" xfId="4924"/>
    <cellStyle name="t_BQ ACP ALUCOBOND ECO_OPT_RAPP_1_Realisasi Kontrak Kampar 31 agustus 2009 3 3" xfId="4923"/>
    <cellStyle name="t_BQ ACP ALUCOBOND ECO_OPT_RAPP_1_Realisasi Kontrak Kampar 31 agustus 2009 4" xfId="4922"/>
    <cellStyle name="t_BQ ACP ALUCOBOND ECO_OPT_RAPP_1_Realisasi Kontrak Kampar 31 agustus 2009 4 2" xfId="4921"/>
    <cellStyle name="t_BQ ACP ALUCOBOND ECO_OPT_RAPP_1_Realisasi Kontrak Kampar 31 agustus 2009 4 2 2" xfId="4920"/>
    <cellStyle name="t_BQ ACP ALUCOBOND ECO_OPT_RAPP_1_Realisasi Kontrak Kampar 31 agustus 2009 4 3" xfId="4919"/>
    <cellStyle name="t_BQ ACP ALUCOBOND ECO_OPT_RAPP_1_Realisasi Kontrak Kampar 31 agustus 2009 5" xfId="4918"/>
    <cellStyle name="t_BQ ACP ALUCOBOND ECO_OPT_RAPP_1_Realisasi Kontrak Kampar 31 agustus 2009 5 2" xfId="4917"/>
    <cellStyle name="t_BQ ACP ALUCOBOND ECO_OPT_RAPP_1_Realisasi Kontrak Kampar 31 agustus 2009 5 2 2" xfId="4916"/>
    <cellStyle name="t_BQ ACP ALUCOBOND ECO_OPT_RAPP_1_Realisasi Kontrak Kampar 31 agustus 2009 5 3" xfId="4915"/>
    <cellStyle name="t_BQ ACP ALUCOBOND ECO_OPT_RAPP_1_Realisasi Kontrak Kampar 31 agustus 2009 6" xfId="4914"/>
    <cellStyle name="t_BQ ACP ALUCOBOND ECO_OPT_RAPP_1_Realisasi Kontrak Kampar 31 agustus 2009 6 2" xfId="4913"/>
    <cellStyle name="t_BQ ACP ALUCOBOND ECO_OPT_RAPP_1_Realisasi Kontrak Kampar 31 agustus 2009 6 2 2" xfId="4912"/>
    <cellStyle name="t_BQ ACP ALUCOBOND ECO_OPT_RAPP_1_Realisasi Kontrak Kampar 31 agustus 2009 6 3" xfId="4911"/>
    <cellStyle name="t_BQ ACP ALUCOBOND ECO_OPT_RAPP_1_Realisasi Kontrak Kampar 31 agustus 2009 7" xfId="4910"/>
    <cellStyle name="t_BQ ACP ALUCOBOND ECO_OPT_RAPP_1_Realisasi Kontrak Kampar 31 agustus 2009 7 2" xfId="4909"/>
    <cellStyle name="t_BQ ACP ALUCOBOND ECO_OPT_RAPP_1_Realisasi Kontrak Kampar 31 agustus 2009 7 2 2" xfId="4908"/>
    <cellStyle name="t_BQ ACP ALUCOBOND ECO_OPT_RAPP_1_Realisasi Kontrak Kampar 31 agustus 2009 7 3" xfId="4907"/>
    <cellStyle name="t_BQ ACP ALUCOBOND ECO_OPT_RAPP_1_Realisasi Kontrak Kampar 31 agustus 2009 8" xfId="4906"/>
    <cellStyle name="t_BQ ACP ALUCOBOND ECO_OPT_RAPP_1_Realisasi Kontrak Kampar 31 agustus 2009 8 2" xfId="4905"/>
    <cellStyle name="t_BQ ACP ALUCOBOND ECO_OPT_RAPP_1_Realisasi Kontrak Kampar 31 agustus 2009 9" xfId="4904"/>
    <cellStyle name="t_BQ ALUM_ALT#1" xfId="4903"/>
    <cellStyle name="t_BQ ALUM_ALT#1 2" xfId="4902"/>
    <cellStyle name="t_BQ ALUM_ALT#1 2 2" xfId="4901"/>
    <cellStyle name="t_BQ ALUM_ALT#1 2 2 2" xfId="4900"/>
    <cellStyle name="t_BQ ALUM_ALT#1 2 3" xfId="4899"/>
    <cellStyle name="t_BQ ALUM_ALT#1 3" xfId="4898"/>
    <cellStyle name="t_BQ ALUM_ALT#1 3 2" xfId="4897"/>
    <cellStyle name="t_BQ ALUM_ALT#1 3 2 2" xfId="4896"/>
    <cellStyle name="t_BQ ALUM_ALT#1 3 3" xfId="4895"/>
    <cellStyle name="t_BQ ALUM_ALT#1 4" xfId="4894"/>
    <cellStyle name="t_BQ ALUM_ALT#1 4 2" xfId="4893"/>
    <cellStyle name="t_BQ ALUM_ALT#1 4 2 2" xfId="4892"/>
    <cellStyle name="t_BQ ALUM_ALT#1 4 3" xfId="4891"/>
    <cellStyle name="t_BQ ALUM_ALT#1 5" xfId="4890"/>
    <cellStyle name="t_BQ ALUM_ALT#1 5 2" xfId="4889"/>
    <cellStyle name="t_BQ ALUM_ALT#1 5 2 2" xfId="4888"/>
    <cellStyle name="t_BQ ALUM_ALT#1 5 3" xfId="4887"/>
    <cellStyle name="t_BQ ALUM_ALT#1 6" xfId="4886"/>
    <cellStyle name="t_BQ ALUM_ALT#1 6 2" xfId="4885"/>
    <cellStyle name="t_BQ ALUM_ALT#1 6 2 2" xfId="4884"/>
    <cellStyle name="t_BQ ALUM_ALT#1 6 3" xfId="4883"/>
    <cellStyle name="t_BQ ALUM_ALT#1 7" xfId="4882"/>
    <cellStyle name="t_BQ ALUM_ALT#1 7 2" xfId="4881"/>
    <cellStyle name="t_BQ ALUM_ALT#1 7 2 2" xfId="4880"/>
    <cellStyle name="t_BQ ALUM_ALT#1 7 3" xfId="4879"/>
    <cellStyle name="t_BQ ALUM_ALT#1 8" xfId="4878"/>
    <cellStyle name="t_BQ ALUM_ALT#1 8 2" xfId="4877"/>
    <cellStyle name="t_BQ ALUM_ALT#1 9" xfId="4876"/>
    <cellStyle name="t_Bq Ars Cargo" xfId="4875"/>
    <cellStyle name="t_Bq Ars Cargo 2" xfId="4874"/>
    <cellStyle name="t_Bq Ars Cargo 2 2" xfId="4873"/>
    <cellStyle name="t_Bq Ars Cargo 2 2 2" xfId="4872"/>
    <cellStyle name="t_Bq Ars Cargo 2 3" xfId="4871"/>
    <cellStyle name="t_Bq Ars Cargo 3" xfId="4870"/>
    <cellStyle name="t_Bq Ars Cargo 3 2" xfId="4869"/>
    <cellStyle name="t_Bq Ars Cargo 3 2 2" xfId="4868"/>
    <cellStyle name="t_Bq Ars Cargo 3 3" xfId="4867"/>
    <cellStyle name="t_Bq Ars Cargo 4" xfId="4866"/>
    <cellStyle name="t_Bq Ars Cargo 4 2" xfId="4865"/>
    <cellStyle name="t_Bq Ars Cargo 4 2 2" xfId="4864"/>
    <cellStyle name="t_Bq Ars Cargo 4 3" xfId="4863"/>
    <cellStyle name="t_Bq Ars Cargo 5" xfId="4862"/>
    <cellStyle name="t_Bq Ars Cargo 5 2" xfId="4861"/>
    <cellStyle name="t_Bq Ars Cargo 5 2 2" xfId="4860"/>
    <cellStyle name="t_Bq Ars Cargo 5 3" xfId="4859"/>
    <cellStyle name="t_Bq Ars Cargo 6" xfId="4858"/>
    <cellStyle name="t_Bq Ars Cargo 6 2" xfId="4857"/>
    <cellStyle name="t_Bq Ars Cargo 6 2 2" xfId="4856"/>
    <cellStyle name="t_Bq Ars Cargo 6 3" xfId="4855"/>
    <cellStyle name="t_Bq Ars Cargo 7" xfId="4854"/>
    <cellStyle name="t_Bq Ars Cargo 7 2" xfId="4853"/>
    <cellStyle name="t_Bq Ars Cargo 7 2 2" xfId="4852"/>
    <cellStyle name="t_Bq Ars Cargo 7 3" xfId="4851"/>
    <cellStyle name="t_Bq Ars Cargo 8" xfId="4850"/>
    <cellStyle name="t_Bq Ars Cargo 8 2" xfId="4849"/>
    <cellStyle name="t_Bq Ars Cargo 9" xfId="4848"/>
    <cellStyle name="t_Bq Ars Cargo_Realisasi Kontrak Kampar 31 agustus 2009" xfId="4847"/>
    <cellStyle name="t_Bq Ars Cargo_Realisasi Kontrak Kampar 31 agustus 2009 2" xfId="4846"/>
    <cellStyle name="t_Bq Ars Cargo_Realisasi Kontrak Kampar 31 agustus 2009 2 2" xfId="4845"/>
    <cellStyle name="t_Bq Ars Cargo_Realisasi Kontrak Kampar 31 agustus 2009 2 2 2" xfId="4844"/>
    <cellStyle name="t_Bq Ars Cargo_Realisasi Kontrak Kampar 31 agustus 2009 2 3" xfId="4843"/>
    <cellStyle name="t_Bq Ars Cargo_Realisasi Kontrak Kampar 31 agustus 2009 3" xfId="4842"/>
    <cellStyle name="t_Bq Ars Cargo_Realisasi Kontrak Kampar 31 agustus 2009 3 2" xfId="4841"/>
    <cellStyle name="t_Bq Ars Cargo_Realisasi Kontrak Kampar 31 agustus 2009 3 2 2" xfId="4840"/>
    <cellStyle name="t_Bq Ars Cargo_Realisasi Kontrak Kampar 31 agustus 2009 3 3" xfId="4839"/>
    <cellStyle name="t_Bq Ars Cargo_Realisasi Kontrak Kampar 31 agustus 2009 4" xfId="4838"/>
    <cellStyle name="t_Bq Ars Cargo_Realisasi Kontrak Kampar 31 agustus 2009 4 2" xfId="4837"/>
    <cellStyle name="t_Bq Ars Cargo_Realisasi Kontrak Kampar 31 agustus 2009 4 2 2" xfId="4836"/>
    <cellStyle name="t_Bq Ars Cargo_Realisasi Kontrak Kampar 31 agustus 2009 4 3" xfId="4835"/>
    <cellStyle name="t_Bq Ars Cargo_Realisasi Kontrak Kampar 31 agustus 2009 5" xfId="4834"/>
    <cellStyle name="t_Bq Ars Cargo_Realisasi Kontrak Kampar 31 agustus 2009 5 2" xfId="4833"/>
    <cellStyle name="t_Bq Ars Cargo_Realisasi Kontrak Kampar 31 agustus 2009 5 2 2" xfId="4832"/>
    <cellStyle name="t_Bq Ars Cargo_Realisasi Kontrak Kampar 31 agustus 2009 5 3" xfId="4831"/>
    <cellStyle name="t_Bq Ars Cargo_Realisasi Kontrak Kampar 31 agustus 2009 6" xfId="4830"/>
    <cellStyle name="t_Bq Ars Cargo_Realisasi Kontrak Kampar 31 agustus 2009 6 2" xfId="4829"/>
    <cellStyle name="t_Bq Ars Cargo_Realisasi Kontrak Kampar 31 agustus 2009 6 2 2" xfId="4828"/>
    <cellStyle name="t_Bq Ars Cargo_Realisasi Kontrak Kampar 31 agustus 2009 6 3" xfId="4827"/>
    <cellStyle name="t_Bq Ars Cargo_Realisasi Kontrak Kampar 31 agustus 2009 7" xfId="4826"/>
    <cellStyle name="t_Bq Ars Cargo_Realisasi Kontrak Kampar 31 agustus 2009 7 2" xfId="4825"/>
    <cellStyle name="t_Bq Ars Cargo_Realisasi Kontrak Kampar 31 agustus 2009 7 2 2" xfId="4824"/>
    <cellStyle name="t_Bq Ars Cargo_Realisasi Kontrak Kampar 31 agustus 2009 7 3" xfId="4823"/>
    <cellStyle name="t_Bq Ars Cargo_Realisasi Kontrak Kampar 31 agustus 2009 8" xfId="4822"/>
    <cellStyle name="t_Bq Ars Cargo_Realisasi Kontrak Kampar 31 agustus 2009 8 2" xfId="4821"/>
    <cellStyle name="t_Bq Ars Cargo_Realisasi Kontrak Kampar 31 agustus 2009 9" xfId="4820"/>
    <cellStyle name="t_Bq Ars Terminal Cargo" xfId="4819"/>
    <cellStyle name="t_Bq Ars Terminal Cargo 2" xfId="4818"/>
    <cellStyle name="t_Bq Ars Terminal Cargo 2 2" xfId="4817"/>
    <cellStyle name="t_Bq Ars Terminal Cargo 2 2 2" xfId="4816"/>
    <cellStyle name="t_Bq Ars Terminal Cargo 2 3" xfId="4815"/>
    <cellStyle name="t_Bq Ars Terminal Cargo 3" xfId="4814"/>
    <cellStyle name="t_Bq Ars Terminal Cargo 3 2" xfId="4813"/>
    <cellStyle name="t_Bq Ars Terminal Cargo 3 2 2" xfId="4812"/>
    <cellStyle name="t_Bq Ars Terminal Cargo 3 3" xfId="4811"/>
    <cellStyle name="t_Bq Ars Terminal Cargo 4" xfId="4810"/>
    <cellStyle name="t_Bq Ars Terminal Cargo 4 2" xfId="4809"/>
    <cellStyle name="t_Bq Ars Terminal Cargo 4 2 2" xfId="4808"/>
    <cellStyle name="t_Bq Ars Terminal Cargo 4 3" xfId="4807"/>
    <cellStyle name="t_Bq Ars Terminal Cargo 5" xfId="4806"/>
    <cellStyle name="t_Bq Ars Terminal Cargo 5 2" xfId="4805"/>
    <cellStyle name="t_Bq Ars Terminal Cargo 5 2 2" xfId="4804"/>
    <cellStyle name="t_Bq Ars Terminal Cargo 5 3" xfId="4803"/>
    <cellStyle name="t_Bq Ars Terminal Cargo 6" xfId="4802"/>
    <cellStyle name="t_Bq Ars Terminal Cargo 6 2" xfId="4801"/>
    <cellStyle name="t_Bq Ars Terminal Cargo 6 2 2" xfId="4800"/>
    <cellStyle name="t_Bq Ars Terminal Cargo 6 3" xfId="4799"/>
    <cellStyle name="t_Bq Ars Terminal Cargo 7" xfId="4798"/>
    <cellStyle name="t_Bq Ars Terminal Cargo 7 2" xfId="4797"/>
    <cellStyle name="t_Bq Ars Terminal Cargo 7 2 2" xfId="4796"/>
    <cellStyle name="t_Bq Ars Terminal Cargo 7 3" xfId="4795"/>
    <cellStyle name="t_Bq Ars Terminal Cargo 8" xfId="4794"/>
    <cellStyle name="t_Bq Ars Terminal Cargo 8 2" xfId="4793"/>
    <cellStyle name="t_Bq Ars Terminal Cargo 9" xfId="4792"/>
    <cellStyle name="t_Bq Ars Terminal Cargo_Realisasi Kontrak Kampar 31 agustus 2009" xfId="4791"/>
    <cellStyle name="t_Bq Ars Terminal Cargo_Realisasi Kontrak Kampar 31 agustus 2009 2" xfId="4790"/>
    <cellStyle name="t_Bq Ars Terminal Cargo_Realisasi Kontrak Kampar 31 agustus 2009 2 2" xfId="4789"/>
    <cellStyle name="t_Bq Ars Terminal Cargo_Realisasi Kontrak Kampar 31 agustus 2009 2 2 2" xfId="4788"/>
    <cellStyle name="t_Bq Ars Terminal Cargo_Realisasi Kontrak Kampar 31 agustus 2009 2 3" xfId="4787"/>
    <cellStyle name="t_Bq Ars Terminal Cargo_Realisasi Kontrak Kampar 31 agustus 2009 3" xfId="4786"/>
    <cellStyle name="t_Bq Ars Terminal Cargo_Realisasi Kontrak Kampar 31 agustus 2009 3 2" xfId="4785"/>
    <cellStyle name="t_Bq Ars Terminal Cargo_Realisasi Kontrak Kampar 31 agustus 2009 3 2 2" xfId="4784"/>
    <cellStyle name="t_Bq Ars Terminal Cargo_Realisasi Kontrak Kampar 31 agustus 2009 3 3" xfId="4783"/>
    <cellStyle name="t_Bq Ars Terminal Cargo_Realisasi Kontrak Kampar 31 agustus 2009 4" xfId="4782"/>
    <cellStyle name="t_Bq Ars Terminal Cargo_Realisasi Kontrak Kampar 31 agustus 2009 4 2" xfId="4781"/>
    <cellStyle name="t_Bq Ars Terminal Cargo_Realisasi Kontrak Kampar 31 agustus 2009 4 2 2" xfId="4780"/>
    <cellStyle name="t_Bq Ars Terminal Cargo_Realisasi Kontrak Kampar 31 agustus 2009 4 3" xfId="4779"/>
    <cellStyle name="t_Bq Ars Terminal Cargo_Realisasi Kontrak Kampar 31 agustus 2009 5" xfId="4778"/>
    <cellStyle name="t_Bq Ars Terminal Cargo_Realisasi Kontrak Kampar 31 agustus 2009 5 2" xfId="4777"/>
    <cellStyle name="t_Bq Ars Terminal Cargo_Realisasi Kontrak Kampar 31 agustus 2009 5 2 2" xfId="4776"/>
    <cellStyle name="t_Bq Ars Terminal Cargo_Realisasi Kontrak Kampar 31 agustus 2009 5 3" xfId="4775"/>
    <cellStyle name="t_Bq Ars Terminal Cargo_Realisasi Kontrak Kampar 31 agustus 2009 6" xfId="4774"/>
    <cellStyle name="t_Bq Ars Terminal Cargo_Realisasi Kontrak Kampar 31 agustus 2009 6 2" xfId="4773"/>
    <cellStyle name="t_Bq Ars Terminal Cargo_Realisasi Kontrak Kampar 31 agustus 2009 6 2 2" xfId="4772"/>
    <cellStyle name="t_Bq Ars Terminal Cargo_Realisasi Kontrak Kampar 31 agustus 2009 6 3" xfId="4771"/>
    <cellStyle name="t_Bq Ars Terminal Cargo_Realisasi Kontrak Kampar 31 agustus 2009 7" xfId="4770"/>
    <cellStyle name="t_Bq Ars Terminal Cargo_Realisasi Kontrak Kampar 31 agustus 2009 7 2" xfId="4769"/>
    <cellStyle name="t_Bq Ars Terminal Cargo_Realisasi Kontrak Kampar 31 agustus 2009 7 2 2" xfId="4768"/>
    <cellStyle name="t_Bq Ars Terminal Cargo_Realisasi Kontrak Kampar 31 agustus 2009 7 3" xfId="4767"/>
    <cellStyle name="t_Bq Ars Terminal Cargo_Realisasi Kontrak Kampar 31 agustus 2009 8" xfId="4766"/>
    <cellStyle name="t_Bq Ars Terminal Cargo_Realisasi Kontrak Kampar 31 agustus 2009 8 2" xfId="4765"/>
    <cellStyle name="t_Bq Ars Terminal Cargo_Realisasi Kontrak Kampar 31 agustus 2009 9" xfId="4764"/>
    <cellStyle name="t_BQ Bekasi PM revisi #1" xfId="4763"/>
    <cellStyle name="t_BQ Bekasi PM revisi #1 2" xfId="4762"/>
    <cellStyle name="t_BQ Bekasi PM revisi #1 2 2" xfId="4761"/>
    <cellStyle name="t_BQ Bekasi PM revisi #1 2 2 2" xfId="4760"/>
    <cellStyle name="t_BQ Bekasi PM revisi #1 2 3" xfId="4759"/>
    <cellStyle name="t_BQ Bekasi PM revisi #1 3" xfId="4758"/>
    <cellStyle name="t_BQ Bekasi PM revisi #1 3 2" xfId="4757"/>
    <cellStyle name="t_BQ Bekasi PM revisi #1 3 2 2" xfId="4756"/>
    <cellStyle name="t_BQ Bekasi PM revisi #1 3 3" xfId="4755"/>
    <cellStyle name="t_BQ Bekasi PM revisi #1 4" xfId="4754"/>
    <cellStyle name="t_BQ Bekasi PM revisi #1 4 2" xfId="4753"/>
    <cellStyle name="t_BQ Bekasi PM revisi #1 4 2 2" xfId="4752"/>
    <cellStyle name="t_BQ Bekasi PM revisi #1 4 3" xfId="4751"/>
    <cellStyle name="t_BQ Bekasi PM revisi #1 5" xfId="4750"/>
    <cellStyle name="t_BQ Bekasi PM revisi #1 5 2" xfId="4749"/>
    <cellStyle name="t_BQ Bekasi PM revisi #1 5 2 2" xfId="4748"/>
    <cellStyle name="t_BQ Bekasi PM revisi #1 5 3" xfId="4747"/>
    <cellStyle name="t_BQ Bekasi PM revisi #1 6" xfId="4746"/>
    <cellStyle name="t_BQ Bekasi PM revisi #1 6 2" xfId="4745"/>
    <cellStyle name="t_BQ Bekasi PM revisi #1 6 2 2" xfId="4744"/>
    <cellStyle name="t_BQ Bekasi PM revisi #1 6 3" xfId="4743"/>
    <cellStyle name="t_BQ Bekasi PM revisi #1 7" xfId="4742"/>
    <cellStyle name="t_BQ Bekasi PM revisi #1 7 2" xfId="4741"/>
    <cellStyle name="t_BQ Bekasi PM revisi #1 7 2 2" xfId="4740"/>
    <cellStyle name="t_BQ Bekasi PM revisi #1 7 3" xfId="4739"/>
    <cellStyle name="t_BQ Bekasi PM revisi #1 8" xfId="4738"/>
    <cellStyle name="t_BQ Bekasi PM revisi #1 8 2" xfId="4737"/>
    <cellStyle name="t_BQ Bekasi PM revisi #1 9" xfId="4736"/>
    <cellStyle name="t_BQ Bekasi PM revisi #1_Realisasi Kontrak Kampar 31 agustus 2009" xfId="4735"/>
    <cellStyle name="t_BQ Bekasi PM revisi #1_Realisasi Kontrak Kampar 31 agustus 2009 2" xfId="4734"/>
    <cellStyle name="t_BQ Bekasi PM revisi #1_Realisasi Kontrak Kampar 31 agustus 2009 2 2" xfId="4733"/>
    <cellStyle name="t_BQ Bekasi PM revisi #1_Realisasi Kontrak Kampar 31 agustus 2009 2 2 2" xfId="4732"/>
    <cellStyle name="t_BQ Bekasi PM revisi #1_Realisasi Kontrak Kampar 31 agustus 2009 2 3" xfId="4731"/>
    <cellStyle name="t_BQ Bekasi PM revisi #1_Realisasi Kontrak Kampar 31 agustus 2009 3" xfId="4730"/>
    <cellStyle name="t_BQ Bekasi PM revisi #1_Realisasi Kontrak Kampar 31 agustus 2009 3 2" xfId="4729"/>
    <cellStyle name="t_BQ Bekasi PM revisi #1_Realisasi Kontrak Kampar 31 agustus 2009 3 2 2" xfId="4728"/>
    <cellStyle name="t_BQ Bekasi PM revisi #1_Realisasi Kontrak Kampar 31 agustus 2009 3 3" xfId="4727"/>
    <cellStyle name="t_BQ Bekasi PM revisi #1_Realisasi Kontrak Kampar 31 agustus 2009 4" xfId="4726"/>
    <cellStyle name="t_BQ Bekasi PM revisi #1_Realisasi Kontrak Kampar 31 agustus 2009 4 2" xfId="4725"/>
    <cellStyle name="t_BQ Bekasi PM revisi #1_Realisasi Kontrak Kampar 31 agustus 2009 4 2 2" xfId="4724"/>
    <cellStyle name="t_BQ Bekasi PM revisi #1_Realisasi Kontrak Kampar 31 agustus 2009 4 3" xfId="4723"/>
    <cellStyle name="t_BQ Bekasi PM revisi #1_Realisasi Kontrak Kampar 31 agustus 2009 5" xfId="4722"/>
    <cellStyle name="t_BQ Bekasi PM revisi #1_Realisasi Kontrak Kampar 31 agustus 2009 5 2" xfId="4721"/>
    <cellStyle name="t_BQ Bekasi PM revisi #1_Realisasi Kontrak Kampar 31 agustus 2009 5 2 2" xfId="4720"/>
    <cellStyle name="t_BQ Bekasi PM revisi #1_Realisasi Kontrak Kampar 31 agustus 2009 5 3" xfId="4719"/>
    <cellStyle name="t_BQ Bekasi PM revisi #1_Realisasi Kontrak Kampar 31 agustus 2009 6" xfId="4718"/>
    <cellStyle name="t_BQ Bekasi PM revisi #1_Realisasi Kontrak Kampar 31 agustus 2009 6 2" xfId="4717"/>
    <cellStyle name="t_BQ Bekasi PM revisi #1_Realisasi Kontrak Kampar 31 agustus 2009 6 2 2" xfId="4716"/>
    <cellStyle name="t_BQ Bekasi PM revisi #1_Realisasi Kontrak Kampar 31 agustus 2009 6 3" xfId="4715"/>
    <cellStyle name="t_BQ Bekasi PM revisi #1_Realisasi Kontrak Kampar 31 agustus 2009 7" xfId="4714"/>
    <cellStyle name="t_BQ Bekasi PM revisi #1_Realisasi Kontrak Kampar 31 agustus 2009 7 2" xfId="4713"/>
    <cellStyle name="t_BQ Bekasi PM revisi #1_Realisasi Kontrak Kampar 31 agustus 2009 7 2 2" xfId="4712"/>
    <cellStyle name="t_BQ Bekasi PM revisi #1_Realisasi Kontrak Kampar 31 agustus 2009 7 3" xfId="4711"/>
    <cellStyle name="t_BQ Bekasi PM revisi #1_Realisasi Kontrak Kampar 31 agustus 2009 8" xfId="4710"/>
    <cellStyle name="t_BQ Bekasi PM revisi #1_Realisasi Kontrak Kampar 31 agustus 2009 8 2" xfId="4709"/>
    <cellStyle name="t_BQ Bekasi PM revisi #1_Realisasi Kontrak Kampar 31 agustus 2009 9" xfId="4708"/>
    <cellStyle name="t_BQ Facade Astra" xfId="4707"/>
    <cellStyle name="t_BQ Facade Astra 2" xfId="4706"/>
    <cellStyle name="t_BQ Facade Astra 2 2" xfId="4705"/>
    <cellStyle name="t_BQ Facade Astra 2 2 2" xfId="4704"/>
    <cellStyle name="t_BQ Facade Astra 2 3" xfId="4703"/>
    <cellStyle name="t_BQ Facade Astra 3" xfId="4702"/>
    <cellStyle name="t_BQ Facade Astra 3 2" xfId="4701"/>
    <cellStyle name="t_BQ Facade Astra 3 2 2" xfId="4700"/>
    <cellStyle name="t_BQ Facade Astra 3 3" xfId="4699"/>
    <cellStyle name="t_BQ Facade Astra 4" xfId="4698"/>
    <cellStyle name="t_BQ Facade Astra 4 2" xfId="4697"/>
    <cellStyle name="t_BQ Facade Astra 4 2 2" xfId="4696"/>
    <cellStyle name="t_BQ Facade Astra 4 3" xfId="4695"/>
    <cellStyle name="t_BQ Facade Astra 5" xfId="4694"/>
    <cellStyle name="t_BQ Facade Astra 5 2" xfId="4693"/>
    <cellStyle name="t_BQ Facade Astra 5 2 2" xfId="4692"/>
    <cellStyle name="t_BQ Facade Astra 5 3" xfId="4691"/>
    <cellStyle name="t_BQ Facade Astra 6" xfId="4690"/>
    <cellStyle name="t_BQ Facade Astra 6 2" xfId="4689"/>
    <cellStyle name="t_BQ Facade Astra 6 2 2" xfId="4688"/>
    <cellStyle name="t_BQ Facade Astra 6 3" xfId="4687"/>
    <cellStyle name="t_BQ Facade Astra 7" xfId="4686"/>
    <cellStyle name="t_BQ Facade Astra 7 2" xfId="4685"/>
    <cellStyle name="t_BQ Facade Astra 7 2 2" xfId="4684"/>
    <cellStyle name="t_BQ Facade Astra 7 3" xfId="4683"/>
    <cellStyle name="t_BQ Facade Astra 8" xfId="4682"/>
    <cellStyle name="t_BQ Facade Astra 8 2" xfId="4681"/>
    <cellStyle name="t_BQ Facade Astra 9" xfId="4680"/>
    <cellStyle name="t_BQ FACADE_2009" xfId="4679"/>
    <cellStyle name="t_BQ FACADE_2009 2" xfId="4678"/>
    <cellStyle name="t_BQ FACADE_2009 2 2" xfId="4677"/>
    <cellStyle name="t_BQ FACADE_2009 2 2 2" xfId="4676"/>
    <cellStyle name="t_BQ FACADE_2009 2 3" xfId="4675"/>
    <cellStyle name="t_BQ FACADE_2009 3" xfId="4674"/>
    <cellStyle name="t_BQ FACADE_2009 3 2" xfId="4673"/>
    <cellStyle name="t_BQ FACADE_2009 3 2 2" xfId="4672"/>
    <cellStyle name="t_BQ FACADE_2009 3 3" xfId="4671"/>
    <cellStyle name="t_BQ FACADE_2009 4" xfId="4670"/>
    <cellStyle name="t_BQ FACADE_2009 4 2" xfId="4669"/>
    <cellStyle name="t_BQ FACADE_2009 4 2 2" xfId="4668"/>
    <cellStyle name="t_BQ FACADE_2009 4 3" xfId="4667"/>
    <cellStyle name="t_BQ FACADE_2009 5" xfId="4666"/>
    <cellStyle name="t_BQ FACADE_2009 5 2" xfId="4665"/>
    <cellStyle name="t_BQ FACADE_2009 5 2 2" xfId="4664"/>
    <cellStyle name="t_BQ FACADE_2009 5 3" xfId="4663"/>
    <cellStyle name="t_BQ FACADE_2009 6" xfId="4662"/>
    <cellStyle name="t_BQ FACADE_2009 6 2" xfId="4661"/>
    <cellStyle name="t_BQ FACADE_2009 6 2 2" xfId="4660"/>
    <cellStyle name="t_BQ FACADE_2009 6 3" xfId="4659"/>
    <cellStyle name="t_BQ FACADE_2009 7" xfId="4658"/>
    <cellStyle name="t_BQ FACADE_2009 7 2" xfId="4657"/>
    <cellStyle name="t_BQ FACADE_2009 7 2 2" xfId="4656"/>
    <cellStyle name="t_BQ FACADE_2009 7 3" xfId="4655"/>
    <cellStyle name="t_BQ FACADE_2009 8" xfId="4654"/>
    <cellStyle name="t_BQ FACADE_2009 8 2" xfId="4653"/>
    <cellStyle name="t_BQ FACADE_2009 9" xfId="4652"/>
    <cellStyle name="t_BQ FACADE_2009_Realisasi Kontrak Kampar 31 agustus 2009" xfId="4651"/>
    <cellStyle name="t_BQ FACADE_2009_Realisasi Kontrak Kampar 31 agustus 2009 2" xfId="4650"/>
    <cellStyle name="t_BQ FACADE_2009_Realisasi Kontrak Kampar 31 agustus 2009 2 2" xfId="4649"/>
    <cellStyle name="t_BQ FACADE_2009_Realisasi Kontrak Kampar 31 agustus 2009 2 2 2" xfId="4648"/>
    <cellStyle name="t_BQ FACADE_2009_Realisasi Kontrak Kampar 31 agustus 2009 2 3" xfId="4647"/>
    <cellStyle name="t_BQ FACADE_2009_Realisasi Kontrak Kampar 31 agustus 2009 3" xfId="4646"/>
    <cellStyle name="t_BQ FACADE_2009_Realisasi Kontrak Kampar 31 agustus 2009 3 2" xfId="4645"/>
    <cellStyle name="t_BQ FACADE_2009_Realisasi Kontrak Kampar 31 agustus 2009 3 2 2" xfId="4644"/>
    <cellStyle name="t_BQ FACADE_2009_Realisasi Kontrak Kampar 31 agustus 2009 3 3" xfId="4643"/>
    <cellStyle name="t_BQ FACADE_2009_Realisasi Kontrak Kampar 31 agustus 2009 4" xfId="4642"/>
    <cellStyle name="t_BQ FACADE_2009_Realisasi Kontrak Kampar 31 agustus 2009 4 2" xfId="4641"/>
    <cellStyle name="t_BQ FACADE_2009_Realisasi Kontrak Kampar 31 agustus 2009 4 2 2" xfId="4640"/>
    <cellStyle name="t_BQ FACADE_2009_Realisasi Kontrak Kampar 31 agustus 2009 4 3" xfId="4639"/>
    <cellStyle name="t_BQ FACADE_2009_Realisasi Kontrak Kampar 31 agustus 2009 5" xfId="4638"/>
    <cellStyle name="t_BQ FACADE_2009_Realisasi Kontrak Kampar 31 agustus 2009 5 2" xfId="4637"/>
    <cellStyle name="t_BQ FACADE_2009_Realisasi Kontrak Kampar 31 agustus 2009 5 2 2" xfId="4636"/>
    <cellStyle name="t_BQ FACADE_2009_Realisasi Kontrak Kampar 31 agustus 2009 5 3" xfId="4635"/>
    <cellStyle name="t_BQ FACADE_2009_Realisasi Kontrak Kampar 31 agustus 2009 6" xfId="4634"/>
    <cellStyle name="t_BQ FACADE_2009_Realisasi Kontrak Kampar 31 agustus 2009 6 2" xfId="4633"/>
    <cellStyle name="t_BQ FACADE_2009_Realisasi Kontrak Kampar 31 agustus 2009 6 2 2" xfId="4632"/>
    <cellStyle name="t_BQ FACADE_2009_Realisasi Kontrak Kampar 31 agustus 2009 6 3" xfId="4631"/>
    <cellStyle name="t_BQ FACADE_2009_Realisasi Kontrak Kampar 31 agustus 2009 7" xfId="4630"/>
    <cellStyle name="t_BQ FACADE_2009_Realisasi Kontrak Kampar 31 agustus 2009 7 2" xfId="4629"/>
    <cellStyle name="t_BQ FACADE_2009_Realisasi Kontrak Kampar 31 agustus 2009 7 2 2" xfId="4628"/>
    <cellStyle name="t_BQ FACADE_2009_Realisasi Kontrak Kampar 31 agustus 2009 7 3" xfId="4627"/>
    <cellStyle name="t_BQ FACADE_2009_Realisasi Kontrak Kampar 31 agustus 2009 8" xfId="4626"/>
    <cellStyle name="t_BQ FACADE_2009_Realisasi Kontrak Kampar 31 agustus 2009 8 2" xfId="4625"/>
    <cellStyle name="t_BQ FACADE_2009_Realisasi Kontrak Kampar 31 agustus 2009 9" xfId="4624"/>
    <cellStyle name="t_BQ FACADE_Rev#2" xfId="4623"/>
    <cellStyle name="t_BQ FACADE_Rev#2 2" xfId="4622"/>
    <cellStyle name="t_BQ FACADE_Rev#2 2 2" xfId="4621"/>
    <cellStyle name="t_BQ FACADE_Rev#2 2 2 2" xfId="4620"/>
    <cellStyle name="t_BQ FACADE_Rev#2 2 3" xfId="4619"/>
    <cellStyle name="t_BQ FACADE_Rev#2 3" xfId="4618"/>
    <cellStyle name="t_BQ FACADE_Rev#2 3 2" xfId="4617"/>
    <cellStyle name="t_BQ FACADE_Rev#2 3 2 2" xfId="4616"/>
    <cellStyle name="t_BQ FACADE_Rev#2 3 3" xfId="4615"/>
    <cellStyle name="t_BQ FACADE_Rev#2 4" xfId="4614"/>
    <cellStyle name="t_BQ FACADE_Rev#2 4 2" xfId="4613"/>
    <cellStyle name="t_BQ FACADE_Rev#2 4 2 2" xfId="4612"/>
    <cellStyle name="t_BQ FACADE_Rev#2 4 3" xfId="4611"/>
    <cellStyle name="t_BQ FACADE_Rev#2 5" xfId="4610"/>
    <cellStyle name="t_BQ FACADE_Rev#2 5 2" xfId="4609"/>
    <cellStyle name="t_BQ FACADE_Rev#2 5 2 2" xfId="4608"/>
    <cellStyle name="t_BQ FACADE_Rev#2 5 3" xfId="4607"/>
    <cellStyle name="t_BQ FACADE_Rev#2 6" xfId="4606"/>
    <cellStyle name="t_BQ FACADE_Rev#2 6 2" xfId="4605"/>
    <cellStyle name="t_BQ FACADE_Rev#2 6 2 2" xfId="4604"/>
    <cellStyle name="t_BQ FACADE_Rev#2 6 3" xfId="4603"/>
    <cellStyle name="t_BQ FACADE_Rev#2 7" xfId="4602"/>
    <cellStyle name="t_BQ FACADE_Rev#2 7 2" xfId="4601"/>
    <cellStyle name="t_BQ FACADE_Rev#2 7 2 2" xfId="4600"/>
    <cellStyle name="t_BQ FACADE_Rev#2 7 3" xfId="4599"/>
    <cellStyle name="t_BQ FACADE_Rev#2 8" xfId="4598"/>
    <cellStyle name="t_BQ FACADE_Rev#2 8 2" xfId="4597"/>
    <cellStyle name="t_BQ FACADE_Rev#2 9" xfId="4596"/>
    <cellStyle name="t_BQ FACADE_Rev#2_Realisasi Kontrak Kampar 31 agustus 2009" xfId="4595"/>
    <cellStyle name="t_BQ FACADE_Rev#2_Realisasi Kontrak Kampar 31 agustus 2009 2" xfId="4594"/>
    <cellStyle name="t_BQ FACADE_Rev#2_Realisasi Kontrak Kampar 31 agustus 2009 2 2" xfId="4593"/>
    <cellStyle name="t_BQ FACADE_Rev#2_Realisasi Kontrak Kampar 31 agustus 2009 2 2 2" xfId="4592"/>
    <cellStyle name="t_BQ FACADE_Rev#2_Realisasi Kontrak Kampar 31 agustus 2009 2 3" xfId="4591"/>
    <cellStyle name="t_BQ FACADE_Rev#2_Realisasi Kontrak Kampar 31 agustus 2009 3" xfId="4590"/>
    <cellStyle name="t_BQ FACADE_Rev#2_Realisasi Kontrak Kampar 31 agustus 2009 3 2" xfId="4589"/>
    <cellStyle name="t_BQ FACADE_Rev#2_Realisasi Kontrak Kampar 31 agustus 2009 3 2 2" xfId="4588"/>
    <cellStyle name="t_BQ FACADE_Rev#2_Realisasi Kontrak Kampar 31 agustus 2009 3 3" xfId="4587"/>
    <cellStyle name="t_BQ FACADE_Rev#2_Realisasi Kontrak Kampar 31 agustus 2009 4" xfId="4586"/>
    <cellStyle name="t_BQ FACADE_Rev#2_Realisasi Kontrak Kampar 31 agustus 2009 4 2" xfId="4585"/>
    <cellStyle name="t_BQ FACADE_Rev#2_Realisasi Kontrak Kampar 31 agustus 2009 4 2 2" xfId="4584"/>
    <cellStyle name="t_BQ FACADE_Rev#2_Realisasi Kontrak Kampar 31 agustus 2009 4 3" xfId="4583"/>
    <cellStyle name="t_BQ FACADE_Rev#2_Realisasi Kontrak Kampar 31 agustus 2009 5" xfId="4582"/>
    <cellStyle name="t_BQ FACADE_Rev#2_Realisasi Kontrak Kampar 31 agustus 2009 5 2" xfId="4581"/>
    <cellStyle name="t_BQ FACADE_Rev#2_Realisasi Kontrak Kampar 31 agustus 2009 5 2 2" xfId="4580"/>
    <cellStyle name="t_BQ FACADE_Rev#2_Realisasi Kontrak Kampar 31 agustus 2009 5 3" xfId="4579"/>
    <cellStyle name="t_BQ FACADE_Rev#2_Realisasi Kontrak Kampar 31 agustus 2009 6" xfId="4578"/>
    <cellStyle name="t_BQ FACADE_Rev#2_Realisasi Kontrak Kampar 31 agustus 2009 6 2" xfId="4577"/>
    <cellStyle name="t_BQ FACADE_Rev#2_Realisasi Kontrak Kampar 31 agustus 2009 6 2 2" xfId="4576"/>
    <cellStyle name="t_BQ FACADE_Rev#2_Realisasi Kontrak Kampar 31 agustus 2009 6 3" xfId="4575"/>
    <cellStyle name="t_BQ FACADE_Rev#2_Realisasi Kontrak Kampar 31 agustus 2009 7" xfId="4574"/>
    <cellStyle name="t_BQ FACADE_Rev#2_Realisasi Kontrak Kampar 31 agustus 2009 7 2" xfId="4573"/>
    <cellStyle name="t_BQ FACADE_Rev#2_Realisasi Kontrak Kampar 31 agustus 2009 7 2 2" xfId="4572"/>
    <cellStyle name="t_BQ FACADE_Rev#2_Realisasi Kontrak Kampar 31 agustus 2009 7 3" xfId="4571"/>
    <cellStyle name="t_BQ FACADE_Rev#2_Realisasi Kontrak Kampar 31 agustus 2009 8" xfId="4570"/>
    <cellStyle name="t_BQ FACADE_Rev#2_Realisasi Kontrak Kampar 31 agustus 2009 8 2" xfId="4569"/>
    <cellStyle name="t_BQ FACADE_Rev#2_Realisasi Kontrak Kampar 31 agustus 2009 9" xfId="4568"/>
    <cellStyle name="t_bq gor bangkinang" xfId="4567"/>
    <cellStyle name="t_bq gor bangkinang 2" xfId="4566"/>
    <cellStyle name="t_bq gor bangkinang 2 2" xfId="4565"/>
    <cellStyle name="t_bq gor bangkinang 2 2 2" xfId="4564"/>
    <cellStyle name="t_bq gor bangkinang 2 3" xfId="4563"/>
    <cellStyle name="t_bq gor bangkinang 3" xfId="4562"/>
    <cellStyle name="t_bq gor bangkinang 3 2" xfId="4561"/>
    <cellStyle name="t_bq gor bangkinang 3 2 2" xfId="4560"/>
    <cellStyle name="t_bq gor bangkinang 3 3" xfId="4559"/>
    <cellStyle name="t_bq gor bangkinang 4" xfId="4558"/>
    <cellStyle name="t_bq gor bangkinang 4 2" xfId="4557"/>
    <cellStyle name="t_bq gor bangkinang 4 2 2" xfId="4556"/>
    <cellStyle name="t_bq gor bangkinang 4 3" xfId="4555"/>
    <cellStyle name="t_bq gor bangkinang 5" xfId="4554"/>
    <cellStyle name="t_bq gor bangkinang 5 2" xfId="4553"/>
    <cellStyle name="t_bq gor bangkinang 5 2 2" xfId="4552"/>
    <cellStyle name="t_bq gor bangkinang 5 3" xfId="4551"/>
    <cellStyle name="t_bq gor bangkinang 6" xfId="4550"/>
    <cellStyle name="t_bq gor bangkinang 6 2" xfId="4549"/>
    <cellStyle name="t_bq gor bangkinang 6 2 2" xfId="4548"/>
    <cellStyle name="t_bq gor bangkinang 6 3" xfId="4547"/>
    <cellStyle name="t_bq gor bangkinang 7" xfId="4546"/>
    <cellStyle name="t_bq gor bangkinang 7 2" xfId="4545"/>
    <cellStyle name="t_bq gor bangkinang 7 2 2" xfId="4544"/>
    <cellStyle name="t_bq gor bangkinang 7 3" xfId="4543"/>
    <cellStyle name="t_bq gor bangkinang 8" xfId="4542"/>
    <cellStyle name="t_bq gor bangkinang 8 2" xfId="4541"/>
    <cellStyle name="t_bq gor bangkinang 9" xfId="4540"/>
    <cellStyle name="t_BQ KISI-KISI" xfId="4539"/>
    <cellStyle name="t_BQ KISI-KISI 2" xfId="4538"/>
    <cellStyle name="t_BQ KISI-KISI 2 2" xfId="4537"/>
    <cellStyle name="t_BQ KISI-KISI 2 2 2" xfId="4536"/>
    <cellStyle name="t_BQ KISI-KISI 2 3" xfId="4535"/>
    <cellStyle name="t_BQ KISI-KISI 3" xfId="4534"/>
    <cellStyle name="t_BQ KISI-KISI 3 2" xfId="4533"/>
    <cellStyle name="t_BQ KISI-KISI 3 2 2" xfId="4532"/>
    <cellStyle name="t_BQ KISI-KISI 3 3" xfId="4531"/>
    <cellStyle name="t_BQ KISI-KISI 4" xfId="4530"/>
    <cellStyle name="t_BQ KISI-KISI 4 2" xfId="4529"/>
    <cellStyle name="t_BQ KISI-KISI 4 2 2" xfId="4528"/>
    <cellStyle name="t_BQ KISI-KISI 4 3" xfId="4527"/>
    <cellStyle name="t_BQ KISI-KISI 5" xfId="4526"/>
    <cellStyle name="t_BQ KISI-KISI 5 2" xfId="4525"/>
    <cellStyle name="t_BQ KISI-KISI 5 2 2" xfId="4524"/>
    <cellStyle name="t_BQ KISI-KISI 5 3" xfId="4523"/>
    <cellStyle name="t_BQ KISI-KISI 6" xfId="4522"/>
    <cellStyle name="t_BQ KISI-KISI 6 2" xfId="4521"/>
    <cellStyle name="t_BQ KISI-KISI 6 2 2" xfId="4520"/>
    <cellStyle name="t_BQ KISI-KISI 6 3" xfId="4519"/>
    <cellStyle name="t_BQ KISI-KISI 7" xfId="4518"/>
    <cellStyle name="t_BQ KISI-KISI 7 2" xfId="4517"/>
    <cellStyle name="t_BQ KISI-KISI 7 2 2" xfId="4516"/>
    <cellStyle name="t_BQ KISI-KISI 7 3" xfId="4515"/>
    <cellStyle name="t_BQ KISI-KISI 8" xfId="4514"/>
    <cellStyle name="t_BQ KISI-KISI 8 2" xfId="4513"/>
    <cellStyle name="t_BQ KISI-KISI 9" xfId="4512"/>
    <cellStyle name="t_BQ KONTRAK YKK" xfId="4511"/>
    <cellStyle name="t_BQ KONTRAK YKK 2" xfId="4510"/>
    <cellStyle name="t_BQ KONTRAK YKK 2 2" xfId="4509"/>
    <cellStyle name="t_BQ KONTRAK YKK 2 2 2" xfId="4508"/>
    <cellStyle name="t_BQ KONTRAK YKK 2 3" xfId="4507"/>
    <cellStyle name="t_BQ KONTRAK YKK 3" xfId="4506"/>
    <cellStyle name="t_BQ KONTRAK YKK 3 2" xfId="4505"/>
    <cellStyle name="t_BQ KONTRAK YKK 3 2 2" xfId="4504"/>
    <cellStyle name="t_BQ KONTRAK YKK 3 3" xfId="4503"/>
    <cellStyle name="t_BQ KONTRAK YKK 4" xfId="4502"/>
    <cellStyle name="t_BQ KONTRAK YKK 4 2" xfId="4501"/>
    <cellStyle name="t_BQ KONTRAK YKK 4 2 2" xfId="4500"/>
    <cellStyle name="t_BQ KONTRAK YKK 4 3" xfId="4499"/>
    <cellStyle name="t_BQ KONTRAK YKK 5" xfId="4498"/>
    <cellStyle name="t_BQ KONTRAK YKK 5 2" xfId="4497"/>
    <cellStyle name="t_BQ KONTRAK YKK 5 2 2" xfId="4496"/>
    <cellStyle name="t_BQ KONTRAK YKK 5 3" xfId="4495"/>
    <cellStyle name="t_BQ KONTRAK YKK 6" xfId="4494"/>
    <cellStyle name="t_BQ KONTRAK YKK 6 2" xfId="4493"/>
    <cellStyle name="t_BQ KONTRAK YKK 6 2 2" xfId="4492"/>
    <cellStyle name="t_BQ KONTRAK YKK 6 3" xfId="4491"/>
    <cellStyle name="t_BQ KONTRAK YKK 7" xfId="4490"/>
    <cellStyle name="t_BQ KONTRAK YKK 7 2" xfId="4489"/>
    <cellStyle name="t_BQ KONTRAK YKK 7 2 2" xfId="4488"/>
    <cellStyle name="t_BQ KONTRAK YKK 7 3" xfId="4487"/>
    <cellStyle name="t_BQ KONTRAK YKK 8" xfId="4486"/>
    <cellStyle name="t_BQ KONTRAK YKK 8 2" xfId="4485"/>
    <cellStyle name="t_BQ KONTRAK YKK 9" xfId="4484"/>
    <cellStyle name="t_BQ KUSEN SMA PINTAR" xfId="4483"/>
    <cellStyle name="t_BQ KUSEN SMA PINTAR 2" xfId="4482"/>
    <cellStyle name="t_BQ KUSEN SMA PINTAR 2 2" xfId="4481"/>
    <cellStyle name="t_BQ KUSEN SMA PINTAR 2 2 2" xfId="4480"/>
    <cellStyle name="t_BQ KUSEN SMA PINTAR 2 3" xfId="4479"/>
    <cellStyle name="t_BQ KUSEN SMA PINTAR 3" xfId="4478"/>
    <cellStyle name="t_BQ KUSEN SMA PINTAR 3 2" xfId="4477"/>
    <cellStyle name="t_BQ KUSEN SMA PINTAR 3 2 2" xfId="4476"/>
    <cellStyle name="t_BQ KUSEN SMA PINTAR 3 3" xfId="4475"/>
    <cellStyle name="t_BQ KUSEN SMA PINTAR 4" xfId="4474"/>
    <cellStyle name="t_BQ KUSEN SMA PINTAR 4 2" xfId="4473"/>
    <cellStyle name="t_BQ KUSEN SMA PINTAR 4 2 2" xfId="4472"/>
    <cellStyle name="t_BQ KUSEN SMA PINTAR 4 3" xfId="4471"/>
    <cellStyle name="t_BQ KUSEN SMA PINTAR 5" xfId="4470"/>
    <cellStyle name="t_BQ KUSEN SMA PINTAR 5 2" xfId="4469"/>
    <cellStyle name="t_BQ KUSEN SMA PINTAR 5 2 2" xfId="4468"/>
    <cellStyle name="t_BQ KUSEN SMA PINTAR 5 3" xfId="4467"/>
    <cellStyle name="t_BQ KUSEN SMA PINTAR 6" xfId="4466"/>
    <cellStyle name="t_BQ KUSEN SMA PINTAR 6 2" xfId="4465"/>
    <cellStyle name="t_BQ KUSEN SMA PINTAR 6 2 2" xfId="4464"/>
    <cellStyle name="t_BQ KUSEN SMA PINTAR 6 3" xfId="4463"/>
    <cellStyle name="t_BQ KUSEN SMA PINTAR 7" xfId="4462"/>
    <cellStyle name="t_BQ KUSEN SMA PINTAR 7 2" xfId="4461"/>
    <cellStyle name="t_BQ KUSEN SMA PINTAR 7 2 2" xfId="4460"/>
    <cellStyle name="t_BQ KUSEN SMA PINTAR 7 3" xfId="4459"/>
    <cellStyle name="t_BQ KUSEN SMA PINTAR 8" xfId="4458"/>
    <cellStyle name="t_BQ KUSEN SMA PINTAR 8 2" xfId="4457"/>
    <cellStyle name="t_BQ KUSEN SMA PINTAR 9" xfId="4456"/>
    <cellStyle name="t_BQ KUSEN SMA PINTAR_Rev#1_Opt_Abiz_1_rapp" xfId="4455"/>
    <cellStyle name="t_BQ KUSEN SMA PINTAR_Rev#1_Opt_Abiz_1_rapp 2" xfId="4454"/>
    <cellStyle name="t_BQ KUSEN SMA PINTAR_Rev#1_Opt_Abiz_1_rapp 2 2" xfId="4453"/>
    <cellStyle name="t_BQ KUSEN SMA PINTAR_Rev#1_Opt_Abiz_1_rapp 2 2 2" xfId="4452"/>
    <cellStyle name="t_BQ KUSEN SMA PINTAR_Rev#1_Opt_Abiz_1_rapp 2 3" xfId="4451"/>
    <cellStyle name="t_BQ KUSEN SMA PINTAR_Rev#1_Opt_Abiz_1_rapp 3" xfId="4450"/>
    <cellStyle name="t_BQ KUSEN SMA PINTAR_Rev#1_Opt_Abiz_1_rapp 3 2" xfId="4449"/>
    <cellStyle name="t_BQ KUSEN SMA PINTAR_Rev#1_Opt_Abiz_1_rapp 3 2 2" xfId="4448"/>
    <cellStyle name="t_BQ KUSEN SMA PINTAR_Rev#1_Opt_Abiz_1_rapp 3 3" xfId="4447"/>
    <cellStyle name="t_BQ KUSEN SMA PINTAR_Rev#1_Opt_Abiz_1_rapp 4" xfId="4446"/>
    <cellStyle name="t_BQ KUSEN SMA PINTAR_Rev#1_Opt_Abiz_1_rapp 4 2" xfId="4445"/>
    <cellStyle name="t_BQ KUSEN SMA PINTAR_Rev#1_Opt_Abiz_1_rapp 4 2 2" xfId="4444"/>
    <cellStyle name="t_BQ KUSEN SMA PINTAR_Rev#1_Opt_Abiz_1_rapp 4 3" xfId="4443"/>
    <cellStyle name="t_BQ KUSEN SMA PINTAR_Rev#1_Opt_Abiz_1_rapp 5" xfId="4442"/>
    <cellStyle name="t_BQ KUSEN SMA PINTAR_Rev#1_Opt_Abiz_1_rapp 5 2" xfId="4441"/>
    <cellStyle name="t_BQ KUSEN SMA PINTAR_Rev#1_Opt_Abiz_1_rapp 5 2 2" xfId="4440"/>
    <cellStyle name="t_BQ KUSEN SMA PINTAR_Rev#1_Opt_Abiz_1_rapp 5 3" xfId="4439"/>
    <cellStyle name="t_BQ KUSEN SMA PINTAR_Rev#1_Opt_Abiz_1_rapp 6" xfId="4438"/>
    <cellStyle name="t_BQ KUSEN SMA PINTAR_Rev#1_Opt_Abiz_1_rapp 6 2" xfId="4437"/>
    <cellStyle name="t_BQ KUSEN SMA PINTAR_Rev#1_Opt_Abiz_1_rapp 6 2 2" xfId="4436"/>
    <cellStyle name="t_BQ KUSEN SMA PINTAR_Rev#1_Opt_Abiz_1_rapp 6 3" xfId="4435"/>
    <cellStyle name="t_BQ KUSEN SMA PINTAR_Rev#1_Opt_Abiz_1_rapp 7" xfId="4434"/>
    <cellStyle name="t_BQ KUSEN SMA PINTAR_Rev#1_Opt_Abiz_1_rapp 7 2" xfId="4433"/>
    <cellStyle name="t_BQ KUSEN SMA PINTAR_Rev#1_Opt_Abiz_1_rapp 7 2 2" xfId="4432"/>
    <cellStyle name="t_BQ KUSEN SMA PINTAR_Rev#1_Opt_Abiz_1_rapp 7 3" xfId="4431"/>
    <cellStyle name="t_BQ KUSEN SMA PINTAR_Rev#1_Opt_Abiz_1_rapp 8" xfId="4430"/>
    <cellStyle name="t_BQ KUSEN SMA PINTAR_Rev#1_Opt_Abiz_1_rapp 8 2" xfId="4429"/>
    <cellStyle name="t_BQ KUSEN SMA PINTAR_Rev#1_Opt_Abiz_1_rapp 9" xfId="4428"/>
    <cellStyle name="t_BQ KUSEN TANJUNG PIANNG_EMAIL(2)" xfId="4427"/>
    <cellStyle name="t_BQ KUSEN TANJUNG PIANNG_EMAIL(2) 2" xfId="4426"/>
    <cellStyle name="t_BQ KUSEN TANJUNG PIANNG_EMAIL(2) 2 2" xfId="4425"/>
    <cellStyle name="t_BQ KUSEN TANJUNG PIANNG_EMAIL(2) 2 2 2" xfId="4424"/>
    <cellStyle name="t_BQ KUSEN TANJUNG PIANNG_EMAIL(2) 2 3" xfId="4423"/>
    <cellStyle name="t_BQ KUSEN TANJUNG PIANNG_EMAIL(2) 3" xfId="4422"/>
    <cellStyle name="t_BQ KUSEN TANJUNG PIANNG_EMAIL(2) 3 2" xfId="4421"/>
    <cellStyle name="t_BQ KUSEN TANJUNG PIANNG_EMAIL(2) 3 2 2" xfId="4420"/>
    <cellStyle name="t_BQ KUSEN TANJUNG PIANNG_EMAIL(2) 3 3" xfId="4419"/>
    <cellStyle name="t_BQ KUSEN TANJUNG PIANNG_EMAIL(2) 4" xfId="4418"/>
    <cellStyle name="t_BQ KUSEN TANJUNG PIANNG_EMAIL(2) 4 2" xfId="4417"/>
    <cellStyle name="t_BQ KUSEN TANJUNG PIANNG_EMAIL(2) 4 2 2" xfId="4416"/>
    <cellStyle name="t_BQ KUSEN TANJUNG PIANNG_EMAIL(2) 4 3" xfId="4415"/>
    <cellStyle name="t_BQ KUSEN TANJUNG PIANNG_EMAIL(2) 5" xfId="4414"/>
    <cellStyle name="t_BQ KUSEN TANJUNG PIANNG_EMAIL(2) 5 2" xfId="4413"/>
    <cellStyle name="t_BQ KUSEN TANJUNG PIANNG_EMAIL(2) 5 2 2" xfId="4412"/>
    <cellStyle name="t_BQ KUSEN TANJUNG PIANNG_EMAIL(2) 5 3" xfId="4411"/>
    <cellStyle name="t_BQ KUSEN TANJUNG PIANNG_EMAIL(2) 6" xfId="4410"/>
    <cellStyle name="t_BQ KUSEN TANJUNG PIANNG_EMAIL(2) 6 2" xfId="4409"/>
    <cellStyle name="t_BQ KUSEN TANJUNG PIANNG_EMAIL(2) 6 2 2" xfId="4408"/>
    <cellStyle name="t_BQ KUSEN TANJUNG PIANNG_EMAIL(2) 6 3" xfId="4407"/>
    <cellStyle name="t_BQ KUSEN TANJUNG PIANNG_EMAIL(2) 7" xfId="4406"/>
    <cellStyle name="t_BQ KUSEN TANJUNG PIANNG_EMAIL(2) 7 2" xfId="4405"/>
    <cellStyle name="t_BQ KUSEN TANJUNG PIANNG_EMAIL(2) 7 2 2" xfId="4404"/>
    <cellStyle name="t_BQ KUSEN TANJUNG PIANNG_EMAIL(2) 7 3" xfId="4403"/>
    <cellStyle name="t_BQ KUSEN TANJUNG PIANNG_EMAIL(2) 8" xfId="4402"/>
    <cellStyle name="t_BQ KUSEN TANJUNG PIANNG_EMAIL(2) 8 2" xfId="4401"/>
    <cellStyle name="t_BQ KUSEN TANJUNG PIANNG_EMAIL(2) 9" xfId="4400"/>
    <cellStyle name="t_BQ PINTU DAN JENDELA" xfId="4399"/>
    <cellStyle name="t_BQ PINTU DAN JENDELA 2" xfId="4398"/>
    <cellStyle name="t_BQ PINTU DAN JENDELA 2 2" xfId="4397"/>
    <cellStyle name="t_BQ PINTU DAN JENDELA 2 2 2" xfId="4396"/>
    <cellStyle name="t_BQ PINTU DAN JENDELA 2 3" xfId="4395"/>
    <cellStyle name="t_BQ PINTU DAN JENDELA 3" xfId="4394"/>
    <cellStyle name="t_BQ PINTU DAN JENDELA 3 2" xfId="4393"/>
    <cellStyle name="t_BQ PINTU DAN JENDELA 3 2 2" xfId="4392"/>
    <cellStyle name="t_BQ PINTU DAN JENDELA 3 3" xfId="4391"/>
    <cellStyle name="t_BQ PINTU DAN JENDELA 4" xfId="4390"/>
    <cellStyle name="t_BQ PINTU DAN JENDELA 4 2" xfId="4389"/>
    <cellStyle name="t_BQ PINTU DAN JENDELA 4 2 2" xfId="4388"/>
    <cellStyle name="t_BQ PINTU DAN JENDELA 4 3" xfId="4387"/>
    <cellStyle name="t_BQ PINTU DAN JENDELA 5" xfId="4386"/>
    <cellStyle name="t_BQ PINTU DAN JENDELA 5 2" xfId="4385"/>
    <cellStyle name="t_BQ PINTU DAN JENDELA 5 2 2" xfId="4384"/>
    <cellStyle name="t_BQ PINTU DAN JENDELA 5 3" xfId="4383"/>
    <cellStyle name="t_BQ PINTU DAN JENDELA 6" xfId="4382"/>
    <cellStyle name="t_BQ PINTU DAN JENDELA 6 2" xfId="4381"/>
    <cellStyle name="t_BQ PINTU DAN JENDELA 6 2 2" xfId="4380"/>
    <cellStyle name="t_BQ PINTU DAN JENDELA 6 3" xfId="4379"/>
    <cellStyle name="t_BQ PINTU DAN JENDELA 7" xfId="4378"/>
    <cellStyle name="t_BQ PINTU DAN JENDELA 7 2" xfId="4377"/>
    <cellStyle name="t_BQ PINTU DAN JENDELA 7 2 2" xfId="4376"/>
    <cellStyle name="t_BQ PINTU DAN JENDELA 7 3" xfId="4375"/>
    <cellStyle name="t_BQ PINTU DAN JENDELA 8" xfId="4374"/>
    <cellStyle name="t_BQ PINTU DAN JENDELA 8 2" xfId="4373"/>
    <cellStyle name="t_BQ PINTU DAN JENDELA 9" xfId="4372"/>
    <cellStyle name="t_BQ Realisasi Kontrak_RAPP" xfId="4371"/>
    <cellStyle name="t_BQ Realisasi Kontrak_RAPP 2" xfId="4370"/>
    <cellStyle name="t_BQ Realisasi Kontrak_RAPP 2 2" xfId="4369"/>
    <cellStyle name="t_BQ Realisasi Kontrak_RAPP 2 2 2" xfId="4368"/>
    <cellStyle name="t_BQ Realisasi Kontrak_RAPP 2 3" xfId="4367"/>
    <cellStyle name="t_BQ Realisasi Kontrak_RAPP 3" xfId="4366"/>
    <cellStyle name="t_BQ Realisasi Kontrak_RAPP 3 2" xfId="4365"/>
    <cellStyle name="t_BQ Realisasi Kontrak_RAPP 3 2 2" xfId="4364"/>
    <cellStyle name="t_BQ Realisasi Kontrak_RAPP 3 3" xfId="4363"/>
    <cellStyle name="t_BQ Realisasi Kontrak_RAPP 4" xfId="4362"/>
    <cellStyle name="t_BQ Realisasi Kontrak_RAPP 4 2" xfId="4361"/>
    <cellStyle name="t_BQ Realisasi Kontrak_RAPP 4 2 2" xfId="4360"/>
    <cellStyle name="t_BQ Realisasi Kontrak_RAPP 4 3" xfId="4359"/>
    <cellStyle name="t_BQ Realisasi Kontrak_RAPP 5" xfId="4358"/>
    <cellStyle name="t_BQ Realisasi Kontrak_RAPP 5 2" xfId="4357"/>
    <cellStyle name="t_BQ Realisasi Kontrak_RAPP 5 2 2" xfId="4356"/>
    <cellStyle name="t_BQ Realisasi Kontrak_RAPP 5 3" xfId="4355"/>
    <cellStyle name="t_BQ Realisasi Kontrak_RAPP 6" xfId="4354"/>
    <cellStyle name="t_BQ Realisasi Kontrak_RAPP 6 2" xfId="4353"/>
    <cellStyle name="t_BQ Realisasi Kontrak_RAPP 6 2 2" xfId="4352"/>
    <cellStyle name="t_BQ Realisasi Kontrak_RAPP 6 3" xfId="4351"/>
    <cellStyle name="t_BQ Realisasi Kontrak_RAPP 7" xfId="4350"/>
    <cellStyle name="t_BQ Realisasi Kontrak_RAPP 7 2" xfId="4349"/>
    <cellStyle name="t_BQ Realisasi Kontrak_RAPP 7 2 2" xfId="4348"/>
    <cellStyle name="t_BQ Realisasi Kontrak_RAPP 7 3" xfId="4347"/>
    <cellStyle name="t_BQ Realisasi Kontrak_RAPP 8" xfId="4346"/>
    <cellStyle name="t_BQ Realisasi Kontrak_RAPP 8 2" xfId="4345"/>
    <cellStyle name="t_BQ Realisasi Kontrak_RAPP 9" xfId="4344"/>
    <cellStyle name="t_BQ_Kantor_Bupati_Nias_kontrak.OK" xfId="4343"/>
    <cellStyle name="t_BQ_Kantor_Bupati_Nias_kontrak.OK 2" xfId="4342"/>
    <cellStyle name="t_BQ_Kantor_Bupati_Nias_kontrak.OK 2 2" xfId="4341"/>
    <cellStyle name="t_BQ_Kantor_Bupati_Nias_kontrak.OK 2 2 2" xfId="4340"/>
    <cellStyle name="t_BQ_Kantor_Bupati_Nias_kontrak.OK 2 3" xfId="4339"/>
    <cellStyle name="t_BQ_Kantor_Bupati_Nias_kontrak.OK 3" xfId="4338"/>
    <cellStyle name="t_BQ_Kantor_Bupati_Nias_kontrak.OK 3 2" xfId="4337"/>
    <cellStyle name="t_BQ_Kantor_Bupati_Nias_kontrak.OK 3 2 2" xfId="4336"/>
    <cellStyle name="t_BQ_Kantor_Bupati_Nias_kontrak.OK 3 3" xfId="4335"/>
    <cellStyle name="t_BQ_Kantor_Bupati_Nias_kontrak.OK 4" xfId="4334"/>
    <cellStyle name="t_BQ_Kantor_Bupati_Nias_kontrak.OK 4 2" xfId="4333"/>
    <cellStyle name="t_BQ_Kantor_Bupati_Nias_kontrak.OK 4 2 2" xfId="4332"/>
    <cellStyle name="t_BQ_Kantor_Bupati_Nias_kontrak.OK 4 3" xfId="4331"/>
    <cellStyle name="t_BQ_Kantor_Bupati_Nias_kontrak.OK 5" xfId="4330"/>
    <cellStyle name="t_BQ_Kantor_Bupati_Nias_kontrak.OK 5 2" xfId="4329"/>
    <cellStyle name="t_BQ_Kantor_Bupati_Nias_kontrak.OK 5 2 2" xfId="4328"/>
    <cellStyle name="t_BQ_Kantor_Bupati_Nias_kontrak.OK 5 3" xfId="4327"/>
    <cellStyle name="t_BQ_Kantor_Bupati_Nias_kontrak.OK 6" xfId="4326"/>
    <cellStyle name="t_BQ_Kantor_Bupati_Nias_kontrak.OK 6 2" xfId="4325"/>
    <cellStyle name="t_BQ_Kantor_Bupati_Nias_kontrak.OK 6 2 2" xfId="4324"/>
    <cellStyle name="t_BQ_Kantor_Bupati_Nias_kontrak.OK 6 3" xfId="4323"/>
    <cellStyle name="t_BQ_Kantor_Bupati_Nias_kontrak.OK 7" xfId="4322"/>
    <cellStyle name="t_BQ_Kantor_Bupati_Nias_kontrak.OK 7 2" xfId="4321"/>
    <cellStyle name="t_BQ_Kantor_Bupati_Nias_kontrak.OK 7 2 2" xfId="4320"/>
    <cellStyle name="t_BQ_Kantor_Bupati_Nias_kontrak.OK 7 3" xfId="4319"/>
    <cellStyle name="t_BQ_Kantor_Bupati_Nias_kontrak.OK 8" xfId="4318"/>
    <cellStyle name="t_BQ_Kantor_Bupati_Nias_kontrak.OK 8 2" xfId="4317"/>
    <cellStyle name="t_BQ_Kantor_Bupati_Nias_kontrak.OK 9" xfId="4316"/>
    <cellStyle name="t_BQ_Kantor_Bupati_Nias_kontrak.OK_Realisasi Kontrak Kampar 31 agustus 2009" xfId="4315"/>
    <cellStyle name="t_BQ_Kantor_Bupati_Nias_kontrak.OK_Realisasi Kontrak Kampar 31 agustus 2009 2" xfId="4314"/>
    <cellStyle name="t_BQ_Kantor_Bupati_Nias_kontrak.OK_Realisasi Kontrak Kampar 31 agustus 2009 2 2" xfId="4313"/>
    <cellStyle name="t_BQ_Kantor_Bupati_Nias_kontrak.OK_Realisasi Kontrak Kampar 31 agustus 2009 2 2 2" xfId="4312"/>
    <cellStyle name="t_BQ_Kantor_Bupati_Nias_kontrak.OK_Realisasi Kontrak Kampar 31 agustus 2009 2 3" xfId="4311"/>
    <cellStyle name="t_BQ_Kantor_Bupati_Nias_kontrak.OK_Realisasi Kontrak Kampar 31 agustus 2009 3" xfId="4310"/>
    <cellStyle name="t_BQ_Kantor_Bupati_Nias_kontrak.OK_Realisasi Kontrak Kampar 31 agustus 2009 3 2" xfId="4309"/>
    <cellStyle name="t_BQ_Kantor_Bupati_Nias_kontrak.OK_Realisasi Kontrak Kampar 31 agustus 2009 3 2 2" xfId="4308"/>
    <cellStyle name="t_BQ_Kantor_Bupati_Nias_kontrak.OK_Realisasi Kontrak Kampar 31 agustus 2009 3 3" xfId="4307"/>
    <cellStyle name="t_BQ_Kantor_Bupati_Nias_kontrak.OK_Realisasi Kontrak Kampar 31 agustus 2009 4" xfId="4306"/>
    <cellStyle name="t_BQ_Kantor_Bupati_Nias_kontrak.OK_Realisasi Kontrak Kampar 31 agustus 2009 4 2" xfId="4305"/>
    <cellStyle name="t_BQ_Kantor_Bupati_Nias_kontrak.OK_Realisasi Kontrak Kampar 31 agustus 2009 4 2 2" xfId="4304"/>
    <cellStyle name="t_BQ_Kantor_Bupati_Nias_kontrak.OK_Realisasi Kontrak Kampar 31 agustus 2009 4 3" xfId="4303"/>
    <cellStyle name="t_BQ_Kantor_Bupati_Nias_kontrak.OK_Realisasi Kontrak Kampar 31 agustus 2009 5" xfId="4302"/>
    <cellStyle name="t_BQ_Kantor_Bupati_Nias_kontrak.OK_Realisasi Kontrak Kampar 31 agustus 2009 5 2" xfId="4301"/>
    <cellStyle name="t_BQ_Kantor_Bupati_Nias_kontrak.OK_Realisasi Kontrak Kampar 31 agustus 2009 5 2 2" xfId="4300"/>
    <cellStyle name="t_BQ_Kantor_Bupati_Nias_kontrak.OK_Realisasi Kontrak Kampar 31 agustus 2009 5 3" xfId="4299"/>
    <cellStyle name="t_BQ_Kantor_Bupati_Nias_kontrak.OK_Realisasi Kontrak Kampar 31 agustus 2009 6" xfId="4298"/>
    <cellStyle name="t_BQ_Kantor_Bupati_Nias_kontrak.OK_Realisasi Kontrak Kampar 31 agustus 2009 6 2" xfId="4297"/>
    <cellStyle name="t_BQ_Kantor_Bupati_Nias_kontrak.OK_Realisasi Kontrak Kampar 31 agustus 2009 6 2 2" xfId="4296"/>
    <cellStyle name="t_BQ_Kantor_Bupati_Nias_kontrak.OK_Realisasi Kontrak Kampar 31 agustus 2009 6 3" xfId="4295"/>
    <cellStyle name="t_BQ_Kantor_Bupati_Nias_kontrak.OK_Realisasi Kontrak Kampar 31 agustus 2009 7" xfId="4294"/>
    <cellStyle name="t_BQ_Kantor_Bupati_Nias_kontrak.OK_Realisasi Kontrak Kampar 31 agustus 2009 7 2" xfId="4293"/>
    <cellStyle name="t_BQ_Kantor_Bupati_Nias_kontrak.OK_Realisasi Kontrak Kampar 31 agustus 2009 7 2 2" xfId="4292"/>
    <cellStyle name="t_BQ_Kantor_Bupati_Nias_kontrak.OK_Realisasi Kontrak Kampar 31 agustus 2009 7 3" xfId="4291"/>
    <cellStyle name="t_BQ_Kantor_Bupati_Nias_kontrak.OK_Realisasi Kontrak Kampar 31 agustus 2009 8" xfId="4290"/>
    <cellStyle name="t_BQ_Kantor_Bupati_Nias_kontrak.OK_Realisasi Kontrak Kampar 31 agustus 2009 8 2" xfId="4289"/>
    <cellStyle name="t_BQ_Kantor_Bupati_Nias_kontrak.OK_Realisasi Kontrak Kampar 31 agustus 2009 9" xfId="4288"/>
    <cellStyle name="t_BQ_SAMEL_BNI_BEKASI_email" xfId="4287"/>
    <cellStyle name="t_BQ_SAMEL_BNI_BEKASI_email 10" xfId="4286"/>
    <cellStyle name="t_BQ_SAMEL_BNI_BEKASI_email 10 2" xfId="4285"/>
    <cellStyle name="t_BQ_SAMEL_BNI_BEKASI_email 10 2 2" xfId="4284"/>
    <cellStyle name="t_BQ_SAMEL_BNI_BEKASI_email 10 3" xfId="4283"/>
    <cellStyle name="t_BQ_SAMEL_BNI_BEKASI_email 11" xfId="4282"/>
    <cellStyle name="t_BQ_SAMEL_BNI_BEKASI_email 11 2" xfId="4281"/>
    <cellStyle name="t_BQ_SAMEL_BNI_BEKASI_email 11 2 2" xfId="4280"/>
    <cellStyle name="t_BQ_SAMEL_BNI_BEKASI_email 12" xfId="4279"/>
    <cellStyle name="t_BQ_SAMEL_BNI_BEKASI_email 12 2" xfId="4278"/>
    <cellStyle name="t_BQ_SAMEL_BNI_BEKASI_email 13" xfId="4277"/>
    <cellStyle name="t_BQ_SAMEL_BNI_BEKASI_email 2" xfId="4276"/>
    <cellStyle name="t_BQ_SAMEL_BNI_BEKASI_email 2 10" xfId="4275"/>
    <cellStyle name="t_BQ_SAMEL_BNI_BEKASI_email 2 10 2" xfId="4274"/>
    <cellStyle name="t_BQ_SAMEL_BNI_BEKASI_email 2 2" xfId="4273"/>
    <cellStyle name="t_BQ_SAMEL_BNI_BEKASI_email 2 2 2" xfId="4272"/>
    <cellStyle name="t_BQ_SAMEL_BNI_BEKASI_email 2 2 2 2" xfId="4271"/>
    <cellStyle name="t_BQ_SAMEL_BNI_BEKASI_email 2 2 2 2 2" xfId="4270"/>
    <cellStyle name="t_BQ_SAMEL_BNI_BEKASI_email 2 2 3" xfId="4269"/>
    <cellStyle name="t_BQ_SAMEL_BNI_BEKASI_email 2 2 3 2" xfId="4268"/>
    <cellStyle name="t_BQ_SAMEL_BNI_BEKASI_email 2 2 3 2 2" xfId="4267"/>
    <cellStyle name="t_BQ_SAMEL_BNI_BEKASI_email 2 2 4" xfId="4266"/>
    <cellStyle name="t_BQ_SAMEL_BNI_BEKASI_email 2 2 4 2" xfId="4265"/>
    <cellStyle name="t_BQ_SAMEL_BNI_BEKASI_email 2 2 4 2 2" xfId="4264"/>
    <cellStyle name="t_BQ_SAMEL_BNI_BEKASI_email 2 2 5" xfId="4263"/>
    <cellStyle name="t_BQ_SAMEL_BNI_BEKASI_email 2 2 5 2" xfId="4262"/>
    <cellStyle name="t_BQ_SAMEL_BNI_BEKASI_email 2 2 5 2 2" xfId="4261"/>
    <cellStyle name="t_BQ_SAMEL_BNI_BEKASI_email 2 2 6" xfId="4260"/>
    <cellStyle name="t_BQ_SAMEL_BNI_BEKASI_email 2 2 6 2" xfId="4259"/>
    <cellStyle name="t_BQ_SAMEL_BNI_BEKASI_email 2 2 6 2 2" xfId="4258"/>
    <cellStyle name="t_BQ_SAMEL_BNI_BEKASI_email 2 2 7" xfId="4257"/>
    <cellStyle name="t_BQ_SAMEL_BNI_BEKASI_email 2 2 7 2" xfId="4256"/>
    <cellStyle name="t_BQ_SAMEL_BNI_BEKASI_email 2 2 7 2 2" xfId="4255"/>
    <cellStyle name="t_BQ_SAMEL_BNI_BEKASI_email 2 2 8" xfId="4254"/>
    <cellStyle name="t_BQ_SAMEL_BNI_BEKASI_email 2 2 8 2" xfId="4253"/>
    <cellStyle name="t_BQ_SAMEL_BNI_BEKASI_email 2 3" xfId="4252"/>
    <cellStyle name="t_BQ_SAMEL_BNI_BEKASI_email 2 3 2" xfId="4251"/>
    <cellStyle name="t_BQ_SAMEL_BNI_BEKASI_email 2 3 2 2" xfId="4250"/>
    <cellStyle name="t_BQ_SAMEL_BNI_BEKASI_email 2 4" xfId="4249"/>
    <cellStyle name="t_BQ_SAMEL_BNI_BEKASI_email 2 4 2" xfId="4248"/>
    <cellStyle name="t_BQ_SAMEL_BNI_BEKASI_email 2 4 2 2" xfId="4247"/>
    <cellStyle name="t_BQ_SAMEL_BNI_BEKASI_email 2 5" xfId="4246"/>
    <cellStyle name="t_BQ_SAMEL_BNI_BEKASI_email 2 5 2" xfId="4245"/>
    <cellStyle name="t_BQ_SAMEL_BNI_BEKASI_email 2 5 2 2" xfId="4244"/>
    <cellStyle name="t_BQ_SAMEL_BNI_BEKASI_email 2 6" xfId="4243"/>
    <cellStyle name="t_BQ_SAMEL_BNI_BEKASI_email 2 6 2" xfId="4242"/>
    <cellStyle name="t_BQ_SAMEL_BNI_BEKASI_email 2 6 2 2" xfId="4241"/>
    <cellStyle name="t_BQ_SAMEL_BNI_BEKASI_email 2 7" xfId="4240"/>
    <cellStyle name="t_BQ_SAMEL_BNI_BEKASI_email 2 7 2" xfId="4239"/>
    <cellStyle name="t_BQ_SAMEL_BNI_BEKASI_email 2 7 2 2" xfId="4238"/>
    <cellStyle name="t_BQ_SAMEL_BNI_BEKASI_email 2 8" xfId="4237"/>
    <cellStyle name="t_BQ_SAMEL_BNI_BEKASI_email 2 8 2" xfId="4236"/>
    <cellStyle name="t_BQ_SAMEL_BNI_BEKASI_email 2 8 2 2" xfId="4235"/>
    <cellStyle name="t_BQ_SAMEL_BNI_BEKASI_email 2 9" xfId="4234"/>
    <cellStyle name="t_BQ_SAMEL_BNI_BEKASI_email 2 9 2" xfId="4233"/>
    <cellStyle name="t_BQ_SAMEL_BNI_BEKASI_email 2 9 2 2" xfId="4232"/>
    <cellStyle name="t_BQ_SAMEL_BNI_BEKASI_email 3" xfId="4231"/>
    <cellStyle name="t_BQ_SAMEL_BNI_BEKASI_email 3 10" xfId="4230"/>
    <cellStyle name="t_BQ_SAMEL_BNI_BEKASI_email 3 10 2" xfId="4229"/>
    <cellStyle name="t_BQ_SAMEL_BNI_BEKASI_email 3 2" xfId="4228"/>
    <cellStyle name="t_BQ_SAMEL_BNI_BEKASI_email 3 2 2" xfId="4227"/>
    <cellStyle name="t_BQ_SAMEL_BNI_BEKASI_email 3 2 2 2" xfId="4226"/>
    <cellStyle name="t_BQ_SAMEL_BNI_BEKASI_email 3 2 2 2 2" xfId="4225"/>
    <cellStyle name="t_BQ_SAMEL_BNI_BEKASI_email 3 2 3" xfId="4224"/>
    <cellStyle name="t_BQ_SAMEL_BNI_BEKASI_email 3 2 3 2" xfId="4223"/>
    <cellStyle name="t_BQ_SAMEL_BNI_BEKASI_email 3 2 3 2 2" xfId="4222"/>
    <cellStyle name="t_BQ_SAMEL_BNI_BEKASI_email 3 2 4" xfId="4221"/>
    <cellStyle name="t_BQ_SAMEL_BNI_BEKASI_email 3 2 4 2" xfId="4220"/>
    <cellStyle name="t_BQ_SAMEL_BNI_BEKASI_email 3 2 4 2 2" xfId="4219"/>
    <cellStyle name="t_BQ_SAMEL_BNI_BEKASI_email 3 2 5" xfId="4218"/>
    <cellStyle name="t_BQ_SAMEL_BNI_BEKASI_email 3 2 5 2" xfId="4217"/>
    <cellStyle name="t_BQ_SAMEL_BNI_BEKASI_email 3 2 5 2 2" xfId="4216"/>
    <cellStyle name="t_BQ_SAMEL_BNI_BEKASI_email 3 2 6" xfId="4215"/>
    <cellStyle name="t_BQ_SAMEL_BNI_BEKASI_email 3 2 6 2" xfId="4214"/>
    <cellStyle name="t_BQ_SAMEL_BNI_BEKASI_email 3 2 6 2 2" xfId="4213"/>
    <cellStyle name="t_BQ_SAMEL_BNI_BEKASI_email 3 2 7" xfId="4212"/>
    <cellStyle name="t_BQ_SAMEL_BNI_BEKASI_email 3 2 7 2" xfId="4211"/>
    <cellStyle name="t_BQ_SAMEL_BNI_BEKASI_email 3 2 7 2 2" xfId="4210"/>
    <cellStyle name="t_BQ_SAMEL_BNI_BEKASI_email 3 2 8" xfId="4209"/>
    <cellStyle name="t_BQ_SAMEL_BNI_BEKASI_email 3 2 8 2" xfId="4208"/>
    <cellStyle name="t_BQ_SAMEL_BNI_BEKASI_email 3 3" xfId="4207"/>
    <cellStyle name="t_BQ_SAMEL_BNI_BEKASI_email 3 3 2" xfId="4206"/>
    <cellStyle name="t_BQ_SAMEL_BNI_BEKASI_email 3 3 2 2" xfId="4205"/>
    <cellStyle name="t_BQ_SAMEL_BNI_BEKASI_email 3 4" xfId="4204"/>
    <cellStyle name="t_BQ_SAMEL_BNI_BEKASI_email 3 4 2" xfId="4203"/>
    <cellStyle name="t_BQ_SAMEL_BNI_BEKASI_email 3 4 2 2" xfId="4202"/>
    <cellStyle name="t_BQ_SAMEL_BNI_BEKASI_email 3 5" xfId="4201"/>
    <cellStyle name="t_BQ_SAMEL_BNI_BEKASI_email 3 5 2" xfId="4200"/>
    <cellStyle name="t_BQ_SAMEL_BNI_BEKASI_email 3 5 2 2" xfId="4199"/>
    <cellStyle name="t_BQ_SAMEL_BNI_BEKASI_email 3 6" xfId="4198"/>
    <cellStyle name="t_BQ_SAMEL_BNI_BEKASI_email 3 6 2" xfId="4197"/>
    <cellStyle name="t_BQ_SAMEL_BNI_BEKASI_email 3 6 2 2" xfId="4196"/>
    <cellStyle name="t_BQ_SAMEL_BNI_BEKASI_email 3 7" xfId="4195"/>
    <cellStyle name="t_BQ_SAMEL_BNI_BEKASI_email 3 7 2" xfId="4194"/>
    <cellStyle name="t_BQ_SAMEL_BNI_BEKASI_email 3 7 2 2" xfId="4193"/>
    <cellStyle name="t_BQ_SAMEL_BNI_BEKASI_email 3 8" xfId="4192"/>
    <cellStyle name="t_BQ_SAMEL_BNI_BEKASI_email 3 8 2" xfId="4191"/>
    <cellStyle name="t_BQ_SAMEL_BNI_BEKASI_email 3 8 2 2" xfId="4190"/>
    <cellStyle name="t_BQ_SAMEL_BNI_BEKASI_email 3 9" xfId="4189"/>
    <cellStyle name="t_BQ_SAMEL_BNI_BEKASI_email 3 9 2" xfId="4188"/>
    <cellStyle name="t_BQ_SAMEL_BNI_BEKASI_email 3 9 2 2" xfId="4187"/>
    <cellStyle name="t_BQ_SAMEL_BNI_BEKASI_email 4" xfId="4186"/>
    <cellStyle name="t_BQ_SAMEL_BNI_BEKASI_email 4 2" xfId="4185"/>
    <cellStyle name="t_BQ_SAMEL_BNI_BEKASI_email 4 2 2" xfId="4184"/>
    <cellStyle name="t_BQ_SAMEL_BNI_BEKASI_email 4 2 2 2" xfId="4183"/>
    <cellStyle name="t_BQ_SAMEL_BNI_BEKASI_email 4 3" xfId="4182"/>
    <cellStyle name="t_BQ_SAMEL_BNI_BEKASI_email 4 3 2" xfId="4181"/>
    <cellStyle name="t_BQ_SAMEL_BNI_BEKASI_email 4 3 2 2" xfId="4180"/>
    <cellStyle name="t_BQ_SAMEL_BNI_BEKASI_email 4 4" xfId="4179"/>
    <cellStyle name="t_BQ_SAMEL_BNI_BEKASI_email 4 4 2" xfId="4178"/>
    <cellStyle name="t_BQ_SAMEL_BNI_BEKASI_email 4 4 2 2" xfId="4177"/>
    <cellStyle name="t_BQ_SAMEL_BNI_BEKASI_email 4 5" xfId="4176"/>
    <cellStyle name="t_BQ_SAMEL_BNI_BEKASI_email 4 5 2" xfId="4175"/>
    <cellStyle name="t_BQ_SAMEL_BNI_BEKASI_email 4 5 2 2" xfId="4174"/>
    <cellStyle name="t_BQ_SAMEL_BNI_BEKASI_email 4 6" xfId="4173"/>
    <cellStyle name="t_BQ_SAMEL_BNI_BEKASI_email 4 6 2" xfId="4172"/>
    <cellStyle name="t_BQ_SAMEL_BNI_BEKASI_email 4 6 2 2" xfId="4171"/>
    <cellStyle name="t_BQ_SAMEL_BNI_BEKASI_email 4 7" xfId="4170"/>
    <cellStyle name="t_BQ_SAMEL_BNI_BEKASI_email 4 7 2" xfId="4169"/>
    <cellStyle name="t_BQ_SAMEL_BNI_BEKASI_email 4 7 2 2" xfId="4168"/>
    <cellStyle name="t_BQ_SAMEL_BNI_BEKASI_email 4 8" xfId="4167"/>
    <cellStyle name="t_BQ_SAMEL_BNI_BEKASI_email 4 8 2" xfId="4166"/>
    <cellStyle name="t_BQ_SAMEL_BNI_BEKASI_email 5" xfId="4165"/>
    <cellStyle name="t_BQ_SAMEL_BNI_BEKASI_email 5 2" xfId="4164"/>
    <cellStyle name="t_BQ_SAMEL_BNI_BEKASI_email 5 2 2" xfId="4163"/>
    <cellStyle name="t_BQ_SAMEL_BNI_BEKASI_email 5 3" xfId="4162"/>
    <cellStyle name="t_BQ_SAMEL_BNI_BEKASI_email 6" xfId="4161"/>
    <cellStyle name="t_BQ_SAMEL_BNI_BEKASI_email 6 2" xfId="4160"/>
    <cellStyle name="t_BQ_SAMEL_BNI_BEKASI_email 6 2 2" xfId="4159"/>
    <cellStyle name="t_BQ_SAMEL_BNI_BEKASI_email 6 3" xfId="4158"/>
    <cellStyle name="t_BQ_SAMEL_BNI_BEKASI_email 7" xfId="4157"/>
    <cellStyle name="t_BQ_SAMEL_BNI_BEKASI_email 7 2" xfId="4156"/>
    <cellStyle name="t_BQ_SAMEL_BNI_BEKASI_email 7 2 2" xfId="4155"/>
    <cellStyle name="t_BQ_SAMEL_BNI_BEKASI_email 7 3" xfId="4154"/>
    <cellStyle name="t_BQ_SAMEL_BNI_BEKASI_email 8" xfId="4153"/>
    <cellStyle name="t_BQ_SAMEL_BNI_BEKASI_email 8 2" xfId="4152"/>
    <cellStyle name="t_BQ_SAMEL_BNI_BEKASI_email 8 2 2" xfId="4151"/>
    <cellStyle name="t_BQ_SAMEL_BNI_BEKASI_email 8 3" xfId="4150"/>
    <cellStyle name="t_BQ_SAMEL_BNI_BEKASI_email 9" xfId="4149"/>
    <cellStyle name="t_BQ_SAMEL_BNI_BEKASI_email 9 2" xfId="4148"/>
    <cellStyle name="t_BQ_SAMEL_BNI_BEKASI_email 9 2 2" xfId="4147"/>
    <cellStyle name="t_BQ_SAMEL_BNI_BEKASI_email 9 3" xfId="4146"/>
    <cellStyle name="t_BQ_SAMEL_BNI_BEKASI_email_BQ KUSEN TANJUNG PIANNG_EMAIL(2)" xfId="4145"/>
    <cellStyle name="t_BQ_SAMEL_BNI_BEKASI_email_BQ KUSEN TANJUNG PIANNG_EMAIL(2) 2" xfId="4144"/>
    <cellStyle name="t_BQ_SAMEL_BNI_BEKASI_email_BQ KUSEN TANJUNG PIANNG_EMAIL(2) 2 2" xfId="4143"/>
    <cellStyle name="t_BQ_SAMEL_BNI_BEKASI_email_BQ KUSEN TANJUNG PIANNG_EMAIL(2) 2 2 2" xfId="4142"/>
    <cellStyle name="t_BQ_SAMEL_BNI_BEKASI_email_BQ KUSEN TANJUNG PIANNG_EMAIL(2) 2 3" xfId="4141"/>
    <cellStyle name="t_BQ_SAMEL_BNI_BEKASI_email_BQ KUSEN TANJUNG PIANNG_EMAIL(2) 3" xfId="4140"/>
    <cellStyle name="t_BQ_SAMEL_BNI_BEKASI_email_BQ KUSEN TANJUNG PIANNG_EMAIL(2) 3 2" xfId="4139"/>
    <cellStyle name="t_BQ_SAMEL_BNI_BEKASI_email_BQ KUSEN TANJUNG PIANNG_EMAIL(2) 3 2 2" xfId="4138"/>
    <cellStyle name="t_BQ_SAMEL_BNI_BEKASI_email_BQ KUSEN TANJUNG PIANNG_EMAIL(2) 3 3" xfId="4137"/>
    <cellStyle name="t_BQ_SAMEL_BNI_BEKASI_email_BQ KUSEN TANJUNG PIANNG_EMAIL(2) 4" xfId="4136"/>
    <cellStyle name="t_BQ_SAMEL_BNI_BEKASI_email_BQ KUSEN TANJUNG PIANNG_EMAIL(2) 4 2" xfId="4135"/>
    <cellStyle name="t_BQ_SAMEL_BNI_BEKASI_email_BQ KUSEN TANJUNG PIANNG_EMAIL(2) 4 2 2" xfId="4134"/>
    <cellStyle name="t_BQ_SAMEL_BNI_BEKASI_email_BQ KUSEN TANJUNG PIANNG_EMAIL(2) 4 3" xfId="4133"/>
    <cellStyle name="t_BQ_SAMEL_BNI_BEKASI_email_BQ KUSEN TANJUNG PIANNG_EMAIL(2) 5" xfId="4132"/>
    <cellStyle name="t_BQ_SAMEL_BNI_BEKASI_email_BQ KUSEN TANJUNG PIANNG_EMAIL(2) 5 2" xfId="4131"/>
    <cellStyle name="t_BQ_SAMEL_BNI_BEKASI_email_BQ KUSEN TANJUNG PIANNG_EMAIL(2) 5 2 2" xfId="4130"/>
    <cellStyle name="t_BQ_SAMEL_BNI_BEKASI_email_BQ KUSEN TANJUNG PIANNG_EMAIL(2) 5 3" xfId="4129"/>
    <cellStyle name="t_BQ_SAMEL_BNI_BEKASI_email_BQ KUSEN TANJUNG PIANNG_EMAIL(2) 6" xfId="4128"/>
    <cellStyle name="t_BQ_SAMEL_BNI_BEKASI_email_BQ KUSEN TANJUNG PIANNG_EMAIL(2) 6 2" xfId="4127"/>
    <cellStyle name="t_BQ_SAMEL_BNI_BEKASI_email_BQ KUSEN TANJUNG PIANNG_EMAIL(2) 6 2 2" xfId="4126"/>
    <cellStyle name="t_BQ_SAMEL_BNI_BEKASI_email_BQ KUSEN TANJUNG PIANNG_EMAIL(2) 6 3" xfId="4125"/>
    <cellStyle name="t_BQ_SAMEL_BNI_BEKASI_email_BQ KUSEN TANJUNG PIANNG_EMAIL(2) 7" xfId="4124"/>
    <cellStyle name="t_BQ_SAMEL_BNI_BEKASI_email_BQ KUSEN TANJUNG PIANNG_EMAIL(2) 7 2" xfId="4123"/>
    <cellStyle name="t_BQ_SAMEL_BNI_BEKASI_email_BQ KUSEN TANJUNG PIANNG_EMAIL(2) 7 2 2" xfId="4122"/>
    <cellStyle name="t_BQ_SAMEL_BNI_BEKASI_email_BQ KUSEN TANJUNG PIANNG_EMAIL(2) 7 3" xfId="4121"/>
    <cellStyle name="t_BQ_SAMEL_BNI_BEKASI_email_BQ KUSEN TANJUNG PIANNG_EMAIL(2) 8" xfId="4120"/>
    <cellStyle name="t_BQ_SAMEL_BNI_BEKASI_email_BQ KUSEN TANJUNG PIANNG_EMAIL(2) 8 2" xfId="4119"/>
    <cellStyle name="t_BQ_SAMEL_BNI_BEKASI_email_BQ KUSEN TANJUNG PIANNG_EMAIL(2) 9" xfId="4118"/>
    <cellStyle name="t_BQ_SAMEL_BNI_BEKASI_email_rab lanjutan print" xfId="4117"/>
    <cellStyle name="t_BQ_SAMEL_BNI_BEKASI_email_rab lanjutan print 2" xfId="4116"/>
    <cellStyle name="t_BQ_SAMEL_BNI_BEKASI_email_rab lanjutan print 2 2" xfId="4115"/>
    <cellStyle name="t_BQ_SAMEL_BNI_BEKASI_email_rab lanjutan print 2 2 2" xfId="4114"/>
    <cellStyle name="t_BQ_SAMEL_BNI_BEKASI_email_rab lanjutan print 2 3" xfId="4113"/>
    <cellStyle name="t_BQ_SAMEL_BNI_BEKASI_email_rab lanjutan print 3" xfId="4112"/>
    <cellStyle name="t_BQ_SAMEL_BNI_BEKASI_email_rab lanjutan print 3 2" xfId="4111"/>
    <cellStyle name="t_BQ_SAMEL_BNI_BEKASI_email_rab lanjutan print 3 2 2" xfId="4110"/>
    <cellStyle name="t_BQ_SAMEL_BNI_BEKASI_email_rab lanjutan print 3 3" xfId="4109"/>
    <cellStyle name="t_BQ_SAMEL_BNI_BEKASI_email_rab lanjutan print 4" xfId="4108"/>
    <cellStyle name="t_BQ_SAMEL_BNI_BEKASI_email_rab lanjutan print 4 2" xfId="4107"/>
    <cellStyle name="t_BQ_SAMEL_BNI_BEKASI_email_rab lanjutan print 4 2 2" xfId="4106"/>
    <cellStyle name="t_BQ_SAMEL_BNI_BEKASI_email_rab lanjutan print 4 3" xfId="4105"/>
    <cellStyle name="t_BQ_SAMEL_BNI_BEKASI_email_rab lanjutan print 5" xfId="4104"/>
    <cellStyle name="t_BQ_SAMEL_BNI_BEKASI_email_rab lanjutan print 5 2" xfId="4103"/>
    <cellStyle name="t_BQ_SAMEL_BNI_BEKASI_email_rab lanjutan print 5 2 2" xfId="4102"/>
    <cellStyle name="t_BQ_SAMEL_BNI_BEKASI_email_rab lanjutan print 5 3" xfId="4101"/>
    <cellStyle name="t_BQ_SAMEL_BNI_BEKASI_email_rab lanjutan print 6" xfId="4100"/>
    <cellStyle name="t_BQ_SAMEL_BNI_BEKASI_email_rab lanjutan print 6 2" xfId="4099"/>
    <cellStyle name="t_BQ_SAMEL_BNI_BEKASI_email_rab lanjutan print 6 2 2" xfId="4098"/>
    <cellStyle name="t_BQ_SAMEL_BNI_BEKASI_email_rab lanjutan print 6 3" xfId="4097"/>
    <cellStyle name="t_BQ_SAMEL_BNI_BEKASI_email_rab lanjutan print 7" xfId="4096"/>
    <cellStyle name="t_BQ_SAMEL_BNI_BEKASI_email_rab lanjutan print 7 2" xfId="4095"/>
    <cellStyle name="t_BQ_SAMEL_BNI_BEKASI_email_rab lanjutan print 7 2 2" xfId="4094"/>
    <cellStyle name="t_BQ_SAMEL_BNI_BEKASI_email_rab lanjutan print 7 3" xfId="4093"/>
    <cellStyle name="t_BQ_SAMEL_BNI_BEKASI_email_rab lanjutan print 8" xfId="4092"/>
    <cellStyle name="t_BQ_SAMEL_BNI_BEKASI_email_rab lanjutan print 8 2" xfId="4091"/>
    <cellStyle name="t_BQ_SAMEL_BNI_BEKASI_email_rab lanjutan print 9" xfId="4090"/>
    <cellStyle name="t_BQ_SAMEL_BNI_BEKASI_email_rab mesjid raya" xfId="4089"/>
    <cellStyle name="t_BQ_SAMEL_BNI_BEKASI_email_rab mesjid raya 2" xfId="4088"/>
    <cellStyle name="t_BQ_SAMEL_BNI_BEKASI_email_rab mesjid raya 2 2" xfId="4087"/>
    <cellStyle name="t_BQ_SAMEL_BNI_BEKASI_email_rab mesjid raya 2 2 2" xfId="4086"/>
    <cellStyle name="t_BQ_SAMEL_BNI_BEKASI_email_rab mesjid raya 2 3" xfId="4085"/>
    <cellStyle name="t_BQ_SAMEL_BNI_BEKASI_email_rab mesjid raya 3" xfId="4084"/>
    <cellStyle name="t_BQ_SAMEL_BNI_BEKASI_email_rab mesjid raya 3 2" xfId="4083"/>
    <cellStyle name="t_BQ_SAMEL_BNI_BEKASI_email_rab mesjid raya 3 2 2" xfId="4082"/>
    <cellStyle name="t_BQ_SAMEL_BNI_BEKASI_email_rab mesjid raya 3 3" xfId="4081"/>
    <cellStyle name="t_BQ_SAMEL_BNI_BEKASI_email_rab mesjid raya 4" xfId="4080"/>
    <cellStyle name="t_BQ_SAMEL_BNI_BEKASI_email_rab mesjid raya 4 2" xfId="4079"/>
    <cellStyle name="t_BQ_SAMEL_BNI_BEKASI_email_rab mesjid raya 4 2 2" xfId="4078"/>
    <cellStyle name="t_BQ_SAMEL_BNI_BEKASI_email_rab mesjid raya 4 3" xfId="4077"/>
    <cellStyle name="t_BQ_SAMEL_BNI_BEKASI_email_rab mesjid raya 5" xfId="4076"/>
    <cellStyle name="t_BQ_SAMEL_BNI_BEKASI_email_rab mesjid raya 5 2" xfId="4075"/>
    <cellStyle name="t_BQ_SAMEL_BNI_BEKASI_email_rab mesjid raya 5 2 2" xfId="4074"/>
    <cellStyle name="t_BQ_SAMEL_BNI_BEKASI_email_rab mesjid raya 5 3" xfId="4073"/>
    <cellStyle name="t_BQ_SAMEL_BNI_BEKASI_email_rab mesjid raya 6" xfId="4072"/>
    <cellStyle name="t_BQ_SAMEL_BNI_BEKASI_email_rab mesjid raya 6 2" xfId="4071"/>
    <cellStyle name="t_BQ_SAMEL_BNI_BEKASI_email_rab mesjid raya 6 2 2" xfId="4070"/>
    <cellStyle name="t_BQ_SAMEL_BNI_BEKASI_email_rab mesjid raya 6 3" xfId="4069"/>
    <cellStyle name="t_BQ_SAMEL_BNI_BEKASI_email_rab mesjid raya 7" xfId="4068"/>
    <cellStyle name="t_BQ_SAMEL_BNI_BEKASI_email_rab mesjid raya 7 2" xfId="4067"/>
    <cellStyle name="t_BQ_SAMEL_BNI_BEKASI_email_rab mesjid raya 7 2 2" xfId="4066"/>
    <cellStyle name="t_BQ_SAMEL_BNI_BEKASI_email_rab mesjid raya 7 3" xfId="4065"/>
    <cellStyle name="t_BQ_SAMEL_BNI_BEKASI_email_rab mesjid raya 8" xfId="4064"/>
    <cellStyle name="t_BQ_SAMEL_BNI_BEKASI_email_rab mesjid raya 8 2" xfId="4063"/>
    <cellStyle name="t_BQ_SAMEL_BNI_BEKASI_email_rab mesjid raya 9" xfId="4062"/>
    <cellStyle name="t_BQ_SAMEL_BNI_BEKASI_email_rab proyek bpk" xfId="4061"/>
    <cellStyle name="t_BQ_SAMEL_BNI_BEKASI_email_rab proyek bpk 2" xfId="4060"/>
    <cellStyle name="t_BQ_SAMEL_BNI_BEKASI_email_rab proyek bpk 2 2" xfId="4059"/>
    <cellStyle name="t_BQ_SAMEL_BNI_BEKASI_email_rab proyek bpk 2 2 2" xfId="4058"/>
    <cellStyle name="t_BQ_SAMEL_BNI_BEKASI_email_rab proyek bpk 2 3" xfId="4057"/>
    <cellStyle name="t_BQ_SAMEL_BNI_BEKASI_email_rab proyek bpk 3" xfId="4056"/>
    <cellStyle name="t_BQ_SAMEL_BNI_BEKASI_email_rab proyek bpk 3 2" xfId="4055"/>
    <cellStyle name="t_BQ_SAMEL_BNI_BEKASI_email_rab proyek bpk 3 2 2" xfId="4054"/>
    <cellStyle name="t_BQ_SAMEL_BNI_BEKASI_email_rab proyek bpk 3 3" xfId="4053"/>
    <cellStyle name="t_BQ_SAMEL_BNI_BEKASI_email_rab proyek bpk 4" xfId="4052"/>
    <cellStyle name="t_BQ_SAMEL_BNI_BEKASI_email_rab proyek bpk 4 2" xfId="4051"/>
    <cellStyle name="t_BQ_SAMEL_BNI_BEKASI_email_rab proyek bpk 4 2 2" xfId="4050"/>
    <cellStyle name="t_BQ_SAMEL_BNI_BEKASI_email_rab proyek bpk 4 3" xfId="4049"/>
    <cellStyle name="t_BQ_SAMEL_BNI_BEKASI_email_rab proyek bpk 5" xfId="4048"/>
    <cellStyle name="t_BQ_SAMEL_BNI_BEKASI_email_rab proyek bpk 5 2" xfId="4047"/>
    <cellStyle name="t_BQ_SAMEL_BNI_BEKASI_email_rab proyek bpk 5 2 2" xfId="4046"/>
    <cellStyle name="t_BQ_SAMEL_BNI_BEKASI_email_rab proyek bpk 5 3" xfId="4045"/>
    <cellStyle name="t_BQ_SAMEL_BNI_BEKASI_email_rab proyek bpk 6" xfId="4044"/>
    <cellStyle name="t_BQ_SAMEL_BNI_BEKASI_email_rab proyek bpk 6 2" xfId="4043"/>
    <cellStyle name="t_BQ_SAMEL_BNI_BEKASI_email_rab proyek bpk 6 2 2" xfId="4042"/>
    <cellStyle name="t_BQ_SAMEL_BNI_BEKASI_email_rab proyek bpk 6 3" xfId="4041"/>
    <cellStyle name="t_BQ_SAMEL_BNI_BEKASI_email_rab proyek bpk 7" xfId="4040"/>
    <cellStyle name="t_BQ_SAMEL_BNI_BEKASI_email_rab proyek bpk 7 2" xfId="4039"/>
    <cellStyle name="t_BQ_SAMEL_BNI_BEKASI_email_rab proyek bpk 7 2 2" xfId="4038"/>
    <cellStyle name="t_BQ_SAMEL_BNI_BEKASI_email_rab proyek bpk 7 3" xfId="4037"/>
    <cellStyle name="t_BQ_SAMEL_BNI_BEKASI_email_rab proyek bpk 8" xfId="4036"/>
    <cellStyle name="t_BQ_SAMEL_BNI_BEKASI_email_rab proyek bpk 8 2" xfId="4035"/>
    <cellStyle name="t_BQ_SAMEL_BNI_BEKASI_email_rab proyek bpk 9" xfId="4034"/>
    <cellStyle name="t_BQ_SAMEL_BNI_BEKASI_email_Realisasi Kontrak Kampar 31 agustus 2009" xfId="4033"/>
    <cellStyle name="t_BQ_SAMEL_BNI_BEKASI_email_Realisasi Kontrak Kampar 31 agustus 2009 2" xfId="4032"/>
    <cellStyle name="t_BQ_SAMEL_BNI_BEKASI_email_Realisasi Kontrak Kampar 31 agustus 2009 2 2" xfId="4031"/>
    <cellStyle name="t_BQ_SAMEL_BNI_BEKASI_email_Realisasi Kontrak Kampar 31 agustus 2009 2 2 2" xfId="4030"/>
    <cellStyle name="t_BQ_SAMEL_BNI_BEKASI_email_Realisasi Kontrak Kampar 31 agustus 2009 2 3" xfId="4029"/>
    <cellStyle name="t_BQ_SAMEL_BNI_BEKASI_email_Realisasi Kontrak Kampar 31 agustus 2009 3" xfId="4028"/>
    <cellStyle name="t_BQ_SAMEL_BNI_BEKASI_email_Realisasi Kontrak Kampar 31 agustus 2009 3 2" xfId="4027"/>
    <cellStyle name="t_BQ_SAMEL_BNI_BEKASI_email_Realisasi Kontrak Kampar 31 agustus 2009 3 2 2" xfId="4026"/>
    <cellStyle name="t_BQ_SAMEL_BNI_BEKASI_email_Realisasi Kontrak Kampar 31 agustus 2009 3 3" xfId="4025"/>
    <cellStyle name="t_BQ_SAMEL_BNI_BEKASI_email_Realisasi Kontrak Kampar 31 agustus 2009 4" xfId="4024"/>
    <cellStyle name="t_BQ_SAMEL_BNI_BEKASI_email_Realisasi Kontrak Kampar 31 agustus 2009 4 2" xfId="4023"/>
    <cellStyle name="t_BQ_SAMEL_BNI_BEKASI_email_Realisasi Kontrak Kampar 31 agustus 2009 4 2 2" xfId="4022"/>
    <cellStyle name="t_BQ_SAMEL_BNI_BEKASI_email_Realisasi Kontrak Kampar 31 agustus 2009 4 3" xfId="4021"/>
    <cellStyle name="t_BQ_SAMEL_BNI_BEKASI_email_Realisasi Kontrak Kampar 31 agustus 2009 5" xfId="4020"/>
    <cellStyle name="t_BQ_SAMEL_BNI_BEKASI_email_Realisasi Kontrak Kampar 31 agustus 2009 5 2" xfId="4019"/>
    <cellStyle name="t_BQ_SAMEL_BNI_BEKASI_email_Realisasi Kontrak Kampar 31 agustus 2009 5 2 2" xfId="4018"/>
    <cellStyle name="t_BQ_SAMEL_BNI_BEKASI_email_Realisasi Kontrak Kampar 31 agustus 2009 5 3" xfId="4017"/>
    <cellStyle name="t_BQ_SAMEL_BNI_BEKASI_email_Realisasi Kontrak Kampar 31 agustus 2009 6" xfId="4016"/>
    <cellStyle name="t_BQ_SAMEL_BNI_BEKASI_email_Realisasi Kontrak Kampar 31 agustus 2009 6 2" xfId="4015"/>
    <cellStyle name="t_BQ_SAMEL_BNI_BEKASI_email_Realisasi Kontrak Kampar 31 agustus 2009 6 2 2" xfId="4014"/>
    <cellStyle name="t_BQ_SAMEL_BNI_BEKASI_email_Realisasi Kontrak Kampar 31 agustus 2009 6 3" xfId="4013"/>
    <cellStyle name="t_BQ_SAMEL_BNI_BEKASI_email_Realisasi Kontrak Kampar 31 agustus 2009 7" xfId="4012"/>
    <cellStyle name="t_BQ_SAMEL_BNI_BEKASI_email_Realisasi Kontrak Kampar 31 agustus 2009 7 2" xfId="4011"/>
    <cellStyle name="t_BQ_SAMEL_BNI_BEKASI_email_Realisasi Kontrak Kampar 31 agustus 2009 7 2 2" xfId="4010"/>
    <cellStyle name="t_BQ_SAMEL_BNI_BEKASI_email_Realisasi Kontrak Kampar 31 agustus 2009 7 3" xfId="4009"/>
    <cellStyle name="t_BQ_SAMEL_BNI_BEKASI_email_Realisasi Kontrak Kampar 31 agustus 2009 8" xfId="4008"/>
    <cellStyle name="t_BQ_SAMEL_BNI_BEKASI_email_Realisasi Kontrak Kampar 31 agustus 2009 8 2" xfId="4007"/>
    <cellStyle name="t_BQ_SAMEL_BNI_BEKASI_email_Realisasi Kontrak Kampar 31 agustus 2009 9" xfId="4006"/>
    <cellStyle name="t_BQ_UGM (YKK)_Opt" xfId="4005"/>
    <cellStyle name="t_BQ_UGM (YKK)_Opt 2" xfId="4004"/>
    <cellStyle name="t_BQ_UGM (YKK)_Opt 2 2" xfId="4003"/>
    <cellStyle name="t_BQ_UGM (YKK)_Opt 2 2 2" xfId="4002"/>
    <cellStyle name="t_BQ_UGM (YKK)_Opt 2 3" xfId="4001"/>
    <cellStyle name="t_BQ_UGM (YKK)_Opt 3" xfId="4000"/>
    <cellStyle name="t_BQ_UGM (YKK)_Opt 3 2" xfId="3999"/>
    <cellStyle name="t_BQ_UGM (YKK)_Opt 3 2 2" xfId="3998"/>
    <cellStyle name="t_BQ_UGM (YKK)_Opt 3 3" xfId="3997"/>
    <cellStyle name="t_BQ_UGM (YKK)_Opt 4" xfId="3996"/>
    <cellStyle name="t_BQ_UGM (YKK)_Opt 4 2" xfId="3995"/>
    <cellStyle name="t_BQ_UGM (YKK)_Opt 4 2 2" xfId="3994"/>
    <cellStyle name="t_BQ_UGM (YKK)_Opt 4 3" xfId="3993"/>
    <cellStyle name="t_BQ_UGM (YKK)_Opt 5" xfId="3992"/>
    <cellStyle name="t_BQ_UGM (YKK)_Opt 5 2" xfId="3991"/>
    <cellStyle name="t_BQ_UGM (YKK)_Opt 5 2 2" xfId="3990"/>
    <cellStyle name="t_BQ_UGM (YKK)_Opt 5 3" xfId="3989"/>
    <cellStyle name="t_BQ_UGM (YKK)_Opt 6" xfId="3988"/>
    <cellStyle name="t_BQ_UGM (YKK)_Opt 6 2" xfId="3987"/>
    <cellStyle name="t_BQ_UGM (YKK)_Opt 6 2 2" xfId="3986"/>
    <cellStyle name="t_BQ_UGM (YKK)_Opt 6 3" xfId="3985"/>
    <cellStyle name="t_BQ_UGM (YKK)_Opt 7" xfId="3984"/>
    <cellStyle name="t_BQ_UGM (YKK)_Opt 7 2" xfId="3983"/>
    <cellStyle name="t_BQ_UGM (YKK)_Opt 7 2 2" xfId="3982"/>
    <cellStyle name="t_BQ_UGM (YKK)_Opt 7 3" xfId="3981"/>
    <cellStyle name="t_BQ_UGM (YKK)_Opt 8" xfId="3980"/>
    <cellStyle name="t_BQ_UGM (YKK)_Opt 8 2" xfId="3979"/>
    <cellStyle name="t_BQ_UGM (YKK)_Opt 9" xfId="3978"/>
    <cellStyle name="t_BQ_UGM (YKK)_Opt_Realisasi Kontrak Kampar 31 agustus 2009" xfId="3977"/>
    <cellStyle name="t_BQ_UGM (YKK)_Opt_Realisasi Kontrak Kampar 31 agustus 2009 2" xfId="3976"/>
    <cellStyle name="t_BQ_UGM (YKK)_Opt_Realisasi Kontrak Kampar 31 agustus 2009 2 2" xfId="3975"/>
    <cellStyle name="t_BQ_UGM (YKK)_Opt_Realisasi Kontrak Kampar 31 agustus 2009 2 2 2" xfId="3974"/>
    <cellStyle name="t_BQ_UGM (YKK)_Opt_Realisasi Kontrak Kampar 31 agustus 2009 2 3" xfId="3973"/>
    <cellStyle name="t_BQ_UGM (YKK)_Opt_Realisasi Kontrak Kampar 31 agustus 2009 3" xfId="3972"/>
    <cellStyle name="t_BQ_UGM (YKK)_Opt_Realisasi Kontrak Kampar 31 agustus 2009 3 2" xfId="3971"/>
    <cellStyle name="t_BQ_UGM (YKK)_Opt_Realisasi Kontrak Kampar 31 agustus 2009 3 2 2" xfId="3970"/>
    <cellStyle name="t_BQ_UGM (YKK)_Opt_Realisasi Kontrak Kampar 31 agustus 2009 3 3" xfId="3969"/>
    <cellStyle name="t_BQ_UGM (YKK)_Opt_Realisasi Kontrak Kampar 31 agustus 2009 4" xfId="3968"/>
    <cellStyle name="t_BQ_UGM (YKK)_Opt_Realisasi Kontrak Kampar 31 agustus 2009 4 2" xfId="3967"/>
    <cellStyle name="t_BQ_UGM (YKK)_Opt_Realisasi Kontrak Kampar 31 agustus 2009 4 2 2" xfId="3966"/>
    <cellStyle name="t_BQ_UGM (YKK)_Opt_Realisasi Kontrak Kampar 31 agustus 2009 4 3" xfId="3965"/>
    <cellStyle name="t_BQ_UGM (YKK)_Opt_Realisasi Kontrak Kampar 31 agustus 2009 5" xfId="3964"/>
    <cellStyle name="t_BQ_UGM (YKK)_Opt_Realisasi Kontrak Kampar 31 agustus 2009 5 2" xfId="3963"/>
    <cellStyle name="t_BQ_UGM (YKK)_Opt_Realisasi Kontrak Kampar 31 agustus 2009 5 2 2" xfId="3962"/>
    <cellStyle name="t_BQ_UGM (YKK)_Opt_Realisasi Kontrak Kampar 31 agustus 2009 5 3" xfId="3961"/>
    <cellStyle name="t_BQ_UGM (YKK)_Opt_Realisasi Kontrak Kampar 31 agustus 2009 6" xfId="3960"/>
    <cellStyle name="t_BQ_UGM (YKK)_Opt_Realisasi Kontrak Kampar 31 agustus 2009 6 2" xfId="3959"/>
    <cellStyle name="t_BQ_UGM (YKK)_Opt_Realisasi Kontrak Kampar 31 agustus 2009 6 2 2" xfId="3958"/>
    <cellStyle name="t_BQ_UGM (YKK)_Opt_Realisasi Kontrak Kampar 31 agustus 2009 6 3" xfId="3957"/>
    <cellStyle name="t_BQ_UGM (YKK)_Opt_Realisasi Kontrak Kampar 31 agustus 2009 7" xfId="3956"/>
    <cellStyle name="t_BQ_UGM (YKK)_Opt_Realisasi Kontrak Kampar 31 agustus 2009 7 2" xfId="3955"/>
    <cellStyle name="t_BQ_UGM (YKK)_Opt_Realisasi Kontrak Kampar 31 agustus 2009 7 2 2" xfId="3954"/>
    <cellStyle name="t_BQ_UGM (YKK)_Opt_Realisasi Kontrak Kampar 31 agustus 2009 7 3" xfId="3953"/>
    <cellStyle name="t_BQ_UGM (YKK)_Opt_Realisasi Kontrak Kampar 31 agustus 2009 8" xfId="3952"/>
    <cellStyle name="t_BQ_UGM (YKK)_Opt_Realisasi Kontrak Kampar 31 agustus 2009 8 2" xfId="3951"/>
    <cellStyle name="t_BQ_UGM (YKK)_Opt_Realisasi Kontrak Kampar 31 agustus 2009 9" xfId="3950"/>
    <cellStyle name="t_BQ-BMG" xfId="3949"/>
    <cellStyle name="t_BQ-BMG 2" xfId="3948"/>
    <cellStyle name="t_BQ-BMG 2 2" xfId="3947"/>
    <cellStyle name="t_BQ-BMG 2 2 2" xfId="3946"/>
    <cellStyle name="t_BQ-BMG 2 3" xfId="3945"/>
    <cellStyle name="t_BQ-BMG 3" xfId="3944"/>
    <cellStyle name="t_BQ-BMG 3 2" xfId="3943"/>
    <cellStyle name="t_BQ-BMG 3 2 2" xfId="3942"/>
    <cellStyle name="t_BQ-BMG 3 3" xfId="3941"/>
    <cellStyle name="t_BQ-BMG 4" xfId="3940"/>
    <cellStyle name="t_BQ-BMG 4 2" xfId="3939"/>
    <cellStyle name="t_BQ-BMG 4 2 2" xfId="3938"/>
    <cellStyle name="t_BQ-BMG 4 3" xfId="3937"/>
    <cellStyle name="t_BQ-BMG 5" xfId="3936"/>
    <cellStyle name="t_BQ-BMG 5 2" xfId="3935"/>
    <cellStyle name="t_BQ-BMG 5 2 2" xfId="3934"/>
    <cellStyle name="t_BQ-BMG 5 3" xfId="3933"/>
    <cellStyle name="t_BQ-BMG 6" xfId="3932"/>
    <cellStyle name="t_BQ-BMG 6 2" xfId="3931"/>
    <cellStyle name="t_BQ-BMG 6 2 2" xfId="3930"/>
    <cellStyle name="t_BQ-BMG 6 3" xfId="3929"/>
    <cellStyle name="t_BQ-BMG 7" xfId="3928"/>
    <cellStyle name="t_BQ-BMG 7 2" xfId="3927"/>
    <cellStyle name="t_BQ-BMG 7 2 2" xfId="3926"/>
    <cellStyle name="t_BQ-BMG 7 3" xfId="3925"/>
    <cellStyle name="t_BQ-BMG 8" xfId="3924"/>
    <cellStyle name="t_BQ-BMG 8 2" xfId="3923"/>
    <cellStyle name="t_BQ-BMG 9" xfId="3922"/>
    <cellStyle name="t_BQ-BMG_Realisasi Kontrak Kampar 31 agustus 2009" xfId="3921"/>
    <cellStyle name="t_BQ-BMG_Realisasi Kontrak Kampar 31 agustus 2009 2" xfId="3920"/>
    <cellStyle name="t_BQ-BMG_Realisasi Kontrak Kampar 31 agustus 2009 2 2" xfId="3919"/>
    <cellStyle name="t_BQ-BMG_Realisasi Kontrak Kampar 31 agustus 2009 2 2 2" xfId="3918"/>
    <cellStyle name="t_BQ-BMG_Realisasi Kontrak Kampar 31 agustus 2009 2 3" xfId="3917"/>
    <cellStyle name="t_BQ-BMG_Realisasi Kontrak Kampar 31 agustus 2009 3" xfId="3916"/>
    <cellStyle name="t_BQ-BMG_Realisasi Kontrak Kampar 31 agustus 2009 3 2" xfId="3915"/>
    <cellStyle name="t_BQ-BMG_Realisasi Kontrak Kampar 31 agustus 2009 3 2 2" xfId="3914"/>
    <cellStyle name="t_BQ-BMG_Realisasi Kontrak Kampar 31 agustus 2009 3 3" xfId="3913"/>
    <cellStyle name="t_BQ-BMG_Realisasi Kontrak Kampar 31 agustus 2009 4" xfId="3912"/>
    <cellStyle name="t_BQ-BMG_Realisasi Kontrak Kampar 31 agustus 2009 4 2" xfId="3911"/>
    <cellStyle name="t_BQ-BMG_Realisasi Kontrak Kampar 31 agustus 2009 4 2 2" xfId="3910"/>
    <cellStyle name="t_BQ-BMG_Realisasi Kontrak Kampar 31 agustus 2009 4 3" xfId="3909"/>
    <cellStyle name="t_BQ-BMG_Realisasi Kontrak Kampar 31 agustus 2009 5" xfId="3908"/>
    <cellStyle name="t_BQ-BMG_Realisasi Kontrak Kampar 31 agustus 2009 5 2" xfId="3907"/>
    <cellStyle name="t_BQ-BMG_Realisasi Kontrak Kampar 31 agustus 2009 5 2 2" xfId="3906"/>
    <cellStyle name="t_BQ-BMG_Realisasi Kontrak Kampar 31 agustus 2009 5 3" xfId="3905"/>
    <cellStyle name="t_BQ-BMG_Realisasi Kontrak Kampar 31 agustus 2009 6" xfId="3904"/>
    <cellStyle name="t_BQ-BMG_Realisasi Kontrak Kampar 31 agustus 2009 6 2" xfId="3903"/>
    <cellStyle name="t_BQ-BMG_Realisasi Kontrak Kampar 31 agustus 2009 6 2 2" xfId="3902"/>
    <cellStyle name="t_BQ-BMG_Realisasi Kontrak Kampar 31 agustus 2009 6 3" xfId="3901"/>
    <cellStyle name="t_BQ-BMG_Realisasi Kontrak Kampar 31 agustus 2009 7" xfId="3900"/>
    <cellStyle name="t_BQ-BMG_Realisasi Kontrak Kampar 31 agustus 2009 7 2" xfId="3899"/>
    <cellStyle name="t_BQ-BMG_Realisasi Kontrak Kampar 31 agustus 2009 7 2 2" xfId="3898"/>
    <cellStyle name="t_BQ-BMG_Realisasi Kontrak Kampar 31 agustus 2009 7 3" xfId="3897"/>
    <cellStyle name="t_BQ-BMG_Realisasi Kontrak Kampar 31 agustus 2009 8" xfId="3896"/>
    <cellStyle name="t_BQ-BMG_Realisasi Kontrak Kampar 31 agustus 2009 8 2" xfId="3895"/>
    <cellStyle name="t_BQ-BMG_Realisasi Kontrak Kampar 31 agustus 2009 9" xfId="3894"/>
    <cellStyle name="T_break down amd10 final" xfId="3893"/>
    <cellStyle name="T_break down amd10 final 2" xfId="3892"/>
    <cellStyle name="T_break down amd10 final 2 2" xfId="3891"/>
    <cellStyle name="T_break down amd10 final 3" xfId="3890"/>
    <cellStyle name="T_break down amd10 final 4" xfId="3889"/>
    <cellStyle name="T_break down amd10 final 5" xfId="3888"/>
    <cellStyle name="T_break down amd10 final_Evaluasi Negoisasi (Lampiran Berita Acara) - Rev 3" xfId="3887"/>
    <cellStyle name="T_break down amd10 final_Evaluasi Negoisasi (Lampiran Berita Acara) - Rev 3 2" xfId="3886"/>
    <cellStyle name="T_break down amd10 final_Evaluasi Negoisasi (Lampiran Berita Acara) - Rev 3 2 2" xfId="3885"/>
    <cellStyle name="T_break down amd10 final_Evaluasi Negoisasi (Lampiran Berita Acara) - Rev 3 3" xfId="3884"/>
    <cellStyle name="T_break down amd10 final_Evaluasi Negoisasi (Lampiran Berita Acara) - Rev 3 4" xfId="3883"/>
    <cellStyle name="T_break down amd10 final_Evaluasi Negoisasi (Lampiran Berita Acara) - Rev 3 5" xfId="3882"/>
    <cellStyle name="T_break down amd10 final_Schedule  PCM" xfId="3881"/>
    <cellStyle name="T_break down amd10 final_Schedule  PCM 2" xfId="3880"/>
    <cellStyle name="T_break down amd10 final_Schedule  PCM 2 2" xfId="3879"/>
    <cellStyle name="T_break down amd10 final_Schedule  PCM 3" xfId="3878"/>
    <cellStyle name="T_break down amd10 final_Schedule  PCM 4" xfId="3877"/>
    <cellStyle name="T_break down amd10 final_Schedule  PCM 5" xfId="3876"/>
    <cellStyle name="T_break down amd10 final_Schedule  PCM_schedule rev -2 paket AMS 8" xfId="3875"/>
    <cellStyle name="T_break down amd10 final_Schedule  PCM_schedule rev -2 paket AMS 8 2" xfId="3874"/>
    <cellStyle name="T_break down amd10 final_Schedule  PCM_schedule rev -2 paket AMS 8 2 2" xfId="3873"/>
    <cellStyle name="T_break down amd10 final_Schedule  PCM_schedule rev -2 paket AMS 8 3" xfId="3872"/>
    <cellStyle name="T_break down amd10 final_Schedule  PCM_schedule rev -2 paket AMS 8 4" xfId="3871"/>
    <cellStyle name="T_break down amd10 final_Schedule  PCM_schedule rev -2 paket AMS 8 5" xfId="3870"/>
    <cellStyle name="T_break down amd10 final_Schedule Revisi 1" xfId="3869"/>
    <cellStyle name="T_break down amd10 final_Schedule Revisi 1 2" xfId="3868"/>
    <cellStyle name="T_break down amd10 final_Schedule Revisi 1 2 2" xfId="3867"/>
    <cellStyle name="T_break down amd10 final_Schedule Revisi 1 3" xfId="3866"/>
    <cellStyle name="T_break down amd10 final_Schedule Revisi 1 4" xfId="3865"/>
    <cellStyle name="T_break down amd10 final_Schedule Revisi 1 5" xfId="3864"/>
    <cellStyle name="T_break down amd10 final_Schedule Revisi 1_schedule rev -2 paket AMS 8" xfId="3863"/>
    <cellStyle name="T_break down amd10 final_Schedule Revisi 1_schedule rev -2 paket AMS 8 2" xfId="3862"/>
    <cellStyle name="T_break down amd10 final_Schedule Revisi 1_schedule rev -2 paket AMS 8 2 2" xfId="3861"/>
    <cellStyle name="T_break down amd10 final_Schedule Revisi 1_schedule rev -2 paket AMS 8 3" xfId="3860"/>
    <cellStyle name="T_break down amd10 final_Schedule Revisi 1_schedule rev -2 paket AMS 8 4" xfId="3859"/>
    <cellStyle name="T_break down amd10 final_Schedule Revisi 1_schedule rev -2 paket AMS 8 5" xfId="3858"/>
    <cellStyle name="T_break down amd10 final_summary amd 1 final" xfId="3857"/>
    <cellStyle name="T_break down amd10 final_summary amd 1 final 2" xfId="3856"/>
    <cellStyle name="T_break down amd10 final_summary amd 1 final 2 2" xfId="3855"/>
    <cellStyle name="T_break down amd10 final_summary amd 1 final 3" xfId="3854"/>
    <cellStyle name="T_break down amd10 final_summary amd 1 final 4" xfId="3853"/>
    <cellStyle name="T_break down amd10 final_summary amd 1 final 5" xfId="3852"/>
    <cellStyle name="T_break down amd10 final_summary amd 1 final_schedule rev -2 paket AMS 8" xfId="3851"/>
    <cellStyle name="T_break down amd10 final_summary amd 1 final_schedule rev -2 paket AMS 8 2" xfId="3850"/>
    <cellStyle name="T_break down amd10 final_summary amd 1 final_schedule rev -2 paket AMS 8 2 2" xfId="3849"/>
    <cellStyle name="T_break down amd10 final_summary amd 1 final_schedule rev -2 paket AMS 8 3" xfId="3848"/>
    <cellStyle name="T_break down amd10 final_summary amd 1 final_schedule rev -2 paket AMS 8 4" xfId="3847"/>
    <cellStyle name="T_break down amd10 final_summary amd 1 final_schedule rev -2 paket AMS 8 5" xfId="3846"/>
    <cellStyle name="t_Dephan (YKPP)_Rev#31" xfId="3845"/>
    <cellStyle name="t_Dephan (YKPP)_Rev#31 2" xfId="3844"/>
    <cellStyle name="t_Dephan (YKPP)_Rev#31 2 2" xfId="3843"/>
    <cellStyle name="t_Dephan (YKPP)_Rev#31 2 2 2" xfId="3842"/>
    <cellStyle name="t_Dephan (YKPP)_Rev#31 2 3" xfId="3841"/>
    <cellStyle name="t_Dephan (YKPP)_Rev#31 3" xfId="3840"/>
    <cellStyle name="t_Dephan (YKPP)_Rev#31 3 2" xfId="3839"/>
    <cellStyle name="t_Dephan (YKPP)_Rev#31 3 2 2" xfId="3838"/>
    <cellStyle name="t_Dephan (YKPP)_Rev#31 3 3" xfId="3837"/>
    <cellStyle name="t_Dephan (YKPP)_Rev#31 4" xfId="3836"/>
    <cellStyle name="t_Dephan (YKPP)_Rev#31 4 2" xfId="3835"/>
    <cellStyle name="t_Dephan (YKPP)_Rev#31 4 2 2" xfId="3834"/>
    <cellStyle name="t_Dephan (YKPP)_Rev#31 4 3" xfId="3833"/>
    <cellStyle name="t_Dephan (YKPP)_Rev#31 5" xfId="3832"/>
    <cellStyle name="t_Dephan (YKPP)_Rev#31 5 2" xfId="3831"/>
    <cellStyle name="t_Dephan (YKPP)_Rev#31 5 2 2" xfId="3830"/>
    <cellStyle name="t_Dephan (YKPP)_Rev#31 5 3" xfId="3829"/>
    <cellStyle name="t_Dephan (YKPP)_Rev#31 6" xfId="3828"/>
    <cellStyle name="t_Dephan (YKPP)_Rev#31 6 2" xfId="3827"/>
    <cellStyle name="t_Dephan (YKPP)_Rev#31 6 2 2" xfId="3826"/>
    <cellStyle name="t_Dephan (YKPP)_Rev#31 6 3" xfId="3825"/>
    <cellStyle name="t_Dephan (YKPP)_Rev#31 7" xfId="3824"/>
    <cellStyle name="t_Dephan (YKPP)_Rev#31 7 2" xfId="3823"/>
    <cellStyle name="t_Dephan (YKPP)_Rev#31 7 2 2" xfId="3822"/>
    <cellStyle name="t_Dephan (YKPP)_Rev#31 7 3" xfId="3821"/>
    <cellStyle name="t_Dephan (YKPP)_Rev#31 8" xfId="3820"/>
    <cellStyle name="t_Dephan (YKPP)_Rev#31 8 2" xfId="3819"/>
    <cellStyle name="t_Dephan (YKPP)_Rev#31 9" xfId="3818"/>
    <cellStyle name="T_E-Proc_1" xfId="3817"/>
    <cellStyle name="T_E-Proc_1 10" xfId="3816"/>
    <cellStyle name="T_E-Proc_1 11" xfId="3815"/>
    <cellStyle name="T_E-Proc_1 12" xfId="3814"/>
    <cellStyle name="T_E-Proc_1 2" xfId="3813"/>
    <cellStyle name="T_E-Proc_1 2 2" xfId="3812"/>
    <cellStyle name="T_E-Proc_1 2 2 2" xfId="3811"/>
    <cellStyle name="T_E-Proc_1 2 3" xfId="3810"/>
    <cellStyle name="T_E-Proc_1 2 4" xfId="3809"/>
    <cellStyle name="T_E-Proc_1 2 5" xfId="3808"/>
    <cellStyle name="T_E-Proc_1 3" xfId="3807"/>
    <cellStyle name="T_E-Proc_1 3 2" xfId="3806"/>
    <cellStyle name="T_E-Proc_1 3 2 2" xfId="3805"/>
    <cellStyle name="T_E-Proc_1 3 3" xfId="3804"/>
    <cellStyle name="T_E-Proc_1 3 4" xfId="3803"/>
    <cellStyle name="T_E-Proc_1 3 5" xfId="3802"/>
    <cellStyle name="T_E-Proc_1 4" xfId="3801"/>
    <cellStyle name="T_E-Proc_1 4 2" xfId="3800"/>
    <cellStyle name="T_E-Proc_1 4 2 2" xfId="3799"/>
    <cellStyle name="T_E-Proc_1 4 3" xfId="3798"/>
    <cellStyle name="T_E-Proc_1 4 4" xfId="3797"/>
    <cellStyle name="T_E-Proc_1 4 5" xfId="3796"/>
    <cellStyle name="T_E-Proc_1 5" xfId="3795"/>
    <cellStyle name="T_E-Proc_1 5 2" xfId="3794"/>
    <cellStyle name="T_E-Proc_1 5 2 2" xfId="3793"/>
    <cellStyle name="T_E-Proc_1 5 3" xfId="3792"/>
    <cellStyle name="T_E-Proc_1 5 4" xfId="3791"/>
    <cellStyle name="T_E-Proc_1 5 5" xfId="3790"/>
    <cellStyle name="T_E-Proc_1 6" xfId="3789"/>
    <cellStyle name="T_E-Proc_1 6 2" xfId="3788"/>
    <cellStyle name="T_E-Proc_1 6 2 2" xfId="3787"/>
    <cellStyle name="T_E-Proc_1 6 3" xfId="3786"/>
    <cellStyle name="T_E-Proc_1 6 4" xfId="3785"/>
    <cellStyle name="T_E-Proc_1 6 5" xfId="3784"/>
    <cellStyle name="T_E-Proc_1 7" xfId="3783"/>
    <cellStyle name="T_E-Proc_1 7 2" xfId="3782"/>
    <cellStyle name="T_E-Proc_1 7 2 2" xfId="3781"/>
    <cellStyle name="T_E-Proc_1 7 3" xfId="3780"/>
    <cellStyle name="T_E-Proc_1 7 4" xfId="3779"/>
    <cellStyle name="T_E-Proc_1 7 5" xfId="3778"/>
    <cellStyle name="T_E-Proc_1 8" xfId="3777"/>
    <cellStyle name="T_E-Proc_1 8 2" xfId="3776"/>
    <cellStyle name="T_E-Proc_1 8 2 2" xfId="3775"/>
    <cellStyle name="T_E-Proc_1 8 3" xfId="3774"/>
    <cellStyle name="T_E-Proc_1 8 4" xfId="3773"/>
    <cellStyle name="T_E-Proc_1 8 5" xfId="3772"/>
    <cellStyle name="T_E-Proc_1 9" xfId="3771"/>
    <cellStyle name="T_E-Proc_1 9 2" xfId="3770"/>
    <cellStyle name="T_E-Proc_CW_Opt" xfId="3769"/>
    <cellStyle name="T_E-Proc_CW_Opt 10" xfId="3768"/>
    <cellStyle name="T_E-Proc_CW_Opt 11" xfId="3767"/>
    <cellStyle name="T_E-Proc_CW_Opt 12" xfId="3766"/>
    <cellStyle name="T_E-Proc_CW_Opt 2" xfId="3765"/>
    <cellStyle name="T_E-Proc_CW_Opt 2 2" xfId="3764"/>
    <cellStyle name="T_E-Proc_CW_Opt 2 2 2" xfId="3763"/>
    <cellStyle name="T_E-Proc_CW_Opt 2 3" xfId="3762"/>
    <cellStyle name="T_E-Proc_CW_Opt 2 4" xfId="3761"/>
    <cellStyle name="T_E-Proc_CW_Opt 2 5" xfId="3760"/>
    <cellStyle name="T_E-Proc_CW_Opt 3" xfId="3759"/>
    <cellStyle name="T_E-Proc_CW_Opt 3 2" xfId="3758"/>
    <cellStyle name="T_E-Proc_CW_Opt 3 2 2" xfId="3757"/>
    <cellStyle name="T_E-Proc_CW_Opt 3 3" xfId="3756"/>
    <cellStyle name="T_E-Proc_CW_Opt 3 4" xfId="3755"/>
    <cellStyle name="T_E-Proc_CW_Opt 3 5" xfId="3754"/>
    <cellStyle name="T_E-Proc_CW_Opt 4" xfId="3753"/>
    <cellStyle name="T_E-Proc_CW_Opt 4 2" xfId="3752"/>
    <cellStyle name="T_E-Proc_CW_Opt 4 2 2" xfId="3751"/>
    <cellStyle name="T_E-Proc_CW_Opt 4 3" xfId="3750"/>
    <cellStyle name="T_E-Proc_CW_Opt 4 4" xfId="3749"/>
    <cellStyle name="T_E-Proc_CW_Opt 4 5" xfId="3748"/>
    <cellStyle name="T_E-Proc_CW_Opt 5" xfId="3747"/>
    <cellStyle name="T_E-Proc_CW_Opt 5 2" xfId="3746"/>
    <cellStyle name="T_E-Proc_CW_Opt 5 2 2" xfId="3745"/>
    <cellStyle name="T_E-Proc_CW_Opt 5 3" xfId="3744"/>
    <cellStyle name="T_E-Proc_CW_Opt 5 4" xfId="3743"/>
    <cellStyle name="T_E-Proc_CW_Opt 5 5" xfId="3742"/>
    <cellStyle name="T_E-Proc_CW_Opt 6" xfId="3741"/>
    <cellStyle name="T_E-Proc_CW_Opt 6 2" xfId="3740"/>
    <cellStyle name="T_E-Proc_CW_Opt 6 2 2" xfId="3739"/>
    <cellStyle name="T_E-Proc_CW_Opt 6 3" xfId="3738"/>
    <cellStyle name="T_E-Proc_CW_Opt 6 4" xfId="3737"/>
    <cellStyle name="T_E-Proc_CW_Opt 6 5" xfId="3736"/>
    <cellStyle name="T_E-Proc_CW_Opt 7" xfId="3735"/>
    <cellStyle name="T_E-Proc_CW_Opt 7 2" xfId="3734"/>
    <cellStyle name="T_E-Proc_CW_Opt 7 2 2" xfId="3733"/>
    <cellStyle name="T_E-Proc_CW_Opt 7 3" xfId="3732"/>
    <cellStyle name="T_E-Proc_CW_Opt 7 4" xfId="3731"/>
    <cellStyle name="T_E-Proc_CW_Opt 7 5" xfId="3730"/>
    <cellStyle name="T_E-Proc_CW_Opt 8" xfId="3729"/>
    <cellStyle name="T_E-Proc_CW_Opt 8 2" xfId="3728"/>
    <cellStyle name="T_E-Proc_CW_Opt 8 2 2" xfId="3727"/>
    <cellStyle name="T_E-Proc_CW_Opt 8 3" xfId="3726"/>
    <cellStyle name="T_E-Proc_CW_Opt 8 4" xfId="3725"/>
    <cellStyle name="T_E-Proc_CW_Opt 8 5" xfId="3724"/>
    <cellStyle name="T_E-Proc_CW_Opt 9" xfId="3723"/>
    <cellStyle name="T_E-Proc_CW_Opt 9 2" xfId="3722"/>
    <cellStyle name="t_EVALUASI HARGA_OPT" xfId="3721"/>
    <cellStyle name="t_EVALUASI HARGA_OPT 2" xfId="3720"/>
    <cellStyle name="t_EVALUASI HARGA_OPT 2 2" xfId="3719"/>
    <cellStyle name="t_EVALUASI HARGA_OPT 2 2 2" xfId="3718"/>
    <cellStyle name="t_EVALUASI HARGA_OPT 2 3" xfId="3717"/>
    <cellStyle name="t_EVALUASI HARGA_OPT 3" xfId="3716"/>
    <cellStyle name="t_EVALUASI HARGA_OPT 3 2" xfId="3715"/>
    <cellStyle name="t_EVALUASI HARGA_OPT 3 2 2" xfId="3714"/>
    <cellStyle name="t_EVALUASI HARGA_OPT 3 3" xfId="3713"/>
    <cellStyle name="t_EVALUASI HARGA_OPT 4" xfId="3712"/>
    <cellStyle name="t_EVALUASI HARGA_OPT 4 2" xfId="3711"/>
    <cellStyle name="t_EVALUASI HARGA_OPT 4 2 2" xfId="3710"/>
    <cellStyle name="t_EVALUASI HARGA_OPT 4 3" xfId="3709"/>
    <cellStyle name="t_EVALUASI HARGA_OPT 5" xfId="3708"/>
    <cellStyle name="t_EVALUASI HARGA_OPT 5 2" xfId="3707"/>
    <cellStyle name="t_EVALUASI HARGA_OPT 5 2 2" xfId="3706"/>
    <cellStyle name="t_EVALUASI HARGA_OPT 5 3" xfId="3705"/>
    <cellStyle name="t_EVALUASI HARGA_OPT 6" xfId="3704"/>
    <cellStyle name="t_EVALUASI HARGA_OPT 6 2" xfId="3703"/>
    <cellStyle name="t_EVALUASI HARGA_OPT 6 2 2" xfId="3702"/>
    <cellStyle name="t_EVALUASI HARGA_OPT 6 3" xfId="3701"/>
    <cellStyle name="t_EVALUASI HARGA_OPT 7" xfId="3700"/>
    <cellStyle name="t_EVALUASI HARGA_OPT 7 2" xfId="3699"/>
    <cellStyle name="t_EVALUASI HARGA_OPT 7 2 2" xfId="3698"/>
    <cellStyle name="t_EVALUASI HARGA_OPT 7 3" xfId="3697"/>
    <cellStyle name="t_EVALUASI HARGA_OPT 8" xfId="3696"/>
    <cellStyle name="t_EVALUASI HARGA_OPT 8 2" xfId="3695"/>
    <cellStyle name="t_EVALUASI HARGA_OPT 9" xfId="3694"/>
    <cellStyle name="T_Hang Nadim Airport-PM-rev#4" xfId="3693"/>
    <cellStyle name="T_Hang Nadim Airport-PM-rev#4 10" xfId="3692"/>
    <cellStyle name="T_Hang Nadim Airport-PM-rev#4 11" xfId="3691"/>
    <cellStyle name="T_Hang Nadim Airport-PM-rev#4 12" xfId="3690"/>
    <cellStyle name="T_Hang Nadim Airport-PM-rev#4 2" xfId="3689"/>
    <cellStyle name="T_Hang Nadim Airport-PM-rev#4 2 2" xfId="3688"/>
    <cellStyle name="T_Hang Nadim Airport-PM-rev#4 2 2 2" xfId="3687"/>
    <cellStyle name="T_Hang Nadim Airport-PM-rev#4 2 3" xfId="3686"/>
    <cellStyle name="T_Hang Nadim Airport-PM-rev#4 2 4" xfId="3685"/>
    <cellStyle name="T_Hang Nadim Airport-PM-rev#4 2 5" xfId="3684"/>
    <cellStyle name="T_Hang Nadim Airport-PM-rev#4 3" xfId="3683"/>
    <cellStyle name="T_Hang Nadim Airport-PM-rev#4 3 2" xfId="3682"/>
    <cellStyle name="T_Hang Nadim Airport-PM-rev#4 3 2 2" xfId="3681"/>
    <cellStyle name="T_Hang Nadim Airport-PM-rev#4 3 3" xfId="3680"/>
    <cellStyle name="T_Hang Nadim Airport-PM-rev#4 3 4" xfId="3679"/>
    <cellStyle name="T_Hang Nadim Airport-PM-rev#4 3 5" xfId="3678"/>
    <cellStyle name="T_Hang Nadim Airport-PM-rev#4 4" xfId="3677"/>
    <cellStyle name="T_Hang Nadim Airport-PM-rev#4 4 2" xfId="3676"/>
    <cellStyle name="T_Hang Nadim Airport-PM-rev#4 4 2 2" xfId="3675"/>
    <cellStyle name="T_Hang Nadim Airport-PM-rev#4 4 3" xfId="3674"/>
    <cellStyle name="T_Hang Nadim Airport-PM-rev#4 4 4" xfId="3673"/>
    <cellStyle name="T_Hang Nadim Airport-PM-rev#4 4 5" xfId="3672"/>
    <cellStyle name="T_Hang Nadim Airport-PM-rev#4 5" xfId="3671"/>
    <cellStyle name="T_Hang Nadim Airport-PM-rev#4 5 2" xfId="3670"/>
    <cellStyle name="T_Hang Nadim Airport-PM-rev#4 5 2 2" xfId="3669"/>
    <cellStyle name="T_Hang Nadim Airport-PM-rev#4 5 3" xfId="3668"/>
    <cellStyle name="T_Hang Nadim Airport-PM-rev#4 5 4" xfId="3667"/>
    <cellStyle name="T_Hang Nadim Airport-PM-rev#4 5 5" xfId="3666"/>
    <cellStyle name="T_Hang Nadim Airport-PM-rev#4 6" xfId="3665"/>
    <cellStyle name="T_Hang Nadim Airport-PM-rev#4 6 2" xfId="3664"/>
    <cellStyle name="T_Hang Nadim Airport-PM-rev#4 6 2 2" xfId="3663"/>
    <cellStyle name="T_Hang Nadim Airport-PM-rev#4 6 3" xfId="3662"/>
    <cellStyle name="T_Hang Nadim Airport-PM-rev#4 6 4" xfId="3661"/>
    <cellStyle name="T_Hang Nadim Airport-PM-rev#4 6 5" xfId="3660"/>
    <cellStyle name="T_Hang Nadim Airport-PM-rev#4 7" xfId="3659"/>
    <cellStyle name="T_Hang Nadim Airport-PM-rev#4 7 2" xfId="3658"/>
    <cellStyle name="T_Hang Nadim Airport-PM-rev#4 7 2 2" xfId="3657"/>
    <cellStyle name="T_Hang Nadim Airport-PM-rev#4 7 3" xfId="3656"/>
    <cellStyle name="T_Hang Nadim Airport-PM-rev#4 7 4" xfId="3655"/>
    <cellStyle name="T_Hang Nadim Airport-PM-rev#4 7 5" xfId="3654"/>
    <cellStyle name="T_Hang Nadim Airport-PM-rev#4 8" xfId="3653"/>
    <cellStyle name="T_Hang Nadim Airport-PM-rev#4 8 2" xfId="3652"/>
    <cellStyle name="T_Hang Nadim Airport-PM-rev#4 8 2 2" xfId="3651"/>
    <cellStyle name="T_Hang Nadim Airport-PM-rev#4 8 3" xfId="3650"/>
    <cellStyle name="T_Hang Nadim Airport-PM-rev#4 8 4" xfId="3649"/>
    <cellStyle name="T_Hang Nadim Airport-PM-rev#4 8 5" xfId="3648"/>
    <cellStyle name="T_Hang Nadim Airport-PM-rev#4 9" xfId="3647"/>
    <cellStyle name="T_Hang Nadim Airport-PM-rev#4 9 2" xfId="3646"/>
    <cellStyle name="t_KONTRAK KAMPAR" xfId="3645"/>
    <cellStyle name="t_KONTRAK KAMPAR 2" xfId="3644"/>
    <cellStyle name="t_KONTRAK KAMPAR 2 2" xfId="3643"/>
    <cellStyle name="t_KONTRAK KAMPAR 2 2 2" xfId="3642"/>
    <cellStyle name="t_KONTRAK KAMPAR 2 3" xfId="3641"/>
    <cellStyle name="t_KONTRAK KAMPAR 3" xfId="3640"/>
    <cellStyle name="t_KONTRAK KAMPAR 3 2" xfId="3639"/>
    <cellStyle name="t_KONTRAK KAMPAR 3 2 2" xfId="3638"/>
    <cellStyle name="t_KONTRAK KAMPAR 3 3" xfId="3637"/>
    <cellStyle name="t_KONTRAK KAMPAR 4" xfId="3636"/>
    <cellStyle name="t_KONTRAK KAMPAR 4 2" xfId="3635"/>
    <cellStyle name="t_KONTRAK KAMPAR 4 2 2" xfId="3634"/>
    <cellStyle name="t_KONTRAK KAMPAR 4 3" xfId="3633"/>
    <cellStyle name="t_KONTRAK KAMPAR 5" xfId="3632"/>
    <cellStyle name="t_KONTRAK KAMPAR 5 2" xfId="3631"/>
    <cellStyle name="t_KONTRAK KAMPAR 5 2 2" xfId="3630"/>
    <cellStyle name="t_KONTRAK KAMPAR 5 3" xfId="3629"/>
    <cellStyle name="t_KONTRAK KAMPAR 6" xfId="3628"/>
    <cellStyle name="t_KONTRAK KAMPAR 6 2" xfId="3627"/>
    <cellStyle name="t_KONTRAK KAMPAR 6 2 2" xfId="3626"/>
    <cellStyle name="t_KONTRAK KAMPAR 6 3" xfId="3625"/>
    <cellStyle name="t_KONTRAK KAMPAR 7" xfId="3624"/>
    <cellStyle name="t_KONTRAK KAMPAR 7 2" xfId="3623"/>
    <cellStyle name="t_KONTRAK KAMPAR 7 2 2" xfId="3622"/>
    <cellStyle name="t_KONTRAK KAMPAR 7 3" xfId="3621"/>
    <cellStyle name="t_KONTRAK KAMPAR 8" xfId="3620"/>
    <cellStyle name="t_KONTRAK KAMPAR 8 2" xfId="3619"/>
    <cellStyle name="t_KONTRAK KAMPAR 9" xfId="3618"/>
    <cellStyle name="T_Linning saluran Sukatani format baru" xfId="3617"/>
    <cellStyle name="T_Linning saluran Sukatani format baru 2" xfId="3616"/>
    <cellStyle name="T_Linning saluran Sukatani format baru 2 2" xfId="3615"/>
    <cellStyle name="T_Linning saluran Sukatani format baru 3" xfId="3614"/>
    <cellStyle name="T_Linning saluran Sukatani format baru 4" xfId="3613"/>
    <cellStyle name="T_Linning saluran Sukatani format baru 5" xfId="3612"/>
    <cellStyle name="T_Penawaran harga rumah DPR_Revisi#3_Opt" xfId="3611"/>
    <cellStyle name="T_Penawaran harga rumah DPR_Revisi#3_Opt 10" xfId="3610"/>
    <cellStyle name="T_Penawaran harga rumah DPR_Revisi#3_Opt 11" xfId="3609"/>
    <cellStyle name="T_Penawaran harga rumah DPR_Revisi#3_Opt 12" xfId="3608"/>
    <cellStyle name="T_Penawaran harga rumah DPR_Revisi#3_Opt 2" xfId="3607"/>
    <cellStyle name="T_Penawaran harga rumah DPR_Revisi#3_Opt 2 2" xfId="3606"/>
    <cellStyle name="T_Penawaran harga rumah DPR_Revisi#3_Opt 2 2 2" xfId="3605"/>
    <cellStyle name="T_Penawaran harga rumah DPR_Revisi#3_Opt 2 3" xfId="3604"/>
    <cellStyle name="T_Penawaran harga rumah DPR_Revisi#3_Opt 2 4" xfId="3603"/>
    <cellStyle name="T_Penawaran harga rumah DPR_Revisi#3_Opt 2 5" xfId="3602"/>
    <cellStyle name="T_Penawaran harga rumah DPR_Revisi#3_Opt 3" xfId="3601"/>
    <cellStyle name="T_Penawaran harga rumah DPR_Revisi#3_Opt 3 2" xfId="3600"/>
    <cellStyle name="T_Penawaran harga rumah DPR_Revisi#3_Opt 3 2 2" xfId="3599"/>
    <cellStyle name="T_Penawaran harga rumah DPR_Revisi#3_Opt 3 3" xfId="3598"/>
    <cellStyle name="T_Penawaran harga rumah DPR_Revisi#3_Opt 3 4" xfId="3597"/>
    <cellStyle name="T_Penawaran harga rumah DPR_Revisi#3_Opt 3 5" xfId="3596"/>
    <cellStyle name="T_Penawaran harga rumah DPR_Revisi#3_Opt 4" xfId="3595"/>
    <cellStyle name="T_Penawaran harga rumah DPR_Revisi#3_Opt 4 2" xfId="3594"/>
    <cellStyle name="T_Penawaran harga rumah DPR_Revisi#3_Opt 4 2 2" xfId="3593"/>
    <cellStyle name="T_Penawaran harga rumah DPR_Revisi#3_Opt 4 3" xfId="3592"/>
    <cellStyle name="T_Penawaran harga rumah DPR_Revisi#3_Opt 4 4" xfId="3591"/>
    <cellStyle name="T_Penawaran harga rumah DPR_Revisi#3_Opt 4 5" xfId="3590"/>
    <cellStyle name="T_Penawaran harga rumah DPR_Revisi#3_Opt 5" xfId="3589"/>
    <cellStyle name="T_Penawaran harga rumah DPR_Revisi#3_Opt 5 2" xfId="3588"/>
    <cellStyle name="T_Penawaran harga rumah DPR_Revisi#3_Opt 5 2 2" xfId="3587"/>
    <cellStyle name="T_Penawaran harga rumah DPR_Revisi#3_Opt 5 3" xfId="3586"/>
    <cellStyle name="T_Penawaran harga rumah DPR_Revisi#3_Opt 5 4" xfId="3585"/>
    <cellStyle name="T_Penawaran harga rumah DPR_Revisi#3_Opt 5 5" xfId="3584"/>
    <cellStyle name="T_Penawaran harga rumah DPR_Revisi#3_Opt 6" xfId="3583"/>
    <cellStyle name="T_Penawaran harga rumah DPR_Revisi#3_Opt 6 2" xfId="3582"/>
    <cellStyle name="T_Penawaran harga rumah DPR_Revisi#3_Opt 6 2 2" xfId="3581"/>
    <cellStyle name="T_Penawaran harga rumah DPR_Revisi#3_Opt 6 3" xfId="3580"/>
    <cellStyle name="T_Penawaran harga rumah DPR_Revisi#3_Opt 6 4" xfId="3579"/>
    <cellStyle name="T_Penawaran harga rumah DPR_Revisi#3_Opt 6 5" xfId="3578"/>
    <cellStyle name="T_Penawaran harga rumah DPR_Revisi#3_Opt 7" xfId="3577"/>
    <cellStyle name="T_Penawaran harga rumah DPR_Revisi#3_Opt 7 2" xfId="3576"/>
    <cellStyle name="T_Penawaran harga rumah DPR_Revisi#3_Opt 7 2 2" xfId="3575"/>
    <cellStyle name="T_Penawaran harga rumah DPR_Revisi#3_Opt 7 3" xfId="3574"/>
    <cellStyle name="T_Penawaran harga rumah DPR_Revisi#3_Opt 7 4" xfId="3573"/>
    <cellStyle name="T_Penawaran harga rumah DPR_Revisi#3_Opt 7 5" xfId="3572"/>
    <cellStyle name="T_Penawaran harga rumah DPR_Revisi#3_Opt 8" xfId="3571"/>
    <cellStyle name="T_Penawaran harga rumah DPR_Revisi#3_Opt 8 2" xfId="3570"/>
    <cellStyle name="T_Penawaran harga rumah DPR_Revisi#3_Opt 8 2 2" xfId="3569"/>
    <cellStyle name="T_Penawaran harga rumah DPR_Revisi#3_Opt 8 3" xfId="3568"/>
    <cellStyle name="T_Penawaran harga rumah DPR_Revisi#3_Opt 8 4" xfId="3567"/>
    <cellStyle name="T_Penawaran harga rumah DPR_Revisi#3_Opt 8 5" xfId="3566"/>
    <cellStyle name="T_Penawaran harga rumah DPR_Revisi#3_Opt 9" xfId="3565"/>
    <cellStyle name="T_Penawaran harga rumah DPR_Revisi#3_Opt 9 2" xfId="3564"/>
    <cellStyle name="T_Pintu" xfId="3563"/>
    <cellStyle name="T_Pintu 10" xfId="3562"/>
    <cellStyle name="T_Pintu 11" xfId="3561"/>
    <cellStyle name="T_Pintu 12" xfId="3560"/>
    <cellStyle name="T_Pintu 2" xfId="3559"/>
    <cellStyle name="T_Pintu 2 2" xfId="3558"/>
    <cellStyle name="T_Pintu 2 2 2" xfId="3557"/>
    <cellStyle name="T_Pintu 2 3" xfId="3556"/>
    <cellStyle name="T_Pintu 2 4" xfId="3555"/>
    <cellStyle name="T_Pintu 2 5" xfId="3554"/>
    <cellStyle name="T_Pintu 3" xfId="3553"/>
    <cellStyle name="T_Pintu 3 2" xfId="3552"/>
    <cellStyle name="T_Pintu 3 2 2" xfId="3551"/>
    <cellStyle name="T_Pintu 3 3" xfId="3550"/>
    <cellStyle name="T_Pintu 3 4" xfId="3549"/>
    <cellStyle name="T_Pintu 3 5" xfId="3548"/>
    <cellStyle name="T_Pintu 4" xfId="3547"/>
    <cellStyle name="T_Pintu 4 2" xfId="3546"/>
    <cellStyle name="T_Pintu 4 2 2" xfId="3545"/>
    <cellStyle name="T_Pintu 4 3" xfId="3544"/>
    <cellStyle name="T_Pintu 4 4" xfId="3543"/>
    <cellStyle name="T_Pintu 4 5" xfId="3542"/>
    <cellStyle name="T_Pintu 5" xfId="3541"/>
    <cellStyle name="T_Pintu 5 2" xfId="3540"/>
    <cellStyle name="T_Pintu 5 2 2" xfId="3539"/>
    <cellStyle name="T_Pintu 5 3" xfId="3538"/>
    <cellStyle name="T_Pintu 5 4" xfId="3537"/>
    <cellStyle name="T_Pintu 5 5" xfId="3536"/>
    <cellStyle name="T_Pintu 6" xfId="3535"/>
    <cellStyle name="T_Pintu 6 2" xfId="3534"/>
    <cellStyle name="T_Pintu 6 2 2" xfId="3533"/>
    <cellStyle name="T_Pintu 6 3" xfId="3532"/>
    <cellStyle name="T_Pintu 6 4" xfId="3531"/>
    <cellStyle name="T_Pintu 6 5" xfId="3530"/>
    <cellStyle name="T_Pintu 7" xfId="3529"/>
    <cellStyle name="T_Pintu 7 2" xfId="3528"/>
    <cellStyle name="T_Pintu 7 2 2" xfId="3527"/>
    <cellStyle name="T_Pintu 7 3" xfId="3526"/>
    <cellStyle name="T_Pintu 7 4" xfId="3525"/>
    <cellStyle name="T_Pintu 7 5" xfId="3524"/>
    <cellStyle name="T_Pintu 8" xfId="3523"/>
    <cellStyle name="T_Pintu 8 2" xfId="3522"/>
    <cellStyle name="T_Pintu 8 2 2" xfId="3521"/>
    <cellStyle name="T_Pintu 8 3" xfId="3520"/>
    <cellStyle name="T_Pintu 8 4" xfId="3519"/>
    <cellStyle name="T_Pintu 8 5" xfId="3518"/>
    <cellStyle name="T_Pintu 9" xfId="3517"/>
    <cellStyle name="T_Pintu 9 2" xfId="3516"/>
    <cellStyle name="T_QTT Sal Lao Tengis" xfId="3515"/>
    <cellStyle name="T_QTT Sal Lao Tengis 2" xfId="3514"/>
    <cellStyle name="T_QTT Sal Lao Tengis 2 2" xfId="3513"/>
    <cellStyle name="T_QTT Sal Lao Tengis 3" xfId="3512"/>
    <cellStyle name="T_QTT Sal Lao Tengis 4" xfId="3511"/>
    <cellStyle name="T_QTT Sal Lao Tengis 5" xfId="3510"/>
    <cellStyle name="T_QTT Sal Lao Tengis_Evaluasi Negoisasi (Lampiran Berita Acara) - Rev 3" xfId="3509"/>
    <cellStyle name="T_QTT Sal Lao Tengis_Evaluasi Negoisasi (Lampiran Berita Acara) - Rev 3 2" xfId="3508"/>
    <cellStyle name="T_QTT Sal Lao Tengis_Evaluasi Negoisasi (Lampiran Berita Acara) - Rev 3 2 2" xfId="3507"/>
    <cellStyle name="T_QTT Sal Lao Tengis_Evaluasi Negoisasi (Lampiran Berita Acara) - Rev 3 3" xfId="3506"/>
    <cellStyle name="T_QTT Sal Lao Tengis_Evaluasi Negoisasi (Lampiran Berita Acara) - Rev 3 4" xfId="3505"/>
    <cellStyle name="T_QTT Sal Lao Tengis_Evaluasi Negoisasi (Lampiran Berita Acara) - Rev 3 5" xfId="3504"/>
    <cellStyle name="T_QTT Sal Lao Tengis_Schedule  PCM" xfId="3503"/>
    <cellStyle name="T_QTT Sal Lao Tengis_Schedule  PCM 2" xfId="3502"/>
    <cellStyle name="T_QTT Sal Lao Tengis_Schedule  PCM 2 2" xfId="3501"/>
    <cellStyle name="T_QTT Sal Lao Tengis_Schedule  PCM 3" xfId="3500"/>
    <cellStyle name="T_QTT Sal Lao Tengis_Schedule  PCM 4" xfId="3499"/>
    <cellStyle name="T_QTT Sal Lao Tengis_Schedule  PCM 5" xfId="3498"/>
    <cellStyle name="T_QTT Sal Lao Tengis_Schedule  PCM_schedule rev -2 paket AMS 8" xfId="3497"/>
    <cellStyle name="T_QTT Sal Lao Tengis_Schedule  PCM_schedule rev -2 paket AMS 8 2" xfId="3496"/>
    <cellStyle name="T_QTT Sal Lao Tengis_Schedule  PCM_schedule rev -2 paket AMS 8 2 2" xfId="3495"/>
    <cellStyle name="T_QTT Sal Lao Tengis_Schedule  PCM_schedule rev -2 paket AMS 8 3" xfId="3494"/>
    <cellStyle name="T_QTT Sal Lao Tengis_Schedule  PCM_schedule rev -2 paket AMS 8 4" xfId="3493"/>
    <cellStyle name="T_QTT Sal Lao Tengis_Schedule  PCM_schedule rev -2 paket AMS 8 5" xfId="3492"/>
    <cellStyle name="T_QTT Sal Lao Tengis_Schedule Revisi 1" xfId="3491"/>
    <cellStyle name="T_QTT Sal Lao Tengis_Schedule Revisi 1 2" xfId="3490"/>
    <cellStyle name="T_QTT Sal Lao Tengis_Schedule Revisi 1 2 2" xfId="3489"/>
    <cellStyle name="T_QTT Sal Lao Tengis_Schedule Revisi 1 3" xfId="3488"/>
    <cellStyle name="T_QTT Sal Lao Tengis_Schedule Revisi 1 4" xfId="3487"/>
    <cellStyle name="T_QTT Sal Lao Tengis_Schedule Revisi 1 5" xfId="3486"/>
    <cellStyle name="T_QTT Sal Lao Tengis_Schedule Revisi 1_schedule rev -2 paket AMS 8" xfId="3485"/>
    <cellStyle name="T_QTT Sal Lao Tengis_Schedule Revisi 1_schedule rev -2 paket AMS 8 2" xfId="3484"/>
    <cellStyle name="T_QTT Sal Lao Tengis_Schedule Revisi 1_schedule rev -2 paket AMS 8 2 2" xfId="3483"/>
    <cellStyle name="T_QTT Sal Lao Tengis_Schedule Revisi 1_schedule rev -2 paket AMS 8 3" xfId="3482"/>
    <cellStyle name="T_QTT Sal Lao Tengis_Schedule Revisi 1_schedule rev -2 paket AMS 8 4" xfId="3481"/>
    <cellStyle name="T_QTT Sal Lao Tengis_Schedule Revisi 1_schedule rev -2 paket AMS 8 5" xfId="3480"/>
    <cellStyle name="T_QTT Sal Lao Tengis_summary amd 1 final" xfId="3479"/>
    <cellStyle name="T_QTT Sal Lao Tengis_summary amd 1 final 2" xfId="3478"/>
    <cellStyle name="T_QTT Sal Lao Tengis_summary amd 1 final 2 2" xfId="3477"/>
    <cellStyle name="T_QTT Sal Lao Tengis_summary amd 1 final 3" xfId="3476"/>
    <cellStyle name="T_QTT Sal Lao Tengis_summary amd 1 final 4" xfId="3475"/>
    <cellStyle name="T_QTT Sal Lao Tengis_summary amd 1 final 5" xfId="3474"/>
    <cellStyle name="T_QTT Sal Lao Tengis_summary amd 1 final_schedule rev -2 paket AMS 8" xfId="3473"/>
    <cellStyle name="T_QTT Sal Lao Tengis_summary amd 1 final_schedule rev -2 paket AMS 8 2" xfId="3472"/>
    <cellStyle name="T_QTT Sal Lao Tengis_summary amd 1 final_schedule rev -2 paket AMS 8 2 2" xfId="3471"/>
    <cellStyle name="T_QTT Sal Lao Tengis_summary amd 1 final_schedule rev -2 paket AMS 8 3" xfId="3470"/>
    <cellStyle name="T_QTT Sal Lao Tengis_summary amd 1 final_schedule rev -2 paket AMS 8 4" xfId="3469"/>
    <cellStyle name="T_QTT Sal Lao Tengis_summary amd 1 final_schedule rev -2 paket AMS 8 5" xfId="3468"/>
    <cellStyle name="T_QTT Sal Marcapada" xfId="3467"/>
    <cellStyle name="T_QTT Sal Marcapada 2" xfId="3466"/>
    <cellStyle name="T_QTT Sal Marcapada 2 2" xfId="3465"/>
    <cellStyle name="T_QTT Sal Marcapada 3" xfId="3464"/>
    <cellStyle name="T_QTT Sal Marcapada 4" xfId="3463"/>
    <cellStyle name="T_QTT Sal Marcapada 5" xfId="3462"/>
    <cellStyle name="T_QTT Sal Marcapada_Evaluasi Negoisasi (Lampiran Berita Acara) - Rev 3" xfId="3461"/>
    <cellStyle name="T_QTT Sal Marcapada_Evaluasi Negoisasi (Lampiran Berita Acara) - Rev 3 2" xfId="3460"/>
    <cellStyle name="T_QTT Sal Marcapada_Evaluasi Negoisasi (Lampiran Berita Acara) - Rev 3 2 2" xfId="3459"/>
    <cellStyle name="T_QTT Sal Marcapada_Evaluasi Negoisasi (Lampiran Berita Acara) - Rev 3 3" xfId="3458"/>
    <cellStyle name="T_QTT Sal Marcapada_Evaluasi Negoisasi (Lampiran Berita Acara) - Rev 3 4" xfId="3457"/>
    <cellStyle name="T_QTT Sal Marcapada_Evaluasi Negoisasi (Lampiran Berita Acara) - Rev 3 5" xfId="3456"/>
    <cellStyle name="T_QTT Sal Marcapada_Schedule  PCM" xfId="3455"/>
    <cellStyle name="T_QTT Sal Marcapada_Schedule  PCM 2" xfId="3454"/>
    <cellStyle name="T_QTT Sal Marcapada_Schedule  PCM 2 2" xfId="3453"/>
    <cellStyle name="T_QTT Sal Marcapada_Schedule  PCM 3" xfId="3452"/>
    <cellStyle name="T_QTT Sal Marcapada_Schedule  PCM 4" xfId="3451"/>
    <cellStyle name="T_QTT Sal Marcapada_Schedule  PCM 5" xfId="3450"/>
    <cellStyle name="T_QTT Sal Marcapada_Schedule  PCM_schedule rev -2 paket AMS 8" xfId="3449"/>
    <cellStyle name="T_QTT Sal Marcapada_Schedule  PCM_schedule rev -2 paket AMS 8 2" xfId="3448"/>
    <cellStyle name="T_QTT Sal Marcapada_Schedule  PCM_schedule rev -2 paket AMS 8 2 2" xfId="3447"/>
    <cellStyle name="T_QTT Sal Marcapada_Schedule  PCM_schedule rev -2 paket AMS 8 3" xfId="3446"/>
    <cellStyle name="T_QTT Sal Marcapada_Schedule  PCM_schedule rev -2 paket AMS 8 4" xfId="3445"/>
    <cellStyle name="T_QTT Sal Marcapada_Schedule  PCM_schedule rev -2 paket AMS 8 5" xfId="3444"/>
    <cellStyle name="T_QTT Sal Marcapada_Schedule Revisi 1" xfId="3443"/>
    <cellStyle name="T_QTT Sal Marcapada_Schedule Revisi 1 2" xfId="3442"/>
    <cellStyle name="T_QTT Sal Marcapada_Schedule Revisi 1 2 2" xfId="3441"/>
    <cellStyle name="T_QTT Sal Marcapada_Schedule Revisi 1 3" xfId="3440"/>
    <cellStyle name="T_QTT Sal Marcapada_Schedule Revisi 1 4" xfId="3439"/>
    <cellStyle name="T_QTT Sal Marcapada_Schedule Revisi 1 5" xfId="3438"/>
    <cellStyle name="T_QTT Sal Marcapada_Schedule Revisi 1_schedule rev -2 paket AMS 8" xfId="3437"/>
    <cellStyle name="T_QTT Sal Marcapada_Schedule Revisi 1_schedule rev -2 paket AMS 8 2" xfId="3436"/>
    <cellStyle name="T_QTT Sal Marcapada_Schedule Revisi 1_schedule rev -2 paket AMS 8 2 2" xfId="3435"/>
    <cellStyle name="T_QTT Sal Marcapada_Schedule Revisi 1_schedule rev -2 paket AMS 8 3" xfId="3434"/>
    <cellStyle name="T_QTT Sal Marcapada_Schedule Revisi 1_schedule rev -2 paket AMS 8 4" xfId="3433"/>
    <cellStyle name="T_QTT Sal Marcapada_Schedule Revisi 1_schedule rev -2 paket AMS 8 5" xfId="3432"/>
    <cellStyle name="T_QTT Sal Marcapada_summary amd 1 final" xfId="3431"/>
    <cellStyle name="T_QTT Sal Marcapada_summary amd 1 final 2" xfId="3430"/>
    <cellStyle name="T_QTT Sal Marcapada_summary amd 1 final 2 2" xfId="3429"/>
    <cellStyle name="T_QTT Sal Marcapada_summary amd 1 final 3" xfId="3428"/>
    <cellStyle name="T_QTT Sal Marcapada_summary amd 1 final 4" xfId="3427"/>
    <cellStyle name="T_QTT Sal Marcapada_summary amd 1 final 5" xfId="3426"/>
    <cellStyle name="T_QTT Sal Marcapada_summary amd 1 final_schedule rev -2 paket AMS 8" xfId="3425"/>
    <cellStyle name="T_QTT Sal Marcapada_summary amd 1 final_schedule rev -2 paket AMS 8 2" xfId="3424"/>
    <cellStyle name="T_QTT Sal Marcapada_summary amd 1 final_schedule rev -2 paket AMS 8 2 2" xfId="3423"/>
    <cellStyle name="T_QTT Sal Marcapada_summary amd 1 final_schedule rev -2 paket AMS 8 3" xfId="3422"/>
    <cellStyle name="T_QTT Sal Marcapada_summary amd 1 final_schedule rev -2 paket AMS 8 4" xfId="3421"/>
    <cellStyle name="T_QTT Sal Marcapada_summary amd 1 final_schedule rev -2 paket AMS 8 5" xfId="3420"/>
    <cellStyle name="T_QTT Sal Namu Tating" xfId="3419"/>
    <cellStyle name="T_QTT Sal Namu Tating 2" xfId="3418"/>
    <cellStyle name="T_QTT Sal Namu Tating 2 2" xfId="3417"/>
    <cellStyle name="T_QTT Sal Namu Tating 3" xfId="3416"/>
    <cellStyle name="T_QTT Sal Namu Tating 4" xfId="3415"/>
    <cellStyle name="T_QTT Sal Namu Tating 5" xfId="3414"/>
    <cellStyle name="T_QTT Sal Namu Tating_Evaluasi Negoisasi (Lampiran Berita Acara) - Rev 3" xfId="3413"/>
    <cellStyle name="T_QTT Sal Namu Tating_Evaluasi Negoisasi (Lampiran Berita Acara) - Rev 3 2" xfId="3412"/>
    <cellStyle name="T_QTT Sal Namu Tating_Evaluasi Negoisasi (Lampiran Berita Acara) - Rev 3 2 2" xfId="3411"/>
    <cellStyle name="T_QTT Sal Namu Tating_Evaluasi Negoisasi (Lampiran Berita Acara) - Rev 3 3" xfId="3410"/>
    <cellStyle name="T_QTT Sal Namu Tating_Evaluasi Negoisasi (Lampiran Berita Acara) - Rev 3 4" xfId="3409"/>
    <cellStyle name="T_QTT Sal Namu Tating_Evaluasi Negoisasi (Lampiran Berita Acara) - Rev 3 5" xfId="3408"/>
    <cellStyle name="T_QTT Sal Namu Tating_Schedule  PCM" xfId="3407"/>
    <cellStyle name="T_QTT Sal Namu Tating_Schedule  PCM 2" xfId="3406"/>
    <cellStyle name="T_QTT Sal Namu Tating_Schedule  PCM 2 2" xfId="3405"/>
    <cellStyle name="T_QTT Sal Namu Tating_Schedule  PCM 3" xfId="3404"/>
    <cellStyle name="T_QTT Sal Namu Tating_Schedule  PCM 4" xfId="3403"/>
    <cellStyle name="T_QTT Sal Namu Tating_Schedule  PCM 5" xfId="3402"/>
    <cellStyle name="T_QTT Sal Namu Tating_Schedule  PCM_schedule rev -2 paket AMS 8" xfId="3401"/>
    <cellStyle name="T_QTT Sal Namu Tating_Schedule  PCM_schedule rev -2 paket AMS 8 2" xfId="3400"/>
    <cellStyle name="T_QTT Sal Namu Tating_Schedule  PCM_schedule rev -2 paket AMS 8 2 2" xfId="3399"/>
    <cellStyle name="T_QTT Sal Namu Tating_Schedule  PCM_schedule rev -2 paket AMS 8 3" xfId="3398"/>
    <cellStyle name="T_QTT Sal Namu Tating_Schedule  PCM_schedule rev -2 paket AMS 8 4" xfId="3397"/>
    <cellStyle name="T_QTT Sal Namu Tating_Schedule  PCM_schedule rev -2 paket AMS 8 5" xfId="3396"/>
    <cellStyle name="T_QTT Sal Namu Tating_Schedule Revisi 1" xfId="3395"/>
    <cellStyle name="T_QTT Sal Namu Tating_Schedule Revisi 1 2" xfId="3394"/>
    <cellStyle name="T_QTT Sal Namu Tating_Schedule Revisi 1 2 2" xfId="3393"/>
    <cellStyle name="T_QTT Sal Namu Tating_Schedule Revisi 1 3" xfId="3392"/>
    <cellStyle name="T_QTT Sal Namu Tating_Schedule Revisi 1 4" xfId="3391"/>
    <cellStyle name="T_QTT Sal Namu Tating_Schedule Revisi 1 5" xfId="3390"/>
    <cellStyle name="T_QTT Sal Namu Tating_Schedule Revisi 1_schedule rev -2 paket AMS 8" xfId="3389"/>
    <cellStyle name="T_QTT Sal Namu Tating_Schedule Revisi 1_schedule rev -2 paket AMS 8 2" xfId="3388"/>
    <cellStyle name="T_QTT Sal Namu Tating_Schedule Revisi 1_schedule rev -2 paket AMS 8 2 2" xfId="3387"/>
    <cellStyle name="T_QTT Sal Namu Tating_Schedule Revisi 1_schedule rev -2 paket AMS 8 3" xfId="3386"/>
    <cellStyle name="T_QTT Sal Namu Tating_Schedule Revisi 1_schedule rev -2 paket AMS 8 4" xfId="3385"/>
    <cellStyle name="T_QTT Sal Namu Tating_Schedule Revisi 1_schedule rev -2 paket AMS 8 5" xfId="3384"/>
    <cellStyle name="T_QTT Sal Namu Tating_summary amd 1 final" xfId="3383"/>
    <cellStyle name="T_QTT Sal Namu Tating_summary amd 1 final 2" xfId="3382"/>
    <cellStyle name="T_QTT Sal Namu Tating_summary amd 1 final 2 2" xfId="3381"/>
    <cellStyle name="T_QTT Sal Namu Tating_summary amd 1 final 3" xfId="3380"/>
    <cellStyle name="T_QTT Sal Namu Tating_summary amd 1 final 4" xfId="3379"/>
    <cellStyle name="T_QTT Sal Namu Tating_summary amd 1 final 5" xfId="3378"/>
    <cellStyle name="T_QTT Sal Namu Tating_summary amd 1 final_schedule rev -2 paket AMS 8" xfId="3377"/>
    <cellStyle name="T_QTT Sal Namu Tating_summary amd 1 final_schedule rev -2 paket AMS 8 2" xfId="3376"/>
    <cellStyle name="T_QTT Sal Namu Tating_summary amd 1 final_schedule rev -2 paket AMS 8 2 2" xfId="3375"/>
    <cellStyle name="T_QTT Sal Namu Tating_summary amd 1 final_schedule rev -2 paket AMS 8 3" xfId="3374"/>
    <cellStyle name="T_QTT Sal Namu Tating_summary amd 1 final_schedule rev -2 paket AMS 8 4" xfId="3373"/>
    <cellStyle name="T_QTT Sal Namu Tating_summary amd 1 final_schedule rev -2 paket AMS 8 5" xfId="3372"/>
    <cellStyle name="T_QTT Sal Namu Ukur Kanan" xfId="3371"/>
    <cellStyle name="T_QTT Sal Namu Ukur Kanan 2" xfId="3370"/>
    <cellStyle name="T_QTT Sal Namu Ukur Kanan 2 2" xfId="3369"/>
    <cellStyle name="T_QTT Sal Namu Ukur Kanan 3" xfId="3368"/>
    <cellStyle name="T_QTT Sal Namu Ukur Kanan 4" xfId="3367"/>
    <cellStyle name="T_QTT Sal Namu Ukur Kanan 5" xfId="3366"/>
    <cellStyle name="T_QTT Sal Namu Ukur Kanan_Evaluasi Negoisasi (Lampiran Berita Acara) - Rev 3" xfId="3365"/>
    <cellStyle name="T_QTT Sal Namu Ukur Kanan_Evaluasi Negoisasi (Lampiran Berita Acara) - Rev 3 2" xfId="3364"/>
    <cellStyle name="T_QTT Sal Namu Ukur Kanan_Evaluasi Negoisasi (Lampiran Berita Acara) - Rev 3 2 2" xfId="3363"/>
    <cellStyle name="T_QTT Sal Namu Ukur Kanan_Evaluasi Negoisasi (Lampiran Berita Acara) - Rev 3 3" xfId="3362"/>
    <cellStyle name="T_QTT Sal Namu Ukur Kanan_Evaluasi Negoisasi (Lampiran Berita Acara) - Rev 3 4" xfId="3361"/>
    <cellStyle name="T_QTT Sal Namu Ukur Kanan_Evaluasi Negoisasi (Lampiran Berita Acara) - Rev 3 5" xfId="3360"/>
    <cellStyle name="T_QTT Sal Namu Ukur Kanan_Schedule  PCM" xfId="3359"/>
    <cellStyle name="T_QTT Sal Namu Ukur Kanan_Schedule  PCM 2" xfId="3358"/>
    <cellStyle name="T_QTT Sal Namu Ukur Kanan_Schedule  PCM 2 2" xfId="3357"/>
    <cellStyle name="T_QTT Sal Namu Ukur Kanan_Schedule  PCM 3" xfId="3356"/>
    <cellStyle name="T_QTT Sal Namu Ukur Kanan_Schedule  PCM 4" xfId="3355"/>
    <cellStyle name="T_QTT Sal Namu Ukur Kanan_Schedule  PCM 5" xfId="3354"/>
    <cellStyle name="T_QTT Sal Namu Ukur Kanan_Schedule  PCM_schedule rev -2 paket AMS 8" xfId="3353"/>
    <cellStyle name="T_QTT Sal Namu Ukur Kanan_Schedule  PCM_schedule rev -2 paket AMS 8 2" xfId="3352"/>
    <cellStyle name="T_QTT Sal Namu Ukur Kanan_Schedule  PCM_schedule rev -2 paket AMS 8 2 2" xfId="3351"/>
    <cellStyle name="T_QTT Sal Namu Ukur Kanan_Schedule  PCM_schedule rev -2 paket AMS 8 3" xfId="3350"/>
    <cellStyle name="T_QTT Sal Namu Ukur Kanan_Schedule  PCM_schedule rev -2 paket AMS 8 4" xfId="3349"/>
    <cellStyle name="T_QTT Sal Namu Ukur Kanan_Schedule  PCM_schedule rev -2 paket AMS 8 5" xfId="3348"/>
    <cellStyle name="T_QTT Sal Namu Ukur Kanan_Schedule Revisi 1" xfId="3347"/>
    <cellStyle name="T_QTT Sal Namu Ukur Kanan_Schedule Revisi 1 2" xfId="3346"/>
    <cellStyle name="T_QTT Sal Namu Ukur Kanan_Schedule Revisi 1 2 2" xfId="3345"/>
    <cellStyle name="T_QTT Sal Namu Ukur Kanan_Schedule Revisi 1 3" xfId="3344"/>
    <cellStyle name="T_QTT Sal Namu Ukur Kanan_Schedule Revisi 1 4" xfId="3343"/>
    <cellStyle name="T_QTT Sal Namu Ukur Kanan_Schedule Revisi 1 5" xfId="3342"/>
    <cellStyle name="T_QTT Sal Namu Ukur Kanan_Schedule Revisi 1_schedule rev -2 paket AMS 8" xfId="3341"/>
    <cellStyle name="T_QTT Sal Namu Ukur Kanan_Schedule Revisi 1_schedule rev -2 paket AMS 8 2" xfId="3340"/>
    <cellStyle name="T_QTT Sal Namu Ukur Kanan_Schedule Revisi 1_schedule rev -2 paket AMS 8 2 2" xfId="3339"/>
    <cellStyle name="T_QTT Sal Namu Ukur Kanan_Schedule Revisi 1_schedule rev -2 paket AMS 8 3" xfId="3338"/>
    <cellStyle name="T_QTT Sal Namu Ukur Kanan_Schedule Revisi 1_schedule rev -2 paket AMS 8 4" xfId="3337"/>
    <cellStyle name="T_QTT Sal Namu Ukur Kanan_Schedule Revisi 1_schedule rev -2 paket AMS 8 5" xfId="3336"/>
    <cellStyle name="T_QTT Sal Namu Ukur Kanan_summary amd 1 final" xfId="3335"/>
    <cellStyle name="T_QTT Sal Namu Ukur Kanan_summary amd 1 final 2" xfId="3334"/>
    <cellStyle name="T_QTT Sal Namu Ukur Kanan_summary amd 1 final 2 2" xfId="3333"/>
    <cellStyle name="T_QTT Sal Namu Ukur Kanan_summary amd 1 final 3" xfId="3332"/>
    <cellStyle name="T_QTT Sal Namu Ukur Kanan_summary amd 1 final 4" xfId="3331"/>
    <cellStyle name="T_QTT Sal Namu Ukur Kanan_summary amd 1 final 5" xfId="3330"/>
    <cellStyle name="T_QTT Sal Namu Ukur Kanan_summary amd 1 final_schedule rev -2 paket AMS 8" xfId="3329"/>
    <cellStyle name="T_QTT Sal Namu Ukur Kanan_summary amd 1 final_schedule rev -2 paket AMS 8 2" xfId="3328"/>
    <cellStyle name="T_QTT Sal Namu Ukur Kanan_summary amd 1 final_schedule rev -2 paket AMS 8 2 2" xfId="3327"/>
    <cellStyle name="T_QTT Sal Namu Ukur Kanan_summary amd 1 final_schedule rev -2 paket AMS 8 3" xfId="3326"/>
    <cellStyle name="T_QTT Sal Namu Ukur Kanan_summary amd 1 final_schedule rev -2 paket AMS 8 4" xfId="3325"/>
    <cellStyle name="T_QTT Sal Namu Ukur Kanan_summary amd 1 final_schedule rev -2 paket AMS 8 5" xfId="3324"/>
    <cellStyle name="T_QTT Sal Sei Bingai" xfId="3323"/>
    <cellStyle name="T_QTT Sal Sei Bingai 2" xfId="3322"/>
    <cellStyle name="T_QTT Sal Sei Bingai 2 2" xfId="3321"/>
    <cellStyle name="T_QTT Sal Sei Bingai 3" xfId="3320"/>
    <cellStyle name="T_QTT Sal Sei Bingai 4" xfId="3319"/>
    <cellStyle name="T_QTT Sal Sei Bingai 5" xfId="3318"/>
    <cellStyle name="T_QTT Sal Sei Bingai_Evaluasi Negoisasi (Lampiran Berita Acara) - Rev 3" xfId="3317"/>
    <cellStyle name="T_QTT Sal Sei Bingai_Evaluasi Negoisasi (Lampiran Berita Acara) - Rev 3 2" xfId="3316"/>
    <cellStyle name="T_QTT Sal Sei Bingai_Evaluasi Negoisasi (Lampiran Berita Acara) - Rev 3 2 2" xfId="3315"/>
    <cellStyle name="T_QTT Sal Sei Bingai_Evaluasi Negoisasi (Lampiran Berita Acara) - Rev 3 3" xfId="3314"/>
    <cellStyle name="T_QTT Sal Sei Bingai_Evaluasi Negoisasi (Lampiran Berita Acara) - Rev 3 4" xfId="3313"/>
    <cellStyle name="T_QTT Sal Sei Bingai_Evaluasi Negoisasi (Lampiran Berita Acara) - Rev 3 5" xfId="3312"/>
    <cellStyle name="T_QTT Sal Sei Bingai_Schedule  PCM" xfId="3311"/>
    <cellStyle name="T_QTT Sal Sei Bingai_Schedule  PCM 2" xfId="3310"/>
    <cellStyle name="T_QTT Sal Sei Bingai_Schedule  PCM 2 2" xfId="3309"/>
    <cellStyle name="T_QTT Sal Sei Bingai_Schedule  PCM 3" xfId="3308"/>
    <cellStyle name="T_QTT Sal Sei Bingai_Schedule  PCM 4" xfId="3307"/>
    <cellStyle name="T_QTT Sal Sei Bingai_Schedule  PCM 5" xfId="3306"/>
    <cellStyle name="T_QTT Sal Sei Bingai_Schedule  PCM_schedule rev -2 paket AMS 8" xfId="3305"/>
    <cellStyle name="T_QTT Sal Sei Bingai_Schedule  PCM_schedule rev -2 paket AMS 8 2" xfId="3304"/>
    <cellStyle name="T_QTT Sal Sei Bingai_Schedule  PCM_schedule rev -2 paket AMS 8 2 2" xfId="3303"/>
    <cellStyle name="T_QTT Sal Sei Bingai_Schedule  PCM_schedule rev -2 paket AMS 8 3" xfId="3302"/>
    <cellStyle name="T_QTT Sal Sei Bingai_Schedule  PCM_schedule rev -2 paket AMS 8 4" xfId="3301"/>
    <cellStyle name="T_QTT Sal Sei Bingai_Schedule  PCM_schedule rev -2 paket AMS 8 5" xfId="3300"/>
    <cellStyle name="T_QTT Sal Sei Bingai_Schedule Revisi 1" xfId="3299"/>
    <cellStyle name="T_QTT Sal Sei Bingai_Schedule Revisi 1 2" xfId="3298"/>
    <cellStyle name="T_QTT Sal Sei Bingai_Schedule Revisi 1 2 2" xfId="3297"/>
    <cellStyle name="T_QTT Sal Sei Bingai_Schedule Revisi 1 3" xfId="3296"/>
    <cellStyle name="T_QTT Sal Sei Bingai_Schedule Revisi 1 4" xfId="3295"/>
    <cellStyle name="T_QTT Sal Sei Bingai_Schedule Revisi 1 5" xfId="3294"/>
    <cellStyle name="T_QTT Sal Sei Bingai_Schedule Revisi 1_schedule rev -2 paket AMS 8" xfId="3293"/>
    <cellStyle name="T_QTT Sal Sei Bingai_Schedule Revisi 1_schedule rev -2 paket AMS 8 2" xfId="3292"/>
    <cellStyle name="T_QTT Sal Sei Bingai_Schedule Revisi 1_schedule rev -2 paket AMS 8 2 2" xfId="3291"/>
    <cellStyle name="T_QTT Sal Sei Bingai_Schedule Revisi 1_schedule rev -2 paket AMS 8 3" xfId="3290"/>
    <cellStyle name="T_QTT Sal Sei Bingai_Schedule Revisi 1_schedule rev -2 paket AMS 8 4" xfId="3289"/>
    <cellStyle name="T_QTT Sal Sei Bingai_Schedule Revisi 1_schedule rev -2 paket AMS 8 5" xfId="3288"/>
    <cellStyle name="T_QTT Sal Sei Bingai_summary amd 1 final" xfId="3287"/>
    <cellStyle name="T_QTT Sal Sei Bingai_summary amd 1 final 2" xfId="3286"/>
    <cellStyle name="T_QTT Sal Sei Bingai_summary amd 1 final 2 2" xfId="3285"/>
    <cellStyle name="T_QTT Sal Sei Bingai_summary amd 1 final 3" xfId="3284"/>
    <cellStyle name="T_QTT Sal Sei Bingai_summary amd 1 final 4" xfId="3283"/>
    <cellStyle name="T_QTT Sal Sei Bingai_summary amd 1 final 5" xfId="3282"/>
    <cellStyle name="T_QTT Sal Sei Bingai_summary amd 1 final_schedule rev -2 paket AMS 8" xfId="3281"/>
    <cellStyle name="T_QTT Sal Sei Bingai_summary amd 1 final_schedule rev -2 paket AMS 8 2" xfId="3280"/>
    <cellStyle name="T_QTT Sal Sei Bingai_summary amd 1 final_schedule rev -2 paket AMS 8 2 2" xfId="3279"/>
    <cellStyle name="T_QTT Sal Sei Bingai_summary amd 1 final_schedule rev -2 paket AMS 8 3" xfId="3278"/>
    <cellStyle name="T_QTT Sal Sei Bingai_summary amd 1 final_schedule rev -2 paket AMS 8 4" xfId="3277"/>
    <cellStyle name="T_QTT Sal Sei Bingai_summary amd 1 final_schedule rev -2 paket AMS 8 5" xfId="3276"/>
    <cellStyle name="T_QTT saluran Bela Rakyat" xfId="3275"/>
    <cellStyle name="T_QTT saluran Bela Rakyat 2" xfId="3274"/>
    <cellStyle name="T_QTT saluran Bela Rakyat 2 2" xfId="3273"/>
    <cellStyle name="T_QTT saluran Bela Rakyat 3" xfId="3272"/>
    <cellStyle name="T_QTT saluran Bela Rakyat 4" xfId="3271"/>
    <cellStyle name="T_QTT saluran Bela Rakyat 5" xfId="3270"/>
    <cellStyle name="T_QTT saluran Bela Rakyat_Evaluasi Negoisasi (Lampiran Berita Acara) - Rev 3" xfId="3269"/>
    <cellStyle name="T_QTT saluran Bela Rakyat_Evaluasi Negoisasi (Lampiran Berita Acara) - Rev 3 2" xfId="3268"/>
    <cellStyle name="T_QTT saluran Bela Rakyat_Evaluasi Negoisasi (Lampiran Berita Acara) - Rev 3 2 2" xfId="3267"/>
    <cellStyle name="T_QTT saluran Bela Rakyat_Evaluasi Negoisasi (Lampiran Berita Acara) - Rev 3 3" xfId="3266"/>
    <cellStyle name="T_QTT saluran Bela Rakyat_Evaluasi Negoisasi (Lampiran Berita Acara) - Rev 3 4" xfId="3265"/>
    <cellStyle name="T_QTT saluran Bela Rakyat_Evaluasi Negoisasi (Lampiran Berita Acara) - Rev 3 5" xfId="3264"/>
    <cellStyle name="T_QTT saluran Bela Rakyat_Schedule  PCM" xfId="3263"/>
    <cellStyle name="T_QTT saluran Bela Rakyat_Schedule  PCM 2" xfId="3262"/>
    <cellStyle name="T_QTT saluran Bela Rakyat_Schedule  PCM 2 2" xfId="3261"/>
    <cellStyle name="T_QTT saluran Bela Rakyat_Schedule  PCM 3" xfId="3260"/>
    <cellStyle name="T_QTT saluran Bela Rakyat_Schedule  PCM 4" xfId="3259"/>
    <cellStyle name="T_QTT saluran Bela Rakyat_Schedule  PCM 5" xfId="3258"/>
    <cellStyle name="T_QTT saluran Bela Rakyat_Schedule  PCM_schedule rev -2 paket AMS 8" xfId="3257"/>
    <cellStyle name="T_QTT saluran Bela Rakyat_Schedule  PCM_schedule rev -2 paket AMS 8 2" xfId="3256"/>
    <cellStyle name="T_QTT saluran Bela Rakyat_Schedule  PCM_schedule rev -2 paket AMS 8 2 2" xfId="3255"/>
    <cellStyle name="T_QTT saluran Bela Rakyat_Schedule  PCM_schedule rev -2 paket AMS 8 3" xfId="3254"/>
    <cellStyle name="T_QTT saluran Bela Rakyat_Schedule  PCM_schedule rev -2 paket AMS 8 4" xfId="3253"/>
    <cellStyle name="T_QTT saluran Bela Rakyat_Schedule  PCM_schedule rev -2 paket AMS 8 5" xfId="3252"/>
    <cellStyle name="T_QTT saluran Bela Rakyat_Schedule Revisi 1" xfId="3251"/>
    <cellStyle name="T_QTT saluran Bela Rakyat_Schedule Revisi 1 2" xfId="3250"/>
    <cellStyle name="T_QTT saluran Bela Rakyat_Schedule Revisi 1 2 2" xfId="3249"/>
    <cellStyle name="T_QTT saluran Bela Rakyat_Schedule Revisi 1 3" xfId="3248"/>
    <cellStyle name="T_QTT saluran Bela Rakyat_Schedule Revisi 1 4" xfId="3247"/>
    <cellStyle name="T_QTT saluran Bela Rakyat_Schedule Revisi 1 5" xfId="3246"/>
    <cellStyle name="T_QTT saluran Bela Rakyat_Schedule Revisi 1_schedule rev -2 paket AMS 8" xfId="3245"/>
    <cellStyle name="T_QTT saluran Bela Rakyat_Schedule Revisi 1_schedule rev -2 paket AMS 8 2" xfId="3244"/>
    <cellStyle name="T_QTT saluran Bela Rakyat_Schedule Revisi 1_schedule rev -2 paket AMS 8 2 2" xfId="3243"/>
    <cellStyle name="T_QTT saluran Bela Rakyat_Schedule Revisi 1_schedule rev -2 paket AMS 8 3" xfId="3242"/>
    <cellStyle name="T_QTT saluran Bela Rakyat_Schedule Revisi 1_schedule rev -2 paket AMS 8 4" xfId="3241"/>
    <cellStyle name="T_QTT saluran Bela Rakyat_Schedule Revisi 1_schedule rev -2 paket AMS 8 5" xfId="3240"/>
    <cellStyle name="T_QTT saluran Bela Rakyat_summary amd 1 final" xfId="3239"/>
    <cellStyle name="T_QTT saluran Bela Rakyat_summary amd 1 final 2" xfId="3238"/>
    <cellStyle name="T_QTT saluran Bela Rakyat_summary amd 1 final 2 2" xfId="3237"/>
    <cellStyle name="T_QTT saluran Bela Rakyat_summary amd 1 final 3" xfId="3236"/>
    <cellStyle name="T_QTT saluran Bela Rakyat_summary amd 1 final 4" xfId="3235"/>
    <cellStyle name="T_QTT saluran Bela Rakyat_summary amd 1 final 5" xfId="3234"/>
    <cellStyle name="T_QTT saluran Bela Rakyat_summary amd 1 final_schedule rev -2 paket AMS 8" xfId="3233"/>
    <cellStyle name="T_QTT saluran Bela Rakyat_summary amd 1 final_schedule rev -2 paket AMS 8 2" xfId="3232"/>
    <cellStyle name="T_QTT saluran Bela Rakyat_summary amd 1 final_schedule rev -2 paket AMS 8 2 2" xfId="3231"/>
    <cellStyle name="T_QTT saluran Bela Rakyat_summary amd 1 final_schedule rev -2 paket AMS 8 3" xfId="3230"/>
    <cellStyle name="T_QTT saluran Bela Rakyat_summary amd 1 final_schedule rev -2 paket AMS 8 4" xfId="3229"/>
    <cellStyle name="T_QTT saluran Bela Rakyat_summary amd 1 final_schedule rev -2 paket AMS 8 5" xfId="3228"/>
    <cellStyle name="T_QTT Saluran Namu Ukur Kiri" xfId="3227"/>
    <cellStyle name="T_QTT Saluran Namu Ukur Kiri 2" xfId="3226"/>
    <cellStyle name="T_QTT Saluran Namu Ukur Kiri 2 2" xfId="3225"/>
    <cellStyle name="T_QTT Saluran Namu Ukur Kiri 3" xfId="3224"/>
    <cellStyle name="T_QTT Saluran Namu Ukur Kiri 4" xfId="3223"/>
    <cellStyle name="T_QTT Saluran Namu Ukur Kiri 5" xfId="3222"/>
    <cellStyle name="T_QTT Saluran Namu Ukur Kiri_Evaluasi Negoisasi (Lampiran Berita Acara) - Rev 3" xfId="3221"/>
    <cellStyle name="T_QTT Saluran Namu Ukur Kiri_Evaluasi Negoisasi (Lampiran Berita Acara) - Rev 3 2" xfId="3220"/>
    <cellStyle name="T_QTT Saluran Namu Ukur Kiri_Evaluasi Negoisasi (Lampiran Berita Acara) - Rev 3 2 2" xfId="3219"/>
    <cellStyle name="T_QTT Saluran Namu Ukur Kiri_Evaluasi Negoisasi (Lampiran Berita Acara) - Rev 3 3" xfId="3218"/>
    <cellStyle name="T_QTT Saluran Namu Ukur Kiri_Evaluasi Negoisasi (Lampiran Berita Acara) - Rev 3 4" xfId="3217"/>
    <cellStyle name="T_QTT Saluran Namu Ukur Kiri_Evaluasi Negoisasi (Lampiran Berita Acara) - Rev 3 5" xfId="3216"/>
    <cellStyle name="T_QTT Saluran Namu Ukur Kiri_Schedule  PCM" xfId="3215"/>
    <cellStyle name="T_QTT Saluran Namu Ukur Kiri_Schedule  PCM 2" xfId="3214"/>
    <cellStyle name="T_QTT Saluran Namu Ukur Kiri_Schedule  PCM 2 2" xfId="3213"/>
    <cellStyle name="T_QTT Saluran Namu Ukur Kiri_Schedule  PCM 3" xfId="3212"/>
    <cellStyle name="T_QTT Saluran Namu Ukur Kiri_Schedule  PCM 4" xfId="3211"/>
    <cellStyle name="T_QTT Saluran Namu Ukur Kiri_Schedule  PCM 5" xfId="3210"/>
    <cellStyle name="T_QTT Saluran Namu Ukur Kiri_Schedule  PCM_schedule rev -2 paket AMS 8" xfId="3209"/>
    <cellStyle name="T_QTT Saluran Namu Ukur Kiri_Schedule  PCM_schedule rev -2 paket AMS 8 2" xfId="3208"/>
    <cellStyle name="T_QTT Saluran Namu Ukur Kiri_Schedule  PCM_schedule rev -2 paket AMS 8 2 2" xfId="3207"/>
    <cellStyle name="T_QTT Saluran Namu Ukur Kiri_Schedule  PCM_schedule rev -2 paket AMS 8 3" xfId="3206"/>
    <cellStyle name="T_QTT Saluran Namu Ukur Kiri_Schedule  PCM_schedule rev -2 paket AMS 8 4" xfId="3205"/>
    <cellStyle name="T_QTT Saluran Namu Ukur Kiri_Schedule  PCM_schedule rev -2 paket AMS 8 5" xfId="3204"/>
    <cellStyle name="T_QTT Saluran Namu Ukur Kiri_Schedule Revisi 1" xfId="3203"/>
    <cellStyle name="T_QTT Saluran Namu Ukur Kiri_Schedule Revisi 1 2" xfId="3202"/>
    <cellStyle name="T_QTT Saluran Namu Ukur Kiri_Schedule Revisi 1 2 2" xfId="3201"/>
    <cellStyle name="T_QTT Saluran Namu Ukur Kiri_Schedule Revisi 1 3" xfId="3200"/>
    <cellStyle name="T_QTT Saluran Namu Ukur Kiri_Schedule Revisi 1 4" xfId="3199"/>
    <cellStyle name="T_QTT Saluran Namu Ukur Kiri_Schedule Revisi 1 5" xfId="3198"/>
    <cellStyle name="T_QTT Saluran Namu Ukur Kiri_Schedule Revisi 1_schedule rev -2 paket AMS 8" xfId="3197"/>
    <cellStyle name="T_QTT Saluran Namu Ukur Kiri_Schedule Revisi 1_schedule rev -2 paket AMS 8 2" xfId="3196"/>
    <cellStyle name="T_QTT Saluran Namu Ukur Kiri_Schedule Revisi 1_schedule rev -2 paket AMS 8 2 2" xfId="3195"/>
    <cellStyle name="T_QTT Saluran Namu Ukur Kiri_Schedule Revisi 1_schedule rev -2 paket AMS 8 3" xfId="3194"/>
    <cellStyle name="T_QTT Saluran Namu Ukur Kiri_Schedule Revisi 1_schedule rev -2 paket AMS 8 4" xfId="3193"/>
    <cellStyle name="T_QTT Saluran Namu Ukur Kiri_Schedule Revisi 1_schedule rev -2 paket AMS 8 5" xfId="3192"/>
    <cellStyle name="T_QTT Saluran Namu Ukur Kiri_summary amd 1 final" xfId="3191"/>
    <cellStyle name="T_QTT Saluran Namu Ukur Kiri_summary amd 1 final 2" xfId="3190"/>
    <cellStyle name="T_QTT Saluran Namu Ukur Kiri_summary amd 1 final 2 2" xfId="3189"/>
    <cellStyle name="T_QTT Saluran Namu Ukur Kiri_summary amd 1 final 3" xfId="3188"/>
    <cellStyle name="T_QTT Saluran Namu Ukur Kiri_summary amd 1 final 4" xfId="3187"/>
    <cellStyle name="T_QTT Saluran Namu Ukur Kiri_summary amd 1 final 5" xfId="3186"/>
    <cellStyle name="T_QTT Saluran Namu Ukur Kiri_summary amd 1 final_schedule rev -2 paket AMS 8" xfId="3185"/>
    <cellStyle name="T_QTT Saluran Namu Ukur Kiri_summary amd 1 final_schedule rev -2 paket AMS 8 2" xfId="3184"/>
    <cellStyle name="T_QTT Saluran Namu Ukur Kiri_summary amd 1 final_schedule rev -2 paket AMS 8 2 2" xfId="3183"/>
    <cellStyle name="T_QTT Saluran Namu Ukur Kiri_summary amd 1 final_schedule rev -2 paket AMS 8 3" xfId="3182"/>
    <cellStyle name="T_QTT Saluran Namu Ukur Kiri_summary amd 1 final_schedule rev -2 paket AMS 8 4" xfId="3181"/>
    <cellStyle name="T_QTT Saluran Namu Ukur Kiri_summary amd 1 final_schedule rev -2 paket AMS 8 5" xfId="3180"/>
    <cellStyle name="T_QTT Saluran Sampai Gunung" xfId="3179"/>
    <cellStyle name="T_QTT Saluran Sampai Gunung 2" xfId="3178"/>
    <cellStyle name="T_QTT Saluran Sampai Gunung 2 2" xfId="3177"/>
    <cellStyle name="T_QTT Saluran Sampai Gunung 3" xfId="3176"/>
    <cellStyle name="T_QTT Saluran Sampai Gunung 4" xfId="3175"/>
    <cellStyle name="T_QTT Saluran Sampai Gunung 5" xfId="3174"/>
    <cellStyle name="T_QTT Saluran Sampai Gunung_Evaluasi Negoisasi (Lampiran Berita Acara) - Rev 3" xfId="3173"/>
    <cellStyle name="T_QTT Saluran Sampai Gunung_Evaluasi Negoisasi (Lampiran Berita Acara) - Rev 3 2" xfId="3172"/>
    <cellStyle name="T_QTT Saluran Sampai Gunung_Evaluasi Negoisasi (Lampiran Berita Acara) - Rev 3 2 2" xfId="3171"/>
    <cellStyle name="T_QTT Saluran Sampai Gunung_Evaluasi Negoisasi (Lampiran Berita Acara) - Rev 3 3" xfId="3170"/>
    <cellStyle name="T_QTT Saluran Sampai Gunung_Evaluasi Negoisasi (Lampiran Berita Acara) - Rev 3 4" xfId="3169"/>
    <cellStyle name="T_QTT Saluran Sampai Gunung_Evaluasi Negoisasi (Lampiran Berita Acara) - Rev 3 5" xfId="3168"/>
    <cellStyle name="T_QTT Saluran Sampai Gunung_Schedule  PCM" xfId="3167"/>
    <cellStyle name="T_QTT Saluran Sampai Gunung_Schedule  PCM 2" xfId="3166"/>
    <cellStyle name="T_QTT Saluran Sampai Gunung_Schedule  PCM 2 2" xfId="3165"/>
    <cellStyle name="T_QTT Saluran Sampai Gunung_Schedule  PCM 3" xfId="3164"/>
    <cellStyle name="T_QTT Saluran Sampai Gunung_Schedule  PCM 4" xfId="3163"/>
    <cellStyle name="T_QTT Saluran Sampai Gunung_Schedule  PCM 5" xfId="3162"/>
    <cellStyle name="T_QTT Saluran Sampai Gunung_Schedule  PCM_schedule rev -2 paket AMS 8" xfId="3161"/>
    <cellStyle name="T_QTT Saluran Sampai Gunung_Schedule  PCM_schedule rev -2 paket AMS 8 2" xfId="3160"/>
    <cellStyle name="T_QTT Saluran Sampai Gunung_Schedule  PCM_schedule rev -2 paket AMS 8 2 2" xfId="3159"/>
    <cellStyle name="T_QTT Saluran Sampai Gunung_Schedule  PCM_schedule rev -2 paket AMS 8 3" xfId="3158"/>
    <cellStyle name="T_QTT Saluran Sampai Gunung_Schedule  PCM_schedule rev -2 paket AMS 8 4" xfId="3157"/>
    <cellStyle name="T_QTT Saluran Sampai Gunung_Schedule  PCM_schedule rev -2 paket AMS 8 5" xfId="3156"/>
    <cellStyle name="T_QTT Saluran Sampai Gunung_Schedule Revisi 1" xfId="3155"/>
    <cellStyle name="T_QTT Saluran Sampai Gunung_Schedule Revisi 1 2" xfId="3154"/>
    <cellStyle name="T_QTT Saluran Sampai Gunung_Schedule Revisi 1 2 2" xfId="3153"/>
    <cellStyle name="T_QTT Saluran Sampai Gunung_Schedule Revisi 1 3" xfId="3152"/>
    <cellStyle name="T_QTT Saluran Sampai Gunung_Schedule Revisi 1 4" xfId="3151"/>
    <cellStyle name="T_QTT Saluran Sampai Gunung_Schedule Revisi 1 5" xfId="3150"/>
    <cellStyle name="T_QTT Saluran Sampai Gunung_Schedule Revisi 1_schedule rev -2 paket AMS 8" xfId="3149"/>
    <cellStyle name="T_QTT Saluran Sampai Gunung_Schedule Revisi 1_schedule rev -2 paket AMS 8 2" xfId="3148"/>
    <cellStyle name="T_QTT Saluran Sampai Gunung_Schedule Revisi 1_schedule rev -2 paket AMS 8 2 2" xfId="3147"/>
    <cellStyle name="T_QTT Saluran Sampai Gunung_Schedule Revisi 1_schedule rev -2 paket AMS 8 3" xfId="3146"/>
    <cellStyle name="T_QTT Saluran Sampai Gunung_Schedule Revisi 1_schedule rev -2 paket AMS 8 4" xfId="3145"/>
    <cellStyle name="T_QTT Saluran Sampai Gunung_Schedule Revisi 1_schedule rev -2 paket AMS 8 5" xfId="3144"/>
    <cellStyle name="T_QTT Saluran Sampai Gunung_summary amd 1 final" xfId="3143"/>
    <cellStyle name="T_QTT Saluran Sampai Gunung_summary amd 1 final 2" xfId="3142"/>
    <cellStyle name="T_QTT Saluran Sampai Gunung_summary amd 1 final 2 2" xfId="3141"/>
    <cellStyle name="T_QTT Saluran Sampai Gunung_summary amd 1 final 3" xfId="3140"/>
    <cellStyle name="T_QTT Saluran Sampai Gunung_summary amd 1 final 4" xfId="3139"/>
    <cellStyle name="T_QTT Saluran Sampai Gunung_summary amd 1 final 5" xfId="3138"/>
    <cellStyle name="T_QTT Saluran Sampai Gunung_summary amd 1 final_schedule rev -2 paket AMS 8" xfId="3137"/>
    <cellStyle name="T_QTT Saluran Sampai Gunung_summary amd 1 final_schedule rev -2 paket AMS 8 2" xfId="3136"/>
    <cellStyle name="T_QTT Saluran Sampai Gunung_summary amd 1 final_schedule rev -2 paket AMS 8 2 2" xfId="3135"/>
    <cellStyle name="T_QTT Saluran Sampai Gunung_summary amd 1 final_schedule rev -2 paket AMS 8 3" xfId="3134"/>
    <cellStyle name="T_QTT Saluran Sampai Gunung_summary amd 1 final_schedule rev -2 paket AMS 8 4" xfId="3133"/>
    <cellStyle name="T_QTT Saluran Sampai Gunung_summary amd 1 final_schedule rev -2 paket AMS 8 5" xfId="3132"/>
    <cellStyle name="T_QTT Saluran Suka Tani" xfId="3131"/>
    <cellStyle name="T_QTT Saluran Suka Tani 2" xfId="3130"/>
    <cellStyle name="T_QTT Saluran Suka Tani 2 2" xfId="3129"/>
    <cellStyle name="T_QTT Saluran Suka Tani 3" xfId="3128"/>
    <cellStyle name="T_QTT Saluran Suka Tani 4" xfId="3127"/>
    <cellStyle name="T_QTT Saluran Suka Tani 5" xfId="3126"/>
    <cellStyle name="T_QTT Saluran Suka Tani_Evaluasi Negoisasi (Lampiran Berita Acara) - Rev 3" xfId="3125"/>
    <cellStyle name="T_QTT Saluran Suka Tani_Evaluasi Negoisasi (Lampiran Berita Acara) - Rev 3 2" xfId="3124"/>
    <cellStyle name="T_QTT Saluran Suka Tani_Evaluasi Negoisasi (Lampiran Berita Acara) - Rev 3 2 2" xfId="3123"/>
    <cellStyle name="T_QTT Saluran Suka Tani_Evaluasi Negoisasi (Lampiran Berita Acara) - Rev 3 3" xfId="3122"/>
    <cellStyle name="T_QTT Saluran Suka Tani_Evaluasi Negoisasi (Lampiran Berita Acara) - Rev 3 4" xfId="3121"/>
    <cellStyle name="T_QTT Saluran Suka Tani_Evaluasi Negoisasi (Lampiran Berita Acara) - Rev 3 5" xfId="3120"/>
    <cellStyle name="T_QTT Saluran Suka Tani_Schedule  PCM" xfId="3119"/>
    <cellStyle name="T_QTT Saluran Suka Tani_Schedule  PCM 2" xfId="3118"/>
    <cellStyle name="T_QTT Saluran Suka Tani_Schedule  PCM 2 2" xfId="3117"/>
    <cellStyle name="T_QTT Saluran Suka Tani_Schedule  PCM 3" xfId="3116"/>
    <cellStyle name="T_QTT Saluran Suka Tani_Schedule  PCM 4" xfId="3115"/>
    <cellStyle name="T_QTT Saluran Suka Tani_Schedule  PCM 5" xfId="3114"/>
    <cellStyle name="T_QTT Saluran Suka Tani_Schedule  PCM_schedule rev -2 paket AMS 8" xfId="3113"/>
    <cellStyle name="T_QTT Saluran Suka Tani_Schedule  PCM_schedule rev -2 paket AMS 8 2" xfId="3112"/>
    <cellStyle name="T_QTT Saluran Suka Tani_Schedule  PCM_schedule rev -2 paket AMS 8 2 2" xfId="3111"/>
    <cellStyle name="T_QTT Saluran Suka Tani_Schedule  PCM_schedule rev -2 paket AMS 8 3" xfId="3110"/>
    <cellStyle name="T_QTT Saluran Suka Tani_Schedule  PCM_schedule rev -2 paket AMS 8 4" xfId="3109"/>
    <cellStyle name="T_QTT Saluran Suka Tani_Schedule  PCM_schedule rev -2 paket AMS 8 5" xfId="3108"/>
    <cellStyle name="T_QTT Saluran Suka Tani_Schedule Revisi 1" xfId="3107"/>
    <cellStyle name="T_QTT Saluran Suka Tani_Schedule Revisi 1 2" xfId="3106"/>
    <cellStyle name="T_QTT Saluran Suka Tani_Schedule Revisi 1 2 2" xfId="3105"/>
    <cellStyle name="T_QTT Saluran Suka Tani_Schedule Revisi 1 3" xfId="3104"/>
    <cellStyle name="T_QTT Saluran Suka Tani_Schedule Revisi 1 4" xfId="3103"/>
    <cellStyle name="T_QTT Saluran Suka Tani_Schedule Revisi 1 5" xfId="3102"/>
    <cellStyle name="T_QTT Saluran Suka Tani_Schedule Revisi 1_schedule rev -2 paket AMS 8" xfId="3101"/>
    <cellStyle name="T_QTT Saluran Suka Tani_Schedule Revisi 1_schedule rev -2 paket AMS 8 2" xfId="3100"/>
    <cellStyle name="T_QTT Saluran Suka Tani_Schedule Revisi 1_schedule rev -2 paket AMS 8 2 2" xfId="3099"/>
    <cellStyle name="T_QTT Saluran Suka Tani_Schedule Revisi 1_schedule rev -2 paket AMS 8 3" xfId="3098"/>
    <cellStyle name="T_QTT Saluran Suka Tani_Schedule Revisi 1_schedule rev -2 paket AMS 8 4" xfId="3097"/>
    <cellStyle name="T_QTT Saluran Suka Tani_Schedule Revisi 1_schedule rev -2 paket AMS 8 5" xfId="3096"/>
    <cellStyle name="T_QTT Saluran Suka Tani_summary amd 1 final" xfId="3095"/>
    <cellStyle name="T_QTT Saluran Suka Tani_summary amd 1 final 2" xfId="3094"/>
    <cellStyle name="T_QTT Saluran Suka Tani_summary amd 1 final 2 2" xfId="3093"/>
    <cellStyle name="T_QTT Saluran Suka Tani_summary amd 1 final 3" xfId="3092"/>
    <cellStyle name="T_QTT Saluran Suka Tani_summary amd 1 final 4" xfId="3091"/>
    <cellStyle name="T_QTT Saluran Suka Tani_summary amd 1 final 5" xfId="3090"/>
    <cellStyle name="T_QTT Saluran Suka Tani_summary amd 1 final_schedule rev -2 paket AMS 8" xfId="3089"/>
    <cellStyle name="T_QTT Saluran Suka Tani_summary amd 1 final_schedule rev -2 paket AMS 8 2" xfId="3088"/>
    <cellStyle name="T_QTT Saluran Suka Tani_summary amd 1 final_schedule rev -2 paket AMS 8 2 2" xfId="3087"/>
    <cellStyle name="T_QTT Saluran Suka Tani_summary amd 1 final_schedule rev -2 paket AMS 8 3" xfId="3086"/>
    <cellStyle name="T_QTT Saluran Suka Tani_summary amd 1 final_schedule rev -2 paket AMS 8 4" xfId="3085"/>
    <cellStyle name="T_QTT Saluran Suka Tani_summary amd 1 final_schedule rev -2 paket AMS 8 5" xfId="3084"/>
    <cellStyle name="t_RAB ANNEX- R7F(THP1) PENAWARAN" xfId="3083"/>
    <cellStyle name="t_RAB ANNEX- R7F(THP1) PENAWARAN 2" xfId="3082"/>
    <cellStyle name="t_RAB ANNEX- R7F(THP1) PENAWARAN 2 2" xfId="3081"/>
    <cellStyle name="t_RAB ANNEX- R7F(THP1) PENAWARAN 3" xfId="3080"/>
    <cellStyle name="t_RAB ANNEX- R7F(THP1) PENAWARAN OK" xfId="3079"/>
    <cellStyle name="t_RAB ANNEX- R7F(THP1) PENAWARAN OK 2" xfId="3078"/>
    <cellStyle name="t_RAB ANNEX- R7F(THP1) PENAWARAN OK 2 2" xfId="3077"/>
    <cellStyle name="t_RAB ANNEX- R7F(THP1) PENAWARAN OK 3" xfId="3076"/>
    <cellStyle name="T_rab lanjutan print" xfId="3075"/>
    <cellStyle name="T_rab lanjutan print 10" xfId="3074"/>
    <cellStyle name="T_rab lanjutan print 11" xfId="3073"/>
    <cellStyle name="T_rab lanjutan print 2" xfId="3072"/>
    <cellStyle name="T_rab lanjutan print 2 2" xfId="3071"/>
    <cellStyle name="T_rab lanjutan print 2 3" xfId="3070"/>
    <cellStyle name="T_rab lanjutan print 2 4" xfId="3069"/>
    <cellStyle name="T_rab lanjutan print 3" xfId="3068"/>
    <cellStyle name="T_rab lanjutan print 3 2" xfId="3067"/>
    <cellStyle name="T_rab lanjutan print 3 3" xfId="3066"/>
    <cellStyle name="T_rab lanjutan print 3 4" xfId="3065"/>
    <cellStyle name="T_rab lanjutan print 4" xfId="3064"/>
    <cellStyle name="T_rab lanjutan print 4 2" xfId="3063"/>
    <cellStyle name="T_rab lanjutan print 4 3" xfId="3062"/>
    <cellStyle name="T_rab lanjutan print 4 4" xfId="3061"/>
    <cellStyle name="T_rab lanjutan print 5" xfId="3060"/>
    <cellStyle name="T_rab lanjutan print 5 2" xfId="3059"/>
    <cellStyle name="T_rab lanjutan print 5 3" xfId="3058"/>
    <cellStyle name="T_rab lanjutan print 5 4" xfId="3057"/>
    <cellStyle name="T_rab lanjutan print 6" xfId="3056"/>
    <cellStyle name="T_rab lanjutan print 6 2" xfId="3055"/>
    <cellStyle name="T_rab lanjutan print 6 3" xfId="3054"/>
    <cellStyle name="T_rab lanjutan print 6 4" xfId="3053"/>
    <cellStyle name="T_rab lanjutan print 7" xfId="3052"/>
    <cellStyle name="T_rab lanjutan print 7 2" xfId="3051"/>
    <cellStyle name="T_rab lanjutan print 7 3" xfId="3050"/>
    <cellStyle name="T_rab lanjutan print 7 4" xfId="3049"/>
    <cellStyle name="T_rab lanjutan print 8" xfId="3048"/>
    <cellStyle name="T_rab lanjutan print 8 2" xfId="3047"/>
    <cellStyle name="T_rab lanjutan print 8 3" xfId="3046"/>
    <cellStyle name="T_rab lanjutan print 8 4" xfId="3045"/>
    <cellStyle name="T_rab lanjutan print 9" xfId="3044"/>
    <cellStyle name="T_rab mesjid raya" xfId="3043"/>
    <cellStyle name="T_rab mesjid raya 10" xfId="3042"/>
    <cellStyle name="T_rab mesjid raya 11" xfId="3041"/>
    <cellStyle name="T_rab mesjid raya 12" xfId="3040"/>
    <cellStyle name="T_rab mesjid raya 2" xfId="3039"/>
    <cellStyle name="T_rab mesjid raya 2 2" xfId="3038"/>
    <cellStyle name="T_rab mesjid raya 2 2 2" xfId="3037"/>
    <cellStyle name="T_rab mesjid raya 2 3" xfId="3036"/>
    <cellStyle name="T_rab mesjid raya 2 4" xfId="3035"/>
    <cellStyle name="T_rab mesjid raya 2 5" xfId="3034"/>
    <cellStyle name="T_rab mesjid raya 3" xfId="3033"/>
    <cellStyle name="T_rab mesjid raya 3 2" xfId="3032"/>
    <cellStyle name="T_rab mesjid raya 3 2 2" xfId="3031"/>
    <cellStyle name="T_rab mesjid raya 3 3" xfId="3030"/>
    <cellStyle name="T_rab mesjid raya 3 4" xfId="3029"/>
    <cellStyle name="T_rab mesjid raya 3 5" xfId="3028"/>
    <cellStyle name="T_rab mesjid raya 4" xfId="3027"/>
    <cellStyle name="T_rab mesjid raya 4 2" xfId="3026"/>
    <cellStyle name="T_rab mesjid raya 4 2 2" xfId="3025"/>
    <cellStyle name="T_rab mesjid raya 4 3" xfId="3024"/>
    <cellStyle name="T_rab mesjid raya 4 4" xfId="3023"/>
    <cellStyle name="T_rab mesjid raya 4 5" xfId="3022"/>
    <cellStyle name="T_rab mesjid raya 5" xfId="3021"/>
    <cellStyle name="T_rab mesjid raya 5 2" xfId="3020"/>
    <cellStyle name="T_rab mesjid raya 5 2 2" xfId="3019"/>
    <cellStyle name="T_rab mesjid raya 5 3" xfId="3018"/>
    <cellStyle name="T_rab mesjid raya 5 4" xfId="3017"/>
    <cellStyle name="T_rab mesjid raya 5 5" xfId="3016"/>
    <cellStyle name="T_rab mesjid raya 6" xfId="3015"/>
    <cellStyle name="T_rab mesjid raya 6 2" xfId="3014"/>
    <cellStyle name="T_rab mesjid raya 6 2 2" xfId="3013"/>
    <cellStyle name="T_rab mesjid raya 6 3" xfId="3012"/>
    <cellStyle name="T_rab mesjid raya 6 4" xfId="3011"/>
    <cellStyle name="T_rab mesjid raya 6 5" xfId="3010"/>
    <cellStyle name="T_rab mesjid raya 7" xfId="3009"/>
    <cellStyle name="T_rab mesjid raya 7 2" xfId="3008"/>
    <cellStyle name="T_rab mesjid raya 7 2 2" xfId="3007"/>
    <cellStyle name="T_rab mesjid raya 7 3" xfId="3006"/>
    <cellStyle name="T_rab mesjid raya 7 4" xfId="3005"/>
    <cellStyle name="T_rab mesjid raya 7 5" xfId="3004"/>
    <cellStyle name="T_rab mesjid raya 8" xfId="3003"/>
    <cellStyle name="T_rab mesjid raya 8 2" xfId="3002"/>
    <cellStyle name="T_rab mesjid raya 8 2 2" xfId="3001"/>
    <cellStyle name="T_rab mesjid raya 8 3" xfId="3000"/>
    <cellStyle name="T_rab mesjid raya 8 4" xfId="2999"/>
    <cellStyle name="T_rab mesjid raya 8 5" xfId="2998"/>
    <cellStyle name="T_rab mesjid raya 9" xfId="2997"/>
    <cellStyle name="T_rab mesjid raya 9 2" xfId="2996"/>
    <cellStyle name="T_rab proyek bpk" xfId="2995"/>
    <cellStyle name="T_rab proyek bpk 10" xfId="2994"/>
    <cellStyle name="T_rab proyek bpk 11" xfId="2993"/>
    <cellStyle name="T_rab proyek bpk 2" xfId="2992"/>
    <cellStyle name="T_rab proyek bpk 2 2" xfId="2991"/>
    <cellStyle name="T_rab proyek bpk 2 3" xfId="2990"/>
    <cellStyle name="T_rab proyek bpk 2 4" xfId="2989"/>
    <cellStyle name="T_rab proyek bpk 3" xfId="2988"/>
    <cellStyle name="T_rab proyek bpk 3 2" xfId="2987"/>
    <cellStyle name="T_rab proyek bpk 3 3" xfId="2986"/>
    <cellStyle name="T_rab proyek bpk 3 4" xfId="2985"/>
    <cellStyle name="T_rab proyek bpk 4" xfId="2984"/>
    <cellStyle name="T_rab proyek bpk 4 2" xfId="2983"/>
    <cellStyle name="T_rab proyek bpk 4 3" xfId="2982"/>
    <cellStyle name="T_rab proyek bpk 4 4" xfId="2981"/>
    <cellStyle name="T_rab proyek bpk 5" xfId="2980"/>
    <cellStyle name="T_rab proyek bpk 5 2" xfId="2979"/>
    <cellStyle name="T_rab proyek bpk 5 3" xfId="2978"/>
    <cellStyle name="T_rab proyek bpk 5 4" xfId="2977"/>
    <cellStyle name="T_rab proyek bpk 6" xfId="2976"/>
    <cellStyle name="T_rab proyek bpk 6 2" xfId="2975"/>
    <cellStyle name="T_rab proyek bpk 6 3" xfId="2974"/>
    <cellStyle name="T_rab proyek bpk 6 4" xfId="2973"/>
    <cellStyle name="T_rab proyek bpk 7" xfId="2972"/>
    <cellStyle name="T_rab proyek bpk 7 2" xfId="2971"/>
    <cellStyle name="T_rab proyek bpk 7 3" xfId="2970"/>
    <cellStyle name="T_rab proyek bpk 7 4" xfId="2969"/>
    <cellStyle name="T_rab proyek bpk 8" xfId="2968"/>
    <cellStyle name="T_rab proyek bpk 8 2" xfId="2967"/>
    <cellStyle name="T_rab proyek bpk 8 3" xfId="2966"/>
    <cellStyle name="T_rab proyek bpk 8 4" xfId="2965"/>
    <cellStyle name="T_rab proyek bpk 9" xfId="2964"/>
    <cellStyle name="t_RAB Uji Emisi 090114" xfId="2963"/>
    <cellStyle name="t_RAB Uji Emisi 090114 2" xfId="2962"/>
    <cellStyle name="t_RAB Uji Emisi 090114 2 2" xfId="2961"/>
    <cellStyle name="t_RAB Uji Emisi 090114 2 2 2" xfId="2960"/>
    <cellStyle name="t_RAB Uji Emisi 090114 2 3" xfId="2959"/>
    <cellStyle name="t_RAB Uji Emisi 090114 3" xfId="2958"/>
    <cellStyle name="t_RAB Uji Emisi 090114 3 2" xfId="2957"/>
    <cellStyle name="t_RAB Uji Emisi 090114 3 2 2" xfId="2956"/>
    <cellStyle name="t_RAB Uji Emisi 090114 3 3" xfId="2955"/>
    <cellStyle name="t_RAB Uji Emisi 090114 4" xfId="2954"/>
    <cellStyle name="t_RAB Uji Emisi 090114 4 2" xfId="2953"/>
    <cellStyle name="t_RAB Uji Emisi 090114 4 2 2" xfId="2952"/>
    <cellStyle name="t_RAB Uji Emisi 090114 4 3" xfId="2951"/>
    <cellStyle name="t_RAB Uji Emisi 090114 5" xfId="2950"/>
    <cellStyle name="t_RAB Uji Emisi 090114 5 2" xfId="2949"/>
    <cellStyle name="t_RAB Uji Emisi 090114 5 2 2" xfId="2948"/>
    <cellStyle name="t_RAB Uji Emisi 090114 5 3" xfId="2947"/>
    <cellStyle name="t_RAB Uji Emisi 090114 6" xfId="2946"/>
    <cellStyle name="t_RAB Uji Emisi 090114 6 2" xfId="2945"/>
    <cellStyle name="t_RAB Uji Emisi 090114 6 2 2" xfId="2944"/>
    <cellStyle name="t_RAB Uji Emisi 090114 6 3" xfId="2943"/>
    <cellStyle name="t_RAB Uji Emisi 090114 7" xfId="2942"/>
    <cellStyle name="t_RAB Uji Emisi 090114 7 2" xfId="2941"/>
    <cellStyle name="t_RAB Uji Emisi 090114 7 2 2" xfId="2940"/>
    <cellStyle name="t_RAB Uji Emisi 090114 7 3" xfId="2939"/>
    <cellStyle name="t_RAB Uji Emisi 090114 8" xfId="2938"/>
    <cellStyle name="t_RAB Uji Emisi 090114 8 2" xfId="2937"/>
    <cellStyle name="t_RAB Uji Emisi 090114 9" xfId="2936"/>
    <cellStyle name="T_RAB. STR &amp; ARS_SISA 8 GEDUNG &amp; SITE ( TAHAP 1 )" xfId="2935"/>
    <cellStyle name="T_RAB. STR &amp; ARS_SISA 8 GEDUNG &amp; SITE ( TAHAP 1 ) 2" xfId="2934"/>
    <cellStyle name="T_RAB. STR &amp; ARS_SISA 8 GEDUNG &amp; SITE ( TAHAP 1 ) 3" xfId="2933"/>
    <cellStyle name="T_RAB. STR &amp; ARS_SISA 8 GEDUNG &amp; SITE ( TAHAP 1 ) 4" xfId="2932"/>
    <cellStyle name="T_RAB. STR &amp; ARS_SISA 8 GEDUNG &amp; SITE ( TAHAP 1 ) 5" xfId="2931"/>
    <cellStyle name="T_SKBDN Batam" xfId="2930"/>
    <cellStyle name="T_SKBDN Batam 2" xfId="2929"/>
    <cellStyle name="T_SKBDN Batam 3" xfId="2928"/>
    <cellStyle name="T_SKBDN Batam 4" xfId="2927"/>
    <cellStyle name="T_SKBDN Batam 5" xfId="2926"/>
    <cellStyle name="T_Sommary Vol_April" xfId="2925"/>
    <cellStyle name="T_Sommary Vol_April 2" xfId="2924"/>
    <cellStyle name="T_Sommary Vol_April 3" xfId="2923"/>
    <cellStyle name="T_Sommary Vol_April 4" xfId="2922"/>
    <cellStyle name="T_Sommary Vol_April 5" xfId="2921"/>
    <cellStyle name="T_Sommary Vol_April_Evaluasi Negoisasi (Lampiran Berita Acara) - Rev 3" xfId="2920"/>
    <cellStyle name="T_Sommary Vol_April_Evaluasi Negoisasi (Lampiran Berita Acara) - Rev 3 2" xfId="2919"/>
    <cellStyle name="T_Sommary Vol_April_Evaluasi Negoisasi (Lampiran Berita Acara) - Rev 3 3" xfId="2918"/>
    <cellStyle name="T_Sommary Vol_April_Evaluasi Negoisasi (Lampiran Berita Acara) - Rev 3 4" xfId="2917"/>
    <cellStyle name="T_Sommary Vol_April_Evaluasi Negoisasi (Lampiran Berita Acara) - Rev 3 5" xfId="2916"/>
    <cellStyle name="T_Sommary Vol_April_Linning saluran Sukatani format baru" xfId="2915"/>
    <cellStyle name="T_Sommary Vol_April_Linning saluran Sukatani format baru 2" xfId="2914"/>
    <cellStyle name="T_Sommary Vol_April_Linning saluran Sukatani format baru 3" xfId="2913"/>
    <cellStyle name="T_Sommary Vol_April_Linning saluran Sukatani format baru 4" xfId="2912"/>
    <cellStyle name="T_Sommary Vol_April_Linning saluran Sukatani format baru 5" xfId="2911"/>
    <cellStyle name="T_Sommary Vol_April_Schedule  PCM" xfId="2910"/>
    <cellStyle name="T_Sommary Vol_April_Schedule  PCM 2" xfId="2909"/>
    <cellStyle name="T_Sommary Vol_April_Schedule  PCM 3" xfId="2908"/>
    <cellStyle name="T_Sommary Vol_April_Schedule  PCM 4" xfId="2907"/>
    <cellStyle name="T_Sommary Vol_April_Schedule  PCM 5" xfId="2906"/>
    <cellStyle name="T_Sommary Vol_April_Schedule  PCM_schedule rev -2 paket AMS 8" xfId="2905"/>
    <cellStyle name="T_Sommary Vol_April_Schedule  PCM_schedule rev -2 paket AMS 8 2" xfId="2904"/>
    <cellStyle name="T_Sommary Vol_April_Schedule  PCM_schedule rev -2 paket AMS 8 3" xfId="2903"/>
    <cellStyle name="T_Sommary Vol_April_Schedule  PCM_schedule rev -2 paket AMS 8 4" xfId="2902"/>
    <cellStyle name="T_Sommary Vol_April_Schedule  PCM_schedule rev -2 paket AMS 8 5" xfId="2901"/>
    <cellStyle name="T_Sommary Vol_April_Schedule Revisi 1" xfId="2900"/>
    <cellStyle name="T_Sommary Vol_April_Schedule Revisi 1 2" xfId="2899"/>
    <cellStyle name="T_Sommary Vol_April_Schedule Revisi 1 3" xfId="2898"/>
    <cellStyle name="T_Sommary Vol_April_Schedule Revisi 1 4" xfId="2897"/>
    <cellStyle name="T_Sommary Vol_April_Schedule Revisi 1 5" xfId="2896"/>
    <cellStyle name="T_Sommary Vol_April_Schedule Revisi 1_schedule rev -2 paket AMS 8" xfId="2895"/>
    <cellStyle name="T_Sommary Vol_April_Schedule Revisi 1_schedule rev -2 paket AMS 8 2" xfId="2894"/>
    <cellStyle name="T_Sommary Vol_April_Schedule Revisi 1_schedule rev -2 paket AMS 8 3" xfId="2893"/>
    <cellStyle name="T_Sommary Vol_April_Schedule Revisi 1_schedule rev -2 paket AMS 8 4" xfId="2892"/>
    <cellStyle name="T_Sommary Vol_April_Schedule Revisi 1_schedule rev -2 paket AMS 8 5" xfId="2891"/>
    <cellStyle name="T_Sommary Vol_April_summary amd 1 final" xfId="2890"/>
    <cellStyle name="T_Sommary Vol_April_summary amd 1 final 2" xfId="2889"/>
    <cellStyle name="T_Sommary Vol_April_summary amd 1 final 3" xfId="2888"/>
    <cellStyle name="T_Sommary Vol_April_summary amd 1 final 4" xfId="2887"/>
    <cellStyle name="T_Sommary Vol_April_summary amd 1 final 5" xfId="2886"/>
    <cellStyle name="T_Sommary Vol_April_summary amd 1 final_schedule rev -2 paket AMS 8" xfId="2885"/>
    <cellStyle name="T_Sommary Vol_April_summary amd 1 final_schedule rev -2 paket AMS 8 2" xfId="2884"/>
    <cellStyle name="T_Sommary Vol_April_summary amd 1 final_schedule rev -2 paket AMS 8 3" xfId="2883"/>
    <cellStyle name="T_Sommary Vol_April_summary amd 1 final_schedule rev -2 paket AMS 8 4" xfId="2882"/>
    <cellStyle name="T_Sommary Vol_April_summary amd 1 final_schedule rev -2 paket AMS 8 5" xfId="2881"/>
    <cellStyle name="T_summary pasangan JI" xfId="2880"/>
    <cellStyle name="T_summary pasangan JI 2" xfId="2879"/>
    <cellStyle name="T_summary pasangan JI 3" xfId="2878"/>
    <cellStyle name="T_summary pasangan JI 4" xfId="2877"/>
    <cellStyle name="T_summary pasangan JI 5" xfId="2876"/>
    <cellStyle name="T_Summary Termijn 1 LINK" xfId="2875"/>
    <cellStyle name="T_Summary Termijn 1 LINK 2" xfId="2874"/>
    <cellStyle name="T_Summary Termijn 1 LINK 3" xfId="2873"/>
    <cellStyle name="T_Summary Termijn 1 LINK 4" xfId="2872"/>
    <cellStyle name="T_Summary Termijn 1 LINK 5" xfId="2871"/>
    <cellStyle name="T_Summary Termijn 1 LINK_Evaluasi Negoisasi (Lampiran Berita Acara) - Rev 3" xfId="2870"/>
    <cellStyle name="T_Summary Termijn 1 LINK_Evaluasi Negoisasi (Lampiran Berita Acara) - Rev 3 2" xfId="2869"/>
    <cellStyle name="T_Summary Termijn 1 LINK_Evaluasi Negoisasi (Lampiran Berita Acara) - Rev 3 3" xfId="2868"/>
    <cellStyle name="T_Summary Termijn 1 LINK_Evaluasi Negoisasi (Lampiran Berita Acara) - Rev 3 4" xfId="2867"/>
    <cellStyle name="T_Summary Termijn 1 LINK_Evaluasi Negoisasi (Lampiran Berita Acara) - Rev 3 5" xfId="2866"/>
    <cellStyle name="T_Summary Termijn 1 LINK_Schedule  PCM" xfId="2865"/>
    <cellStyle name="T_Summary Termijn 1 LINK_Schedule  PCM 2" xfId="2864"/>
    <cellStyle name="T_Summary Termijn 1 LINK_Schedule  PCM 3" xfId="2863"/>
    <cellStyle name="T_Summary Termijn 1 LINK_Schedule  PCM 4" xfId="2862"/>
    <cellStyle name="T_Summary Termijn 1 LINK_Schedule  PCM 5" xfId="2861"/>
    <cellStyle name="T_Summary Termijn 1 LINK_Schedule  PCM_schedule rev -2 paket AMS 8" xfId="2860"/>
    <cellStyle name="T_Summary Termijn 1 LINK_Schedule  PCM_schedule rev -2 paket AMS 8 2" xfId="2859"/>
    <cellStyle name="T_Summary Termijn 1 LINK_Schedule  PCM_schedule rev -2 paket AMS 8 3" xfId="2858"/>
    <cellStyle name="T_Summary Termijn 1 LINK_Schedule  PCM_schedule rev -2 paket AMS 8 4" xfId="2857"/>
    <cellStyle name="T_Summary Termijn 1 LINK_Schedule  PCM_schedule rev -2 paket AMS 8 5" xfId="2856"/>
    <cellStyle name="T_Summary Termijn 1 LINK_Schedule Revisi 1" xfId="2855"/>
    <cellStyle name="T_Summary Termijn 1 LINK_Schedule Revisi 1 2" xfId="2854"/>
    <cellStyle name="T_Summary Termijn 1 LINK_Schedule Revisi 1 3" xfId="2853"/>
    <cellStyle name="T_Summary Termijn 1 LINK_Schedule Revisi 1 4" xfId="2852"/>
    <cellStyle name="T_Summary Termijn 1 LINK_Schedule Revisi 1 5" xfId="2851"/>
    <cellStyle name="T_Summary Termijn 1 LINK_Schedule Revisi 1_schedule rev -2 paket AMS 8" xfId="2850"/>
    <cellStyle name="T_Summary Termijn 1 LINK_Schedule Revisi 1_schedule rev -2 paket AMS 8 2" xfId="2849"/>
    <cellStyle name="T_Summary Termijn 1 LINK_Schedule Revisi 1_schedule rev -2 paket AMS 8 3" xfId="2848"/>
    <cellStyle name="T_Summary Termijn 1 LINK_Schedule Revisi 1_schedule rev -2 paket AMS 8 4" xfId="2847"/>
    <cellStyle name="T_Summary Termijn 1 LINK_Schedule Revisi 1_schedule rev -2 paket AMS 8 5" xfId="2846"/>
    <cellStyle name="T_Summary Termijn 1 LINK_summary amd 1 final" xfId="2845"/>
    <cellStyle name="T_Summary Termijn 1 LINK_summary amd 1 final 2" xfId="2844"/>
    <cellStyle name="T_Summary Termijn 1 LINK_summary amd 1 final 3" xfId="2843"/>
    <cellStyle name="T_Summary Termijn 1 LINK_summary amd 1 final 4" xfId="2842"/>
    <cellStyle name="T_Summary Termijn 1 LINK_summary amd 1 final 5" xfId="2841"/>
    <cellStyle name="T_Summary Termijn 1 LINK_summary amd 1 final_schedule rev -2 paket AMS 8" xfId="2840"/>
    <cellStyle name="T_Summary Termijn 1 LINK_summary amd 1 final_schedule rev -2 paket AMS 8 2" xfId="2839"/>
    <cellStyle name="T_Summary Termijn 1 LINK_summary amd 1 final_schedule rev -2 paket AMS 8 3" xfId="2838"/>
    <cellStyle name="T_Summary Termijn 1 LINK_summary amd 1 final_schedule rev -2 paket AMS 8 4" xfId="2837"/>
    <cellStyle name="T_Summary Termijn 1 LINK_summary amd 1 final_schedule rev -2 paket AMS 8 5" xfId="2836"/>
    <cellStyle name="T_Summary Termijn 2" xfId="2835"/>
    <cellStyle name="T_Summary Termijn 2 2" xfId="2834"/>
    <cellStyle name="T_Summary Termijn 2 3" xfId="2833"/>
    <cellStyle name="T_Summary Termijn 2 4" xfId="2832"/>
    <cellStyle name="T_Summary Termijn 2 5" xfId="2831"/>
    <cellStyle name="T_Summary Termijn 2_Evaluasi Negoisasi (Lampiran Berita Acara) - Rev 3" xfId="2830"/>
    <cellStyle name="T_Summary Termijn 2_Evaluasi Negoisasi (Lampiran Berita Acara) - Rev 3 2" xfId="2829"/>
    <cellStyle name="T_Summary Termijn 2_Evaluasi Negoisasi (Lampiran Berita Acara) - Rev 3 3" xfId="2828"/>
    <cellStyle name="T_Summary Termijn 2_Evaluasi Negoisasi (Lampiran Berita Acara) - Rev 3 4" xfId="2827"/>
    <cellStyle name="T_Summary Termijn 2_Evaluasi Negoisasi (Lampiran Berita Acara) - Rev 3 5" xfId="2826"/>
    <cellStyle name="T_Summary Termijn 2_Schedule  PCM" xfId="2825"/>
    <cellStyle name="T_Summary Termijn 2_Schedule  PCM 2" xfId="2824"/>
    <cellStyle name="T_Summary Termijn 2_Schedule  PCM 3" xfId="2823"/>
    <cellStyle name="T_Summary Termijn 2_Schedule  PCM 4" xfId="2822"/>
    <cellStyle name="T_Summary Termijn 2_Schedule  PCM 5" xfId="2821"/>
    <cellStyle name="T_Summary Termijn 2_Schedule  PCM_schedule rev -2 paket AMS 8" xfId="2820"/>
    <cellStyle name="T_Summary Termijn 2_Schedule  PCM_schedule rev -2 paket AMS 8 2" xfId="2819"/>
    <cellStyle name="T_Summary Termijn 2_Schedule  PCM_schedule rev -2 paket AMS 8 3" xfId="2818"/>
    <cellStyle name="T_Summary Termijn 2_Schedule  PCM_schedule rev -2 paket AMS 8 4" xfId="2817"/>
    <cellStyle name="T_Summary Termijn 2_Schedule  PCM_schedule rev -2 paket AMS 8 5" xfId="2816"/>
    <cellStyle name="T_Summary Termijn 2_Schedule Revisi 1" xfId="2815"/>
    <cellStyle name="T_Summary Termijn 2_Schedule Revisi 1 2" xfId="2814"/>
    <cellStyle name="T_Summary Termijn 2_Schedule Revisi 1 3" xfId="2813"/>
    <cellStyle name="T_Summary Termijn 2_Schedule Revisi 1 4" xfId="2812"/>
    <cellStyle name="T_Summary Termijn 2_Schedule Revisi 1 5" xfId="2811"/>
    <cellStyle name="T_Summary Termijn 2_Schedule Revisi 1_schedule rev -2 paket AMS 8" xfId="2810"/>
    <cellStyle name="T_Summary Termijn 2_Schedule Revisi 1_schedule rev -2 paket AMS 8 2" xfId="2809"/>
    <cellStyle name="T_Summary Termijn 2_Schedule Revisi 1_schedule rev -2 paket AMS 8 3" xfId="2808"/>
    <cellStyle name="T_Summary Termijn 2_Schedule Revisi 1_schedule rev -2 paket AMS 8 4" xfId="2807"/>
    <cellStyle name="T_Summary Termijn 2_Schedule Revisi 1_schedule rev -2 paket AMS 8 5" xfId="2806"/>
    <cellStyle name="T_Summary Termijn 2_summary amd 1 final" xfId="2805"/>
    <cellStyle name="T_Summary Termijn 2_summary amd 1 final 2" xfId="2804"/>
    <cellStyle name="T_Summary Termijn 2_summary amd 1 final 3" xfId="2803"/>
    <cellStyle name="T_Summary Termijn 2_summary amd 1 final 4" xfId="2802"/>
    <cellStyle name="T_Summary Termijn 2_summary amd 1 final 5" xfId="2801"/>
    <cellStyle name="T_Summary Termijn 2_summary amd 1 final_schedule rev -2 paket AMS 8" xfId="2800"/>
    <cellStyle name="T_Summary Termijn 2_summary amd 1 final_schedule rev -2 paket AMS 8 2" xfId="2799"/>
    <cellStyle name="T_Summary Termijn 2_summary amd 1 final_schedule rev -2 paket AMS 8 3" xfId="2798"/>
    <cellStyle name="T_Summary Termijn 2_summary amd 1 final_schedule rev -2 paket AMS 8 4" xfId="2797"/>
    <cellStyle name="T_Summary Termijn 2_summary amd 1 final_schedule rev -2 paket AMS 8 5" xfId="2796"/>
    <cellStyle name="TABEL HEADER" xfId="2795"/>
    <cellStyle name="TABEL HEADER 2" xfId="2794"/>
    <cellStyle name="Table" xfId="2793"/>
    <cellStyle name="Table " xfId="2792"/>
    <cellStyle name="Table  - Style5" xfId="2791"/>
    <cellStyle name="Table  - Style5 10" xfId="2790"/>
    <cellStyle name="Table  - Style5 2" xfId="2789"/>
    <cellStyle name="Table  - Style5 2 2" xfId="2788"/>
    <cellStyle name="Table  - Style5 2 2 2" xfId="2787"/>
    <cellStyle name="Table  - Style5 2 3" xfId="2786"/>
    <cellStyle name="Table  - Style5 3" xfId="2785"/>
    <cellStyle name="Table  - Style5 3 2" xfId="2784"/>
    <cellStyle name="Table  - Style5 4" xfId="2783"/>
    <cellStyle name="Table  - Style5 5" xfId="2782"/>
    <cellStyle name="Table  - Style5 6" xfId="2781"/>
    <cellStyle name="Table  - Style5 7" xfId="2780"/>
    <cellStyle name="Table  - Style5 8" xfId="2779"/>
    <cellStyle name="Table  - Style5 9" xfId="2778"/>
    <cellStyle name="Table  - Style6" xfId="2777"/>
    <cellStyle name="Table  - Style6 10" xfId="2776"/>
    <cellStyle name="Table  - Style6 10 2" xfId="2775"/>
    <cellStyle name="Table  - Style6 10 3" xfId="2774"/>
    <cellStyle name="Table  - Style6 10 4" xfId="2773"/>
    <cellStyle name="Table  - Style6 11" xfId="2772"/>
    <cellStyle name="Table  - Style6 11 2" xfId="2771"/>
    <cellStyle name="Table  - Style6 11 3" xfId="2770"/>
    <cellStyle name="Table  - Style6 11 4" xfId="2769"/>
    <cellStyle name="Table  - Style6 12" xfId="2768"/>
    <cellStyle name="Table  - Style6 12 2" xfId="2767"/>
    <cellStyle name="Table  - Style6 12 3" xfId="2766"/>
    <cellStyle name="Table  - Style6 12 4" xfId="2765"/>
    <cellStyle name="Table  - Style6 13" xfId="2764"/>
    <cellStyle name="Table  - Style6 14" xfId="2763"/>
    <cellStyle name="Table  - Style6 15" xfId="2762"/>
    <cellStyle name="Table  - Style6 16" xfId="2761"/>
    <cellStyle name="Table  - Style6 17" xfId="2760"/>
    <cellStyle name="Table  - Style6 18" xfId="2759"/>
    <cellStyle name="Table  - Style6 2" xfId="2758"/>
    <cellStyle name="Table  - Style6 2 10" xfId="2757"/>
    <cellStyle name="Table  - Style6 2 10 2" xfId="2756"/>
    <cellStyle name="Table  - Style6 2 10 3" xfId="2755"/>
    <cellStyle name="Table  - Style6 2 10 4" xfId="2754"/>
    <cellStyle name="Table  - Style6 2 11" xfId="2753"/>
    <cellStyle name="Table  - Style6 2 12" xfId="2752"/>
    <cellStyle name="Table  - Style6 2 13" xfId="2751"/>
    <cellStyle name="Table  - Style6 2 2" xfId="2750"/>
    <cellStyle name="Table  - Style6 2 2 10" xfId="2749"/>
    <cellStyle name="Table  - Style6 2 2 11" xfId="2748"/>
    <cellStyle name="Table  - Style6 2 2 2" xfId="2747"/>
    <cellStyle name="Table  - Style6 2 2 2 2" xfId="2746"/>
    <cellStyle name="Table  - Style6 2 2 2 3" xfId="2745"/>
    <cellStyle name="Table  - Style6 2 2 2 4" xfId="2744"/>
    <cellStyle name="Table  - Style6 2 2 3" xfId="2743"/>
    <cellStyle name="Table  - Style6 2 2 3 2" xfId="2742"/>
    <cellStyle name="Table  - Style6 2 2 3 3" xfId="2741"/>
    <cellStyle name="Table  - Style6 2 2 3 4" xfId="2740"/>
    <cellStyle name="Table  - Style6 2 2 4" xfId="2739"/>
    <cellStyle name="Table  - Style6 2 2 4 2" xfId="2738"/>
    <cellStyle name="Table  - Style6 2 2 4 3" xfId="2737"/>
    <cellStyle name="Table  - Style6 2 2 4 4" xfId="2736"/>
    <cellStyle name="Table  - Style6 2 2 5" xfId="2735"/>
    <cellStyle name="Table  - Style6 2 2 5 2" xfId="2734"/>
    <cellStyle name="Table  - Style6 2 2 5 3" xfId="2733"/>
    <cellStyle name="Table  - Style6 2 2 5 4" xfId="2732"/>
    <cellStyle name="Table  - Style6 2 2 6" xfId="2731"/>
    <cellStyle name="Table  - Style6 2 2 6 2" xfId="2730"/>
    <cellStyle name="Table  - Style6 2 2 6 3" xfId="2729"/>
    <cellStyle name="Table  - Style6 2 2 6 4" xfId="2728"/>
    <cellStyle name="Table  - Style6 2 2 7" xfId="2727"/>
    <cellStyle name="Table  - Style6 2 2 7 2" xfId="2726"/>
    <cellStyle name="Table  - Style6 2 2 7 3" xfId="2725"/>
    <cellStyle name="Table  - Style6 2 2 7 4" xfId="2724"/>
    <cellStyle name="Table  - Style6 2 2 8" xfId="2723"/>
    <cellStyle name="Table  - Style6 2 2 8 2" xfId="2722"/>
    <cellStyle name="Table  - Style6 2 2 8 3" xfId="2721"/>
    <cellStyle name="Table  - Style6 2 2 8 4" xfId="2720"/>
    <cellStyle name="Table  - Style6 2 2 9" xfId="2719"/>
    <cellStyle name="Table  - Style6 2 3" xfId="2718"/>
    <cellStyle name="Table  - Style6 2 3 2" xfId="2717"/>
    <cellStyle name="Table  - Style6 2 3 3" xfId="2716"/>
    <cellStyle name="Table  - Style6 2 3 4" xfId="2715"/>
    <cellStyle name="Table  - Style6 2 4" xfId="2714"/>
    <cellStyle name="Table  - Style6 2 4 2" xfId="2713"/>
    <cellStyle name="Table  - Style6 2 4 3" xfId="2712"/>
    <cellStyle name="Table  - Style6 2 4 4" xfId="2711"/>
    <cellStyle name="Table  - Style6 2 5" xfId="2710"/>
    <cellStyle name="Table  - Style6 2 5 2" xfId="2709"/>
    <cellStyle name="Table  - Style6 2 5 3" xfId="2708"/>
    <cellStyle name="Table  - Style6 2 5 4" xfId="2707"/>
    <cellStyle name="Table  - Style6 2 6" xfId="2706"/>
    <cellStyle name="Table  - Style6 2 6 2" xfId="2705"/>
    <cellStyle name="Table  - Style6 2 6 3" xfId="2704"/>
    <cellStyle name="Table  - Style6 2 6 4" xfId="2703"/>
    <cellStyle name="Table  - Style6 2 7" xfId="2702"/>
    <cellStyle name="Table  - Style6 2 7 2" xfId="2701"/>
    <cellStyle name="Table  - Style6 2 7 3" xfId="2700"/>
    <cellStyle name="Table  - Style6 2 7 4" xfId="2699"/>
    <cellStyle name="Table  - Style6 2 8" xfId="2698"/>
    <cellStyle name="Table  - Style6 2 8 2" xfId="2697"/>
    <cellStyle name="Table  - Style6 2 8 3" xfId="2696"/>
    <cellStyle name="Table  - Style6 2 8 4" xfId="2695"/>
    <cellStyle name="Table  - Style6 2 9" xfId="2694"/>
    <cellStyle name="Table  - Style6 2 9 2" xfId="2693"/>
    <cellStyle name="Table  - Style6 2 9 3" xfId="2692"/>
    <cellStyle name="Table  - Style6 2 9 4" xfId="2691"/>
    <cellStyle name="Table  - Style6 3" xfId="2690"/>
    <cellStyle name="Table  - Style6 3 10" xfId="2689"/>
    <cellStyle name="Table  - Style6 3 10 2" xfId="2688"/>
    <cellStyle name="Table  - Style6 3 10 3" xfId="2687"/>
    <cellStyle name="Table  - Style6 3 10 4" xfId="2686"/>
    <cellStyle name="Table  - Style6 3 11" xfId="2685"/>
    <cellStyle name="Table  - Style6 3 12" xfId="2684"/>
    <cellStyle name="Table  - Style6 3 13" xfId="2683"/>
    <cellStyle name="Table  - Style6 3 2" xfId="2682"/>
    <cellStyle name="Table  - Style6 3 2 10" xfId="2681"/>
    <cellStyle name="Table  - Style6 3 2 11" xfId="2680"/>
    <cellStyle name="Table  - Style6 3 2 2" xfId="2679"/>
    <cellStyle name="Table  - Style6 3 2 2 2" xfId="2678"/>
    <cellStyle name="Table  - Style6 3 2 2 3" xfId="2677"/>
    <cellStyle name="Table  - Style6 3 2 2 4" xfId="2676"/>
    <cellStyle name="Table  - Style6 3 2 3" xfId="2675"/>
    <cellStyle name="Table  - Style6 3 2 3 2" xfId="2674"/>
    <cellStyle name="Table  - Style6 3 2 3 3" xfId="2673"/>
    <cellStyle name="Table  - Style6 3 2 3 4" xfId="2672"/>
    <cellStyle name="Table  - Style6 3 2 4" xfId="2671"/>
    <cellStyle name="Table  - Style6 3 2 4 2" xfId="2670"/>
    <cellStyle name="Table  - Style6 3 2 4 3" xfId="2669"/>
    <cellStyle name="Table  - Style6 3 2 4 4" xfId="2668"/>
    <cellStyle name="Table  - Style6 3 2 5" xfId="2667"/>
    <cellStyle name="Table  - Style6 3 2 5 2" xfId="2666"/>
    <cellStyle name="Table  - Style6 3 2 5 3" xfId="2665"/>
    <cellStyle name="Table  - Style6 3 2 5 4" xfId="2664"/>
    <cellStyle name="Table  - Style6 3 2 6" xfId="2663"/>
    <cellStyle name="Table  - Style6 3 2 6 2" xfId="2662"/>
    <cellStyle name="Table  - Style6 3 2 6 3" xfId="2661"/>
    <cellStyle name="Table  - Style6 3 2 6 4" xfId="2660"/>
    <cellStyle name="Table  - Style6 3 2 7" xfId="2659"/>
    <cellStyle name="Table  - Style6 3 2 7 2" xfId="2658"/>
    <cellStyle name="Table  - Style6 3 2 7 3" xfId="2657"/>
    <cellStyle name="Table  - Style6 3 2 7 4" xfId="2656"/>
    <cellStyle name="Table  - Style6 3 2 8" xfId="2655"/>
    <cellStyle name="Table  - Style6 3 2 8 2" xfId="2654"/>
    <cellStyle name="Table  - Style6 3 2 8 3" xfId="2653"/>
    <cellStyle name="Table  - Style6 3 2 8 4" xfId="2652"/>
    <cellStyle name="Table  - Style6 3 2 9" xfId="2651"/>
    <cellStyle name="Table  - Style6 3 3" xfId="2650"/>
    <cellStyle name="Table  - Style6 3 3 2" xfId="2649"/>
    <cellStyle name="Table  - Style6 3 3 3" xfId="2648"/>
    <cellStyle name="Table  - Style6 3 3 4" xfId="2647"/>
    <cellStyle name="Table  - Style6 3 4" xfId="2646"/>
    <cellStyle name="Table  - Style6 3 4 2" xfId="2645"/>
    <cellStyle name="Table  - Style6 3 4 3" xfId="2644"/>
    <cellStyle name="Table  - Style6 3 4 4" xfId="2643"/>
    <cellStyle name="Table  - Style6 3 5" xfId="2642"/>
    <cellStyle name="Table  - Style6 3 5 2" xfId="2641"/>
    <cellStyle name="Table  - Style6 3 5 3" xfId="2640"/>
    <cellStyle name="Table  - Style6 3 5 4" xfId="2639"/>
    <cellStyle name="Table  - Style6 3 6" xfId="2638"/>
    <cellStyle name="Table  - Style6 3 6 2" xfId="2637"/>
    <cellStyle name="Table  - Style6 3 6 3" xfId="2636"/>
    <cellStyle name="Table  - Style6 3 6 4" xfId="2635"/>
    <cellStyle name="Table  - Style6 3 7" xfId="2634"/>
    <cellStyle name="Table  - Style6 3 7 2" xfId="2633"/>
    <cellStyle name="Table  - Style6 3 7 3" xfId="2632"/>
    <cellStyle name="Table  - Style6 3 7 4" xfId="2631"/>
    <cellStyle name="Table  - Style6 3 8" xfId="2630"/>
    <cellStyle name="Table  - Style6 3 8 2" xfId="2629"/>
    <cellStyle name="Table  - Style6 3 8 3" xfId="2628"/>
    <cellStyle name="Table  - Style6 3 8 4" xfId="2627"/>
    <cellStyle name="Table  - Style6 3 9" xfId="2626"/>
    <cellStyle name="Table  - Style6 3 9 2" xfId="2625"/>
    <cellStyle name="Table  - Style6 3 9 3" xfId="2624"/>
    <cellStyle name="Table  - Style6 3 9 4" xfId="2623"/>
    <cellStyle name="Table  - Style6 4" xfId="2622"/>
    <cellStyle name="Table  - Style6 4 10" xfId="2621"/>
    <cellStyle name="Table  - Style6 4 11" xfId="2620"/>
    <cellStyle name="Table  - Style6 4 2" xfId="2619"/>
    <cellStyle name="Table  - Style6 4 2 2" xfId="2618"/>
    <cellStyle name="Table  - Style6 4 2 3" xfId="2617"/>
    <cellStyle name="Table  - Style6 4 2 4" xfId="2616"/>
    <cellStyle name="Table  - Style6 4 3" xfId="2615"/>
    <cellStyle name="Table  - Style6 4 3 2" xfId="2614"/>
    <cellStyle name="Table  - Style6 4 3 3" xfId="2613"/>
    <cellStyle name="Table  - Style6 4 3 4" xfId="2612"/>
    <cellStyle name="Table  - Style6 4 4" xfId="2611"/>
    <cellStyle name="Table  - Style6 4 4 2" xfId="2610"/>
    <cellStyle name="Table  - Style6 4 4 3" xfId="2609"/>
    <cellStyle name="Table  - Style6 4 4 4" xfId="2608"/>
    <cellStyle name="Table  - Style6 4 5" xfId="2607"/>
    <cellStyle name="Table  - Style6 4 5 2" xfId="2606"/>
    <cellStyle name="Table  - Style6 4 5 3" xfId="2605"/>
    <cellStyle name="Table  - Style6 4 5 4" xfId="2604"/>
    <cellStyle name="Table  - Style6 4 6" xfId="2603"/>
    <cellStyle name="Table  - Style6 4 6 2" xfId="2602"/>
    <cellStyle name="Table  - Style6 4 6 3" xfId="2601"/>
    <cellStyle name="Table  - Style6 4 6 4" xfId="2600"/>
    <cellStyle name="Table  - Style6 4 7" xfId="2599"/>
    <cellStyle name="Table  - Style6 4 7 2" xfId="2598"/>
    <cellStyle name="Table  - Style6 4 7 3" xfId="2597"/>
    <cellStyle name="Table  - Style6 4 7 4" xfId="2596"/>
    <cellStyle name="Table  - Style6 4 8" xfId="2595"/>
    <cellStyle name="Table  - Style6 4 8 2" xfId="2594"/>
    <cellStyle name="Table  - Style6 4 8 3" xfId="2593"/>
    <cellStyle name="Table  - Style6 4 8 4" xfId="2592"/>
    <cellStyle name="Table  - Style6 4 9" xfId="2591"/>
    <cellStyle name="Table  - Style6 5" xfId="2590"/>
    <cellStyle name="Table  - Style6 5 2" xfId="2589"/>
    <cellStyle name="Table  - Style6 5 3" xfId="2588"/>
    <cellStyle name="Table  - Style6 5 4" xfId="2587"/>
    <cellStyle name="Table  - Style6 6" xfId="2586"/>
    <cellStyle name="Table  - Style6 6 2" xfId="2585"/>
    <cellStyle name="Table  - Style6 6 3" xfId="2584"/>
    <cellStyle name="Table  - Style6 6 4" xfId="2583"/>
    <cellStyle name="Table  - Style6 7" xfId="2582"/>
    <cellStyle name="Table  - Style6 7 2" xfId="2581"/>
    <cellStyle name="Table  - Style6 7 3" xfId="2580"/>
    <cellStyle name="Table  - Style6 7 4" xfId="2579"/>
    <cellStyle name="Table  - Style6 8" xfId="2578"/>
    <cellStyle name="Table  - Style6 8 2" xfId="2577"/>
    <cellStyle name="Table  - Style6 8 3" xfId="2576"/>
    <cellStyle name="Table  - Style6 8 4" xfId="2575"/>
    <cellStyle name="Table  - Style6 9" xfId="2574"/>
    <cellStyle name="Table  - Style6 9 2" xfId="2573"/>
    <cellStyle name="Table  - Style6 9 3" xfId="2572"/>
    <cellStyle name="Table  - Style6 9 4" xfId="2571"/>
    <cellStyle name="Table  - 유형6" xfId="2570"/>
    <cellStyle name="Table  - 유형6 10" xfId="2569"/>
    <cellStyle name="Table  - 유형6 10 2" xfId="2568"/>
    <cellStyle name="Table  - 유형6 11" xfId="2567"/>
    <cellStyle name="Table  - 유형6 2" xfId="2566"/>
    <cellStyle name="Table  - 유형6 2 2" xfId="2565"/>
    <cellStyle name="Table  - 유형6 2 2 2" xfId="2564"/>
    <cellStyle name="Table  - 유형6 2 2 2 2" xfId="2563"/>
    <cellStyle name="Table  - 유형6 2 2 3" xfId="2562"/>
    <cellStyle name="Table  - 유형6 2 3" xfId="2561"/>
    <cellStyle name="Table  - 유형6 2 3 2" xfId="2560"/>
    <cellStyle name="Table  - 유형6 2 4" xfId="2559"/>
    <cellStyle name="Table  - 유형6 3" xfId="2558"/>
    <cellStyle name="Table  - 유형6 3 2" xfId="2557"/>
    <cellStyle name="Table  - 유형6 3 2 2" xfId="2556"/>
    <cellStyle name="Table  - 유형6 3 2 2 2" xfId="2555"/>
    <cellStyle name="Table  - 유형6 3 2 3" xfId="2554"/>
    <cellStyle name="Table  - 유형6 3 3" xfId="2553"/>
    <cellStyle name="Table  - 유형6 3 3 2" xfId="2552"/>
    <cellStyle name="Table  - 유형6 3 4" xfId="2551"/>
    <cellStyle name="Table  - 유형6 4" xfId="2550"/>
    <cellStyle name="Table  - 유형6 4 2" xfId="2549"/>
    <cellStyle name="Table  - 유형6 4 2 2" xfId="2548"/>
    <cellStyle name="Table  - 유형6 4 2 2 2" xfId="2547"/>
    <cellStyle name="Table  - 유형6 4 2 3" xfId="2546"/>
    <cellStyle name="Table  - 유형6 4 3" xfId="2545"/>
    <cellStyle name="Table  - 유형6 4 3 2" xfId="2544"/>
    <cellStyle name="Table  - 유형6 4 4" xfId="2543"/>
    <cellStyle name="Table  - 유형6 5" xfId="2542"/>
    <cellStyle name="Table  - 유형6 5 2" xfId="2541"/>
    <cellStyle name="Table  - 유형6 5 2 2" xfId="2540"/>
    <cellStyle name="Table  - 유형6 5 2 2 2" xfId="2539"/>
    <cellStyle name="Table  - 유형6 5 2 3" xfId="2538"/>
    <cellStyle name="Table  - 유형6 5 3" xfId="2537"/>
    <cellStyle name="Table  - 유형6 5 3 2" xfId="2536"/>
    <cellStyle name="Table  - 유형6 5 4" xfId="2535"/>
    <cellStyle name="Table  - 유형6 6" xfId="2534"/>
    <cellStyle name="Table  - 유형6 6 2" xfId="2533"/>
    <cellStyle name="Table  - 유형6 6 2 2" xfId="2532"/>
    <cellStyle name="Table  - 유형6 6 2 2 2" xfId="2531"/>
    <cellStyle name="Table  - 유형6 6 2 3" xfId="2530"/>
    <cellStyle name="Table  - 유형6 6 3" xfId="2529"/>
    <cellStyle name="Table  - 유형6 6 3 2" xfId="2528"/>
    <cellStyle name="Table  - 유형6 6 4" xfId="2527"/>
    <cellStyle name="Table  - 유형6 7" xfId="2526"/>
    <cellStyle name="Table  - 유형6 7 2" xfId="2525"/>
    <cellStyle name="Table  - 유형6 7 2 2" xfId="2524"/>
    <cellStyle name="Table  - 유형6 7 2 2 2" xfId="2523"/>
    <cellStyle name="Table  - 유형6 7 2 3" xfId="2522"/>
    <cellStyle name="Table  - 유형6 7 3" xfId="2521"/>
    <cellStyle name="Table  - 유형6 7 3 2" xfId="2520"/>
    <cellStyle name="Table  - 유형6 7 4" xfId="2519"/>
    <cellStyle name="Table  - 유형6 8" xfId="2518"/>
    <cellStyle name="Table  - 유형6 8 2" xfId="2517"/>
    <cellStyle name="Table  - 유형6 8 2 2" xfId="2516"/>
    <cellStyle name="Table  - 유형6 8 2 2 2" xfId="2515"/>
    <cellStyle name="Table  - 유형6 8 2 3" xfId="2514"/>
    <cellStyle name="Table  - 유형6 8 3" xfId="2513"/>
    <cellStyle name="Table  - 유형6 8 3 2" xfId="2512"/>
    <cellStyle name="Table  - 유형6 8 4" xfId="2511"/>
    <cellStyle name="Table  - 유형6 9" xfId="2510"/>
    <cellStyle name="Table  - 유형6 9 2" xfId="2509"/>
    <cellStyle name="Table  - 유형6 9 2 2" xfId="2508"/>
    <cellStyle name="Table  - 유형6 9 3" xfId="2507"/>
    <cellStyle name="Table  10" xfId="2506"/>
    <cellStyle name="Table  10 2" xfId="2505"/>
    <cellStyle name="Table  10 3" xfId="2504"/>
    <cellStyle name="Table  10 4" xfId="2503"/>
    <cellStyle name="Table  10 5" xfId="2502"/>
    <cellStyle name="Table  11" xfId="2501"/>
    <cellStyle name="Table  11 2" xfId="2500"/>
    <cellStyle name="Table  11 3" xfId="2499"/>
    <cellStyle name="Table  11 4" xfId="2498"/>
    <cellStyle name="Table  11 5" xfId="2497"/>
    <cellStyle name="Table  12" xfId="2496"/>
    <cellStyle name="Table  12 2" xfId="2495"/>
    <cellStyle name="Table  12 3" xfId="2494"/>
    <cellStyle name="Table  12 4" xfId="2493"/>
    <cellStyle name="Table  12 5" xfId="2492"/>
    <cellStyle name="Table  13" xfId="2491"/>
    <cellStyle name="Table  14" xfId="2490"/>
    <cellStyle name="Table  15" xfId="2489"/>
    <cellStyle name="Table  16" xfId="2488"/>
    <cellStyle name="Table  2" xfId="2487"/>
    <cellStyle name="Table  2 10" xfId="2486"/>
    <cellStyle name="Table  2 10 2" xfId="2485"/>
    <cellStyle name="Table  2 10 3" xfId="2484"/>
    <cellStyle name="Table  2 10 4" xfId="2483"/>
    <cellStyle name="Table  2 10 5" xfId="2482"/>
    <cellStyle name="Table  2 11" xfId="2481"/>
    <cellStyle name="Table  2 11 2" xfId="2480"/>
    <cellStyle name="Table  2 11 3" xfId="2479"/>
    <cellStyle name="Table  2 11 4" xfId="2478"/>
    <cellStyle name="Table  2 11 5" xfId="2477"/>
    <cellStyle name="Table  2 12" xfId="2476"/>
    <cellStyle name="Table  2 13" xfId="2475"/>
    <cellStyle name="Table  2 14" xfId="2474"/>
    <cellStyle name="Table  2 15" xfId="2473"/>
    <cellStyle name="Table  2 2" xfId="2472"/>
    <cellStyle name="Table  2 2 10" xfId="2471"/>
    <cellStyle name="Table  2 2 11" xfId="2470"/>
    <cellStyle name="Table  2 2 12" xfId="2469"/>
    <cellStyle name="Table  2 2 13" xfId="2468"/>
    <cellStyle name="Table  2 2 2" xfId="2467"/>
    <cellStyle name="Table  2 2 2 10" xfId="2466"/>
    <cellStyle name="Table  2 2 2 11" xfId="2465"/>
    <cellStyle name="Table  2 2 2 12" xfId="2464"/>
    <cellStyle name="Table  2 2 2 2" xfId="2463"/>
    <cellStyle name="Table  2 2 2 2 2" xfId="2462"/>
    <cellStyle name="Table  2 2 2 2 3" xfId="2461"/>
    <cellStyle name="Table  2 2 2 2 4" xfId="2460"/>
    <cellStyle name="Table  2 2 2 2 5" xfId="2459"/>
    <cellStyle name="Table  2 2 2 3" xfId="2458"/>
    <cellStyle name="Table  2 2 2 3 2" xfId="2457"/>
    <cellStyle name="Table  2 2 2 3 3" xfId="2456"/>
    <cellStyle name="Table  2 2 2 3 4" xfId="2455"/>
    <cellStyle name="Table  2 2 2 3 5" xfId="2454"/>
    <cellStyle name="Table  2 2 2 4" xfId="2453"/>
    <cellStyle name="Table  2 2 2 4 2" xfId="2452"/>
    <cellStyle name="Table  2 2 2 4 3" xfId="2451"/>
    <cellStyle name="Table  2 2 2 4 4" xfId="2450"/>
    <cellStyle name="Table  2 2 2 4 5" xfId="2449"/>
    <cellStyle name="Table  2 2 2 5" xfId="2448"/>
    <cellStyle name="Table  2 2 2 5 2" xfId="2447"/>
    <cellStyle name="Table  2 2 2 5 3" xfId="2446"/>
    <cellStyle name="Table  2 2 2 5 4" xfId="2445"/>
    <cellStyle name="Table  2 2 2 5 5" xfId="2444"/>
    <cellStyle name="Table  2 2 2 6" xfId="2443"/>
    <cellStyle name="Table  2 2 2 6 2" xfId="2442"/>
    <cellStyle name="Table  2 2 2 6 3" xfId="2441"/>
    <cellStyle name="Table  2 2 2 6 4" xfId="2440"/>
    <cellStyle name="Table  2 2 2 6 5" xfId="2439"/>
    <cellStyle name="Table  2 2 2 7" xfId="2438"/>
    <cellStyle name="Table  2 2 2 7 2" xfId="2437"/>
    <cellStyle name="Table  2 2 2 7 3" xfId="2436"/>
    <cellStyle name="Table  2 2 2 7 4" xfId="2435"/>
    <cellStyle name="Table  2 2 2 7 5" xfId="2434"/>
    <cellStyle name="Table  2 2 2 8" xfId="2433"/>
    <cellStyle name="Table  2 2 2 8 2" xfId="2432"/>
    <cellStyle name="Table  2 2 2 8 3" xfId="2431"/>
    <cellStyle name="Table  2 2 2 8 4" xfId="2430"/>
    <cellStyle name="Table  2 2 2 8 5" xfId="2429"/>
    <cellStyle name="Table  2 2 2 9" xfId="2428"/>
    <cellStyle name="Table  2 2 3" xfId="2427"/>
    <cellStyle name="Table  2 2 3 2" xfId="2426"/>
    <cellStyle name="Table  2 2 3 3" xfId="2425"/>
    <cellStyle name="Table  2 2 3 4" xfId="2424"/>
    <cellStyle name="Table  2 2 3 5" xfId="2423"/>
    <cellStyle name="Table  2 2 4" xfId="2422"/>
    <cellStyle name="Table  2 2 4 2" xfId="2421"/>
    <cellStyle name="Table  2 2 4 3" xfId="2420"/>
    <cellStyle name="Table  2 2 4 4" xfId="2419"/>
    <cellStyle name="Table  2 2 4 5" xfId="2418"/>
    <cellStyle name="Table  2 2 5" xfId="2417"/>
    <cellStyle name="Table  2 2 5 2" xfId="2416"/>
    <cellStyle name="Table  2 2 5 3" xfId="2415"/>
    <cellStyle name="Table  2 2 5 4" xfId="2414"/>
    <cellStyle name="Table  2 2 5 5" xfId="2413"/>
    <cellStyle name="Table  2 2 6" xfId="2412"/>
    <cellStyle name="Table  2 2 6 2" xfId="2411"/>
    <cellStyle name="Table  2 2 6 3" xfId="2410"/>
    <cellStyle name="Table  2 2 6 4" xfId="2409"/>
    <cellStyle name="Table  2 2 6 5" xfId="2408"/>
    <cellStyle name="Table  2 2 7" xfId="2407"/>
    <cellStyle name="Table  2 2 7 2" xfId="2406"/>
    <cellStyle name="Table  2 2 7 3" xfId="2405"/>
    <cellStyle name="Table  2 2 7 4" xfId="2404"/>
    <cellStyle name="Table  2 2 7 5" xfId="2403"/>
    <cellStyle name="Table  2 2 8" xfId="2402"/>
    <cellStyle name="Table  2 2 8 2" xfId="2401"/>
    <cellStyle name="Table  2 2 8 3" xfId="2400"/>
    <cellStyle name="Table  2 2 8 4" xfId="2399"/>
    <cellStyle name="Table  2 2 8 5" xfId="2398"/>
    <cellStyle name="Table  2 2 9" xfId="2397"/>
    <cellStyle name="Table  2 2 9 2" xfId="2396"/>
    <cellStyle name="Table  2 2 9 3" xfId="2395"/>
    <cellStyle name="Table  2 2 9 4" xfId="2394"/>
    <cellStyle name="Table  2 2 9 5" xfId="2393"/>
    <cellStyle name="Table  2 3" xfId="2392"/>
    <cellStyle name="Table  2 3 10" xfId="2391"/>
    <cellStyle name="Table  2 3 11" xfId="2390"/>
    <cellStyle name="Table  2 3 12" xfId="2389"/>
    <cellStyle name="Table  2 3 2" xfId="2388"/>
    <cellStyle name="Table  2 3 2 2" xfId="2387"/>
    <cellStyle name="Table  2 3 2 3" xfId="2386"/>
    <cellStyle name="Table  2 3 2 4" xfId="2385"/>
    <cellStyle name="Table  2 3 2 5" xfId="2384"/>
    <cellStyle name="Table  2 3 3" xfId="2383"/>
    <cellStyle name="Table  2 3 3 2" xfId="2382"/>
    <cellStyle name="Table  2 3 3 3" xfId="2381"/>
    <cellStyle name="Table  2 3 3 4" xfId="2380"/>
    <cellStyle name="Table  2 3 3 5" xfId="2379"/>
    <cellStyle name="Table  2 3 4" xfId="2378"/>
    <cellStyle name="Table  2 3 4 2" xfId="2377"/>
    <cellStyle name="Table  2 3 4 3" xfId="2376"/>
    <cellStyle name="Table  2 3 4 4" xfId="2375"/>
    <cellStyle name="Table  2 3 4 5" xfId="2374"/>
    <cellStyle name="Table  2 3 5" xfId="2373"/>
    <cellStyle name="Table  2 3 5 2" xfId="2372"/>
    <cellStyle name="Table  2 3 5 3" xfId="2371"/>
    <cellStyle name="Table  2 3 5 4" xfId="2370"/>
    <cellStyle name="Table  2 3 5 5" xfId="2369"/>
    <cellStyle name="Table  2 3 6" xfId="2368"/>
    <cellStyle name="Table  2 3 6 2" xfId="2367"/>
    <cellStyle name="Table  2 3 6 3" xfId="2366"/>
    <cellStyle name="Table  2 3 6 4" xfId="2365"/>
    <cellStyle name="Table  2 3 6 5" xfId="2364"/>
    <cellStyle name="Table  2 3 7" xfId="2363"/>
    <cellStyle name="Table  2 3 7 2" xfId="2362"/>
    <cellStyle name="Table  2 3 7 3" xfId="2361"/>
    <cellStyle name="Table  2 3 7 4" xfId="2360"/>
    <cellStyle name="Table  2 3 7 5" xfId="2359"/>
    <cellStyle name="Table  2 3 8" xfId="2358"/>
    <cellStyle name="Table  2 3 8 2" xfId="2357"/>
    <cellStyle name="Table  2 3 8 3" xfId="2356"/>
    <cellStyle name="Table  2 3 8 4" xfId="2355"/>
    <cellStyle name="Table  2 3 8 5" xfId="2354"/>
    <cellStyle name="Table  2 3 9" xfId="2353"/>
    <cellStyle name="Table  2 4" xfId="2352"/>
    <cellStyle name="Table  2 4 2" xfId="2351"/>
    <cellStyle name="Table  2 4 3" xfId="2350"/>
    <cellStyle name="Table  2 4 4" xfId="2349"/>
    <cellStyle name="Table  2 4 5" xfId="2348"/>
    <cellStyle name="Table  2 5" xfId="2347"/>
    <cellStyle name="Table  2 5 2" xfId="2346"/>
    <cellStyle name="Table  2 5 3" xfId="2345"/>
    <cellStyle name="Table  2 5 4" xfId="2344"/>
    <cellStyle name="Table  2 5 5" xfId="2343"/>
    <cellStyle name="Table  2 6" xfId="2342"/>
    <cellStyle name="Table  2 6 2" xfId="2341"/>
    <cellStyle name="Table  2 6 3" xfId="2340"/>
    <cellStyle name="Table  2 6 4" xfId="2339"/>
    <cellStyle name="Table  2 6 5" xfId="2338"/>
    <cellStyle name="Table  2 7" xfId="2337"/>
    <cellStyle name="Table  2 7 2" xfId="2336"/>
    <cellStyle name="Table  2 7 3" xfId="2335"/>
    <cellStyle name="Table  2 7 4" xfId="2334"/>
    <cellStyle name="Table  2 7 5" xfId="2333"/>
    <cellStyle name="Table  2 8" xfId="2332"/>
    <cellStyle name="Table  2 8 2" xfId="2331"/>
    <cellStyle name="Table  2 8 3" xfId="2330"/>
    <cellStyle name="Table  2 8 4" xfId="2329"/>
    <cellStyle name="Table  2 8 5" xfId="2328"/>
    <cellStyle name="Table  2 9" xfId="2327"/>
    <cellStyle name="Table  2 9 2" xfId="2326"/>
    <cellStyle name="Table  2 9 3" xfId="2325"/>
    <cellStyle name="Table  2 9 4" xfId="2324"/>
    <cellStyle name="Table  2 9 5" xfId="2323"/>
    <cellStyle name="Table  3" xfId="2322"/>
    <cellStyle name="Table  3 10" xfId="2321"/>
    <cellStyle name="Table  3 10 2" xfId="2320"/>
    <cellStyle name="Table  3 10 3" xfId="2319"/>
    <cellStyle name="Table  3 10 4" xfId="2318"/>
    <cellStyle name="Table  3 10 5" xfId="2317"/>
    <cellStyle name="Table  3 11" xfId="2316"/>
    <cellStyle name="Table  3 12" xfId="2315"/>
    <cellStyle name="Table  3 13" xfId="2314"/>
    <cellStyle name="Table  3 14" xfId="2313"/>
    <cellStyle name="Table  3 2" xfId="2312"/>
    <cellStyle name="Table  3 2 10" xfId="2311"/>
    <cellStyle name="Table  3 2 11" xfId="2310"/>
    <cellStyle name="Table  3 2 12" xfId="2309"/>
    <cellStyle name="Table  3 2 2" xfId="2308"/>
    <cellStyle name="Table  3 2 2 2" xfId="2307"/>
    <cellStyle name="Table  3 2 2 3" xfId="2306"/>
    <cellStyle name="Table  3 2 2 4" xfId="2305"/>
    <cellStyle name="Table  3 2 2 5" xfId="2304"/>
    <cellStyle name="Table  3 2 3" xfId="2303"/>
    <cellStyle name="Table  3 2 3 2" xfId="2302"/>
    <cellStyle name="Table  3 2 3 3" xfId="2301"/>
    <cellStyle name="Table  3 2 3 4" xfId="2300"/>
    <cellStyle name="Table  3 2 3 5" xfId="2299"/>
    <cellStyle name="Table  3 2 4" xfId="2298"/>
    <cellStyle name="Table  3 2 4 2" xfId="2297"/>
    <cellStyle name="Table  3 2 4 3" xfId="2296"/>
    <cellStyle name="Table  3 2 4 4" xfId="2295"/>
    <cellStyle name="Table  3 2 4 5" xfId="2294"/>
    <cellStyle name="Table  3 2 5" xfId="2293"/>
    <cellStyle name="Table  3 2 5 2" xfId="2292"/>
    <cellStyle name="Table  3 2 5 3" xfId="2291"/>
    <cellStyle name="Table  3 2 5 4" xfId="2290"/>
    <cellStyle name="Table  3 2 5 5" xfId="2289"/>
    <cellStyle name="Table  3 2 6" xfId="2288"/>
    <cellStyle name="Table  3 2 6 2" xfId="2287"/>
    <cellStyle name="Table  3 2 6 3" xfId="2286"/>
    <cellStyle name="Table  3 2 6 4" xfId="2285"/>
    <cellStyle name="Table  3 2 6 5" xfId="2284"/>
    <cellStyle name="Table  3 2 7" xfId="2283"/>
    <cellStyle name="Table  3 2 7 2" xfId="2282"/>
    <cellStyle name="Table  3 2 7 3" xfId="2281"/>
    <cellStyle name="Table  3 2 7 4" xfId="2280"/>
    <cellStyle name="Table  3 2 7 5" xfId="2279"/>
    <cellStyle name="Table  3 2 8" xfId="2278"/>
    <cellStyle name="Table  3 2 8 2" xfId="2277"/>
    <cellStyle name="Table  3 2 8 3" xfId="2276"/>
    <cellStyle name="Table  3 2 8 4" xfId="2275"/>
    <cellStyle name="Table  3 2 8 5" xfId="2274"/>
    <cellStyle name="Table  3 2 9" xfId="2273"/>
    <cellStyle name="Table  3 3" xfId="2272"/>
    <cellStyle name="Table  3 3 2" xfId="2271"/>
    <cellStyle name="Table  3 3 3" xfId="2270"/>
    <cellStyle name="Table  3 3 4" xfId="2269"/>
    <cellStyle name="Table  3 3 5" xfId="2268"/>
    <cellStyle name="Table  3 4" xfId="2267"/>
    <cellStyle name="Table  3 4 2" xfId="2266"/>
    <cellStyle name="Table  3 4 3" xfId="2265"/>
    <cellStyle name="Table  3 4 4" xfId="2264"/>
    <cellStyle name="Table  3 4 5" xfId="2263"/>
    <cellStyle name="Table  3 5" xfId="2262"/>
    <cellStyle name="Table  3 5 2" xfId="2261"/>
    <cellStyle name="Table  3 5 3" xfId="2260"/>
    <cellStyle name="Table  3 5 4" xfId="2259"/>
    <cellStyle name="Table  3 5 5" xfId="2258"/>
    <cellStyle name="Table  3 6" xfId="2257"/>
    <cellStyle name="Table  3 6 2" xfId="2256"/>
    <cellStyle name="Table  3 6 3" xfId="2255"/>
    <cellStyle name="Table  3 6 4" xfId="2254"/>
    <cellStyle name="Table  3 6 5" xfId="2253"/>
    <cellStyle name="Table  3 7" xfId="2252"/>
    <cellStyle name="Table  3 7 2" xfId="2251"/>
    <cellStyle name="Table  3 7 3" xfId="2250"/>
    <cellStyle name="Table  3 7 4" xfId="2249"/>
    <cellStyle name="Table  3 7 5" xfId="2248"/>
    <cellStyle name="Table  3 8" xfId="2247"/>
    <cellStyle name="Table  3 8 2" xfId="2246"/>
    <cellStyle name="Table  3 8 3" xfId="2245"/>
    <cellStyle name="Table  3 8 4" xfId="2244"/>
    <cellStyle name="Table  3 8 5" xfId="2243"/>
    <cellStyle name="Table  3 9" xfId="2242"/>
    <cellStyle name="Table  3 9 2" xfId="2241"/>
    <cellStyle name="Table  3 9 3" xfId="2240"/>
    <cellStyle name="Table  3 9 4" xfId="2239"/>
    <cellStyle name="Table  3 9 5" xfId="2238"/>
    <cellStyle name="Table  4" xfId="2237"/>
    <cellStyle name="Table  4 10" xfId="2236"/>
    <cellStyle name="Table  4 11" xfId="2235"/>
    <cellStyle name="Table  4 12" xfId="2234"/>
    <cellStyle name="Table  4 2" xfId="2233"/>
    <cellStyle name="Table  4 2 2" xfId="2232"/>
    <cellStyle name="Table  4 2 3" xfId="2231"/>
    <cellStyle name="Table  4 2 4" xfId="2230"/>
    <cellStyle name="Table  4 2 5" xfId="2229"/>
    <cellStyle name="Table  4 3" xfId="2228"/>
    <cellStyle name="Table  4 3 2" xfId="2227"/>
    <cellStyle name="Table  4 3 3" xfId="2226"/>
    <cellStyle name="Table  4 3 4" xfId="2225"/>
    <cellStyle name="Table  4 3 5" xfId="2224"/>
    <cellStyle name="Table  4 4" xfId="2223"/>
    <cellStyle name="Table  4 4 2" xfId="2222"/>
    <cellStyle name="Table  4 4 3" xfId="2221"/>
    <cellStyle name="Table  4 4 4" xfId="2220"/>
    <cellStyle name="Table  4 4 5" xfId="2219"/>
    <cellStyle name="Table  4 5" xfId="2218"/>
    <cellStyle name="Table  4 5 2" xfId="2217"/>
    <cellStyle name="Table  4 5 3" xfId="2216"/>
    <cellStyle name="Table  4 5 4" xfId="2215"/>
    <cellStyle name="Table  4 5 5" xfId="2214"/>
    <cellStyle name="Table  4 6" xfId="2213"/>
    <cellStyle name="Table  4 6 2" xfId="2212"/>
    <cellStyle name="Table  4 6 3" xfId="2211"/>
    <cellStyle name="Table  4 6 4" xfId="2210"/>
    <cellStyle name="Table  4 6 5" xfId="2209"/>
    <cellStyle name="Table  4 7" xfId="2208"/>
    <cellStyle name="Table  4 7 2" xfId="2207"/>
    <cellStyle name="Table  4 7 3" xfId="2206"/>
    <cellStyle name="Table  4 7 4" xfId="2205"/>
    <cellStyle name="Table  4 7 5" xfId="2204"/>
    <cellStyle name="Table  4 8" xfId="2203"/>
    <cellStyle name="Table  4 8 2" xfId="2202"/>
    <cellStyle name="Table  4 8 3" xfId="2201"/>
    <cellStyle name="Table  4 8 4" xfId="2200"/>
    <cellStyle name="Table  4 8 5" xfId="2199"/>
    <cellStyle name="Table  4 9" xfId="2198"/>
    <cellStyle name="Table  5" xfId="2197"/>
    <cellStyle name="Table  5 2" xfId="2196"/>
    <cellStyle name="Table  5 3" xfId="2195"/>
    <cellStyle name="Table  5 4" xfId="2194"/>
    <cellStyle name="Table  5 5" xfId="2193"/>
    <cellStyle name="Table  6" xfId="2192"/>
    <cellStyle name="Table  6 2" xfId="2191"/>
    <cellStyle name="Table  6 3" xfId="2190"/>
    <cellStyle name="Table  6 4" xfId="2189"/>
    <cellStyle name="Table  6 5" xfId="2188"/>
    <cellStyle name="Table  7" xfId="2187"/>
    <cellStyle name="Table  7 2" xfId="2186"/>
    <cellStyle name="Table  7 3" xfId="2185"/>
    <cellStyle name="Table  7 4" xfId="2184"/>
    <cellStyle name="Table  7 5" xfId="2183"/>
    <cellStyle name="Table  8" xfId="2182"/>
    <cellStyle name="Table  8 2" xfId="2181"/>
    <cellStyle name="Table  8 3" xfId="2180"/>
    <cellStyle name="Table  8 4" xfId="2179"/>
    <cellStyle name="Table  8 5" xfId="2178"/>
    <cellStyle name="Table  9" xfId="2177"/>
    <cellStyle name="Table  9 2" xfId="2176"/>
    <cellStyle name="Table  9 3" xfId="2175"/>
    <cellStyle name="Table  9 4" xfId="2174"/>
    <cellStyle name="Table  9 5" xfId="2173"/>
    <cellStyle name="Table 10" xfId="2172"/>
    <cellStyle name="Table 11" xfId="2171"/>
    <cellStyle name="Table 12" xfId="2170"/>
    <cellStyle name="Table 2" xfId="2169"/>
    <cellStyle name="Table 2 2" xfId="2168"/>
    <cellStyle name="Table 2 3" xfId="2167"/>
    <cellStyle name="Table 2 4" xfId="2166"/>
    <cellStyle name="Table 2 5" xfId="2165"/>
    <cellStyle name="Table 3" xfId="2164"/>
    <cellStyle name="Table 3 2" xfId="2163"/>
    <cellStyle name="Table 3 3" xfId="2162"/>
    <cellStyle name="Table 3 4" xfId="2161"/>
    <cellStyle name="Table 3 5" xfId="2160"/>
    <cellStyle name="Table 4" xfId="2159"/>
    <cellStyle name="Table 4 2" xfId="2158"/>
    <cellStyle name="Table 4 3" xfId="2157"/>
    <cellStyle name="Table 4 4" xfId="2156"/>
    <cellStyle name="Table 4 5" xfId="2155"/>
    <cellStyle name="Table 5" xfId="2154"/>
    <cellStyle name="Table 5 2" xfId="2153"/>
    <cellStyle name="Table 5 3" xfId="2152"/>
    <cellStyle name="Table 5 4" xfId="2151"/>
    <cellStyle name="Table 5 5" xfId="2150"/>
    <cellStyle name="Table 6" xfId="2149"/>
    <cellStyle name="Table 6 2" xfId="2148"/>
    <cellStyle name="Table 6 3" xfId="2147"/>
    <cellStyle name="Table 6 4" xfId="2146"/>
    <cellStyle name="Table 6 5" xfId="2145"/>
    <cellStyle name="Table 7" xfId="2144"/>
    <cellStyle name="Table 7 2" xfId="2143"/>
    <cellStyle name="Table 7 3" xfId="2142"/>
    <cellStyle name="Table 7 4" xfId="2141"/>
    <cellStyle name="Table 7 5" xfId="2140"/>
    <cellStyle name="Table 8" xfId="2139"/>
    <cellStyle name="Table 8 2" xfId="2138"/>
    <cellStyle name="Table 8 3" xfId="2137"/>
    <cellStyle name="Table 8 4" xfId="2136"/>
    <cellStyle name="Table 8 5" xfId="2135"/>
    <cellStyle name="Table 9" xfId="2134"/>
    <cellStyle name="TableStyleLight1" xfId="2133"/>
    <cellStyle name="TableStyleLight1 2" xfId="2132"/>
    <cellStyle name="TableStyleLight1 2 2" xfId="2131"/>
    <cellStyle name="tahap" xfId="2130"/>
    <cellStyle name="Test [green]" xfId="2129"/>
    <cellStyle name="Text Indent A" xfId="2128"/>
    <cellStyle name="Text Indent B" xfId="2127"/>
    <cellStyle name="Text Indent B 2" xfId="2126"/>
    <cellStyle name="Text Indent C" xfId="2125"/>
    <cellStyle name="Text Indent C 2" xfId="2124"/>
    <cellStyle name="Texto de advertencia" xfId="2123"/>
    <cellStyle name="Texto explicativo" xfId="2122"/>
    <cellStyle name="TFCF" xfId="2121"/>
    <cellStyle name="th" xfId="2120"/>
    <cellStyle name="th 10" xfId="2119"/>
    <cellStyle name="th 10 2" xfId="2118"/>
    <cellStyle name="th 10 3" xfId="2117"/>
    <cellStyle name="th 10 4" xfId="2116"/>
    <cellStyle name="th 11" xfId="2115"/>
    <cellStyle name="th 11 2" xfId="2114"/>
    <cellStyle name="th 11 2 2" xfId="2113"/>
    <cellStyle name="th 11 3" xfId="2112"/>
    <cellStyle name="th 11 4" xfId="2111"/>
    <cellStyle name="th 11 5" xfId="2110"/>
    <cellStyle name="th 12" xfId="2109"/>
    <cellStyle name="th 13" xfId="2108"/>
    <cellStyle name="th 14" xfId="2107"/>
    <cellStyle name="th 2" xfId="2106"/>
    <cellStyle name="th 2 10" xfId="2105"/>
    <cellStyle name="th 2 10 2" xfId="2104"/>
    <cellStyle name="th 2 11" xfId="2103"/>
    <cellStyle name="th 2 12" xfId="2102"/>
    <cellStyle name="th 2 13" xfId="2101"/>
    <cellStyle name="th 2 2" xfId="2100"/>
    <cellStyle name="th 2 2 10" xfId="2099"/>
    <cellStyle name="th 2 2 11" xfId="2098"/>
    <cellStyle name="th 2 2 12" xfId="2097"/>
    <cellStyle name="th 2 2 2" xfId="2096"/>
    <cellStyle name="th 2 2 2 2" xfId="2095"/>
    <cellStyle name="th 2 2 2 2 2" xfId="2094"/>
    <cellStyle name="th 2 2 2 3" xfId="2093"/>
    <cellStyle name="th 2 2 2 4" xfId="2092"/>
    <cellStyle name="th 2 2 2 5" xfId="2091"/>
    <cellStyle name="th 2 2 3" xfId="2090"/>
    <cellStyle name="th 2 2 3 2" xfId="2089"/>
    <cellStyle name="th 2 2 3 2 2" xfId="2088"/>
    <cellStyle name="th 2 2 3 3" xfId="2087"/>
    <cellStyle name="th 2 2 3 4" xfId="2086"/>
    <cellStyle name="th 2 2 3 5" xfId="2085"/>
    <cellStyle name="th 2 2 4" xfId="2084"/>
    <cellStyle name="th 2 2 4 2" xfId="2083"/>
    <cellStyle name="th 2 2 4 2 2" xfId="2082"/>
    <cellStyle name="th 2 2 4 3" xfId="2081"/>
    <cellStyle name="th 2 2 4 4" xfId="2080"/>
    <cellStyle name="th 2 2 4 5" xfId="2079"/>
    <cellStyle name="th 2 2 5" xfId="2078"/>
    <cellStyle name="th 2 2 5 2" xfId="2077"/>
    <cellStyle name="th 2 2 5 2 2" xfId="2076"/>
    <cellStyle name="th 2 2 5 3" xfId="2075"/>
    <cellStyle name="th 2 2 5 4" xfId="2074"/>
    <cellStyle name="th 2 2 5 5" xfId="2073"/>
    <cellStyle name="th 2 2 6" xfId="2072"/>
    <cellStyle name="th 2 2 6 2" xfId="2071"/>
    <cellStyle name="th 2 2 6 2 2" xfId="2070"/>
    <cellStyle name="th 2 2 6 3" xfId="2069"/>
    <cellStyle name="th 2 2 6 4" xfId="2068"/>
    <cellStyle name="th 2 2 6 5" xfId="2067"/>
    <cellStyle name="th 2 2 7" xfId="2066"/>
    <cellStyle name="th 2 2 7 2" xfId="2065"/>
    <cellStyle name="th 2 2 7 2 2" xfId="2064"/>
    <cellStyle name="th 2 2 7 3" xfId="2063"/>
    <cellStyle name="th 2 2 7 4" xfId="2062"/>
    <cellStyle name="th 2 2 7 5" xfId="2061"/>
    <cellStyle name="th 2 2 8" xfId="2060"/>
    <cellStyle name="th 2 2 8 2" xfId="2059"/>
    <cellStyle name="th 2 2 8 2 2" xfId="2058"/>
    <cellStyle name="th 2 2 8 3" xfId="2057"/>
    <cellStyle name="th 2 2 8 4" xfId="2056"/>
    <cellStyle name="th 2 2 8 5" xfId="2055"/>
    <cellStyle name="th 2 2 9" xfId="2054"/>
    <cellStyle name="th 2 2 9 2" xfId="2053"/>
    <cellStyle name="th 2 3" xfId="2052"/>
    <cellStyle name="th 2 3 2" xfId="2051"/>
    <cellStyle name="th 2 3 2 2" xfId="2050"/>
    <cellStyle name="th 2 3 3" xfId="2049"/>
    <cellStyle name="th 2 3 4" xfId="2048"/>
    <cellStyle name="th 2 3 5" xfId="2047"/>
    <cellStyle name="th 2 4" xfId="2046"/>
    <cellStyle name="th 2 4 2" xfId="2045"/>
    <cellStyle name="th 2 4 2 2" xfId="2044"/>
    <cellStyle name="th 2 4 3" xfId="2043"/>
    <cellStyle name="th 2 4 4" xfId="2042"/>
    <cellStyle name="th 2 4 5" xfId="2041"/>
    <cellStyle name="th 2 5" xfId="2040"/>
    <cellStyle name="th 2 5 2" xfId="2039"/>
    <cellStyle name="th 2 5 2 2" xfId="2038"/>
    <cellStyle name="th 2 5 3" xfId="2037"/>
    <cellStyle name="th 2 5 4" xfId="2036"/>
    <cellStyle name="th 2 5 5" xfId="2035"/>
    <cellStyle name="th 2 6" xfId="2034"/>
    <cellStyle name="th 2 6 2" xfId="2033"/>
    <cellStyle name="th 2 6 2 2" xfId="2032"/>
    <cellStyle name="th 2 6 3" xfId="2031"/>
    <cellStyle name="th 2 6 4" xfId="2030"/>
    <cellStyle name="th 2 6 5" xfId="2029"/>
    <cellStyle name="th 2 7" xfId="2028"/>
    <cellStyle name="th 2 7 2" xfId="2027"/>
    <cellStyle name="th 2 7 2 2" xfId="2026"/>
    <cellStyle name="th 2 7 3" xfId="2025"/>
    <cellStyle name="th 2 7 4" xfId="2024"/>
    <cellStyle name="th 2 7 5" xfId="2023"/>
    <cellStyle name="th 2 8" xfId="2022"/>
    <cellStyle name="th 2 8 2" xfId="2021"/>
    <cellStyle name="th 2 8 2 2" xfId="2020"/>
    <cellStyle name="th 2 8 3" xfId="2019"/>
    <cellStyle name="th 2 8 4" xfId="2018"/>
    <cellStyle name="th 2 8 5" xfId="2017"/>
    <cellStyle name="th 2 9" xfId="2016"/>
    <cellStyle name="th 2 9 2" xfId="2015"/>
    <cellStyle name="th 2 9 2 2" xfId="2014"/>
    <cellStyle name="th 2 9 3" xfId="2013"/>
    <cellStyle name="th 2 9 4" xfId="2012"/>
    <cellStyle name="th 2 9 5" xfId="2011"/>
    <cellStyle name="th 3" xfId="2010"/>
    <cellStyle name="th 3 10" xfId="2009"/>
    <cellStyle name="th 3 11" xfId="2008"/>
    <cellStyle name="th 3 12" xfId="2007"/>
    <cellStyle name="th 3 2" xfId="2006"/>
    <cellStyle name="th 3 2 2" xfId="2005"/>
    <cellStyle name="th 3 2 2 2" xfId="2004"/>
    <cellStyle name="th 3 2 3" xfId="2003"/>
    <cellStyle name="th 3 2 4" xfId="2002"/>
    <cellStyle name="th 3 2 5" xfId="2001"/>
    <cellStyle name="th 3 3" xfId="2000"/>
    <cellStyle name="th 3 3 2" xfId="1999"/>
    <cellStyle name="th 3 3 2 2" xfId="1998"/>
    <cellStyle name="th 3 3 3" xfId="1997"/>
    <cellStyle name="th 3 3 4" xfId="1996"/>
    <cellStyle name="th 3 3 5" xfId="1995"/>
    <cellStyle name="th 3 4" xfId="1994"/>
    <cellStyle name="th 3 4 2" xfId="1993"/>
    <cellStyle name="th 3 4 2 2" xfId="1992"/>
    <cellStyle name="th 3 4 3" xfId="1991"/>
    <cellStyle name="th 3 4 4" xfId="1990"/>
    <cellStyle name="th 3 4 5" xfId="1989"/>
    <cellStyle name="th 3 5" xfId="1988"/>
    <cellStyle name="th 3 5 2" xfId="1987"/>
    <cellStyle name="th 3 5 2 2" xfId="1986"/>
    <cellStyle name="th 3 5 3" xfId="1985"/>
    <cellStyle name="th 3 5 4" xfId="1984"/>
    <cellStyle name="th 3 5 5" xfId="1983"/>
    <cellStyle name="th 3 6" xfId="1982"/>
    <cellStyle name="th 3 6 2" xfId="1981"/>
    <cellStyle name="th 3 6 2 2" xfId="1980"/>
    <cellStyle name="th 3 6 3" xfId="1979"/>
    <cellStyle name="th 3 6 4" xfId="1978"/>
    <cellStyle name="th 3 6 5" xfId="1977"/>
    <cellStyle name="th 3 7" xfId="1976"/>
    <cellStyle name="th 3 7 2" xfId="1975"/>
    <cellStyle name="th 3 7 2 2" xfId="1974"/>
    <cellStyle name="th 3 7 3" xfId="1973"/>
    <cellStyle name="th 3 7 4" xfId="1972"/>
    <cellStyle name="th 3 7 5" xfId="1971"/>
    <cellStyle name="th 3 8" xfId="1970"/>
    <cellStyle name="th 3 8 2" xfId="1969"/>
    <cellStyle name="th 3 8 2 2" xfId="1968"/>
    <cellStyle name="th 3 8 3" xfId="1967"/>
    <cellStyle name="th 3 8 4" xfId="1966"/>
    <cellStyle name="th 3 8 5" xfId="1965"/>
    <cellStyle name="th 3 9" xfId="1964"/>
    <cellStyle name="th 3 9 2" xfId="1963"/>
    <cellStyle name="th 4" xfId="1962"/>
    <cellStyle name="th 4 2" xfId="1961"/>
    <cellStyle name="th 4 3" xfId="1960"/>
    <cellStyle name="th 4 4" xfId="1959"/>
    <cellStyle name="th 5" xfId="1958"/>
    <cellStyle name="th 5 2" xfId="1957"/>
    <cellStyle name="th 5 3" xfId="1956"/>
    <cellStyle name="th 5 4" xfId="1955"/>
    <cellStyle name="th 6" xfId="1954"/>
    <cellStyle name="th 6 2" xfId="1953"/>
    <cellStyle name="th 6 3" xfId="1952"/>
    <cellStyle name="th 6 4" xfId="1951"/>
    <cellStyle name="th 7" xfId="1950"/>
    <cellStyle name="th 7 2" xfId="1949"/>
    <cellStyle name="th 7 3" xfId="1948"/>
    <cellStyle name="th 7 4" xfId="1947"/>
    <cellStyle name="th 8" xfId="1946"/>
    <cellStyle name="th 8 2" xfId="1945"/>
    <cellStyle name="th 8 3" xfId="1944"/>
    <cellStyle name="th 8 4" xfId="1943"/>
    <cellStyle name="th 9" xfId="1942"/>
    <cellStyle name="th 9 2" xfId="1941"/>
    <cellStyle name="th 9 3" xfId="1940"/>
    <cellStyle name="th 9 4" xfId="1939"/>
    <cellStyle name="þ_x001d_ð+&amp;„ý›&amp;}ý_x000b__x0008__x0011__x000b_å_x000b__x0007__x0001__x0001_" xfId="1938"/>
    <cellStyle name="þ_x001d_ð+&amp;„ý›&amp;}ý_x000b__x0008__x0011__x000b_å_x000b__x0007__x0001__x0001_ 10" xfId="1937"/>
    <cellStyle name="þ_x001d_ð+&amp;„ý›&amp;}ý_x000b__x0008__x0011__x000b_å_x000b__x0007__x0001__x0001_ 11" xfId="1936"/>
    <cellStyle name="þ_x001d_ð+&amp;„ý›&amp;}ý_x000b__x0008__x0011__x000b_å_x000b__x0007__x0001__x0001_ 12" xfId="1935"/>
    <cellStyle name="þ_x001d_ð+&amp;„ý›&amp;}ý_x000b__x0008__x0011__x000b_å_x000b__x0007__x0001__x0001_ 13" xfId="1934"/>
    <cellStyle name="þ_x001d_ð+&amp;„ý›&amp;}ý_x000b__x0008__x0011__x000b_å_x000b__x0007__x0001__x0001_ 14" xfId="1933"/>
    <cellStyle name="þ_x001d_ð+&amp;„ý›&amp;}ý_x000b__x0008__x0011__x000b_å_x000b__x0007__x0001__x0001_ 15" xfId="1932"/>
    <cellStyle name="þ_x001d_ð+&amp;„ý›&amp;}ý_x000b__x0008__x0011__x000b_å_x000b__x0007__x0001__x0001_ 2" xfId="1931"/>
    <cellStyle name="þ_x001d_ð+&amp;„ý›&amp;}ý_x000b__x0008__x0011__x000b_å_x000b__x0007__x0001__x0001_ 2 2" xfId="1930"/>
    <cellStyle name="þ_x001d_ð+&amp;„ý›&amp;}ý_x000b__x0008__x0011__x000b_å_x000b__x0007__x0001__x0001_ 2 2 2" xfId="1929"/>
    <cellStyle name="þ_x001d_ð+&amp;„ý›&amp;}ý_x000b__x0008__x0011__x000b_å_x000b__x0007__x0001__x0001_ 2 3" xfId="1928"/>
    <cellStyle name="þ_x001d_ð+&amp;„ý›&amp;}ý_x000b__x0008__x0011__x000b_å_x000b__x0007__x0001__x0001_ 2 4" xfId="1927"/>
    <cellStyle name="þ_x001d_ð+&amp;„ý›&amp;}ý_x000b__x0008__x0011__x000b_å_x000b__x0007__x0001__x0001_ 3" xfId="1926"/>
    <cellStyle name="þ_x001d_ð+&amp;„ý›&amp;}ý_x000b__x0008__x0011__x000b_å_x000b__x0007__x0001__x0001_ 3 2" xfId="1925"/>
    <cellStyle name="þ_x001d_ð+&amp;„ý›&amp;}ý_x000b__x0008__x0011__x000b_å_x000b__x0007__x0001__x0001_ 3 2 2" xfId="1924"/>
    <cellStyle name="þ_x001d_ð+&amp;„ý›&amp;}ý_x000b__x0008__x0011__x000b_å_x000b__x0007__x0001__x0001_ 3 3" xfId="1923"/>
    <cellStyle name="þ_x001d_ð+&amp;„ý›&amp;}ý_x000b__x0008__x0011__x000b_å_x000b__x0007__x0001__x0001_ 3 4" xfId="1922"/>
    <cellStyle name="þ_x001d_ð+&amp;„ý›&amp;}ý_x000b__x0008__x0011__x000b_å_x000b__x0007__x0001__x0001_ 3 5" xfId="1921"/>
    <cellStyle name="þ_x001d_ð+&amp;„ý›&amp;}ý_x000b__x0008__x0011__x000b_å_x000b__x0007__x0001__x0001_ 4" xfId="1920"/>
    <cellStyle name="þ_x001d_ð+&amp;„ý›&amp;}ý_x000b__x0008__x0011__x000b_å_x000b__x0007__x0001__x0001_ 4 2" xfId="1919"/>
    <cellStyle name="þ_x001d_ð+&amp;„ý›&amp;}ý_x000b__x0008__x0011__x000b_å_x000b__x0007__x0001__x0001_ 4 3" xfId="1918"/>
    <cellStyle name="þ_x001d_ð+&amp;„ý›&amp;}ý_x000b__x0008__x0011__x000b_å_x000b__x0007__x0001__x0001_ 5" xfId="1917"/>
    <cellStyle name="þ_x001d_ð+&amp;„ý›&amp;}ý_x000b__x0008__x0011__x000b_å_x000b__x0007__x0001__x0001_ 6" xfId="1916"/>
    <cellStyle name="þ_x001d_ð+&amp;„ý›&amp;}ý_x000b__x0008__x0011__x000b_å_x000b__x0007__x0001__x0001_ 7" xfId="1915"/>
    <cellStyle name="þ_x001d_ð+&amp;„ý›&amp;}ý_x000b__x0008__x0011__x000b_å_x000b__x0007__x0001__x0001_ 8" xfId="1914"/>
    <cellStyle name="þ_x001d_ð+&amp;„ý›&amp;}ý_x000b__x0008__x0011__x000b_å_x000b__x0007__x0001__x0001_ 9" xfId="1913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191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1" xfId="1911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2" xfId="1910"/>
    <cellStyle name="þ_x001d_ð+&amp;„ý›&amp;}ý_x000b__x0008__x0011__x000b_å_x000b__x0007__x0001__x0001__2183-RAB-ARS-TAHAP 2-100121 (aln)" xfId="1909"/>
    <cellStyle name="þ_x001d_ð·_x000c_æþ'_x000d_ßþU_x0001_Ø_x0005_ü_x0014__x0007__x0001__x0001_" xfId="1908"/>
    <cellStyle name="timbps" xfId="1907"/>
    <cellStyle name="timbtn" xfId="1906"/>
    <cellStyle name="Time" xfId="1905"/>
    <cellStyle name="Title " xfId="1904"/>
    <cellStyle name="Title  - Style1" xfId="1903"/>
    <cellStyle name="Title  - Style1 2" xfId="1902"/>
    <cellStyle name="Title  - Style6" xfId="1901"/>
    <cellStyle name="Title  - 유형1" xfId="1900"/>
    <cellStyle name="Title  2" xfId="1899"/>
    <cellStyle name="Title 10" xfId="1898"/>
    <cellStyle name="Title 11" xfId="1897"/>
    <cellStyle name="Title 12" xfId="1896"/>
    <cellStyle name="Title 13" xfId="1895"/>
    <cellStyle name="Title 2" xfId="1894"/>
    <cellStyle name="Title 2 2" xfId="1893"/>
    <cellStyle name="Title 3" xfId="1892"/>
    <cellStyle name="Title 3 2" xfId="1891"/>
    <cellStyle name="Title 4" xfId="1890"/>
    <cellStyle name="Title 4 2" xfId="1889"/>
    <cellStyle name="Title 5" xfId="1888"/>
    <cellStyle name="Title 5 2" xfId="1887"/>
    <cellStyle name="Title 6" xfId="1886"/>
    <cellStyle name="Title 6 2" xfId="1885"/>
    <cellStyle name="Title 7" xfId="1884"/>
    <cellStyle name="Title 7 2" xfId="1883"/>
    <cellStyle name="Title 8" xfId="1882"/>
    <cellStyle name="Title 8 2" xfId="1881"/>
    <cellStyle name="Title 9" xfId="1880"/>
    <cellStyle name="Title Row" xfId="1879"/>
    <cellStyle name="Title Row 2" xfId="1878"/>
    <cellStyle name="Title Row 3" xfId="1877"/>
    <cellStyle name="Title Row 4" xfId="1876"/>
    <cellStyle name="Title Row 5" xfId="1875"/>
    <cellStyle name="Title Row 6" xfId="1874"/>
    <cellStyle name="Title Row 7" xfId="1873"/>
    <cellStyle name="Título" xfId="1872"/>
    <cellStyle name="Título 1" xfId="1871"/>
    <cellStyle name="Título 2" xfId="1870"/>
    <cellStyle name="Título 3" xfId="1869"/>
    <cellStyle name="Total 10" xfId="1868"/>
    <cellStyle name="Total 10 2" xfId="1867"/>
    <cellStyle name="Total 10 2 2" xfId="1866"/>
    <cellStyle name="Total 10 3" xfId="1865"/>
    <cellStyle name="Total 10 3 2" xfId="1864"/>
    <cellStyle name="Total 10 4" xfId="1863"/>
    <cellStyle name="Total 11" xfId="1862"/>
    <cellStyle name="Total 11 2" xfId="1861"/>
    <cellStyle name="Total 11 2 2" xfId="1860"/>
    <cellStyle name="Total 11 3" xfId="1859"/>
    <cellStyle name="Total 11 3 2" xfId="1858"/>
    <cellStyle name="Total 11 4" xfId="1857"/>
    <cellStyle name="Total 12" xfId="1856"/>
    <cellStyle name="Total 12 2" xfId="1855"/>
    <cellStyle name="Total 12 2 2" xfId="1854"/>
    <cellStyle name="Total 12 3" xfId="1853"/>
    <cellStyle name="Total 12 3 2" xfId="1852"/>
    <cellStyle name="Total 12 4" xfId="1851"/>
    <cellStyle name="Total 13" xfId="1850"/>
    <cellStyle name="Total 13 2" xfId="1849"/>
    <cellStyle name="Total 13 2 2" xfId="1848"/>
    <cellStyle name="Total 13 3" xfId="1847"/>
    <cellStyle name="Total 13 3 2" xfId="1846"/>
    <cellStyle name="Total 13 4" xfId="1845"/>
    <cellStyle name="Total 14" xfId="1844"/>
    <cellStyle name="Total 14 2" xfId="1843"/>
    <cellStyle name="Total 15" xfId="1842"/>
    <cellStyle name="Total 15 2" xfId="1841"/>
    <cellStyle name="Total 15 2 2" xfId="1840"/>
    <cellStyle name="Total 16" xfId="1839"/>
    <cellStyle name="Total 2" xfId="1838"/>
    <cellStyle name="Total 2 10" xfId="1837"/>
    <cellStyle name="Total 2 10 2" xfId="1836"/>
    <cellStyle name="Total 2 10 2 2" xfId="1835"/>
    <cellStyle name="Total 2 10 2 2 2" xfId="1834"/>
    <cellStyle name="Total 2 10 2 3" xfId="1833"/>
    <cellStyle name="Total 2 10 3" xfId="1832"/>
    <cellStyle name="Total 2 10 3 2" xfId="1831"/>
    <cellStyle name="Total 2 10 4" xfId="1830"/>
    <cellStyle name="Total 2 11" xfId="1829"/>
    <cellStyle name="Total 2 11 2" xfId="1828"/>
    <cellStyle name="Total 2 11 2 2" xfId="1827"/>
    <cellStyle name="Total 2 11 2 2 2" xfId="1826"/>
    <cellStyle name="Total 2 11 2 3" xfId="1825"/>
    <cellStyle name="Total 2 11 3" xfId="1824"/>
    <cellStyle name="Total 2 11 3 2" xfId="1823"/>
    <cellStyle name="Total 2 11 4" xfId="1822"/>
    <cellStyle name="Total 2 12" xfId="1821"/>
    <cellStyle name="Total 2 12 2" xfId="1820"/>
    <cellStyle name="Total 2 12 2 2" xfId="1819"/>
    <cellStyle name="Total 2 12 2 2 2" xfId="1818"/>
    <cellStyle name="Total 2 12 2 3" xfId="1817"/>
    <cellStyle name="Total 2 12 3" xfId="1816"/>
    <cellStyle name="Total 2 12 3 2" xfId="1815"/>
    <cellStyle name="Total 2 12 4" xfId="1814"/>
    <cellStyle name="Total 2 13" xfId="1813"/>
    <cellStyle name="Total 2 13 2" xfId="1812"/>
    <cellStyle name="Total 2 13 2 2" xfId="1811"/>
    <cellStyle name="Total 2 13 3" xfId="1810"/>
    <cellStyle name="Total 2 14" xfId="1809"/>
    <cellStyle name="Total 2 14 2" xfId="1808"/>
    <cellStyle name="Total 2 15" xfId="1807"/>
    <cellStyle name="Total 2 2" xfId="1806"/>
    <cellStyle name="Total 2 2 2" xfId="1805"/>
    <cellStyle name="Total 2 2 2 2" xfId="1804"/>
    <cellStyle name="Total 2 2 3" xfId="1803"/>
    <cellStyle name="Total 2 2 3 2" xfId="1802"/>
    <cellStyle name="Total 2 2 4" xfId="1801"/>
    <cellStyle name="Total 2 3" xfId="1800"/>
    <cellStyle name="Total 2 3 2" xfId="1799"/>
    <cellStyle name="Total 2 3 2 2" xfId="1798"/>
    <cellStyle name="Total 2 3 3" xfId="1797"/>
    <cellStyle name="Total 2 3 3 2" xfId="1796"/>
    <cellStyle name="Total 2 3 4" xfId="1795"/>
    <cellStyle name="Total 2 4" xfId="1794"/>
    <cellStyle name="Total 2 4 2" xfId="1793"/>
    <cellStyle name="Total 2 4 2 2" xfId="1792"/>
    <cellStyle name="Total 2 4 3" xfId="1791"/>
    <cellStyle name="Total 2 4 3 2" xfId="1790"/>
    <cellStyle name="Total 2 4 4" xfId="1789"/>
    <cellStyle name="Total 2 5" xfId="1788"/>
    <cellStyle name="Total 2 5 10" xfId="1787"/>
    <cellStyle name="Total 2 5 10 2" xfId="1786"/>
    <cellStyle name="Total 2 5 11" xfId="1785"/>
    <cellStyle name="Total 2 5 2" xfId="1784"/>
    <cellStyle name="Total 2 5 2 2" xfId="1783"/>
    <cellStyle name="Total 2 5 2 2 2" xfId="1782"/>
    <cellStyle name="Total 2 5 2 2 2 2" xfId="1781"/>
    <cellStyle name="Total 2 5 2 2 3" xfId="1780"/>
    <cellStyle name="Total 2 5 2 3" xfId="1779"/>
    <cellStyle name="Total 2 5 2 3 2" xfId="1778"/>
    <cellStyle name="Total 2 5 2 4" xfId="1777"/>
    <cellStyle name="Total 2 5 3" xfId="1776"/>
    <cellStyle name="Total 2 5 3 2" xfId="1775"/>
    <cellStyle name="Total 2 5 3 2 2" xfId="1774"/>
    <cellStyle name="Total 2 5 3 2 2 2" xfId="1773"/>
    <cellStyle name="Total 2 5 3 2 3" xfId="1772"/>
    <cellStyle name="Total 2 5 3 3" xfId="1771"/>
    <cellStyle name="Total 2 5 3 3 2" xfId="1770"/>
    <cellStyle name="Total 2 5 3 4" xfId="1769"/>
    <cellStyle name="Total 2 5 4" xfId="1768"/>
    <cellStyle name="Total 2 5 4 2" xfId="1767"/>
    <cellStyle name="Total 2 5 4 2 2" xfId="1766"/>
    <cellStyle name="Total 2 5 4 2 2 2" xfId="1765"/>
    <cellStyle name="Total 2 5 4 2 3" xfId="1764"/>
    <cellStyle name="Total 2 5 4 3" xfId="1763"/>
    <cellStyle name="Total 2 5 4 3 2" xfId="1762"/>
    <cellStyle name="Total 2 5 4 4" xfId="1761"/>
    <cellStyle name="Total 2 5 5" xfId="1760"/>
    <cellStyle name="Total 2 5 5 2" xfId="1759"/>
    <cellStyle name="Total 2 5 5 2 2" xfId="1758"/>
    <cellStyle name="Total 2 5 5 2 2 2" xfId="1757"/>
    <cellStyle name="Total 2 5 5 2 3" xfId="1756"/>
    <cellStyle name="Total 2 5 5 3" xfId="1755"/>
    <cellStyle name="Total 2 5 5 3 2" xfId="1754"/>
    <cellStyle name="Total 2 5 5 4" xfId="1753"/>
    <cellStyle name="Total 2 5 6" xfId="1752"/>
    <cellStyle name="Total 2 5 6 2" xfId="1751"/>
    <cellStyle name="Total 2 5 6 2 2" xfId="1750"/>
    <cellStyle name="Total 2 5 6 2 2 2" xfId="1749"/>
    <cellStyle name="Total 2 5 6 2 3" xfId="1748"/>
    <cellStyle name="Total 2 5 6 3" xfId="1747"/>
    <cellStyle name="Total 2 5 6 3 2" xfId="1746"/>
    <cellStyle name="Total 2 5 6 4" xfId="1745"/>
    <cellStyle name="Total 2 5 7" xfId="1744"/>
    <cellStyle name="Total 2 5 7 2" xfId="1743"/>
    <cellStyle name="Total 2 5 7 2 2" xfId="1742"/>
    <cellStyle name="Total 2 5 7 2 2 2" xfId="1741"/>
    <cellStyle name="Total 2 5 7 2 3" xfId="1740"/>
    <cellStyle name="Total 2 5 7 3" xfId="1739"/>
    <cellStyle name="Total 2 5 7 3 2" xfId="1738"/>
    <cellStyle name="Total 2 5 7 4" xfId="1737"/>
    <cellStyle name="Total 2 5 8" xfId="1736"/>
    <cellStyle name="Total 2 5 8 2" xfId="1735"/>
    <cellStyle name="Total 2 5 8 2 2" xfId="1734"/>
    <cellStyle name="Total 2 5 8 2 2 2" xfId="1733"/>
    <cellStyle name="Total 2 5 8 2 3" xfId="1732"/>
    <cellStyle name="Total 2 5 8 3" xfId="1731"/>
    <cellStyle name="Total 2 5 8 3 2" xfId="1730"/>
    <cellStyle name="Total 2 5 8 4" xfId="1729"/>
    <cellStyle name="Total 2 5 9" xfId="1728"/>
    <cellStyle name="Total 2 5 9 2" xfId="1727"/>
    <cellStyle name="Total 2 5 9 2 2" xfId="1726"/>
    <cellStyle name="Total 2 5 9 3" xfId="1725"/>
    <cellStyle name="Total 2 6" xfId="1724"/>
    <cellStyle name="Total 2 6 2" xfId="1723"/>
    <cellStyle name="Total 2 6 2 2" xfId="1722"/>
    <cellStyle name="Total 2 6 2 2 2" xfId="1721"/>
    <cellStyle name="Total 2 6 2 3" xfId="1720"/>
    <cellStyle name="Total 2 6 3" xfId="1719"/>
    <cellStyle name="Total 2 6 3 2" xfId="1718"/>
    <cellStyle name="Total 2 6 4" xfId="1717"/>
    <cellStyle name="Total 2 7" xfId="1716"/>
    <cellStyle name="Total 2 7 2" xfId="1715"/>
    <cellStyle name="Total 2 7 2 2" xfId="1714"/>
    <cellStyle name="Total 2 7 2 2 2" xfId="1713"/>
    <cellStyle name="Total 2 7 2 3" xfId="1712"/>
    <cellStyle name="Total 2 7 3" xfId="1711"/>
    <cellStyle name="Total 2 7 3 2" xfId="1710"/>
    <cellStyle name="Total 2 7 4" xfId="1709"/>
    <cellStyle name="Total 2 8" xfId="1708"/>
    <cellStyle name="Total 2 8 2" xfId="1707"/>
    <cellStyle name="Total 2 8 2 2" xfId="1706"/>
    <cellStyle name="Total 2 8 2 2 2" xfId="1705"/>
    <cellStyle name="Total 2 8 2 3" xfId="1704"/>
    <cellStyle name="Total 2 8 3" xfId="1703"/>
    <cellStyle name="Total 2 8 3 2" xfId="1702"/>
    <cellStyle name="Total 2 8 4" xfId="1701"/>
    <cellStyle name="Total 2 9" xfId="1700"/>
    <cellStyle name="Total 2 9 2" xfId="1699"/>
    <cellStyle name="Total 2 9 2 2" xfId="1698"/>
    <cellStyle name="Total 2 9 2 2 2" xfId="1697"/>
    <cellStyle name="Total 2 9 2 3" xfId="1696"/>
    <cellStyle name="Total 2 9 3" xfId="1695"/>
    <cellStyle name="Total 2 9 3 2" xfId="1694"/>
    <cellStyle name="Total 2 9 4" xfId="1693"/>
    <cellStyle name="Total 3" xfId="1692"/>
    <cellStyle name="Total 3 2" xfId="1691"/>
    <cellStyle name="Total 3 2 2" xfId="1690"/>
    <cellStyle name="Total 3 2 2 2" xfId="1689"/>
    <cellStyle name="Total 3 2 3" xfId="1688"/>
    <cellStyle name="Total 3 2 3 2" xfId="1687"/>
    <cellStyle name="Total 3 2 4" xfId="1686"/>
    <cellStyle name="Total 3 3" xfId="1685"/>
    <cellStyle name="Total 3 3 2" xfId="1684"/>
    <cellStyle name="Total 3 3 2 2" xfId="1683"/>
    <cellStyle name="Total 3 3 3" xfId="1682"/>
    <cellStyle name="Total 3 3 3 2" xfId="1681"/>
    <cellStyle name="Total 3 3 4" xfId="1680"/>
    <cellStyle name="Total 3 4" xfId="1679"/>
    <cellStyle name="Total 3 4 2" xfId="1678"/>
    <cellStyle name="Total 3 4 2 2" xfId="1677"/>
    <cellStyle name="Total 3 4 3" xfId="1676"/>
    <cellStyle name="Total 3 4 3 2" xfId="1675"/>
    <cellStyle name="Total 3 4 4" xfId="1674"/>
    <cellStyle name="Total 3 5" xfId="1673"/>
    <cellStyle name="Total 3 5 2" xfId="1672"/>
    <cellStyle name="Total 3 6" xfId="1671"/>
    <cellStyle name="Total 3 6 2" xfId="1670"/>
    <cellStyle name="Total 3 7" xfId="1669"/>
    <cellStyle name="Total 4" xfId="1668"/>
    <cellStyle name="Total 4 2" xfId="1667"/>
    <cellStyle name="Total 4 2 2" xfId="1666"/>
    <cellStyle name="Total 4 2 2 2" xfId="1665"/>
    <cellStyle name="Total 4 2 3" xfId="1664"/>
    <cellStyle name="Total 4 3" xfId="1663"/>
    <cellStyle name="Total 4 3 2" xfId="1662"/>
    <cellStyle name="Total 4 4" xfId="1661"/>
    <cellStyle name="Total 5" xfId="1660"/>
    <cellStyle name="Total 5 2" xfId="1659"/>
    <cellStyle name="Total 5 2 2" xfId="1658"/>
    <cellStyle name="Total 5 2 2 2" xfId="1657"/>
    <cellStyle name="Total 5 2 3" xfId="1656"/>
    <cellStyle name="Total 5 3" xfId="1655"/>
    <cellStyle name="Total 5 3 2" xfId="1654"/>
    <cellStyle name="Total 5 4" xfId="1653"/>
    <cellStyle name="Total 6" xfId="1652"/>
    <cellStyle name="Total 6 2" xfId="1651"/>
    <cellStyle name="Total 6 2 2" xfId="1650"/>
    <cellStyle name="Total 6 2 2 2" xfId="1649"/>
    <cellStyle name="Total 6 2 3" xfId="1648"/>
    <cellStyle name="Total 6 3" xfId="1647"/>
    <cellStyle name="Total 6 3 2" xfId="1646"/>
    <cellStyle name="Total 6 4" xfId="1645"/>
    <cellStyle name="Total 7" xfId="1644"/>
    <cellStyle name="Total 7 2" xfId="1643"/>
    <cellStyle name="Total 7 2 2" xfId="1642"/>
    <cellStyle name="Total 7 2 2 2" xfId="1641"/>
    <cellStyle name="Total 7 2 3" xfId="1640"/>
    <cellStyle name="Total 7 3" xfId="1639"/>
    <cellStyle name="Total 7 3 2" xfId="1638"/>
    <cellStyle name="Total 7 4" xfId="1637"/>
    <cellStyle name="Total 8" xfId="1636"/>
    <cellStyle name="Total 8 2" xfId="1635"/>
    <cellStyle name="Total 8 2 2" xfId="1634"/>
    <cellStyle name="Total 8 2 2 2" xfId="1633"/>
    <cellStyle name="Total 8 2 3" xfId="1632"/>
    <cellStyle name="Total 8 3" xfId="1631"/>
    <cellStyle name="Total 8 3 2" xfId="1630"/>
    <cellStyle name="Total 8 4" xfId="1629"/>
    <cellStyle name="Total 9" xfId="1628"/>
    <cellStyle name="Total 9 2" xfId="1627"/>
    <cellStyle name="Total 9 2 2" xfId="1626"/>
    <cellStyle name="Total 9 3" xfId="1625"/>
    <cellStyle name="Total 9 3 2" xfId="1624"/>
    <cellStyle name="Total 9 4" xfId="1623"/>
    <cellStyle name="totalbold" xfId="1622"/>
    <cellStyle name="TotCol" xfId="1621"/>
    <cellStyle name="TotCol - Style5" xfId="1620"/>
    <cellStyle name="TotCol - Style5 2" xfId="1619"/>
    <cellStyle name="TotCol - Style5 2 2" xfId="1618"/>
    <cellStyle name="TotCol - Style5 3" xfId="1617"/>
    <cellStyle name="TotCol - Style5 4" xfId="1616"/>
    <cellStyle name="TotCol - Style5 5" xfId="1615"/>
    <cellStyle name="TotCol - Style5 6" xfId="1614"/>
    <cellStyle name="TotCol - Style5 7" xfId="1613"/>
    <cellStyle name="TotCol - Style5 8" xfId="1612"/>
    <cellStyle name="TotCol - Style7" xfId="1611"/>
    <cellStyle name="TotCol - Style7 2" xfId="1610"/>
    <cellStyle name="TotCol - Style7 2 2" xfId="1609"/>
    <cellStyle name="TotCol - 유형5" xfId="1608"/>
    <cellStyle name="TotCol - 유형5 2" xfId="1607"/>
    <cellStyle name="TotCol - 유형5 2 2" xfId="1606"/>
    <cellStyle name="TotCol - 유형5 2 2 2" xfId="1605"/>
    <cellStyle name="TotCol - 유형5 3" xfId="1604"/>
    <cellStyle name="TotCol - 유형5 3 2" xfId="1603"/>
    <cellStyle name="TotCol - 유형5 3 2 2" xfId="1602"/>
    <cellStyle name="TotCol - 유형5 4" xfId="1601"/>
    <cellStyle name="TotCol - 유형5 4 2" xfId="1600"/>
    <cellStyle name="TotCol - 유형5 4 2 2" xfId="1599"/>
    <cellStyle name="TotCol - 유형5 5" xfId="1598"/>
    <cellStyle name="TotCol - 유형5 5 2" xfId="1597"/>
    <cellStyle name="TotCol - 유형5 5 2 2" xfId="1596"/>
    <cellStyle name="TotCol - 유형5 6" xfId="1595"/>
    <cellStyle name="TotCol - 유형5 6 2" xfId="1594"/>
    <cellStyle name="TotCol 2" xfId="1593"/>
    <cellStyle name="TotCol 2 2" xfId="1592"/>
    <cellStyle name="TotCol 3" xfId="1591"/>
    <cellStyle name="TotRow" xfId="1590"/>
    <cellStyle name="TotRow - Style4" xfId="1589"/>
    <cellStyle name="TotRow - Style4 10" xfId="1588"/>
    <cellStyle name="TotRow - Style4 10 2" xfId="1587"/>
    <cellStyle name="TotRow - Style4 10 3" xfId="1586"/>
    <cellStyle name="TotRow - Style4 10 4" xfId="1585"/>
    <cellStyle name="TotRow - Style4 11" xfId="1584"/>
    <cellStyle name="TotRow - Style4 11 2" xfId="1583"/>
    <cellStyle name="TotRow - Style4 11 3" xfId="1582"/>
    <cellStyle name="TotRow - Style4 11 4" xfId="1581"/>
    <cellStyle name="TotRow - Style4 12" xfId="1580"/>
    <cellStyle name="TotRow - Style4 12 2" xfId="1579"/>
    <cellStyle name="TotRow - Style4 12 3" xfId="1578"/>
    <cellStyle name="TotRow - Style4 12 4" xfId="1577"/>
    <cellStyle name="TotRow - Style4 13" xfId="1576"/>
    <cellStyle name="TotRow - Style4 14" xfId="1575"/>
    <cellStyle name="TotRow - Style4 15" xfId="1574"/>
    <cellStyle name="TotRow - Style4 16" xfId="1573"/>
    <cellStyle name="TotRow - Style4 17" xfId="1572"/>
    <cellStyle name="TotRow - Style4 18" xfId="1571"/>
    <cellStyle name="TotRow - Style4 2" xfId="1570"/>
    <cellStyle name="TotRow - Style4 2 10" xfId="1569"/>
    <cellStyle name="TotRow - Style4 2 10 2" xfId="1568"/>
    <cellStyle name="TotRow - Style4 2 10 3" xfId="1567"/>
    <cellStyle name="TotRow - Style4 2 10 4" xfId="1566"/>
    <cellStyle name="TotRow - Style4 2 11" xfId="1565"/>
    <cellStyle name="TotRow - Style4 2 12" xfId="1564"/>
    <cellStyle name="TotRow - Style4 2 13" xfId="1563"/>
    <cellStyle name="TotRow - Style4 2 2" xfId="1562"/>
    <cellStyle name="TotRow - Style4 2 2 10" xfId="1561"/>
    <cellStyle name="TotRow - Style4 2 2 11" xfId="1560"/>
    <cellStyle name="TotRow - Style4 2 2 2" xfId="1559"/>
    <cellStyle name="TotRow - Style4 2 2 2 2" xfId="1558"/>
    <cellStyle name="TotRow - Style4 2 2 2 3" xfId="1557"/>
    <cellStyle name="TotRow - Style4 2 2 2 4" xfId="1556"/>
    <cellStyle name="TotRow - Style4 2 2 3" xfId="1555"/>
    <cellStyle name="TotRow - Style4 2 2 3 2" xfId="1554"/>
    <cellStyle name="TotRow - Style4 2 2 3 3" xfId="1553"/>
    <cellStyle name="TotRow - Style4 2 2 3 4" xfId="1552"/>
    <cellStyle name="TotRow - Style4 2 2 4" xfId="1551"/>
    <cellStyle name="TotRow - Style4 2 2 4 2" xfId="1550"/>
    <cellStyle name="TotRow - Style4 2 2 4 3" xfId="1549"/>
    <cellStyle name="TotRow - Style4 2 2 4 4" xfId="1548"/>
    <cellStyle name="TotRow - Style4 2 2 5" xfId="1547"/>
    <cellStyle name="TotRow - Style4 2 2 5 2" xfId="1546"/>
    <cellStyle name="TotRow - Style4 2 2 5 3" xfId="1545"/>
    <cellStyle name="TotRow - Style4 2 2 5 4" xfId="1544"/>
    <cellStyle name="TotRow - Style4 2 2 6" xfId="1543"/>
    <cellStyle name="TotRow - Style4 2 2 6 2" xfId="1542"/>
    <cellStyle name="TotRow - Style4 2 2 6 3" xfId="1541"/>
    <cellStyle name="TotRow - Style4 2 2 6 4" xfId="1540"/>
    <cellStyle name="TotRow - Style4 2 2 7" xfId="1539"/>
    <cellStyle name="TotRow - Style4 2 2 7 2" xfId="1538"/>
    <cellStyle name="TotRow - Style4 2 2 7 3" xfId="1537"/>
    <cellStyle name="TotRow - Style4 2 2 7 4" xfId="1536"/>
    <cellStyle name="TotRow - Style4 2 2 8" xfId="1535"/>
    <cellStyle name="TotRow - Style4 2 2 8 2" xfId="1534"/>
    <cellStyle name="TotRow - Style4 2 2 8 3" xfId="1533"/>
    <cellStyle name="TotRow - Style4 2 2 8 4" xfId="1532"/>
    <cellStyle name="TotRow - Style4 2 2 9" xfId="1531"/>
    <cellStyle name="TotRow - Style4 2 3" xfId="1530"/>
    <cellStyle name="TotRow - Style4 2 3 2" xfId="1529"/>
    <cellStyle name="TotRow - Style4 2 3 3" xfId="1528"/>
    <cellStyle name="TotRow - Style4 2 3 4" xfId="1527"/>
    <cellStyle name="TotRow - Style4 2 4" xfId="1526"/>
    <cellStyle name="TotRow - Style4 2 4 2" xfId="1525"/>
    <cellStyle name="TotRow - Style4 2 4 3" xfId="1524"/>
    <cellStyle name="TotRow - Style4 2 4 4" xfId="1523"/>
    <cellStyle name="TotRow - Style4 2 5" xfId="1522"/>
    <cellStyle name="TotRow - Style4 2 5 2" xfId="1521"/>
    <cellStyle name="TotRow - Style4 2 5 3" xfId="1520"/>
    <cellStyle name="TotRow - Style4 2 5 4" xfId="1519"/>
    <cellStyle name="TotRow - Style4 2 6" xfId="1518"/>
    <cellStyle name="TotRow - Style4 2 6 2" xfId="1517"/>
    <cellStyle name="TotRow - Style4 2 6 3" xfId="1516"/>
    <cellStyle name="TotRow - Style4 2 6 4" xfId="1515"/>
    <cellStyle name="TotRow - Style4 2 7" xfId="1514"/>
    <cellStyle name="TotRow - Style4 2 7 2" xfId="1513"/>
    <cellStyle name="TotRow - Style4 2 7 3" xfId="1512"/>
    <cellStyle name="TotRow - Style4 2 7 4" xfId="1511"/>
    <cellStyle name="TotRow - Style4 2 8" xfId="1510"/>
    <cellStyle name="TotRow - Style4 2 8 2" xfId="1509"/>
    <cellStyle name="TotRow - Style4 2 8 3" xfId="1508"/>
    <cellStyle name="TotRow - Style4 2 8 4" xfId="1507"/>
    <cellStyle name="TotRow - Style4 2 9" xfId="1506"/>
    <cellStyle name="TotRow - Style4 2 9 2" xfId="1505"/>
    <cellStyle name="TotRow - Style4 2 9 3" xfId="1504"/>
    <cellStyle name="TotRow - Style4 2 9 4" xfId="1503"/>
    <cellStyle name="TotRow - Style4 3" xfId="1502"/>
    <cellStyle name="TotRow - Style4 3 10" xfId="1501"/>
    <cellStyle name="TotRow - Style4 3 10 2" xfId="1500"/>
    <cellStyle name="TotRow - Style4 3 10 3" xfId="1499"/>
    <cellStyle name="TotRow - Style4 3 10 4" xfId="1498"/>
    <cellStyle name="TotRow - Style4 3 11" xfId="1497"/>
    <cellStyle name="TotRow - Style4 3 12" xfId="1496"/>
    <cellStyle name="TotRow - Style4 3 13" xfId="1495"/>
    <cellStyle name="TotRow - Style4 3 2" xfId="1494"/>
    <cellStyle name="TotRow - Style4 3 2 10" xfId="1493"/>
    <cellStyle name="TotRow - Style4 3 2 11" xfId="1492"/>
    <cellStyle name="TotRow - Style4 3 2 2" xfId="1491"/>
    <cellStyle name="TotRow - Style4 3 2 2 2" xfId="1490"/>
    <cellStyle name="TotRow - Style4 3 2 2 3" xfId="1489"/>
    <cellStyle name="TotRow - Style4 3 2 2 4" xfId="1488"/>
    <cellStyle name="TotRow - Style4 3 2 3" xfId="1487"/>
    <cellStyle name="TotRow - Style4 3 2 3 2" xfId="1486"/>
    <cellStyle name="TotRow - Style4 3 2 3 3" xfId="1485"/>
    <cellStyle name="TotRow - Style4 3 2 3 4" xfId="1484"/>
    <cellStyle name="TotRow - Style4 3 2 4" xfId="1483"/>
    <cellStyle name="TotRow - Style4 3 2 4 2" xfId="1482"/>
    <cellStyle name="TotRow - Style4 3 2 4 3" xfId="1481"/>
    <cellStyle name="TotRow - Style4 3 2 4 4" xfId="1480"/>
    <cellStyle name="TotRow - Style4 3 2 5" xfId="1479"/>
    <cellStyle name="TotRow - Style4 3 2 5 2" xfId="1478"/>
    <cellStyle name="TotRow - Style4 3 2 5 3" xfId="1477"/>
    <cellStyle name="TotRow - Style4 3 2 5 4" xfId="1476"/>
    <cellStyle name="TotRow - Style4 3 2 6" xfId="1475"/>
    <cellStyle name="TotRow - Style4 3 2 6 2" xfId="1474"/>
    <cellStyle name="TotRow - Style4 3 2 6 3" xfId="1473"/>
    <cellStyle name="TotRow - Style4 3 2 6 4" xfId="1472"/>
    <cellStyle name="TotRow - Style4 3 2 7" xfId="1471"/>
    <cellStyle name="TotRow - Style4 3 2 7 2" xfId="1470"/>
    <cellStyle name="TotRow - Style4 3 2 7 3" xfId="1469"/>
    <cellStyle name="TotRow - Style4 3 2 7 4" xfId="1468"/>
    <cellStyle name="TotRow - Style4 3 2 8" xfId="1467"/>
    <cellStyle name="TotRow - Style4 3 2 8 2" xfId="1466"/>
    <cellStyle name="TotRow - Style4 3 2 8 3" xfId="1465"/>
    <cellStyle name="TotRow - Style4 3 2 8 4" xfId="1464"/>
    <cellStyle name="TotRow - Style4 3 2 9" xfId="1463"/>
    <cellStyle name="TotRow - Style4 3 3" xfId="1462"/>
    <cellStyle name="TotRow - Style4 3 3 2" xfId="1461"/>
    <cellStyle name="TotRow - Style4 3 3 3" xfId="1460"/>
    <cellStyle name="TotRow - Style4 3 3 4" xfId="1459"/>
    <cellStyle name="TotRow - Style4 3 4" xfId="1458"/>
    <cellStyle name="TotRow - Style4 3 4 2" xfId="1457"/>
    <cellStyle name="TotRow - Style4 3 4 3" xfId="1456"/>
    <cellStyle name="TotRow - Style4 3 4 4" xfId="1455"/>
    <cellStyle name="TotRow - Style4 3 5" xfId="1454"/>
    <cellStyle name="TotRow - Style4 3 5 2" xfId="1453"/>
    <cellStyle name="TotRow - Style4 3 5 3" xfId="1452"/>
    <cellStyle name="TotRow - Style4 3 5 4" xfId="1451"/>
    <cellStyle name="TotRow - Style4 3 6" xfId="1450"/>
    <cellStyle name="TotRow - Style4 3 6 2" xfId="1449"/>
    <cellStyle name="TotRow - Style4 3 6 3" xfId="1448"/>
    <cellStyle name="TotRow - Style4 3 6 4" xfId="1447"/>
    <cellStyle name="TotRow - Style4 3 7" xfId="1446"/>
    <cellStyle name="TotRow - Style4 3 7 2" xfId="1445"/>
    <cellStyle name="TotRow - Style4 3 7 3" xfId="1444"/>
    <cellStyle name="TotRow - Style4 3 7 4" xfId="1443"/>
    <cellStyle name="TotRow - Style4 3 8" xfId="1442"/>
    <cellStyle name="TotRow - Style4 3 8 2" xfId="1441"/>
    <cellStyle name="TotRow - Style4 3 8 3" xfId="1440"/>
    <cellStyle name="TotRow - Style4 3 8 4" xfId="1439"/>
    <cellStyle name="TotRow - Style4 3 9" xfId="1438"/>
    <cellStyle name="TotRow - Style4 3 9 2" xfId="1437"/>
    <cellStyle name="TotRow - Style4 3 9 3" xfId="1436"/>
    <cellStyle name="TotRow - Style4 3 9 4" xfId="1435"/>
    <cellStyle name="TotRow - Style4 4" xfId="1434"/>
    <cellStyle name="TotRow - Style4 4 10" xfId="1433"/>
    <cellStyle name="TotRow - Style4 4 11" xfId="1432"/>
    <cellStyle name="TotRow - Style4 4 2" xfId="1431"/>
    <cellStyle name="TotRow - Style4 4 2 2" xfId="1430"/>
    <cellStyle name="TotRow - Style4 4 2 3" xfId="1429"/>
    <cellStyle name="TotRow - Style4 4 2 4" xfId="1428"/>
    <cellStyle name="TotRow - Style4 4 3" xfId="1427"/>
    <cellStyle name="TotRow - Style4 4 3 2" xfId="1426"/>
    <cellStyle name="TotRow - Style4 4 3 3" xfId="1425"/>
    <cellStyle name="TotRow - Style4 4 3 4" xfId="1424"/>
    <cellStyle name="TotRow - Style4 4 4" xfId="1423"/>
    <cellStyle name="TotRow - Style4 4 4 2" xfId="1422"/>
    <cellStyle name="TotRow - Style4 4 4 3" xfId="1421"/>
    <cellStyle name="TotRow - Style4 4 4 4" xfId="1420"/>
    <cellStyle name="TotRow - Style4 4 5" xfId="1419"/>
    <cellStyle name="TotRow - Style4 4 5 2" xfId="1418"/>
    <cellStyle name="TotRow - Style4 4 5 3" xfId="1417"/>
    <cellStyle name="TotRow - Style4 4 5 4" xfId="1416"/>
    <cellStyle name="TotRow - Style4 4 6" xfId="1415"/>
    <cellStyle name="TotRow - Style4 4 6 2" xfId="1414"/>
    <cellStyle name="TotRow - Style4 4 6 3" xfId="1413"/>
    <cellStyle name="TotRow - Style4 4 6 4" xfId="1412"/>
    <cellStyle name="TotRow - Style4 4 7" xfId="1411"/>
    <cellStyle name="TotRow - Style4 4 7 2" xfId="1410"/>
    <cellStyle name="TotRow - Style4 4 7 3" xfId="1409"/>
    <cellStyle name="TotRow - Style4 4 7 4" xfId="1408"/>
    <cellStyle name="TotRow - Style4 4 8" xfId="1407"/>
    <cellStyle name="TotRow - Style4 4 8 2" xfId="1406"/>
    <cellStyle name="TotRow - Style4 4 8 3" xfId="1405"/>
    <cellStyle name="TotRow - Style4 4 8 4" xfId="1404"/>
    <cellStyle name="TotRow - Style4 4 9" xfId="1403"/>
    <cellStyle name="TotRow - Style4 5" xfId="1402"/>
    <cellStyle name="TotRow - Style4 5 2" xfId="1401"/>
    <cellStyle name="TotRow - Style4 5 3" xfId="1400"/>
    <cellStyle name="TotRow - Style4 5 4" xfId="1399"/>
    <cellStyle name="TotRow - Style4 6" xfId="1398"/>
    <cellStyle name="TotRow - Style4 6 2" xfId="1397"/>
    <cellStyle name="TotRow - Style4 6 3" xfId="1396"/>
    <cellStyle name="TotRow - Style4 6 4" xfId="1395"/>
    <cellStyle name="TotRow - Style4 7" xfId="1394"/>
    <cellStyle name="TotRow - Style4 7 2" xfId="1393"/>
    <cellStyle name="TotRow - Style4 7 3" xfId="1392"/>
    <cellStyle name="TotRow - Style4 7 4" xfId="1391"/>
    <cellStyle name="TotRow - Style4 8" xfId="1390"/>
    <cellStyle name="TotRow - Style4 8 2" xfId="1389"/>
    <cellStyle name="TotRow - Style4 8 3" xfId="1388"/>
    <cellStyle name="TotRow - Style4 8 4" xfId="1387"/>
    <cellStyle name="TotRow - Style4 9" xfId="1386"/>
    <cellStyle name="TotRow - Style4 9 2" xfId="1385"/>
    <cellStyle name="TotRow - Style4 9 3" xfId="1384"/>
    <cellStyle name="TotRow - Style4 9 4" xfId="1383"/>
    <cellStyle name="TotRow - Style8" xfId="1382"/>
    <cellStyle name="TotRow - Style8 10" xfId="1381"/>
    <cellStyle name="TotRow - Style8 2" xfId="1380"/>
    <cellStyle name="TotRow - Style8 2 2" xfId="1379"/>
    <cellStyle name="TotRow - Style8 2 2 2" xfId="1378"/>
    <cellStyle name="TotRow - Style8 2 3" xfId="1377"/>
    <cellStyle name="TotRow - Style8 3" xfId="1376"/>
    <cellStyle name="TotRow - Style8 3 2" xfId="1375"/>
    <cellStyle name="TotRow - Style8 4" xfId="1374"/>
    <cellStyle name="TotRow - Style8 5" xfId="1373"/>
    <cellStyle name="TotRow - Style8 6" xfId="1372"/>
    <cellStyle name="TotRow - Style8 7" xfId="1371"/>
    <cellStyle name="TotRow - Style8 8" xfId="1370"/>
    <cellStyle name="TotRow - Style8 9" xfId="1369"/>
    <cellStyle name="TotRow - 유형4" xfId="1368"/>
    <cellStyle name="TotRow - 유형4 10" xfId="1367"/>
    <cellStyle name="TotRow - 유형4 10 2" xfId="1366"/>
    <cellStyle name="TotRow - 유형4 11" xfId="1365"/>
    <cellStyle name="TotRow - 유형4 2" xfId="1364"/>
    <cellStyle name="TotRow - 유형4 2 2" xfId="1363"/>
    <cellStyle name="TotRow - 유형4 2 2 2" xfId="1362"/>
    <cellStyle name="TotRow - 유형4 2 2 2 2" xfId="1361"/>
    <cellStyle name="TotRow - 유형4 2 2 3" xfId="1360"/>
    <cellStyle name="TotRow - 유형4 2 3" xfId="1359"/>
    <cellStyle name="TotRow - 유형4 2 3 2" xfId="1358"/>
    <cellStyle name="TotRow - 유형4 2 4" xfId="1357"/>
    <cellStyle name="TotRow - 유형4 3" xfId="1356"/>
    <cellStyle name="TotRow - 유형4 3 2" xfId="1355"/>
    <cellStyle name="TotRow - 유형4 3 2 2" xfId="1354"/>
    <cellStyle name="TotRow - 유형4 3 2 2 2" xfId="1353"/>
    <cellStyle name="TotRow - 유형4 3 2 3" xfId="1352"/>
    <cellStyle name="TotRow - 유형4 3 3" xfId="1351"/>
    <cellStyle name="TotRow - 유형4 3 3 2" xfId="1350"/>
    <cellStyle name="TotRow - 유형4 3 4" xfId="1349"/>
    <cellStyle name="TotRow - 유형4 4" xfId="1348"/>
    <cellStyle name="TotRow - 유형4 4 2" xfId="1347"/>
    <cellStyle name="TotRow - 유형4 4 2 2" xfId="1346"/>
    <cellStyle name="TotRow - 유형4 4 2 2 2" xfId="1345"/>
    <cellStyle name="TotRow - 유형4 4 2 3" xfId="1344"/>
    <cellStyle name="TotRow - 유형4 4 3" xfId="1343"/>
    <cellStyle name="TotRow - 유형4 4 3 2" xfId="1342"/>
    <cellStyle name="TotRow - 유형4 4 4" xfId="1341"/>
    <cellStyle name="TotRow - 유형4 5" xfId="1340"/>
    <cellStyle name="TotRow - 유형4 5 2" xfId="1339"/>
    <cellStyle name="TotRow - 유형4 5 2 2" xfId="1338"/>
    <cellStyle name="TotRow - 유형4 5 2 2 2" xfId="1337"/>
    <cellStyle name="TotRow - 유형4 5 2 3" xfId="1336"/>
    <cellStyle name="TotRow - 유형4 5 3" xfId="1335"/>
    <cellStyle name="TotRow - 유형4 5 3 2" xfId="1334"/>
    <cellStyle name="TotRow - 유형4 5 4" xfId="1333"/>
    <cellStyle name="TotRow - 유형4 6" xfId="1332"/>
    <cellStyle name="TotRow - 유형4 6 2" xfId="1331"/>
    <cellStyle name="TotRow - 유형4 6 2 2" xfId="1330"/>
    <cellStyle name="TotRow - 유형4 6 2 2 2" xfId="1329"/>
    <cellStyle name="TotRow - 유형4 6 2 3" xfId="1328"/>
    <cellStyle name="TotRow - 유형4 6 3" xfId="1327"/>
    <cellStyle name="TotRow - 유형4 6 3 2" xfId="1326"/>
    <cellStyle name="TotRow - 유형4 6 4" xfId="1325"/>
    <cellStyle name="TotRow - 유형4 7" xfId="1324"/>
    <cellStyle name="TotRow - 유형4 7 2" xfId="1323"/>
    <cellStyle name="TotRow - 유형4 7 2 2" xfId="1322"/>
    <cellStyle name="TotRow - 유형4 7 2 2 2" xfId="1321"/>
    <cellStyle name="TotRow - 유형4 7 2 3" xfId="1320"/>
    <cellStyle name="TotRow - 유형4 7 3" xfId="1319"/>
    <cellStyle name="TotRow - 유형4 7 3 2" xfId="1318"/>
    <cellStyle name="TotRow - 유형4 7 4" xfId="1317"/>
    <cellStyle name="TotRow - 유형4 8" xfId="1316"/>
    <cellStyle name="TotRow - 유형4 8 2" xfId="1315"/>
    <cellStyle name="TotRow - 유형4 8 2 2" xfId="1314"/>
    <cellStyle name="TotRow - 유형4 8 2 2 2" xfId="1313"/>
    <cellStyle name="TotRow - 유형4 8 2 3" xfId="1312"/>
    <cellStyle name="TotRow - 유형4 8 3" xfId="1311"/>
    <cellStyle name="TotRow - 유형4 8 3 2" xfId="1310"/>
    <cellStyle name="TotRow - 유형4 8 4" xfId="1309"/>
    <cellStyle name="TotRow - 유형4 9" xfId="1308"/>
    <cellStyle name="TotRow - 유형4 9 2" xfId="1307"/>
    <cellStyle name="TotRow - 유형4 9 2 2" xfId="1306"/>
    <cellStyle name="TotRow - 유형4 9 3" xfId="1305"/>
    <cellStyle name="TotRow 10" xfId="1304"/>
    <cellStyle name="TotRow 10 2" xfId="1303"/>
    <cellStyle name="TotRow 10 3" xfId="1302"/>
    <cellStyle name="TotRow 10 4" xfId="1301"/>
    <cellStyle name="TotRow 10 5" xfId="1300"/>
    <cellStyle name="TotRow 11" xfId="1299"/>
    <cellStyle name="TotRow 11 2" xfId="1298"/>
    <cellStyle name="TotRow 11 3" xfId="1297"/>
    <cellStyle name="TotRow 11 4" xfId="1296"/>
    <cellStyle name="TotRow 11 5" xfId="1295"/>
    <cellStyle name="TotRow 12" xfId="1294"/>
    <cellStyle name="TotRow 12 2" xfId="1293"/>
    <cellStyle name="TotRow 12 3" xfId="1292"/>
    <cellStyle name="TotRow 12 4" xfId="1291"/>
    <cellStyle name="TotRow 12 5" xfId="1290"/>
    <cellStyle name="TotRow 13" xfId="1289"/>
    <cellStyle name="TotRow 14" xfId="1288"/>
    <cellStyle name="TotRow 15" xfId="1287"/>
    <cellStyle name="TotRow 16" xfId="1286"/>
    <cellStyle name="TotRow 17" xfId="1285"/>
    <cellStyle name="TotRow 18" xfId="1284"/>
    <cellStyle name="TotRow 2" xfId="1283"/>
    <cellStyle name="TotRow 2 10" xfId="1282"/>
    <cellStyle name="TotRow 2 10 2" xfId="1281"/>
    <cellStyle name="TotRow 2 10 3" xfId="1280"/>
    <cellStyle name="TotRow 2 10 4" xfId="1279"/>
    <cellStyle name="TotRow 2 10 5" xfId="1278"/>
    <cellStyle name="TotRow 2 11" xfId="1277"/>
    <cellStyle name="TotRow 2 12" xfId="1276"/>
    <cellStyle name="TotRow 2 13" xfId="1275"/>
    <cellStyle name="TotRow 2 14" xfId="1274"/>
    <cellStyle name="TotRow 2 2" xfId="1273"/>
    <cellStyle name="TotRow 2 2 10" xfId="1272"/>
    <cellStyle name="TotRow 2 2 11" xfId="1271"/>
    <cellStyle name="TotRow 2 2 12" xfId="1270"/>
    <cellStyle name="TotRow 2 2 2" xfId="1269"/>
    <cellStyle name="TotRow 2 2 2 2" xfId="1268"/>
    <cellStyle name="TotRow 2 2 2 3" xfId="1267"/>
    <cellStyle name="TotRow 2 2 2 4" xfId="1266"/>
    <cellStyle name="TotRow 2 2 2 5" xfId="1265"/>
    <cellStyle name="TotRow 2 2 3" xfId="1264"/>
    <cellStyle name="TotRow 2 2 3 2" xfId="1263"/>
    <cellStyle name="TotRow 2 2 3 3" xfId="1262"/>
    <cellStyle name="TotRow 2 2 3 4" xfId="1261"/>
    <cellStyle name="TotRow 2 2 3 5" xfId="1260"/>
    <cellStyle name="TotRow 2 2 4" xfId="1259"/>
    <cellStyle name="TotRow 2 2 4 2" xfId="1258"/>
    <cellStyle name="TotRow 2 2 4 3" xfId="1257"/>
    <cellStyle name="TotRow 2 2 4 4" xfId="1256"/>
    <cellStyle name="TotRow 2 2 4 5" xfId="1255"/>
    <cellStyle name="TotRow 2 2 5" xfId="1254"/>
    <cellStyle name="TotRow 2 2 5 2" xfId="1253"/>
    <cellStyle name="TotRow 2 2 5 3" xfId="1252"/>
    <cellStyle name="TotRow 2 2 5 4" xfId="1251"/>
    <cellStyle name="TotRow 2 2 5 5" xfId="1250"/>
    <cellStyle name="TotRow 2 2 6" xfId="1249"/>
    <cellStyle name="TotRow 2 2 6 2" xfId="1248"/>
    <cellStyle name="TotRow 2 2 6 3" xfId="1247"/>
    <cellStyle name="TotRow 2 2 6 4" xfId="1246"/>
    <cellStyle name="TotRow 2 2 6 5" xfId="1245"/>
    <cellStyle name="TotRow 2 2 7" xfId="1244"/>
    <cellStyle name="TotRow 2 2 7 2" xfId="1243"/>
    <cellStyle name="TotRow 2 2 7 3" xfId="1242"/>
    <cellStyle name="TotRow 2 2 7 4" xfId="1241"/>
    <cellStyle name="TotRow 2 2 7 5" xfId="1240"/>
    <cellStyle name="TotRow 2 2 8" xfId="1239"/>
    <cellStyle name="TotRow 2 2 8 2" xfId="1238"/>
    <cellStyle name="TotRow 2 2 8 3" xfId="1237"/>
    <cellStyle name="TotRow 2 2 8 4" xfId="1236"/>
    <cellStyle name="TotRow 2 2 8 5" xfId="1235"/>
    <cellStyle name="TotRow 2 2 9" xfId="1234"/>
    <cellStyle name="TotRow 2 3" xfId="1233"/>
    <cellStyle name="TotRow 2 3 2" xfId="1232"/>
    <cellStyle name="TotRow 2 3 3" xfId="1231"/>
    <cellStyle name="TotRow 2 3 4" xfId="1230"/>
    <cellStyle name="TotRow 2 3 5" xfId="1229"/>
    <cellStyle name="TotRow 2 4" xfId="1228"/>
    <cellStyle name="TotRow 2 4 2" xfId="1227"/>
    <cellStyle name="TotRow 2 4 3" xfId="1226"/>
    <cellStyle name="TotRow 2 4 4" xfId="1225"/>
    <cellStyle name="TotRow 2 4 5" xfId="1224"/>
    <cellStyle name="TotRow 2 5" xfId="1223"/>
    <cellStyle name="TotRow 2 5 2" xfId="1222"/>
    <cellStyle name="TotRow 2 5 3" xfId="1221"/>
    <cellStyle name="TotRow 2 5 4" xfId="1220"/>
    <cellStyle name="TotRow 2 5 5" xfId="1219"/>
    <cellStyle name="TotRow 2 6" xfId="1218"/>
    <cellStyle name="TotRow 2 6 2" xfId="1217"/>
    <cellStyle name="TotRow 2 6 3" xfId="1216"/>
    <cellStyle name="TotRow 2 6 4" xfId="1215"/>
    <cellStyle name="TotRow 2 6 5" xfId="1214"/>
    <cellStyle name="TotRow 2 7" xfId="1213"/>
    <cellStyle name="TotRow 2 7 2" xfId="1212"/>
    <cellStyle name="TotRow 2 7 3" xfId="1211"/>
    <cellStyle name="TotRow 2 7 4" xfId="1210"/>
    <cellStyle name="TotRow 2 7 5" xfId="1209"/>
    <cellStyle name="TotRow 2 8" xfId="1208"/>
    <cellStyle name="TotRow 2 8 2" xfId="1207"/>
    <cellStyle name="TotRow 2 8 3" xfId="1206"/>
    <cellStyle name="TotRow 2 8 4" xfId="1205"/>
    <cellStyle name="TotRow 2 8 5" xfId="1204"/>
    <cellStyle name="TotRow 2 9" xfId="1203"/>
    <cellStyle name="TotRow 2 9 2" xfId="1202"/>
    <cellStyle name="TotRow 2 9 3" xfId="1201"/>
    <cellStyle name="TotRow 2 9 4" xfId="1200"/>
    <cellStyle name="TotRow 2 9 5" xfId="1199"/>
    <cellStyle name="TotRow 3" xfId="1198"/>
    <cellStyle name="TotRow 3 10" xfId="1197"/>
    <cellStyle name="TotRow 3 10 2" xfId="1196"/>
    <cellStyle name="TotRow 3 10 3" xfId="1195"/>
    <cellStyle name="TotRow 3 10 4" xfId="1194"/>
    <cellStyle name="TotRow 3 10 5" xfId="1193"/>
    <cellStyle name="TotRow 3 11" xfId="1192"/>
    <cellStyle name="TotRow 3 12" xfId="1191"/>
    <cellStyle name="TotRow 3 13" xfId="1190"/>
    <cellStyle name="TotRow 3 14" xfId="1189"/>
    <cellStyle name="TotRow 3 2" xfId="1188"/>
    <cellStyle name="TotRow 3 2 10" xfId="1187"/>
    <cellStyle name="TotRow 3 2 11" xfId="1186"/>
    <cellStyle name="TotRow 3 2 12" xfId="1185"/>
    <cellStyle name="TotRow 3 2 2" xfId="1184"/>
    <cellStyle name="TotRow 3 2 2 2" xfId="1183"/>
    <cellStyle name="TotRow 3 2 2 3" xfId="1182"/>
    <cellStyle name="TotRow 3 2 2 4" xfId="1181"/>
    <cellStyle name="TotRow 3 2 2 5" xfId="1180"/>
    <cellStyle name="TotRow 3 2 3" xfId="1179"/>
    <cellStyle name="TotRow 3 2 3 2" xfId="1178"/>
    <cellStyle name="TotRow 3 2 3 3" xfId="1177"/>
    <cellStyle name="TotRow 3 2 3 4" xfId="1176"/>
    <cellStyle name="TotRow 3 2 3 5" xfId="1175"/>
    <cellStyle name="TotRow 3 2 4" xfId="1174"/>
    <cellStyle name="TotRow 3 2 4 2" xfId="1173"/>
    <cellStyle name="TotRow 3 2 4 3" xfId="1172"/>
    <cellStyle name="TotRow 3 2 4 4" xfId="1171"/>
    <cellStyle name="TotRow 3 2 4 5" xfId="1170"/>
    <cellStyle name="TotRow 3 2 5" xfId="1169"/>
    <cellStyle name="TotRow 3 2 5 2" xfId="1168"/>
    <cellStyle name="TotRow 3 2 5 3" xfId="1167"/>
    <cellStyle name="TotRow 3 2 5 4" xfId="1166"/>
    <cellStyle name="TotRow 3 2 5 5" xfId="1165"/>
    <cellStyle name="TotRow 3 2 6" xfId="1164"/>
    <cellStyle name="TotRow 3 2 6 2" xfId="1163"/>
    <cellStyle name="TotRow 3 2 6 3" xfId="1162"/>
    <cellStyle name="TotRow 3 2 6 4" xfId="1161"/>
    <cellStyle name="TotRow 3 2 6 5" xfId="1160"/>
    <cellStyle name="TotRow 3 2 7" xfId="1159"/>
    <cellStyle name="TotRow 3 2 7 2" xfId="1158"/>
    <cellStyle name="TotRow 3 2 7 3" xfId="1157"/>
    <cellStyle name="TotRow 3 2 7 4" xfId="1156"/>
    <cellStyle name="TotRow 3 2 7 5" xfId="1155"/>
    <cellStyle name="TotRow 3 2 8" xfId="1154"/>
    <cellStyle name="TotRow 3 2 8 2" xfId="1153"/>
    <cellStyle name="TotRow 3 2 8 3" xfId="1152"/>
    <cellStyle name="TotRow 3 2 8 4" xfId="1151"/>
    <cellStyle name="TotRow 3 2 8 5" xfId="1150"/>
    <cellStyle name="TotRow 3 2 9" xfId="1149"/>
    <cellStyle name="TotRow 3 3" xfId="1148"/>
    <cellStyle name="TotRow 3 3 2" xfId="1147"/>
    <cellStyle name="TotRow 3 3 3" xfId="1146"/>
    <cellStyle name="TotRow 3 3 4" xfId="1145"/>
    <cellStyle name="TotRow 3 3 5" xfId="1144"/>
    <cellStyle name="TotRow 3 4" xfId="1143"/>
    <cellStyle name="TotRow 3 4 2" xfId="1142"/>
    <cellStyle name="TotRow 3 4 3" xfId="1141"/>
    <cellStyle name="TotRow 3 4 4" xfId="1140"/>
    <cellStyle name="TotRow 3 4 5" xfId="1139"/>
    <cellStyle name="TotRow 3 5" xfId="1138"/>
    <cellStyle name="TotRow 3 5 2" xfId="1137"/>
    <cellStyle name="TotRow 3 5 3" xfId="1136"/>
    <cellStyle name="TotRow 3 5 4" xfId="1135"/>
    <cellStyle name="TotRow 3 5 5" xfId="1134"/>
    <cellStyle name="TotRow 3 6" xfId="1133"/>
    <cellStyle name="TotRow 3 6 2" xfId="1132"/>
    <cellStyle name="TotRow 3 6 3" xfId="1131"/>
    <cellStyle name="TotRow 3 6 4" xfId="1130"/>
    <cellStyle name="TotRow 3 6 5" xfId="1129"/>
    <cellStyle name="TotRow 3 7" xfId="1128"/>
    <cellStyle name="TotRow 3 7 2" xfId="1127"/>
    <cellStyle name="TotRow 3 7 3" xfId="1126"/>
    <cellStyle name="TotRow 3 7 4" xfId="1125"/>
    <cellStyle name="TotRow 3 7 5" xfId="1124"/>
    <cellStyle name="TotRow 3 8" xfId="1123"/>
    <cellStyle name="TotRow 3 8 2" xfId="1122"/>
    <cellStyle name="TotRow 3 8 3" xfId="1121"/>
    <cellStyle name="TotRow 3 8 4" xfId="1120"/>
    <cellStyle name="TotRow 3 8 5" xfId="1119"/>
    <cellStyle name="TotRow 3 9" xfId="1118"/>
    <cellStyle name="TotRow 3 9 2" xfId="1117"/>
    <cellStyle name="TotRow 3 9 3" xfId="1116"/>
    <cellStyle name="TotRow 3 9 4" xfId="1115"/>
    <cellStyle name="TotRow 3 9 5" xfId="1114"/>
    <cellStyle name="TotRow 4" xfId="1113"/>
    <cellStyle name="TotRow 4 10" xfId="1112"/>
    <cellStyle name="TotRow 4 11" xfId="1111"/>
    <cellStyle name="TotRow 4 12" xfId="1110"/>
    <cellStyle name="TotRow 4 2" xfId="1109"/>
    <cellStyle name="TotRow 4 2 2" xfId="1108"/>
    <cellStyle name="TotRow 4 2 3" xfId="1107"/>
    <cellStyle name="TotRow 4 2 4" xfId="1106"/>
    <cellStyle name="TotRow 4 2 5" xfId="1105"/>
    <cellStyle name="TotRow 4 3" xfId="1104"/>
    <cellStyle name="TotRow 4 3 2" xfId="1103"/>
    <cellStyle name="TotRow 4 3 3" xfId="1102"/>
    <cellStyle name="TotRow 4 3 4" xfId="1101"/>
    <cellStyle name="TotRow 4 3 5" xfId="1100"/>
    <cellStyle name="TotRow 4 4" xfId="1099"/>
    <cellStyle name="TotRow 4 4 2" xfId="1098"/>
    <cellStyle name="TotRow 4 4 3" xfId="1097"/>
    <cellStyle name="TotRow 4 4 4" xfId="1096"/>
    <cellStyle name="TotRow 4 4 5" xfId="1095"/>
    <cellStyle name="TotRow 4 5" xfId="1094"/>
    <cellStyle name="TotRow 4 5 2" xfId="1093"/>
    <cellStyle name="TotRow 4 5 3" xfId="1092"/>
    <cellStyle name="TotRow 4 5 4" xfId="1091"/>
    <cellStyle name="TotRow 4 5 5" xfId="1090"/>
    <cellStyle name="TotRow 4 6" xfId="1089"/>
    <cellStyle name="TotRow 4 6 2" xfId="1088"/>
    <cellStyle name="TotRow 4 6 3" xfId="1087"/>
    <cellStyle name="TotRow 4 6 4" xfId="1086"/>
    <cellStyle name="TotRow 4 6 5" xfId="1085"/>
    <cellStyle name="TotRow 4 7" xfId="1084"/>
    <cellStyle name="TotRow 4 7 2" xfId="1083"/>
    <cellStyle name="TotRow 4 7 3" xfId="1082"/>
    <cellStyle name="TotRow 4 7 4" xfId="1081"/>
    <cellStyle name="TotRow 4 7 5" xfId="1080"/>
    <cellStyle name="TotRow 4 8" xfId="1079"/>
    <cellStyle name="TotRow 4 8 2" xfId="1078"/>
    <cellStyle name="TotRow 4 8 3" xfId="1077"/>
    <cellStyle name="TotRow 4 8 4" xfId="1076"/>
    <cellStyle name="TotRow 4 8 5" xfId="1075"/>
    <cellStyle name="TotRow 4 9" xfId="1074"/>
    <cellStyle name="TotRow 5" xfId="1073"/>
    <cellStyle name="TotRow 5 2" xfId="1072"/>
    <cellStyle name="TotRow 5 3" xfId="1071"/>
    <cellStyle name="TotRow 5 4" xfId="1070"/>
    <cellStyle name="TotRow 5 5" xfId="1069"/>
    <cellStyle name="TotRow 6" xfId="1068"/>
    <cellStyle name="TotRow 6 2" xfId="1067"/>
    <cellStyle name="TotRow 6 3" xfId="1066"/>
    <cellStyle name="TotRow 6 4" xfId="1065"/>
    <cellStyle name="TotRow 6 5" xfId="1064"/>
    <cellStyle name="TotRow 7" xfId="1063"/>
    <cellStyle name="TotRow 7 2" xfId="1062"/>
    <cellStyle name="TotRow 7 3" xfId="1061"/>
    <cellStyle name="TotRow 7 4" xfId="1060"/>
    <cellStyle name="TotRow 7 5" xfId="1059"/>
    <cellStyle name="TotRow 8" xfId="1058"/>
    <cellStyle name="TotRow 8 2" xfId="1057"/>
    <cellStyle name="TotRow 8 3" xfId="1056"/>
    <cellStyle name="TotRow 8 4" xfId="1055"/>
    <cellStyle name="TotRow 8 5" xfId="1054"/>
    <cellStyle name="TotRow 9" xfId="1053"/>
    <cellStyle name="TotRow 9 2" xfId="1052"/>
    <cellStyle name="TotRow 9 3" xfId="1051"/>
    <cellStyle name="TotRow 9 4" xfId="1050"/>
    <cellStyle name="TotRow 9 5" xfId="1049"/>
    <cellStyle name="ttt" xfId="1048"/>
    <cellStyle name="ttt 2" xfId="1047"/>
    <cellStyle name="ttt 3" xfId="1046"/>
    <cellStyle name="ttt 4" xfId="1045"/>
    <cellStyle name="ttt 5" xfId="1044"/>
    <cellStyle name="Tusenskille [0]_Ark1" xfId="1043"/>
    <cellStyle name="Tusenskille_Ark1" xfId="1042"/>
    <cellStyle name="Tusental (0)_pldt" xfId="1041"/>
    <cellStyle name="Tusental_NPV" xfId="1040"/>
    <cellStyle name="Uang Muka" xfId="1039"/>
    <cellStyle name="Uang Muka 2" xfId="1038"/>
    <cellStyle name="Uang Muka 3" xfId="1037"/>
    <cellStyle name="Undefined" xfId="1036"/>
    <cellStyle name="uni" xfId="1035"/>
    <cellStyle name="Unit" xfId="1034"/>
    <cellStyle name="Unit 2" xfId="1033"/>
    <cellStyle name="Unit 3" xfId="1032"/>
    <cellStyle name="User_Defined_A" xfId="1031"/>
    <cellStyle name="V" xfId="1030"/>
    <cellStyle name="V 2" xfId="1029"/>
    <cellStyle name="V 3" xfId="1028"/>
    <cellStyle name="V 4" xfId="1027"/>
    <cellStyle name="V 5" xfId="1026"/>
    <cellStyle name="Valuta (0)_PDTUBI98" xfId="1025"/>
    <cellStyle name="Valuta [0]_Ark1" xfId="1024"/>
    <cellStyle name="Valuta_Ark1" xfId="1023"/>
    <cellStyle name="Verrouillé" xfId="1022"/>
    <cellStyle name="viet" xfId="1021"/>
    <cellStyle name="viet 2" xfId="1020"/>
    <cellStyle name="viet2" xfId="1019"/>
    <cellStyle name="viet2 10" xfId="1018"/>
    <cellStyle name="viet2 10 2" xfId="1017"/>
    <cellStyle name="viet2 10 3" xfId="1016"/>
    <cellStyle name="viet2 10 4" xfId="1015"/>
    <cellStyle name="viet2 11" xfId="1014"/>
    <cellStyle name="viet2 11 2" xfId="1013"/>
    <cellStyle name="viet2 11 3" xfId="1012"/>
    <cellStyle name="viet2 11 4" xfId="1011"/>
    <cellStyle name="viet2 12" xfId="1010"/>
    <cellStyle name="viet2 12 2" xfId="1009"/>
    <cellStyle name="viet2 12 3" xfId="1008"/>
    <cellStyle name="viet2 12 4" xfId="1007"/>
    <cellStyle name="viet2 12 5" xfId="1006"/>
    <cellStyle name="viet2 13" xfId="1005"/>
    <cellStyle name="viet2 14" xfId="1004"/>
    <cellStyle name="viet2 15" xfId="1003"/>
    <cellStyle name="viet2 2" xfId="1002"/>
    <cellStyle name="viet2 2 10" xfId="1001"/>
    <cellStyle name="viet2 2 10 2" xfId="1000"/>
    <cellStyle name="viet2 2 10 3" xfId="999"/>
    <cellStyle name="viet2 2 10 4" xfId="998"/>
    <cellStyle name="viet2 2 10 5" xfId="997"/>
    <cellStyle name="viet2 2 11" xfId="996"/>
    <cellStyle name="viet2 2 12" xfId="995"/>
    <cellStyle name="viet2 2 13" xfId="994"/>
    <cellStyle name="viet2 2 14" xfId="993"/>
    <cellStyle name="viet2 2 2" xfId="992"/>
    <cellStyle name="viet2 2 2 10" xfId="991"/>
    <cellStyle name="viet2 2 2 11" xfId="990"/>
    <cellStyle name="viet2 2 2 12" xfId="989"/>
    <cellStyle name="viet2 2 2 2" xfId="988"/>
    <cellStyle name="viet2 2 2 2 2" xfId="987"/>
    <cellStyle name="viet2 2 2 2 3" xfId="986"/>
    <cellStyle name="viet2 2 2 2 4" xfId="985"/>
    <cellStyle name="viet2 2 2 2 5" xfId="984"/>
    <cellStyle name="viet2 2 2 3" xfId="983"/>
    <cellStyle name="viet2 2 2 3 2" xfId="982"/>
    <cellStyle name="viet2 2 2 3 3" xfId="981"/>
    <cellStyle name="viet2 2 2 3 4" xfId="980"/>
    <cellStyle name="viet2 2 2 3 5" xfId="979"/>
    <cellStyle name="viet2 2 2 4" xfId="978"/>
    <cellStyle name="viet2 2 2 4 2" xfId="977"/>
    <cellStyle name="viet2 2 2 4 3" xfId="976"/>
    <cellStyle name="viet2 2 2 4 4" xfId="975"/>
    <cellStyle name="viet2 2 2 4 5" xfId="974"/>
    <cellStyle name="viet2 2 2 5" xfId="973"/>
    <cellStyle name="viet2 2 2 5 2" xfId="972"/>
    <cellStyle name="viet2 2 2 5 3" xfId="971"/>
    <cellStyle name="viet2 2 2 5 4" xfId="970"/>
    <cellStyle name="viet2 2 2 5 5" xfId="969"/>
    <cellStyle name="viet2 2 2 6" xfId="968"/>
    <cellStyle name="viet2 2 2 6 2" xfId="967"/>
    <cellStyle name="viet2 2 2 6 3" xfId="966"/>
    <cellStyle name="viet2 2 2 6 4" xfId="965"/>
    <cellStyle name="viet2 2 2 6 5" xfId="964"/>
    <cellStyle name="viet2 2 2 7" xfId="963"/>
    <cellStyle name="viet2 2 2 7 2" xfId="962"/>
    <cellStyle name="viet2 2 2 7 3" xfId="961"/>
    <cellStyle name="viet2 2 2 7 4" xfId="960"/>
    <cellStyle name="viet2 2 2 7 5" xfId="959"/>
    <cellStyle name="viet2 2 2 8" xfId="958"/>
    <cellStyle name="viet2 2 2 8 2" xfId="957"/>
    <cellStyle name="viet2 2 2 8 3" xfId="956"/>
    <cellStyle name="viet2 2 2 8 4" xfId="955"/>
    <cellStyle name="viet2 2 2 8 5" xfId="954"/>
    <cellStyle name="viet2 2 2 9" xfId="953"/>
    <cellStyle name="viet2 2 3" xfId="952"/>
    <cellStyle name="viet2 2 3 2" xfId="951"/>
    <cellStyle name="viet2 2 3 3" xfId="950"/>
    <cellStyle name="viet2 2 3 4" xfId="949"/>
    <cellStyle name="viet2 2 3 5" xfId="948"/>
    <cellStyle name="viet2 2 4" xfId="947"/>
    <cellStyle name="viet2 2 4 2" xfId="946"/>
    <cellStyle name="viet2 2 4 3" xfId="945"/>
    <cellStyle name="viet2 2 4 4" xfId="944"/>
    <cellStyle name="viet2 2 4 5" xfId="943"/>
    <cellStyle name="viet2 2 5" xfId="942"/>
    <cellStyle name="viet2 2 5 2" xfId="941"/>
    <cellStyle name="viet2 2 5 3" xfId="940"/>
    <cellStyle name="viet2 2 5 4" xfId="939"/>
    <cellStyle name="viet2 2 5 5" xfId="938"/>
    <cellStyle name="viet2 2 6" xfId="937"/>
    <cellStyle name="viet2 2 6 2" xfId="936"/>
    <cellStyle name="viet2 2 6 3" xfId="935"/>
    <cellStyle name="viet2 2 6 4" xfId="934"/>
    <cellStyle name="viet2 2 6 5" xfId="933"/>
    <cellStyle name="viet2 2 7" xfId="932"/>
    <cellStyle name="viet2 2 7 2" xfId="931"/>
    <cellStyle name="viet2 2 7 3" xfId="930"/>
    <cellStyle name="viet2 2 7 4" xfId="929"/>
    <cellStyle name="viet2 2 7 5" xfId="928"/>
    <cellStyle name="viet2 2 8" xfId="927"/>
    <cellStyle name="viet2 2 8 2" xfId="926"/>
    <cellStyle name="viet2 2 8 3" xfId="925"/>
    <cellStyle name="viet2 2 8 4" xfId="924"/>
    <cellStyle name="viet2 2 8 5" xfId="923"/>
    <cellStyle name="viet2 2 9" xfId="922"/>
    <cellStyle name="viet2 2 9 2" xfId="921"/>
    <cellStyle name="viet2 2 9 3" xfId="920"/>
    <cellStyle name="viet2 2 9 4" xfId="919"/>
    <cellStyle name="viet2 2 9 5" xfId="918"/>
    <cellStyle name="viet2 3" xfId="917"/>
    <cellStyle name="viet2 3 10" xfId="916"/>
    <cellStyle name="viet2 3 10 2" xfId="915"/>
    <cellStyle name="viet2 3 10 3" xfId="914"/>
    <cellStyle name="viet2 3 10 4" xfId="913"/>
    <cellStyle name="viet2 3 10 5" xfId="912"/>
    <cellStyle name="viet2 3 11" xfId="911"/>
    <cellStyle name="viet2 3 12" xfId="910"/>
    <cellStyle name="viet2 3 13" xfId="909"/>
    <cellStyle name="viet2 3 14" xfId="908"/>
    <cellStyle name="viet2 3 2" xfId="907"/>
    <cellStyle name="viet2 3 2 10" xfId="906"/>
    <cellStyle name="viet2 3 2 11" xfId="905"/>
    <cellStyle name="viet2 3 2 12" xfId="904"/>
    <cellStyle name="viet2 3 2 2" xfId="903"/>
    <cellStyle name="viet2 3 2 2 2" xfId="902"/>
    <cellStyle name="viet2 3 2 2 3" xfId="901"/>
    <cellStyle name="viet2 3 2 2 4" xfId="900"/>
    <cellStyle name="viet2 3 2 2 5" xfId="899"/>
    <cellStyle name="viet2 3 2 3" xfId="898"/>
    <cellStyle name="viet2 3 2 3 2" xfId="897"/>
    <cellStyle name="viet2 3 2 3 3" xfId="896"/>
    <cellStyle name="viet2 3 2 3 4" xfId="895"/>
    <cellStyle name="viet2 3 2 3 5" xfId="894"/>
    <cellStyle name="viet2 3 2 4" xfId="893"/>
    <cellStyle name="viet2 3 2 4 2" xfId="892"/>
    <cellStyle name="viet2 3 2 4 3" xfId="891"/>
    <cellStyle name="viet2 3 2 4 4" xfId="890"/>
    <cellStyle name="viet2 3 2 4 5" xfId="889"/>
    <cellStyle name="viet2 3 2 5" xfId="888"/>
    <cellStyle name="viet2 3 2 5 2" xfId="887"/>
    <cellStyle name="viet2 3 2 5 3" xfId="886"/>
    <cellStyle name="viet2 3 2 5 4" xfId="885"/>
    <cellStyle name="viet2 3 2 5 5" xfId="884"/>
    <cellStyle name="viet2 3 2 6" xfId="883"/>
    <cellStyle name="viet2 3 2 6 2" xfId="882"/>
    <cellStyle name="viet2 3 2 6 3" xfId="881"/>
    <cellStyle name="viet2 3 2 6 4" xfId="880"/>
    <cellStyle name="viet2 3 2 6 5" xfId="879"/>
    <cellStyle name="viet2 3 2 7" xfId="878"/>
    <cellStyle name="viet2 3 2 7 2" xfId="877"/>
    <cellStyle name="viet2 3 2 7 3" xfId="876"/>
    <cellStyle name="viet2 3 2 7 4" xfId="875"/>
    <cellStyle name="viet2 3 2 7 5" xfId="874"/>
    <cellStyle name="viet2 3 2 8" xfId="873"/>
    <cellStyle name="viet2 3 2 8 2" xfId="872"/>
    <cellStyle name="viet2 3 2 8 3" xfId="871"/>
    <cellStyle name="viet2 3 2 8 4" xfId="870"/>
    <cellStyle name="viet2 3 2 8 5" xfId="869"/>
    <cellStyle name="viet2 3 2 9" xfId="868"/>
    <cellStyle name="viet2 3 3" xfId="867"/>
    <cellStyle name="viet2 3 3 2" xfId="866"/>
    <cellStyle name="viet2 3 3 3" xfId="865"/>
    <cellStyle name="viet2 3 3 4" xfId="864"/>
    <cellStyle name="viet2 3 3 5" xfId="863"/>
    <cellStyle name="viet2 3 4" xfId="862"/>
    <cellStyle name="viet2 3 4 2" xfId="861"/>
    <cellStyle name="viet2 3 4 3" xfId="860"/>
    <cellStyle name="viet2 3 4 4" xfId="859"/>
    <cellStyle name="viet2 3 4 5" xfId="858"/>
    <cellStyle name="viet2 3 5" xfId="857"/>
    <cellStyle name="viet2 3 5 2" xfId="856"/>
    <cellStyle name="viet2 3 5 3" xfId="855"/>
    <cellStyle name="viet2 3 5 4" xfId="854"/>
    <cellStyle name="viet2 3 5 5" xfId="853"/>
    <cellStyle name="viet2 3 6" xfId="852"/>
    <cellStyle name="viet2 3 6 2" xfId="851"/>
    <cellStyle name="viet2 3 6 3" xfId="850"/>
    <cellStyle name="viet2 3 6 4" xfId="849"/>
    <cellStyle name="viet2 3 6 5" xfId="848"/>
    <cellStyle name="viet2 3 7" xfId="847"/>
    <cellStyle name="viet2 3 7 2" xfId="846"/>
    <cellStyle name="viet2 3 7 3" xfId="845"/>
    <cellStyle name="viet2 3 7 4" xfId="844"/>
    <cellStyle name="viet2 3 7 5" xfId="843"/>
    <cellStyle name="viet2 3 8" xfId="842"/>
    <cellStyle name="viet2 3 8 2" xfId="841"/>
    <cellStyle name="viet2 3 8 3" xfId="840"/>
    <cellStyle name="viet2 3 8 4" xfId="839"/>
    <cellStyle name="viet2 3 8 5" xfId="838"/>
    <cellStyle name="viet2 3 9" xfId="837"/>
    <cellStyle name="viet2 3 9 2" xfId="836"/>
    <cellStyle name="viet2 3 9 3" xfId="835"/>
    <cellStyle name="viet2 3 9 4" xfId="834"/>
    <cellStyle name="viet2 3 9 5" xfId="833"/>
    <cellStyle name="viet2 4" xfId="832"/>
    <cellStyle name="viet2 4 10" xfId="831"/>
    <cellStyle name="viet2 4 11" xfId="830"/>
    <cellStyle name="viet2 4 12" xfId="829"/>
    <cellStyle name="viet2 4 2" xfId="828"/>
    <cellStyle name="viet2 4 2 2" xfId="827"/>
    <cellStyle name="viet2 4 2 3" xfId="826"/>
    <cellStyle name="viet2 4 2 4" xfId="825"/>
    <cellStyle name="viet2 4 2 5" xfId="824"/>
    <cellStyle name="viet2 4 3" xfId="823"/>
    <cellStyle name="viet2 4 3 2" xfId="822"/>
    <cellStyle name="viet2 4 3 3" xfId="821"/>
    <cellStyle name="viet2 4 3 4" xfId="820"/>
    <cellStyle name="viet2 4 3 5" xfId="819"/>
    <cellStyle name="viet2 4 4" xfId="818"/>
    <cellStyle name="viet2 4 4 2" xfId="817"/>
    <cellStyle name="viet2 4 4 3" xfId="816"/>
    <cellStyle name="viet2 4 4 4" xfId="815"/>
    <cellStyle name="viet2 4 4 5" xfId="814"/>
    <cellStyle name="viet2 4 5" xfId="813"/>
    <cellStyle name="viet2 4 5 2" xfId="812"/>
    <cellStyle name="viet2 4 5 3" xfId="811"/>
    <cellStyle name="viet2 4 5 4" xfId="810"/>
    <cellStyle name="viet2 4 5 5" xfId="809"/>
    <cellStyle name="viet2 4 6" xfId="808"/>
    <cellStyle name="viet2 4 6 2" xfId="807"/>
    <cellStyle name="viet2 4 6 3" xfId="806"/>
    <cellStyle name="viet2 4 6 4" xfId="805"/>
    <cellStyle name="viet2 4 6 5" xfId="804"/>
    <cellStyle name="viet2 4 7" xfId="803"/>
    <cellStyle name="viet2 4 7 2" xfId="802"/>
    <cellStyle name="viet2 4 7 3" xfId="801"/>
    <cellStyle name="viet2 4 7 4" xfId="800"/>
    <cellStyle name="viet2 4 7 5" xfId="799"/>
    <cellStyle name="viet2 4 8" xfId="798"/>
    <cellStyle name="viet2 4 8 2" xfId="797"/>
    <cellStyle name="viet2 4 8 3" xfId="796"/>
    <cellStyle name="viet2 4 8 4" xfId="795"/>
    <cellStyle name="viet2 4 8 5" xfId="794"/>
    <cellStyle name="viet2 4 9" xfId="793"/>
    <cellStyle name="viet2 5" xfId="792"/>
    <cellStyle name="viet2 5 2" xfId="791"/>
    <cellStyle name="viet2 5 3" xfId="790"/>
    <cellStyle name="viet2 5 4" xfId="789"/>
    <cellStyle name="viet2 6" xfId="788"/>
    <cellStyle name="viet2 6 2" xfId="787"/>
    <cellStyle name="viet2 6 3" xfId="786"/>
    <cellStyle name="viet2 6 4" xfId="785"/>
    <cellStyle name="viet2 7" xfId="784"/>
    <cellStyle name="viet2 7 2" xfId="783"/>
    <cellStyle name="viet2 7 3" xfId="782"/>
    <cellStyle name="viet2 7 4" xfId="781"/>
    <cellStyle name="viet2 8" xfId="780"/>
    <cellStyle name="viet2 8 2" xfId="779"/>
    <cellStyle name="viet2 8 3" xfId="778"/>
    <cellStyle name="viet2 8 4" xfId="777"/>
    <cellStyle name="viet2 9" xfId="776"/>
    <cellStyle name="viet2 9 2" xfId="775"/>
    <cellStyle name="viet2 9 3" xfId="774"/>
    <cellStyle name="viet2 9 4" xfId="773"/>
    <cellStyle name="W?rung [0]_KHI_KAB1" xfId="772"/>
    <cellStyle name="W?rung_KHI_KAB1" xfId="771"/>
    <cellStyle name="Währung [0]_35ERI8T2gbIEMixb4v26icuOo" xfId="770"/>
    <cellStyle name="Währung_0.055_KALK_20.07.00" xfId="769"/>
    <cellStyle name="Warning Text 2" xfId="768"/>
    <cellStyle name="Warning Text 2 2" xfId="767"/>
    <cellStyle name="Warning Text 3" xfId="766"/>
    <cellStyle name="Warning Text 3 2" xfId="765"/>
    <cellStyle name="Warning Text 4" xfId="764"/>
    <cellStyle name="Warning Text 4 2" xfId="763"/>
    <cellStyle name="Warning Text 5" xfId="762"/>
    <cellStyle name="Warning Text 5 2" xfId="761"/>
    <cellStyle name="Warning Text 6" xfId="760"/>
    <cellStyle name="Warning Text 6 2" xfId="759"/>
    <cellStyle name="Warning Text 7" xfId="758"/>
    <cellStyle name="Warning Text 7 2" xfId="757"/>
    <cellStyle name="Warning Text 8" xfId="756"/>
    <cellStyle name="Warning Text 8 2" xfId="755"/>
    <cellStyle name="Warning Text 9" xfId="754"/>
    <cellStyle name="WHead - Style2" xfId="753"/>
    <cellStyle name="WHead - Style2 2" xfId="752"/>
    <cellStyle name="WHead - Style2 2 2" xfId="751"/>
    <cellStyle name="WHead - Style2 3" xfId="750"/>
    <cellStyle name="WHead - Style2 3 2" xfId="749"/>
    <cellStyle name="WHead - Style2 4" xfId="748"/>
    <cellStyle name="White" xfId="747"/>
    <cellStyle name="wrap" xfId="746"/>
    <cellStyle name="xuan" xfId="745"/>
    <cellStyle name="ƸōዊbǜōዚbǸōዪbɄōዺb쉀ōጊb쉬ōጚb슔ōጪb싀ōጺb쌐ōፊbɤōፚbʀō፪bʘō፺bʼōᎊb˜ō᎚b쌼ōᎪb쎄ōᎺb쎨ōᏊb쏄ōᏚb쏜ōᏪb̀ōᏺb̤ōᐊb͔ōᐚb΀ōᐪbΰōᐺb쏸ō" xfId="744"/>
    <cellStyle name="Βασικό_GT1-KOMOTINI" xfId="743"/>
    <cellStyle name="μU¿¡ ¿A´A CIAIÆU¸μAⓒ" xfId="742"/>
    <cellStyle name="ｳfｹBQSUM" xfId="741"/>
    <cellStyle name="ｳfｹBQSUM 2" xfId="740"/>
    <cellStyle name="ｳfｹBQSUM(D)" xfId="739"/>
    <cellStyle name="ｳfｹBQSUM(D) 2" xfId="738"/>
    <cellStyle name="ｳfｹBQSUM_BQ ROHM-Genset (rev.1)" xfId="737"/>
    <cellStyle name="ハイパーリンク" xfId="736"/>
    <cellStyle name="ハイパーリンク 2" xfId="735"/>
    <cellStyle name="්b뉜ōේb뉼ō෪b늠ō෺b부ōชb붘ōบb붴ōสb뷄ōฺb뷘ō๊b닄ō๚b닜ō๪b닰ō๺b댜ōຊb댸ōບb뷬ōສb븄ō຺b블ō໊b븨ō໚b븼ō໪b덐ō໺" xfId="734"/>
    <cellStyle name="เครื่องหมายจุลภาค [0]_Boiler_5 Power Plant2" xfId="733"/>
    <cellStyle name="เครื่องหมายจุลภาค_Boiler_5 Power Plant2" xfId="732"/>
    <cellStyle name="เครื่องหมายสกุลเงิน [0]_APP 2 - SEC 2 - LPG Mech" xfId="731"/>
    <cellStyle name="เครื่องหมายสกุลเงิน_APP 2 - SEC 2 - LPG Mech" xfId="730"/>
    <cellStyle name="ปกติ_500 kV Clamp Schedule" xfId="729"/>
    <cellStyle name="ᒊbЄōᒚbЬōᒪbјōᒺbҤōᓊbӐōᓚb쒤ōᓪb쓄ōᓺb쓠ōᔊb씈ōᔚb씬ōᔪbӰōᔺbԈōᕊbԤōᕚbՀōᕪb՜ōᕺb앐ōᖊb앴ōᖚb얐ōᖪb얼ōᖺ" xfId="728"/>
    <cellStyle name="ᒺbҤōᓊbӐōᓚb쒤ōᓪb쓄ōᓺb쓠ōᔊb씈ōᔚb씬ōᔪbӰōᔺbԈōᕊbԤōᕚbՀōᕪb՜ōᕺb앐ōᖊb앴ōᖚb얐ōᖪb얼ōᖺb엤ōᗊbոōᗚb֐ōᗪ" xfId="727"/>
    <cellStyle name="Ꮺb̀ōᏺb̤ōᐊb͔ōᐚb΀ōᐪbΰōᐺb쏸ōᑊb쐨ōᑚb쑀ōᑪb쑜ōᑺb쑸ōᒊbЄōᒚbЬōᒪbјōᒺbҤōᓊbӐōᓚb쒤ōᓪb쓄ōᓺb쓠ōᔊb씈ōᔚ" xfId="726"/>
    <cellStyle name="ሚbôōሪbŀōሺbŨōቊbƀōቚb솴ōቪb쇌ōቺb쇬ōኊb숄ōኚb술ōኪbƜōኺbƸōዊbǜōዚbǸōዪbɄōዺb쉀ōጊb쉬ōጚb슔ōጪb싀ōጺb쌐ōፊ" xfId="725"/>
    <cellStyle name="ꯠōකb갈ōඪb눠ōයb눸ō්b뉜ōේb뉼ō෪b늠ō෺b부ōชb붘ōบb붴ōสb뷄ōฺb뷘ō๊b닄ō๚b닜ō๪b닰ō๺b댜ōຊb댸ōບb뷬ōສb븄ō຺b블ō໊b븨ō໚b븼ō໪b덐ō໺b덠ō༊b델ō" xfId="724"/>
    <cellStyle name=" [0.00]_ Att. 1- Cover" xfId="723"/>
    <cellStyle name="_ Att. 1- Cover" xfId="722"/>
    <cellStyle name="?_ Att. 1- Cover" xfId="721"/>
    <cellStyle name="강조색1" xfId="720"/>
    <cellStyle name="강조색2" xfId="719"/>
    <cellStyle name="강조색3" xfId="718"/>
    <cellStyle name="강조색4" xfId="717"/>
    <cellStyle name="강조색5" xfId="716"/>
    <cellStyle name="강조색6" xfId="715"/>
    <cellStyle name="경고문" xfId="714"/>
    <cellStyle name="계산" xfId="713"/>
    <cellStyle name="계산 10" xfId="712"/>
    <cellStyle name="계산 10 2" xfId="711"/>
    <cellStyle name="계산 11" xfId="710"/>
    <cellStyle name="계산 12" xfId="709"/>
    <cellStyle name="계산 13" xfId="708"/>
    <cellStyle name="계산 14" xfId="707"/>
    <cellStyle name="계산 15" xfId="706"/>
    <cellStyle name="계산 16" xfId="705"/>
    <cellStyle name="계산 17" xfId="704"/>
    <cellStyle name="계산 2" xfId="703"/>
    <cellStyle name="계산 2 2" xfId="702"/>
    <cellStyle name="계산 2 2 2" xfId="701"/>
    <cellStyle name="계산 2 2 2 2" xfId="700"/>
    <cellStyle name="계산 2 2 3" xfId="699"/>
    <cellStyle name="계산 2 3" xfId="698"/>
    <cellStyle name="계산 2 3 2" xfId="697"/>
    <cellStyle name="계산 2 4" xfId="696"/>
    <cellStyle name="계산 3" xfId="695"/>
    <cellStyle name="계산 3 2" xfId="694"/>
    <cellStyle name="계산 3 2 2" xfId="693"/>
    <cellStyle name="계산 3 2 2 2" xfId="692"/>
    <cellStyle name="계산 3 2 3" xfId="691"/>
    <cellStyle name="계산 3 3" xfId="690"/>
    <cellStyle name="계산 3 3 2" xfId="689"/>
    <cellStyle name="계산 3 4" xfId="688"/>
    <cellStyle name="계산 4" xfId="687"/>
    <cellStyle name="계산 4 2" xfId="686"/>
    <cellStyle name="계산 4 2 2" xfId="685"/>
    <cellStyle name="계산 4 2 2 2" xfId="684"/>
    <cellStyle name="계산 4 2 3" xfId="683"/>
    <cellStyle name="계산 4 3" xfId="682"/>
    <cellStyle name="계산 4 3 2" xfId="681"/>
    <cellStyle name="계산 4 4" xfId="680"/>
    <cellStyle name="계산 5" xfId="679"/>
    <cellStyle name="계산 5 2" xfId="678"/>
    <cellStyle name="계산 5 2 2" xfId="677"/>
    <cellStyle name="계산 5 2 2 2" xfId="676"/>
    <cellStyle name="계산 5 2 3" xfId="675"/>
    <cellStyle name="계산 5 3" xfId="674"/>
    <cellStyle name="계산 5 3 2" xfId="673"/>
    <cellStyle name="계산 5 4" xfId="672"/>
    <cellStyle name="계산 6" xfId="671"/>
    <cellStyle name="계산 6 2" xfId="670"/>
    <cellStyle name="계산 6 2 2" xfId="669"/>
    <cellStyle name="계산 6 2 2 2" xfId="668"/>
    <cellStyle name="계산 6 2 3" xfId="667"/>
    <cellStyle name="계산 6 3" xfId="666"/>
    <cellStyle name="계산 6 3 2" xfId="665"/>
    <cellStyle name="계산 6 4" xfId="664"/>
    <cellStyle name="계산 7" xfId="663"/>
    <cellStyle name="계산 7 2" xfId="662"/>
    <cellStyle name="계산 7 2 2" xfId="661"/>
    <cellStyle name="계산 7 2 2 2" xfId="660"/>
    <cellStyle name="계산 7 2 3" xfId="659"/>
    <cellStyle name="계산 7 3" xfId="658"/>
    <cellStyle name="계산 7 3 2" xfId="657"/>
    <cellStyle name="계산 7 4" xfId="656"/>
    <cellStyle name="계산 8" xfId="655"/>
    <cellStyle name="계산 8 2" xfId="654"/>
    <cellStyle name="계산 8 2 2" xfId="653"/>
    <cellStyle name="계산 8 2 2 2" xfId="652"/>
    <cellStyle name="계산 8 2 3" xfId="651"/>
    <cellStyle name="계산 8 3" xfId="650"/>
    <cellStyle name="계산 8 3 2" xfId="649"/>
    <cellStyle name="계산 8 4" xfId="648"/>
    <cellStyle name="계산 9" xfId="647"/>
    <cellStyle name="계산 9 2" xfId="646"/>
    <cellStyle name="계산 9 2 2" xfId="645"/>
    <cellStyle name="계산 9 3" xfId="644"/>
    <cellStyle name="고정소숫점" xfId="643"/>
    <cellStyle name="고정출력1" xfId="642"/>
    <cellStyle name="고정출력2" xfId="641"/>
    <cellStyle name="끽방_inquiry_bq_hvac" xfId="640"/>
    <cellStyle name="나쁨" xfId="639"/>
    <cellStyle name="날짜" xfId="638"/>
    <cellStyle name="달러" xfId="637"/>
    <cellStyle name="델ō༚b뎔ō༪b뎬ō༺b빘ōཊb빰ōཚb뺌ōཪb뻘ōེb뻴ōྊb돌ōྚb돴ōྪb된ōྺb됸ō࿊b둔ō࿚b뼘ō࿪b뼸ō࿺b뽨ōညb뾔ōယb뿄ōဪb뒜ō်b뒸ō၊b듌ōၚb들ōၪb듸ōၺb뿴ōႊb쀐ō" xfId="636"/>
    <cellStyle name="둔ō࿚b뼘ō࿪b뼸ō࿺b뽨ōညb뾔ōယb뿄ōဪb뒜ō်b뒸ō၊b듌ōၚb들ōၪb듸ōၺb뿴ōႊb쀐ōႚb쀬ōႪb쁴ōႺb삐ō჊b딐ōლb따ōცb땔ōჺb땬ōᄊb떀ōᄚb산ōᄪb새ōᄺb샘ōᅋb샬ō" xfId="635"/>
    <cellStyle name="뒤에 오는 하이퍼링크" xfId="634"/>
    <cellStyle name="뒸ō၊b듌ōၚb들ōၪb듸ōၺb뿴ōႊb쀐ōႚb쀬ōႪb쁴ōႺb삐ō჊b딐ōლb따ōცb땔ōჺb땬ōᄊb떀ōᄚb산ōᄪb새ōᄺb샘ōᅋb샬ōᅛb샴ōᅪb_x000c_ōᅺb0ōᆊbXōᆚbōᆪb¨ōᆺb섄ō" xfId="633"/>
    <cellStyle name="딐ōლb따ōცb땔ōჺb땬ōᄊb떀ōᄚb산ōᄪb새ōᄺb샘ōᅋb샬ōᅛb샴ōᅪb_x000c_ōᅺb0ōᆊbXōᆚbōᆪb¨ōᆺb섄ōᇊb섰ōᇚb셌ōᇪb셨ōᇺb손ōሊbÌōሚbôōሪbŀōሺbŨōቊbƀō" xfId="632"/>
    <cellStyle name="똿뗦먛귟 [0.00]_ACT LIST" xfId="631"/>
    <cellStyle name="똿뗦먛귟_ACT LIST" xfId="630"/>
    <cellStyle name="메모" xfId="629"/>
    <cellStyle name="메모 10" xfId="628"/>
    <cellStyle name="메모 10 2" xfId="627"/>
    <cellStyle name="메모 11" xfId="626"/>
    <cellStyle name="메모 12" xfId="625"/>
    <cellStyle name="메모 13" xfId="624"/>
    <cellStyle name="메모 14" xfId="623"/>
    <cellStyle name="메모 15" xfId="622"/>
    <cellStyle name="메모 16" xfId="621"/>
    <cellStyle name="메모 2" xfId="620"/>
    <cellStyle name="메모 2 2" xfId="619"/>
    <cellStyle name="메모 2 2 2" xfId="618"/>
    <cellStyle name="메모 2 2 2 2" xfId="617"/>
    <cellStyle name="메모 2 3" xfId="616"/>
    <cellStyle name="메모 2 3 2" xfId="615"/>
    <cellStyle name="메모 3" xfId="614"/>
    <cellStyle name="메모 3 2" xfId="613"/>
    <cellStyle name="메모 3 2 2" xfId="612"/>
    <cellStyle name="메모 3 2 2 2" xfId="611"/>
    <cellStyle name="메모 3 3" xfId="610"/>
    <cellStyle name="메모 3 3 2" xfId="609"/>
    <cellStyle name="메모 4" xfId="608"/>
    <cellStyle name="메모 4 2" xfId="607"/>
    <cellStyle name="메모 4 2 2" xfId="606"/>
    <cellStyle name="메모 4 2 2 2" xfId="605"/>
    <cellStyle name="메모 4 3" xfId="604"/>
    <cellStyle name="메모 4 3 2" xfId="603"/>
    <cellStyle name="메모 5" xfId="602"/>
    <cellStyle name="메모 5 2" xfId="601"/>
    <cellStyle name="메모 5 2 2" xfId="600"/>
    <cellStyle name="메모 5 2 2 2" xfId="599"/>
    <cellStyle name="메모 5 3" xfId="598"/>
    <cellStyle name="메모 5 3 2" xfId="597"/>
    <cellStyle name="메모 6" xfId="596"/>
    <cellStyle name="메모 6 2" xfId="595"/>
    <cellStyle name="메모 6 2 2" xfId="594"/>
    <cellStyle name="메모 6 2 2 2" xfId="593"/>
    <cellStyle name="메모 6 3" xfId="592"/>
    <cellStyle name="메모 6 3 2" xfId="591"/>
    <cellStyle name="메모 7" xfId="590"/>
    <cellStyle name="메모 7 2" xfId="589"/>
    <cellStyle name="메모 7 2 2" xfId="588"/>
    <cellStyle name="메모 7 2 2 2" xfId="587"/>
    <cellStyle name="메모 7 3" xfId="586"/>
    <cellStyle name="메모 7 3 2" xfId="585"/>
    <cellStyle name="메모 8" xfId="584"/>
    <cellStyle name="메모 8 2" xfId="583"/>
    <cellStyle name="메모 8 2 2" xfId="582"/>
    <cellStyle name="메모 8 2 2 2" xfId="581"/>
    <cellStyle name="메모 8 3" xfId="580"/>
    <cellStyle name="메모 8 3 2" xfId="579"/>
    <cellStyle name="메모 9" xfId="578"/>
    <cellStyle name="메모 9 2" xfId="577"/>
    <cellStyle name="메모 9 2 2" xfId="576"/>
    <cellStyle name="믅됞 [0.00]_ Att. 1- Cover" xfId="575"/>
    <cellStyle name="믅됞_ Att. 1- Cover" xfId="574"/>
    <cellStyle name="백분율 [0]" xfId="573"/>
    <cellStyle name="백분율_95" xfId="572"/>
    <cellStyle name="보통" xfId="571"/>
    <cellStyle name="붘ōบb붴ōสb뷄ōฺb뷘ō๊b닄ō๚b닜ō๪b닰ō๺b댜ōຊb댸ōບb뷬ōສb븄ō຺b블ō໊b븨ō໚b븼ō໪b덐ō໺b덠ō༊b델ō༚b뎔ō༪b뎬ō༺b빘ōཊb빰ōཚb뺌ōཪb뻘ōེb뻴ōྊb돌ō" xfId="570"/>
    <cellStyle name="뷭?" xfId="569"/>
    <cellStyle name="븨ō໚b븼ō໪b덐ō໺b덠ō༊b델ō༚b뎔ō༪b뎬ō༺b빘ōཊb빰ōཚb뺌ōཪb뻘ōེb뻴ōྊb돌ōྚb돴ōྪb된ōྺb됸ō࿊b둔ō࿚b뼘ō࿪b뼸ō࿺b뽨ōညb뾔ōယb뿄ōဪb뒜ō်b뒸ō၊b듌ō" xfId="568"/>
    <cellStyle name="뻴ōྊb돌ōྚb돴ōྪb된ōྺb됸ō࿊b둔ō࿚b뼘ō࿪b뼸ō࿺b뽨ōညb뾔ōယb뿄ōဪb뒜ō်b뒸ō၊b듌ōၚb들ōၪb듸ōၺb뿴ōႊb쀐ōႚb쀬ōႪb쁴ōႺb삐ō჊b딐ōლb따ōცb땔ōჺb땬ō" xfId="567"/>
    <cellStyle name="설명 텍스트" xfId="566"/>
    <cellStyle name="셀 확인" xfId="565"/>
    <cellStyle name="셀 확인 2" xfId="564"/>
    <cellStyle name="셀 확인 2 2" xfId="563"/>
    <cellStyle name="셀 확인 2 2 2" xfId="562"/>
    <cellStyle name="셀 확인 3" xfId="561"/>
    <cellStyle name="셀 확인 3 2" xfId="560"/>
    <cellStyle name="셀 확인 3 2 2" xfId="559"/>
    <cellStyle name="셀 확인 4" xfId="558"/>
    <cellStyle name="셀 확인 4 2" xfId="557"/>
    <cellStyle name="셀 확인 4 2 2" xfId="556"/>
    <cellStyle name="셀 확인 5" xfId="555"/>
    <cellStyle name="셀 확인 5 2" xfId="554"/>
    <cellStyle name="셀 확인 5 2 2" xfId="553"/>
    <cellStyle name="셀 확인 6" xfId="552"/>
    <cellStyle name="셀 확인 6 2" xfId="551"/>
    <cellStyle name="숫자(R)" xfId="550"/>
    <cellStyle name="쉼표 [0] 2" xfId="549"/>
    <cellStyle name="쉼표 [0] 3" xfId="548"/>
    <cellStyle name="쉼표 [0] 4" xfId="547"/>
    <cellStyle name="쉼표 [0] 4 2 2" xfId="546"/>
    <cellStyle name="쉼표 [0]_Analisa" xfId="545"/>
    <cellStyle name="쉼표 2" xfId="544"/>
    <cellStyle name="쉼표_comparison" xfId="543"/>
    <cellStyle name="스타일 1" xfId="542"/>
    <cellStyle name="안건회계법인" xfId="541"/>
    <cellStyle name="연결된 셀" xfId="540"/>
    <cellStyle name="연결된 셀 2" xfId="539"/>
    <cellStyle name="연결된 셀 2 2" xfId="538"/>
    <cellStyle name="연결된 셀 2 2 2" xfId="537"/>
    <cellStyle name="연결된 셀 2 3" xfId="536"/>
    <cellStyle name="연결된 셀 3" xfId="535"/>
    <cellStyle name="연결된 셀 3 2" xfId="534"/>
    <cellStyle name="연결된 셀 3 2 2" xfId="533"/>
    <cellStyle name="연결된 셀 3 3" xfId="532"/>
    <cellStyle name="연결된 셀 4" xfId="531"/>
    <cellStyle name="연결된 셀 4 2" xfId="530"/>
    <cellStyle name="연결된 셀 4 2 2" xfId="529"/>
    <cellStyle name="연결된 셀 4 3" xfId="528"/>
    <cellStyle name="연결된 셀 5" xfId="527"/>
    <cellStyle name="연결된 셀 5 2" xfId="526"/>
    <cellStyle name="연결된 셀 5 2 2" xfId="525"/>
    <cellStyle name="연결된 셀 5 3" xfId="524"/>
    <cellStyle name="연결된 셀 6" xfId="523"/>
    <cellStyle name="연결된 셀 6 2" xfId="522"/>
    <cellStyle name="연결된 셀 7" xfId="521"/>
    <cellStyle name="열어본 하이퍼링크" xfId="520"/>
    <cellStyle name="요약" xfId="519"/>
    <cellStyle name="요약 10" xfId="518"/>
    <cellStyle name="요약 10 2" xfId="517"/>
    <cellStyle name="요약 11" xfId="516"/>
    <cellStyle name="요약 12" xfId="515"/>
    <cellStyle name="요약 13" xfId="514"/>
    <cellStyle name="요약 14" xfId="513"/>
    <cellStyle name="요약 15" xfId="512"/>
    <cellStyle name="요약 16" xfId="511"/>
    <cellStyle name="요약 17" xfId="510"/>
    <cellStyle name="요약 2" xfId="509"/>
    <cellStyle name="요약 2 2" xfId="508"/>
    <cellStyle name="요약 2 2 2" xfId="507"/>
    <cellStyle name="요약 2 2 2 2" xfId="506"/>
    <cellStyle name="요약 2 2 3" xfId="505"/>
    <cellStyle name="요약 2 3" xfId="504"/>
    <cellStyle name="요약 2 3 2" xfId="503"/>
    <cellStyle name="요약 2 4" xfId="502"/>
    <cellStyle name="요약 3" xfId="501"/>
    <cellStyle name="요약 3 2" xfId="500"/>
    <cellStyle name="요약 3 2 2" xfId="499"/>
    <cellStyle name="요약 3 2 2 2" xfId="498"/>
    <cellStyle name="요약 3 2 3" xfId="497"/>
    <cellStyle name="요약 3 3" xfId="496"/>
    <cellStyle name="요약 3 3 2" xfId="495"/>
    <cellStyle name="요약 3 4" xfId="494"/>
    <cellStyle name="요약 4" xfId="493"/>
    <cellStyle name="요약 4 2" xfId="492"/>
    <cellStyle name="요약 4 2 2" xfId="491"/>
    <cellStyle name="요약 4 2 2 2" xfId="490"/>
    <cellStyle name="요약 4 2 3" xfId="489"/>
    <cellStyle name="요약 4 3" xfId="488"/>
    <cellStyle name="요약 4 3 2" xfId="487"/>
    <cellStyle name="요약 4 4" xfId="486"/>
    <cellStyle name="요약 5" xfId="485"/>
    <cellStyle name="요약 5 2" xfId="484"/>
    <cellStyle name="요약 5 2 2" xfId="483"/>
    <cellStyle name="요약 5 2 2 2" xfId="482"/>
    <cellStyle name="요약 5 2 3" xfId="481"/>
    <cellStyle name="요약 5 3" xfId="480"/>
    <cellStyle name="요약 5 3 2" xfId="479"/>
    <cellStyle name="요약 5 4" xfId="478"/>
    <cellStyle name="요약 6" xfId="477"/>
    <cellStyle name="요약 6 2" xfId="476"/>
    <cellStyle name="요약 6 2 2" xfId="475"/>
    <cellStyle name="요약 6 2 2 2" xfId="474"/>
    <cellStyle name="요약 6 2 3" xfId="473"/>
    <cellStyle name="요약 6 3" xfId="472"/>
    <cellStyle name="요약 6 3 2" xfId="471"/>
    <cellStyle name="요약 6 4" xfId="470"/>
    <cellStyle name="요약 7" xfId="469"/>
    <cellStyle name="요약 7 2" xfId="468"/>
    <cellStyle name="요약 7 2 2" xfId="467"/>
    <cellStyle name="요약 7 2 2 2" xfId="466"/>
    <cellStyle name="요약 7 2 3" xfId="465"/>
    <cellStyle name="요약 7 3" xfId="464"/>
    <cellStyle name="요약 7 3 2" xfId="463"/>
    <cellStyle name="요약 7 4" xfId="462"/>
    <cellStyle name="요약 8" xfId="461"/>
    <cellStyle name="요약 8 2" xfId="460"/>
    <cellStyle name="요약 8 2 2" xfId="459"/>
    <cellStyle name="요약 8 2 2 2" xfId="458"/>
    <cellStyle name="요약 8 2 3" xfId="457"/>
    <cellStyle name="요약 8 3" xfId="456"/>
    <cellStyle name="요약 8 3 2" xfId="455"/>
    <cellStyle name="요약 8 4" xfId="454"/>
    <cellStyle name="요약 9" xfId="453"/>
    <cellStyle name="요약 9 2" xfId="452"/>
    <cellStyle name="요약 9 2 2" xfId="451"/>
    <cellStyle name="요약 9 3" xfId="450"/>
    <cellStyle name="윗첨자" xfId="449"/>
    <cellStyle name="입력" xfId="448"/>
    <cellStyle name="입력 10" xfId="447"/>
    <cellStyle name="입력 10 2" xfId="446"/>
    <cellStyle name="입력 11" xfId="445"/>
    <cellStyle name="입력 12" xfId="444"/>
    <cellStyle name="입력 13" xfId="443"/>
    <cellStyle name="입력 14" xfId="442"/>
    <cellStyle name="입력 15" xfId="441"/>
    <cellStyle name="입력 16" xfId="440"/>
    <cellStyle name="입력 17" xfId="439"/>
    <cellStyle name="입력 2" xfId="438"/>
    <cellStyle name="입력 2 2" xfId="437"/>
    <cellStyle name="입력 2 2 2" xfId="436"/>
    <cellStyle name="입력 2 2 2 2" xfId="435"/>
    <cellStyle name="입력 2 2 3" xfId="434"/>
    <cellStyle name="입력 2 3" xfId="433"/>
    <cellStyle name="입력 2 3 2" xfId="432"/>
    <cellStyle name="입력 2 4" xfId="431"/>
    <cellStyle name="입력 3" xfId="430"/>
    <cellStyle name="입력 3 2" xfId="429"/>
    <cellStyle name="입력 3 2 2" xfId="428"/>
    <cellStyle name="입력 3 2 2 2" xfId="427"/>
    <cellStyle name="입력 3 2 3" xfId="426"/>
    <cellStyle name="입력 3 3" xfId="425"/>
    <cellStyle name="입력 3 3 2" xfId="424"/>
    <cellStyle name="입력 3 4" xfId="423"/>
    <cellStyle name="입력 4" xfId="422"/>
    <cellStyle name="입력 4 2" xfId="421"/>
    <cellStyle name="입력 4 2 2" xfId="420"/>
    <cellStyle name="입력 4 2 2 2" xfId="419"/>
    <cellStyle name="입력 4 2 3" xfId="418"/>
    <cellStyle name="입력 4 3" xfId="417"/>
    <cellStyle name="입력 4 3 2" xfId="416"/>
    <cellStyle name="입력 4 4" xfId="415"/>
    <cellStyle name="입력 5" xfId="414"/>
    <cellStyle name="입력 5 2" xfId="413"/>
    <cellStyle name="입력 5 2 2" xfId="412"/>
    <cellStyle name="입력 5 2 2 2" xfId="411"/>
    <cellStyle name="입력 5 2 3" xfId="410"/>
    <cellStyle name="입력 5 3" xfId="409"/>
    <cellStyle name="입력 5 3 2" xfId="408"/>
    <cellStyle name="입력 5 4" xfId="407"/>
    <cellStyle name="입력 6" xfId="406"/>
    <cellStyle name="입력 6 2" xfId="405"/>
    <cellStyle name="입력 6 2 2" xfId="404"/>
    <cellStyle name="입력 6 2 2 2" xfId="403"/>
    <cellStyle name="입력 6 2 3" xfId="402"/>
    <cellStyle name="입력 6 3" xfId="401"/>
    <cellStyle name="입력 6 3 2" xfId="400"/>
    <cellStyle name="입력 6 4" xfId="399"/>
    <cellStyle name="입력 7" xfId="398"/>
    <cellStyle name="입력 7 2" xfId="397"/>
    <cellStyle name="입력 7 2 2" xfId="396"/>
    <cellStyle name="입력 7 2 2 2" xfId="395"/>
    <cellStyle name="입력 7 2 3" xfId="394"/>
    <cellStyle name="입력 7 3" xfId="393"/>
    <cellStyle name="입력 7 3 2" xfId="392"/>
    <cellStyle name="입력 7 4" xfId="391"/>
    <cellStyle name="입력 8" xfId="390"/>
    <cellStyle name="입력 8 2" xfId="389"/>
    <cellStyle name="입력 8 2 2" xfId="388"/>
    <cellStyle name="입력 8 2 2 2" xfId="387"/>
    <cellStyle name="입력 8 2 3" xfId="386"/>
    <cellStyle name="입력 8 3" xfId="385"/>
    <cellStyle name="입력 8 3 2" xfId="384"/>
    <cellStyle name="입력 8 4" xfId="383"/>
    <cellStyle name="입력 9" xfId="382"/>
    <cellStyle name="입력 9 2" xfId="381"/>
    <cellStyle name="입력 9 2 2" xfId="380"/>
    <cellStyle name="입력 9 3" xfId="379"/>
    <cellStyle name="자리수" xfId="378"/>
    <cellStyle name="자리수0" xfId="377"/>
    <cellStyle name="제목" xfId="376"/>
    <cellStyle name="제목 1" xfId="375"/>
    <cellStyle name="제목 2" xfId="374"/>
    <cellStyle name="제목 3" xfId="373"/>
    <cellStyle name="제목 3 2" xfId="372"/>
    <cellStyle name="제목 3 2 2" xfId="371"/>
    <cellStyle name="제목 3 2 2 2" xfId="370"/>
    <cellStyle name="제목 3 3" xfId="369"/>
    <cellStyle name="제목 3 3 2" xfId="368"/>
    <cellStyle name="제목 4" xfId="367"/>
    <cellStyle name="좋음" xfId="366"/>
    <cellStyle name="주민번호" xfId="365"/>
    <cellStyle name="지정되지 않음" xfId="364"/>
    <cellStyle name="출력" xfId="363"/>
    <cellStyle name="출력 10" xfId="362"/>
    <cellStyle name="출력 10 2" xfId="361"/>
    <cellStyle name="출력 11" xfId="360"/>
    <cellStyle name="출력 12" xfId="359"/>
    <cellStyle name="출력 13" xfId="358"/>
    <cellStyle name="출력 14" xfId="357"/>
    <cellStyle name="출력 15" xfId="356"/>
    <cellStyle name="출력 16" xfId="355"/>
    <cellStyle name="출력 17" xfId="354"/>
    <cellStyle name="출력 2" xfId="353"/>
    <cellStyle name="출력 2 2" xfId="352"/>
    <cellStyle name="출력 2 2 2" xfId="351"/>
    <cellStyle name="출력 2 2 2 2" xfId="350"/>
    <cellStyle name="출력 2 2 3" xfId="349"/>
    <cellStyle name="출력 2 3" xfId="348"/>
    <cellStyle name="출력 2 3 2" xfId="347"/>
    <cellStyle name="출력 2 4" xfId="346"/>
    <cellStyle name="출력 3" xfId="345"/>
    <cellStyle name="출력 3 2" xfId="344"/>
    <cellStyle name="출력 3 2 2" xfId="343"/>
    <cellStyle name="출력 3 2 2 2" xfId="342"/>
    <cellStyle name="출력 3 2 3" xfId="341"/>
    <cellStyle name="출력 3 3" xfId="340"/>
    <cellStyle name="출력 3 3 2" xfId="339"/>
    <cellStyle name="출력 3 4" xfId="338"/>
    <cellStyle name="출력 4" xfId="337"/>
    <cellStyle name="출력 4 2" xfId="336"/>
    <cellStyle name="출력 4 2 2" xfId="335"/>
    <cellStyle name="출력 4 2 2 2" xfId="334"/>
    <cellStyle name="출력 4 2 3" xfId="333"/>
    <cellStyle name="출력 4 3" xfId="332"/>
    <cellStyle name="출력 4 3 2" xfId="331"/>
    <cellStyle name="출력 4 4" xfId="330"/>
    <cellStyle name="출력 5" xfId="329"/>
    <cellStyle name="출력 5 2" xfId="328"/>
    <cellStyle name="출력 5 2 2" xfId="327"/>
    <cellStyle name="출력 5 2 2 2" xfId="326"/>
    <cellStyle name="출력 5 2 3" xfId="325"/>
    <cellStyle name="출력 5 3" xfId="324"/>
    <cellStyle name="출력 5 3 2" xfId="323"/>
    <cellStyle name="출력 5 4" xfId="322"/>
    <cellStyle name="출력 6" xfId="321"/>
    <cellStyle name="출력 6 2" xfId="320"/>
    <cellStyle name="출력 6 2 2" xfId="319"/>
    <cellStyle name="출력 6 2 2 2" xfId="318"/>
    <cellStyle name="출력 6 2 3" xfId="317"/>
    <cellStyle name="출력 6 3" xfId="316"/>
    <cellStyle name="출력 6 3 2" xfId="315"/>
    <cellStyle name="출력 6 4" xfId="314"/>
    <cellStyle name="출력 7" xfId="313"/>
    <cellStyle name="출력 7 2" xfId="312"/>
    <cellStyle name="출력 7 2 2" xfId="311"/>
    <cellStyle name="출력 7 2 2 2" xfId="310"/>
    <cellStyle name="출력 7 2 3" xfId="309"/>
    <cellStyle name="출력 7 3" xfId="308"/>
    <cellStyle name="출력 7 3 2" xfId="307"/>
    <cellStyle name="출력 7 4" xfId="306"/>
    <cellStyle name="출력 8" xfId="305"/>
    <cellStyle name="출력 8 2" xfId="304"/>
    <cellStyle name="출력 8 2 2" xfId="303"/>
    <cellStyle name="출력 8 2 2 2" xfId="302"/>
    <cellStyle name="출력 8 2 3" xfId="301"/>
    <cellStyle name="출력 8 3" xfId="300"/>
    <cellStyle name="출력 8 3 2" xfId="299"/>
    <cellStyle name="출력 8 4" xfId="298"/>
    <cellStyle name="출력 9" xfId="297"/>
    <cellStyle name="출력 9 2" xfId="296"/>
    <cellStyle name="출력 9 2 2" xfId="295"/>
    <cellStyle name="출력 9 3" xfId="294"/>
    <cellStyle name="콤마 [0]_  종  합  " xfId="293"/>
    <cellStyle name="콤마 [20]" xfId="292"/>
    <cellStyle name="콤마_  종  합  " xfId="291"/>
    <cellStyle name="퀼마_현지법인" xfId="290"/>
    <cellStyle name="통화 [0]_12.23" xfId="289"/>
    <cellStyle name="통화_12.23" xfId="288"/>
    <cellStyle name="퍼센트" xfId="287"/>
    <cellStyle name="표준 2" xfId="286"/>
    <cellStyle name="표준 7" xfId="285"/>
    <cellStyle name="표준_(정보부문)월별인원계획" xfId="284"/>
    <cellStyle name="하이퍼링크STBM_" xfId="283"/>
    <cellStyle name="합산" xfId="282"/>
    <cellStyle name="합산 2" xfId="281"/>
    <cellStyle name="합산 2 2" xfId="280"/>
    <cellStyle name="합산 2 2 2" xfId="279"/>
    <cellStyle name="합산 3" xfId="278"/>
    <cellStyle name="합산 3 2" xfId="277"/>
    <cellStyle name="합산 3 2 2" xfId="276"/>
    <cellStyle name="합산 4" xfId="275"/>
    <cellStyle name="합산 4 2" xfId="274"/>
    <cellStyle name="합산 4 2 2" xfId="273"/>
    <cellStyle name="합산 5" xfId="272"/>
    <cellStyle name="합산 5 2" xfId="271"/>
    <cellStyle name="합산 5 2 2" xfId="270"/>
    <cellStyle name="합산 6" xfId="269"/>
    <cellStyle name="합산 6 2" xfId="268"/>
    <cellStyle name="화폐기호" xfId="267"/>
    <cellStyle name="화폐기호0" xfId="266"/>
    <cellStyle name="一般_00Q3902REV.1" xfId="265"/>
    <cellStyle name="千位分隔[0]_BOQ" xfId="264"/>
    <cellStyle name="千位分隔_BOQ" xfId="263"/>
    <cellStyle name="千分位[0]_00Q3902REV.1" xfId="262"/>
    <cellStyle name="千分位_00Q3902REV.1" xfId="261"/>
    <cellStyle name="好" xfId="260"/>
    <cellStyle name="好_01-EL-DS-2008-CABLE" xfId="259"/>
    <cellStyle name="好_CB spec" xfId="258"/>
    <cellStyle name="好_CT Spec" xfId="257"/>
    <cellStyle name="差" xfId="256"/>
    <cellStyle name="差_01-EL-DS-2008-CABLE" xfId="255"/>
    <cellStyle name="差_CB spec" xfId="254"/>
    <cellStyle name="差_CT Spec" xfId="253"/>
    <cellStyle name="常规 2" xfId="252"/>
    <cellStyle name="常规 3" xfId="251"/>
    <cellStyle name="常规 5" xfId="250"/>
    <cellStyle name="常规_60T锅炉全套设备清单" xfId="249"/>
    <cellStyle name="强调文字颜色 1" xfId="248"/>
    <cellStyle name="强调文字颜色 2" xfId="247"/>
    <cellStyle name="强调文字颜色 3" xfId="246"/>
    <cellStyle name="强调文字颜色 4" xfId="245"/>
    <cellStyle name="强调文字颜色 5" xfId="244"/>
    <cellStyle name="强调文字颜色 6" xfId="243"/>
    <cellStyle name="归盒啦_95" xfId="242"/>
    <cellStyle name="昗弨_FWBS1100" xfId="241"/>
    <cellStyle name="普通_C-equip (2)" xfId="240"/>
    <cellStyle name="未定義" xfId="239"/>
    <cellStyle name="未定義 2" xfId="238"/>
    <cellStyle name="标题" xfId="237"/>
    <cellStyle name="标题 1" xfId="236"/>
    <cellStyle name="标题 2" xfId="235"/>
    <cellStyle name="标题 3" xfId="234"/>
    <cellStyle name="标题 4" xfId="233"/>
    <cellStyle name="标题_01-EL-DS-2008-CABLE" xfId="232"/>
    <cellStyle name="样式 1" xfId="231"/>
    <cellStyle name="桁区切り [0.00]_１２月分経理レート" xfId="230"/>
    <cellStyle name="桁区切り_08-00 NET Summary" xfId="229"/>
    <cellStyle name="桁蟻唇Ｆ [0.00]_・拶・表紙・剖次" xfId="228"/>
    <cellStyle name="桁蟻唇Ｆ_・拶・表紙・剖次" xfId="227"/>
    <cellStyle name="检查单元格" xfId="226"/>
    <cellStyle name="標準_ Att. 1- Cover" xfId="225"/>
    <cellStyle name="汇总" xfId="224"/>
    <cellStyle name="注释" xfId="223"/>
    <cellStyle name="烹拳 [0]_3岿捞悼" xfId="222"/>
    <cellStyle name="烹拳_3岿捞悼" xfId="221"/>
    <cellStyle name="脱浦 [0.00]_・拶・表紙・剖次" xfId="220"/>
    <cellStyle name="脱浦_・拶・表紙・剖次" xfId="219"/>
    <cellStyle name="行レベル_1_Instr Train I BTG Schedule" xfId="218"/>
    <cellStyle name="表示済みのハイパーリンク" xfId="217"/>
    <cellStyle name="表示済みのハイパーリンク 2" xfId="216"/>
    <cellStyle name="解释性文本" xfId="215"/>
    <cellStyle name="警告文本" xfId="214"/>
    <cellStyle name="计算" xfId="213"/>
    <cellStyle name="貨幣 [0]_00Q3902REV.1" xfId="212"/>
    <cellStyle name="貨幣[0]_BRE" xfId="211"/>
    <cellStyle name="貨幣_00Q3902REV.1" xfId="210"/>
    <cellStyle name="货币[0]_BOQ" xfId="209"/>
    <cellStyle name="货币_BOQ" xfId="208"/>
    <cellStyle name="输入" xfId="207"/>
    <cellStyle name="输出" xfId="206"/>
    <cellStyle name="适中" xfId="205"/>
    <cellStyle name="通貨 [0.00]_ Att. 1- Cover" xfId="204"/>
    <cellStyle name="通貨_ Att. 1- Cover" xfId="203"/>
    <cellStyle name="重量" xfId="202"/>
    <cellStyle name="钎霖_10岿 夯何" xfId="201"/>
    <cellStyle name="链接单元格" xfId="200"/>
    <cellStyle name="霓付 [0]_3岿捞悼" xfId="199"/>
    <cellStyle name="霓付_3岿捞悼" xfId="198"/>
    <cellStyle name="非表示" xfId="197"/>
    <cellStyle name="非表示 10" xfId="196"/>
    <cellStyle name="非表示 10 2" xfId="195"/>
    <cellStyle name="非表示 10 3" xfId="194"/>
    <cellStyle name="非表示 10 4" xfId="193"/>
    <cellStyle name="非表示 10 5" xfId="192"/>
    <cellStyle name="非表示 11" xfId="191"/>
    <cellStyle name="非表示 12" xfId="190"/>
    <cellStyle name="非表示 13" xfId="189"/>
    <cellStyle name="非表示 14" xfId="188"/>
    <cellStyle name="非表示 2" xfId="187"/>
    <cellStyle name="非表示 2 10" xfId="186"/>
    <cellStyle name="非表示 2 11" xfId="185"/>
    <cellStyle name="非表示 2 12" xfId="184"/>
    <cellStyle name="非表示 2 2" xfId="183"/>
    <cellStyle name="非表示 2 2 2" xfId="182"/>
    <cellStyle name="非表示 2 2 2 2" xfId="181"/>
    <cellStyle name="非表示 2 2 3" xfId="180"/>
    <cellStyle name="非表示 2 2 4" xfId="179"/>
    <cellStyle name="非表示 2 2 5" xfId="178"/>
    <cellStyle name="非表示 2 3" xfId="177"/>
    <cellStyle name="非表示 2 3 2" xfId="176"/>
    <cellStyle name="非表示 2 3 3" xfId="175"/>
    <cellStyle name="非表示 2 3 4" xfId="174"/>
    <cellStyle name="非表示 2 3 5" xfId="173"/>
    <cellStyle name="非表示 2 4" xfId="172"/>
    <cellStyle name="非表示 2 4 2" xfId="171"/>
    <cellStyle name="非表示 2 4 3" xfId="170"/>
    <cellStyle name="非表示 2 4 4" xfId="169"/>
    <cellStyle name="非表示 2 4 5" xfId="168"/>
    <cellStyle name="非表示 2 5" xfId="167"/>
    <cellStyle name="非表示 2 5 2" xfId="166"/>
    <cellStyle name="非表示 2 5 3" xfId="165"/>
    <cellStyle name="非表示 2 5 4" xfId="164"/>
    <cellStyle name="非表示 2 5 5" xfId="163"/>
    <cellStyle name="非表示 2 6" xfId="162"/>
    <cellStyle name="非表示 2 6 2" xfId="161"/>
    <cellStyle name="非表示 2 6 3" xfId="160"/>
    <cellStyle name="非表示 2 6 4" xfId="159"/>
    <cellStyle name="非表示 2 6 5" xfId="158"/>
    <cellStyle name="非表示 2 7" xfId="157"/>
    <cellStyle name="非表示 2 7 2" xfId="156"/>
    <cellStyle name="非表示 2 7 3" xfId="155"/>
    <cellStyle name="非表示 2 7 4" xfId="154"/>
    <cellStyle name="非表示 2 7 5" xfId="153"/>
    <cellStyle name="非表示 2 8" xfId="152"/>
    <cellStyle name="非表示 2 8 2" xfId="151"/>
    <cellStyle name="非表示 2 8 3" xfId="150"/>
    <cellStyle name="非表示 2 8 4" xfId="149"/>
    <cellStyle name="非表示 2 8 5" xfId="148"/>
    <cellStyle name="非表示 2 9" xfId="147"/>
    <cellStyle name="非表示 3" xfId="146"/>
    <cellStyle name="非表示 3 2" xfId="145"/>
    <cellStyle name="非表示 3 2 2" xfId="144"/>
    <cellStyle name="非表示 3 2 2 2" xfId="143"/>
    <cellStyle name="非表示 3 2 3" xfId="142"/>
    <cellStyle name="非表示 3 3" xfId="141"/>
    <cellStyle name="非表示 3 3 2" xfId="140"/>
    <cellStyle name="非表示 3 4" xfId="139"/>
    <cellStyle name="非表示 3 5" xfId="138"/>
    <cellStyle name="非表示 4" xfId="137"/>
    <cellStyle name="非表示 4 2" xfId="136"/>
    <cellStyle name="非表示 4 2 2" xfId="135"/>
    <cellStyle name="非表示 4 2 2 2" xfId="134"/>
    <cellStyle name="非表示 4 2 3" xfId="133"/>
    <cellStyle name="非表示 4 3" xfId="132"/>
    <cellStyle name="非表示 4 3 2" xfId="131"/>
    <cellStyle name="非表示 4 4" xfId="130"/>
    <cellStyle name="非表示 4 5" xfId="129"/>
    <cellStyle name="非表示 5" xfId="128"/>
    <cellStyle name="非表示 5 2" xfId="127"/>
    <cellStyle name="非表示 5 2 2" xfId="126"/>
    <cellStyle name="非表示 5 2 2 2" xfId="125"/>
    <cellStyle name="非表示 5 2 3" xfId="124"/>
    <cellStyle name="非表示 5 3" xfId="123"/>
    <cellStyle name="非表示 5 3 2" xfId="122"/>
    <cellStyle name="非表示 5 4" xfId="121"/>
    <cellStyle name="非表示 5 5" xfId="120"/>
    <cellStyle name="非表示 6" xfId="119"/>
    <cellStyle name="非表示 6 2" xfId="118"/>
    <cellStyle name="非表示 6 2 2" xfId="117"/>
    <cellStyle name="非表示 6 2 2 2" xfId="116"/>
    <cellStyle name="非表示 6 2 3" xfId="115"/>
    <cellStyle name="非表示 6 3" xfId="114"/>
    <cellStyle name="非表示 6 3 2" xfId="113"/>
    <cellStyle name="非表示 6 4" xfId="112"/>
    <cellStyle name="非表示 6 5" xfId="111"/>
    <cellStyle name="非表示 7" xfId="110"/>
    <cellStyle name="非表示 7 2" xfId="109"/>
    <cellStyle name="非表示 7 2 2" xfId="108"/>
    <cellStyle name="非表示 7 2 2 2" xfId="107"/>
    <cellStyle name="非表示 7 2 3" xfId="106"/>
    <cellStyle name="非表示 7 3" xfId="105"/>
    <cellStyle name="非表示 7 3 2" xfId="104"/>
    <cellStyle name="非表示 7 4" xfId="103"/>
    <cellStyle name="非表示 7 5" xfId="102"/>
    <cellStyle name="非表示 8" xfId="101"/>
    <cellStyle name="非表示 8 2" xfId="100"/>
    <cellStyle name="非表示 8 2 2" xfId="99"/>
    <cellStyle name="非表示 8 2 2 2" xfId="98"/>
    <cellStyle name="非表示 8 2 3" xfId="97"/>
    <cellStyle name="非表示 8 3" xfId="96"/>
    <cellStyle name="非表示 8 3 2" xfId="95"/>
    <cellStyle name="非表示 8 4" xfId="94"/>
    <cellStyle name="非表示 8 5" xfId="93"/>
    <cellStyle name="非表示 9" xfId="92"/>
    <cellStyle name="非表示 9 2" xfId="91"/>
    <cellStyle name="非表示 9 2 2" xfId="90"/>
    <cellStyle name="非表示 9 3" xfId="89"/>
    <cellStyle name="非表示 9 4" xfId="88"/>
    <cellStyle name="非表示 9 5" xfId="87"/>
    <cellStyle name="馬表旨" xfId="86"/>
    <cellStyle name="馬表旨 10" xfId="85"/>
    <cellStyle name="馬表旨 10 2" xfId="84"/>
    <cellStyle name="馬表旨 10 3" xfId="83"/>
    <cellStyle name="馬表旨 10 4" xfId="82"/>
    <cellStyle name="馬表旨 10 5" xfId="81"/>
    <cellStyle name="馬表旨 11" xfId="80"/>
    <cellStyle name="馬表旨 12" xfId="79"/>
    <cellStyle name="馬表旨 13" xfId="78"/>
    <cellStyle name="馬表旨 14" xfId="77"/>
    <cellStyle name="馬表旨 2" xfId="76"/>
    <cellStyle name="馬表旨 2 10" xfId="75"/>
    <cellStyle name="馬表旨 2 11" xfId="74"/>
    <cellStyle name="馬表旨 2 12" xfId="73"/>
    <cellStyle name="馬表旨 2 2" xfId="72"/>
    <cellStyle name="馬表旨 2 2 2" xfId="71"/>
    <cellStyle name="馬表旨 2 2 3" xfId="70"/>
    <cellStyle name="馬表旨 2 2 4" xfId="69"/>
    <cellStyle name="馬表旨 2 2 5" xfId="68"/>
    <cellStyle name="馬表旨 2 3" xfId="67"/>
    <cellStyle name="馬表旨 2 3 2" xfId="66"/>
    <cellStyle name="馬表旨 2 3 3" xfId="65"/>
    <cellStyle name="馬表旨 2 3 4" xfId="64"/>
    <cellStyle name="馬表旨 2 3 5" xfId="63"/>
    <cellStyle name="馬表旨 2 4" xfId="62"/>
    <cellStyle name="馬表旨 2 4 2" xfId="61"/>
    <cellStyle name="馬表旨 2 4 3" xfId="60"/>
    <cellStyle name="馬表旨 2 4 4" xfId="59"/>
    <cellStyle name="馬表旨 2 4 5" xfId="58"/>
    <cellStyle name="馬表旨 2 5" xfId="57"/>
    <cellStyle name="馬表旨 2 5 2" xfId="56"/>
    <cellStyle name="馬表旨 2 5 3" xfId="55"/>
    <cellStyle name="馬表旨 2 5 4" xfId="54"/>
    <cellStyle name="馬表旨 2 5 5" xfId="53"/>
    <cellStyle name="馬表旨 2 6" xfId="52"/>
    <cellStyle name="馬表旨 2 6 2" xfId="51"/>
    <cellStyle name="馬表旨 2 6 3" xfId="50"/>
    <cellStyle name="馬表旨 2 6 4" xfId="49"/>
    <cellStyle name="馬表旨 2 6 5" xfId="48"/>
    <cellStyle name="馬表旨 2 7" xfId="47"/>
    <cellStyle name="馬表旨 2 7 2" xfId="46"/>
    <cellStyle name="馬表旨 2 7 3" xfId="45"/>
    <cellStyle name="馬表旨 2 7 4" xfId="44"/>
    <cellStyle name="馬表旨 2 7 5" xfId="43"/>
    <cellStyle name="馬表旨 2 8" xfId="42"/>
    <cellStyle name="馬表旨 2 8 2" xfId="41"/>
    <cellStyle name="馬表旨 2 8 3" xfId="40"/>
    <cellStyle name="馬表旨 2 8 4" xfId="39"/>
    <cellStyle name="馬表旨 2 8 5" xfId="38"/>
    <cellStyle name="馬表旨 2 9" xfId="37"/>
    <cellStyle name="馬表旨 3" xfId="36"/>
    <cellStyle name="馬表旨 3 2" xfId="35"/>
    <cellStyle name="馬表旨 3 3" xfId="34"/>
    <cellStyle name="馬表旨 3 4" xfId="33"/>
    <cellStyle name="馬表旨 3 5" xfId="32"/>
    <cellStyle name="馬表旨 4" xfId="31"/>
    <cellStyle name="馬表旨 4 2" xfId="30"/>
    <cellStyle name="馬表旨 4 3" xfId="29"/>
    <cellStyle name="馬表旨 4 4" xfId="28"/>
    <cellStyle name="馬表旨 4 5" xfId="27"/>
    <cellStyle name="馬表旨 5" xfId="26"/>
    <cellStyle name="馬表旨 5 2" xfId="25"/>
    <cellStyle name="馬表旨 5 3" xfId="24"/>
    <cellStyle name="馬表旨 5 4" xfId="23"/>
    <cellStyle name="馬表旨 5 5" xfId="22"/>
    <cellStyle name="馬表旨 6" xfId="21"/>
    <cellStyle name="馬表旨 6 2" xfId="20"/>
    <cellStyle name="馬表旨 6 3" xfId="19"/>
    <cellStyle name="馬表旨 6 4" xfId="18"/>
    <cellStyle name="馬表旨 6 5" xfId="17"/>
    <cellStyle name="馬表旨 7" xfId="16"/>
    <cellStyle name="馬表旨 7 2" xfId="15"/>
    <cellStyle name="馬表旨 7 3" xfId="14"/>
    <cellStyle name="馬表旨 7 4" xfId="13"/>
    <cellStyle name="馬表旨 7 5" xfId="12"/>
    <cellStyle name="馬表旨 8" xfId="11"/>
    <cellStyle name="馬表旨 8 2" xfId="10"/>
    <cellStyle name="馬表旨 8 3" xfId="9"/>
    <cellStyle name="馬表旨 8 4" xfId="8"/>
    <cellStyle name="馬表旨 8 5" xfId="7"/>
    <cellStyle name="馬表旨 9" xfId="6"/>
    <cellStyle name="馬表旨 9 2" xfId="5"/>
    <cellStyle name="馬表旨 9 3" xfId="4"/>
    <cellStyle name="馬表旨 9 4" xfId="3"/>
    <cellStyle name="馬表旨 9 5" xfId="2"/>
    <cellStyle name="馬表旨_BQ-01NWHS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24.xml"/><Relationship Id="rId47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32.xml"/><Relationship Id="rId55" Type="http://schemas.openxmlformats.org/officeDocument/2006/relationships/externalLink" Target="externalLinks/externalLink37.xml"/><Relationship Id="rId63" Type="http://schemas.openxmlformats.org/officeDocument/2006/relationships/externalLink" Target="externalLinks/externalLink45.xml"/><Relationship Id="rId68" Type="http://schemas.openxmlformats.org/officeDocument/2006/relationships/externalLink" Target="externalLinks/externalLink50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1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22.xml"/><Relationship Id="rId45" Type="http://schemas.openxmlformats.org/officeDocument/2006/relationships/externalLink" Target="externalLinks/externalLink27.xml"/><Relationship Id="rId53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48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8.xml"/><Relationship Id="rId49" Type="http://schemas.openxmlformats.org/officeDocument/2006/relationships/externalLink" Target="externalLinks/externalLink31.xml"/><Relationship Id="rId57" Type="http://schemas.openxmlformats.org/officeDocument/2006/relationships/externalLink" Target="externalLinks/externalLink39.xml"/><Relationship Id="rId61" Type="http://schemas.openxmlformats.org/officeDocument/2006/relationships/externalLink" Target="externalLinks/externalLink4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4" Type="http://schemas.openxmlformats.org/officeDocument/2006/relationships/externalLink" Target="externalLinks/externalLink26.xml"/><Relationship Id="rId52" Type="http://schemas.openxmlformats.org/officeDocument/2006/relationships/externalLink" Target="externalLinks/externalLink34.xml"/><Relationship Id="rId60" Type="http://schemas.openxmlformats.org/officeDocument/2006/relationships/externalLink" Target="externalLinks/externalLink42.xml"/><Relationship Id="rId65" Type="http://schemas.openxmlformats.org/officeDocument/2006/relationships/externalLink" Target="externalLinks/externalLink47.xml"/><Relationship Id="rId73" Type="http://schemas.openxmlformats.org/officeDocument/2006/relationships/externalLink" Target="externalLinks/externalLink5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43" Type="http://schemas.openxmlformats.org/officeDocument/2006/relationships/externalLink" Target="externalLinks/externalLink25.xml"/><Relationship Id="rId48" Type="http://schemas.openxmlformats.org/officeDocument/2006/relationships/externalLink" Target="externalLinks/externalLink30.xml"/><Relationship Id="rId56" Type="http://schemas.openxmlformats.org/officeDocument/2006/relationships/externalLink" Target="externalLinks/externalLink38.xml"/><Relationship Id="rId64" Type="http://schemas.openxmlformats.org/officeDocument/2006/relationships/externalLink" Target="externalLinks/externalLink46.xml"/><Relationship Id="rId69" Type="http://schemas.openxmlformats.org/officeDocument/2006/relationships/externalLink" Target="externalLinks/externalLink51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3.xml"/><Relationship Id="rId72" Type="http://schemas.openxmlformats.org/officeDocument/2006/relationships/externalLink" Target="externalLinks/externalLink5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Relationship Id="rId46" Type="http://schemas.openxmlformats.org/officeDocument/2006/relationships/externalLink" Target="externalLinks/externalLink28.xml"/><Relationship Id="rId59" Type="http://schemas.openxmlformats.org/officeDocument/2006/relationships/externalLink" Target="externalLinks/externalLink41.xml"/><Relationship Id="rId67" Type="http://schemas.openxmlformats.org/officeDocument/2006/relationships/externalLink" Target="externalLinks/externalLink49.xml"/><Relationship Id="rId20" Type="http://schemas.openxmlformats.org/officeDocument/2006/relationships/externalLink" Target="externalLinks/externalLink2.xml"/><Relationship Id="rId41" Type="http://schemas.openxmlformats.org/officeDocument/2006/relationships/externalLink" Target="externalLinks/externalLink23.xml"/><Relationship Id="rId54" Type="http://schemas.openxmlformats.org/officeDocument/2006/relationships/externalLink" Target="externalLinks/externalLink36.xml"/><Relationship Id="rId62" Type="http://schemas.openxmlformats.org/officeDocument/2006/relationships/externalLink" Target="externalLinks/externalLink44.xml"/><Relationship Id="rId70" Type="http://schemas.openxmlformats.org/officeDocument/2006/relationships/externalLink" Target="externalLinks/externalLink52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123825</xdr:colOff>
      <xdr:row>57</xdr:row>
      <xdr:rowOff>19050</xdr:rowOff>
    </xdr:from>
    <xdr:to>
      <xdr:col>19</xdr:col>
      <xdr:colOff>495300</xdr:colOff>
      <xdr:row>57</xdr:row>
      <xdr:rowOff>161925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13754100" y="11210925"/>
          <a:ext cx="371475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600075</xdr:colOff>
      <xdr:row>185</xdr:row>
      <xdr:rowOff>0</xdr:rowOff>
    </xdr:from>
    <xdr:to>
      <xdr:col>32</xdr:col>
      <xdr:colOff>561974</xdr:colOff>
      <xdr:row>219</xdr:row>
      <xdr:rowOff>344043</xdr:rowOff>
    </xdr:to>
    <xdr:pic>
      <xdr:nvPicPr>
        <xdr:cNvPr id="5" name="Picture 4" descr="https://2.bp.blogspot.com/-tXghCNueRlg/Vss85FH_QjI/AAAAAAAAA3U/ZAav9kXmUxI/s1600/harga-coveruditch-2016.jpg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54875" y="22631400"/>
          <a:ext cx="4229100" cy="770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489857</xdr:colOff>
      <xdr:row>0</xdr:row>
      <xdr:rowOff>0</xdr:rowOff>
    </xdr:from>
    <xdr:to>
      <xdr:col>25</xdr:col>
      <xdr:colOff>68036</xdr:colOff>
      <xdr:row>17</xdr:row>
      <xdr:rowOff>73479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D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797893" y="0"/>
          <a:ext cx="6381750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35</xdr:col>
      <xdr:colOff>323849</xdr:colOff>
      <xdr:row>12</xdr:row>
      <xdr:rowOff>170089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xmlns="" id="{00000000-0008-0000-0D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040850" y="0"/>
          <a:ext cx="6419850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16</xdr:row>
      <xdr:rowOff>1</xdr:rowOff>
    </xdr:from>
    <xdr:to>
      <xdr:col>14</xdr:col>
      <xdr:colOff>733425</xdr:colOff>
      <xdr:row>33</xdr:row>
      <xdr:rowOff>80729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77175" y="2705101"/>
          <a:ext cx="2847975" cy="29382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\proposal\SHARE\CAMCO\LOADING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TamKur\Documents%20and%20Settings\Hanief\My%20Documents\ANALISA%20HARSAT%20CCO\Copy%20of%20Copy%20of%20RAB%20AK%20KONTRAK%20-%202%20(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6\Underpass%20Bintaro\JAKON\2007\BONTANG%20SEKSI%20B\Tampil%20Bontang%20Seksi%20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HS\Proposal\Non%20Ks\pertamina\ANNA\lind\Non%20KS\statomer\Foundation%20DA%207%20charging%20system%20statome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cak\Tender%202004\DOCUME~1\Victor\LOCALS~1\Temp\DOCUME~1\Victor\LOCALS~1\Temp\2001\AMBASADOR\BQ-10%20MECH%2010-11-20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P-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u2ng\Nu2nG\Nu2nG\NISSAN%20BSD%20Tender\NISSAN%20BSD%20PI\BQ_TIMAHR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PENAWARAN%202006\AI%20TUGAS%20KULIAH\APBN\Seksi%20VIII%20Pe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DATA%20MULTIMEDIA\PROJECT%202009\DATA%20CONSULTAN\PENAWARAN%20ACEN\NEVRI\APBN\Seksi%20VIII%20Pe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PENAWARAN%202006\AI%20TUGAS%20KULIAH\APBN\TENDER\OE%20Dumagi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srv\ME%20Database\A%20Project\VARIOUS-FILE\FORMAT_BQ\AFORM-BQR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Dok%20eddy%20back%20up\Users\Wan%20Supit\AppData\Roaming\Microsoft\Excel\RAB%20%202009%20%20CS\PENAWARAN%202006\AI%20TUGAS%20KULIAH\APBN\Seksi%20VIII%20Pe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16\my%20project\pulau%20final\WINDOWS\Desktop\New%20Folder\Qo-1585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DATA%20MULTIMEDIA\PROJECT%202009\DATA%20CONSULTAN\PENAWARAN%20ACEN\NEVRI\APBN\TENDER\OE%20Dumagi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APBN\Seksi%20VIII%20Pe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DATA%20MULTIMEDIA\PROJECT%202009\DATA%20CONSULTAN\PENAWARAN%20ACEN\NEVRI\bina%20marga%202009\APBN\Seksi%20VIII%20Pe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APBN\TENDER\OE%20Dumagi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DOK%20EDDY\KUMPULAN%20RAB%202010\RAB%20%202009%20%20CS\PENAWARAN%202006\AI%20TUGAS%20KULIAH\APBN\Seksi%20VIII%20Pe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DATA%20MULTIMEDIA\PROJECT%202009\DATA%20CONSULTAN\PENAWARAN%20ACEN\NEVRI\bina%20marga%202009\APBN\TENDER\OE%20Dumagi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C:\WASIS\PROYEK%202010\BOLTIM\MOAT-ATOGA\RAB\BOQ%20KOSONG\Sinar%20Bulawa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2\c\My%20Documents\acd\PATI-REMBANG\PATI-RMBG\DC%20AM-02(baru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ftar%20bandara\Tmika%202012\TIMIKA%202014\2014%20apron\Timika%202014\2015\Timika%202016\kimpraswil\aceh\exop41\dataparta\Penawaran\jembatan\airlayang\BQairLygok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impraswil\aceh\exop41\dataparta\Penawaran\jembatan\airlayang\BQairLygoke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ega%20Cipta\Tahun%2008\BAlai%20Besar\Usulan\RAB%20Balai%20Besar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uter9\D\DWI%20R\PEMBAHASAN%20PROYEK\PONCOL\RAP%20PONCOL%2014%2003%2007%20%20(1051%20M)\RAB%20%20BLOK%20~%20B_PRASARANA_PU_PAS_Harsat_SK.MEI%2022-05-06_Baru_44000_28-02-2007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olumes\Transcend\AS\LK\KANTOR\2016\PLN%20E\28%20Oktober%202016\GIS%20150%20kV%20BLIMBING\BUKU%20C\Bab%20V%20Daftar%20Isian\1.%20BOQ\Divaga-dni-pc3\c\windows\TEMP\UAI-2000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arga%20Perkiraan%20Engineer\HPE%20Fix\Users\waskita%20Anggaran\Documents\My%20Documents\BQ\Maya%20Ubud\Contract\Main%20building\BQ\MAYA-UBUD-II\BOQ%20MAYA%20UBUD%20-%20MAIN%20BUILDING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arga%20Perkiraan%20Engineer\HPE%20Fix\AGGR%20jl%20dm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PROJECT%20DISINI\ACHALIQ%20PROJECT%20FILE\ATD-PLAZA\EST.%20SERVICEHEATEXCHANGER-ATD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agian%20PKP\AppData\Roaming\Microsoft\Excel\16_05_13\05_Mei\01_Januari\DATA\DATA-WIN\JALAN\JADWAL\Jd-Buat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&amp;%20E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_sc_5\hdd-c\schedule-ugm\Schedule\Master%20Sch%201.0-sro2.Adari%20disk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arga%20Perkiraan%20Engineer\HPE%20Fix\WASKITA%20KARYA\HERI\TENDER\OE\oe%20Selat%20AKAR20M.TAHUN.200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Data\D\A214-3rd%20Firing%20Plant%20&amp;%20Showroom\Main%20Works%20-%20Tenderers\Proyek\SP3082%20Hero%20PIM\020201%20HERO%20PIM%20R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Proyek\SP%20Sport%20Center%20Gading%20Serpong\120601Sport%20Cente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e5-mail.eudoramail.lycos.com/datalinda/My%20Documents/GRAMEDIA/BQ-TB-PKB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13%20Nov%2009\Titip%20Devri\7.%20Kepri\2010\Okt%2010\Gedung%20Pemerintahan%205%20Lt%20T.Pinang\File%20DC\UNTUNG%20Zheeraid\PROYEK%20USU\ALI\RAB\gedung\a5\CAIXA%20&amp;%20HUSNI\CONSULTANT%20FILE\ANALISA%20STANDAR%20BINA%20MARGA\BINA%20MARGA%20FILE\OE-EE\6-AGGR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E-JL.%20Setokok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d-REVIS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r05\hd%203%20(e)\bangkalan\pasar%20tradisional%202\GETZ\21%2002%2007\RAP%20KLAKAH%20NE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ta\C\F_TEJA%20ROBERT\AGUS%20WIJAYA\DWI%20R%202%20JUNI%202006%20FILE%20FIX\TMNL%20TLOGAWARU%2029%20JAN%20'07\BUKU%204\TRMNL%20TLOGOWARU%2029%20JAN%20'07%20(%20ANYAR%20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epi\Desktop\2.%20PASAMAN%20-%20SIMPANG%20EMPAT\3.%20RAB%20PENAWARAN%20EM_SUTT%20150kV%20PASAMAN%20-%20SIMPANG%20EMPAT%20(SEC%202)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L%20150%20kV%20Rantau%20Prapat%20-%20Labuhan%20Bilik%20(Section%201)\Harga%20Perkiraan%20Engineer\Harga%20Perkiraan%20Engineer%20(9%20Pile)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owner\Downloads\Template%20RAB%20GI%20150%20kV%20-%20Civil%20Work%20sudah%20uru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pi%20Sukmayara/Desktop/SUTT%20150kV%20TANJUNG%20-%20BUNTOK/BOQ%20-%20HPE%20SUTT%20150%20kV%20Sepatan%20II%20-%20Sepatan%20(Sesuai%20Tower%20Schedule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p"/>
      <sheetName val="indir"/>
      <sheetName val="Equip"/>
      <sheetName val="labor"/>
      <sheetName val="LOADDAT"/>
      <sheetName val="Analisa"/>
      <sheetName val="cvlRKYS"/>
      <sheetName val="Bare Summary"/>
      <sheetName val="Productivity"/>
      <sheetName val="name"/>
      <sheetName val="civil-yin"/>
      <sheetName val="Notes"/>
      <sheetName val="Memb Schd"/>
      <sheetName val="Conn. Lib"/>
      <sheetName val="ESCON"/>
      <sheetName val="HPP"/>
      <sheetName val="SITE-E"/>
      <sheetName val="AN_KSN"/>
      <sheetName val="STR"/>
      <sheetName val="IPL_SCHEDULE"/>
      <sheetName val="REF.ONLY"/>
      <sheetName val="Rekapitulasi"/>
      <sheetName val="SAP"/>
      <sheetName val="tifico"/>
      <sheetName val="Cover"/>
      <sheetName val="struktur tdk dipakai"/>
      <sheetName val="Cash Flow bulanan"/>
      <sheetName val="RAB AR&amp;STR"/>
      <sheetName val="Upah"/>
      <sheetName val="Matrl"/>
      <sheetName val="LOADING2"/>
      <sheetName val="dia-in"/>
      <sheetName val="PPC"/>
      <sheetName val="AC"/>
      <sheetName val="Harga"/>
      <sheetName val="Kantor"/>
      <sheetName val="A"/>
      <sheetName val="NAMES"/>
      <sheetName val="HARGA MATERIAL"/>
      <sheetName val="villa"/>
      <sheetName val="SEX"/>
      <sheetName val="H.Satuan"/>
      <sheetName val="Cover Daf_2"/>
      <sheetName val="GSMTOWER"/>
      <sheetName val="Div2"/>
      <sheetName val="Estimate"/>
      <sheetName val="01A- RAB"/>
      <sheetName val="DATA HARGA"/>
      <sheetName val="BQ STP 35 M3 A&amp;B"/>
      <sheetName val="DETAIL RAP"/>
      <sheetName val="Week9-Feb    "/>
      <sheetName val="I-ME"/>
      <sheetName val="Steel-Twr"/>
      <sheetName val="rab - persiapan &amp; lantai-1"/>
      <sheetName val="MASTER R1"/>
      <sheetName val="Pipe"/>
      <sheetName val="valve-20k"/>
      <sheetName val="valve"/>
      <sheetName val="Dafmat"/>
      <sheetName val="Cov_bid"/>
      <sheetName val="BoQ"/>
      <sheetName val="THREE PASS"/>
      <sheetName val="vessel weight"/>
      <sheetName val="Proc_REK_1"/>
      <sheetName val="Mob"/>
      <sheetName val="D7"/>
      <sheetName val="Perm. Test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  <sheetName val="LOADDAT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Losses (2)"/>
      <sheetName val="REKAP-MEI"/>
      <sheetName val="⼅킴`଀　ମ_x0000_ᰳ蠀ᰫ관킱쁠壢耄䢿਀_x0002_＀_xffff_ヿ଱ꠀᰳ耀ଘ਀_x0002_"/>
      <sheetName val="HARGA SATUAN"/>
      <sheetName val="TRNS_C1"/>
      <sheetName val="FORM-B_(_Uai_Per_BL_)_(1)"/>
      <sheetName val="FORM-B_(_Uai_Per_BL_)_(2)"/>
      <sheetName val="⼅킴`଀　ମ?ᰳ蠀ᰫ관킱쁠壢耄䢿਀_x0002_＀_xffff_ヿ଱ꠀᰳ耀ଘ਀_x0002_"/>
      <sheetName val="DATA-BASE SUTT"/>
      <sheetName val="⼅킴`଀　ମ"/>
      <sheetName val="⼅킴`଀　ମ_ᰳ蠀ᰫ관킱쁠壢耄䢿਀_x0002_＀_xffff_ヿ଱ꠀᰳ耀ଘ਀_x0002_"/>
      <sheetName val="石炭性状"/>
      <sheetName val="RPP 12 SEPT"/>
      <sheetName val="ca"/>
      <sheetName val="Testing"/>
      <sheetName val="12CGOU"/>
      <sheetName val="ME-KDS"/>
      <sheetName val="ME-BANTL"/>
      <sheetName val="ME-BTNG"/>
      <sheetName val="Parameter"/>
      <sheetName val="TRANS"/>
      <sheetName val="Inv_NAD"/>
      <sheetName val="Inv_RIAU"/>
      <sheetName val="PERHITUNGAN"/>
      <sheetName val="Analisa"/>
      <sheetName val="basic-price"/>
      <sheetName val="Sheet3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 "/>
      <sheetName val="sched"/>
      <sheetName val="Informasi"/>
      <sheetName val="Agregat Halus &amp; Kasar"/>
      <sheetName val="Agregat Kelas A"/>
      <sheetName val="Agregat Kelas B"/>
      <sheetName val="Agregat Kelas C"/>
      <sheetName val="Peralatan"/>
      <sheetName val="Harga ALAT"/>
      <sheetName val="Harga UPAH"/>
      <sheetName val="HargaBAHAN"/>
      <sheetName val="Mobilisasi"/>
      <sheetName val="Lalu Lintas"/>
      <sheetName val="div2"/>
      <sheetName val="div3"/>
      <sheetName val="div4"/>
      <sheetName val="div6"/>
      <sheetName val="div7"/>
      <sheetName val="Div.7 (3)"/>
      <sheetName val="Div7 (2)"/>
      <sheetName val="div8"/>
      <sheetName val="Additional"/>
      <sheetName val="MOB"/>
      <sheetName val="Lamp.11"/>
      <sheetName val="Lamp.9"/>
      <sheetName val="Lamp.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-PROP"/>
      <sheetName val="BILL"/>
      <sheetName val="AC"/>
      <sheetName val="SEX"/>
      <sheetName val="struktur tdk dipakai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"/>
      <sheetName val="K.TambahAC"/>
      <sheetName val="FH"/>
      <sheetName val="K.TambahFH"/>
      <sheetName val="Pipe"/>
      <sheetName val="valve"/>
      <sheetName val="valve 16k"/>
      <sheetName val="ASS-PL"/>
      <sheetName val="Fitting"/>
      <sheetName val="Ana duct"/>
      <sheetName val="Hsd Duct"/>
      <sheetName val="Grille"/>
      <sheetName val="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-Curve (3)"/>
      <sheetName val="mob"/>
      <sheetName val="AHS Marka"/>
      <sheetName val="AHS Aspal"/>
      <sheetName val="Estimate"/>
      <sheetName val="Unit Rate"/>
      <sheetName val="QMSL _ QPASS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I-KAMAR"/>
      <sheetName val="Kuantitas &amp; Harga"/>
      <sheetName val="BAHAN"/>
      <sheetName val="SBDY"/>
      <sheetName val="DIV.3"/>
      <sheetName val="ALAT"/>
      <sheetName val="HARGA DASAR"/>
      <sheetName val="DIV.8"/>
      <sheetName val="DIV.9"/>
    </sheetNames>
    <sheetDataSet>
      <sheetData sheetId="0">
        <row r="1">
          <cell r="B1" t="str">
            <v xml:space="preserve">ESTIMASI KEBUTUHAN ITEM PEKERJAAN </v>
          </cell>
        </row>
        <row r="13">
          <cell r="AG13">
            <v>0.38240677369939635</v>
          </cell>
        </row>
        <row r="14">
          <cell r="AG14">
            <v>0</v>
          </cell>
        </row>
        <row r="15">
          <cell r="AG15">
            <v>1.2722945197893254</v>
          </cell>
        </row>
        <row r="16">
          <cell r="AG16">
            <v>1.4353697793988909</v>
          </cell>
        </row>
        <row r="17">
          <cell r="AG17">
            <v>0</v>
          </cell>
        </row>
        <row r="18">
          <cell r="AG18">
            <v>25.441618365588532</v>
          </cell>
        </row>
        <row r="19">
          <cell r="AG19">
            <v>4.416798236228028E-3</v>
          </cell>
        </row>
        <row r="20">
          <cell r="AG20">
            <v>2.2065271936683089</v>
          </cell>
        </row>
        <row r="21">
          <cell r="AG21">
            <v>5.9890421185510599E-2</v>
          </cell>
        </row>
        <row r="22">
          <cell r="AG2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p"/>
      <sheetName val="Sheet1"/>
      <sheetName val="harsat"/>
      <sheetName val="AN BONGKARAN"/>
      <sheetName val="ANALISA"/>
      <sheetName val="AN kusen"/>
      <sheetName val="AN beton"/>
      <sheetName val="REKAP"/>
      <sheetName val="upah bahan"/>
      <sheetName val="RAB BONGKARAN"/>
      <sheetName val="bq tam-penghub"/>
      <sheetName val="RAB AR&amp;STR"/>
      <sheetName val="RAB M&amp;E"/>
      <sheetName val="RAB AR_STR"/>
      <sheetName val="rekap_rap"/>
      <sheetName val="AN_BONGKARAN"/>
      <sheetName val="AN_kusen"/>
      <sheetName val="AN_beton"/>
      <sheetName val="upah_bahan"/>
      <sheetName val="RAB_BONGKARAN"/>
      <sheetName val="bq_tam-penghub"/>
      <sheetName val="RAB_AR&amp;STR"/>
      <sheetName val="RAB_M&amp;E"/>
      <sheetName val="RAB_AR_STR"/>
      <sheetName val="Listrik"/>
      <sheetName val="Pag_hal"/>
      <sheetName val="Bill No 6 Koord &amp; Attendance"/>
      <sheetName val="Isolasi Luar Dalam"/>
      <sheetName val="Isolasi Luar"/>
      <sheetName val="AC"/>
      <sheetName val="COVERUSRP"/>
      <sheetName val="SITE"/>
      <sheetName val="ESCOND"/>
      <sheetName val="BQUSRP"/>
      <sheetName val="H.Satuan"/>
      <sheetName val="BQ Kantor&amp;Pabrik(beton)"/>
      <sheetName val="AnalisaSIPIL RIIL"/>
      <sheetName val="Upah"/>
      <sheetName val="analis azaa"/>
      <sheetName val="SAP"/>
      <sheetName val="SEX"/>
      <sheetName val="BAG-2"/>
      <sheetName val="tifico"/>
      <sheetName val="RAP"/>
      <sheetName val="Analisa ARS"/>
      <sheetName val="I-KAMAR"/>
      <sheetName val="I_KAMAR"/>
      <sheetName val="DAF-1"/>
      <sheetName val="ESCON"/>
      <sheetName val="rekap.c"/>
      <sheetName val="rekap_rap1"/>
      <sheetName val="AN_BONGKARAN1"/>
      <sheetName val="AN_kusen1"/>
      <sheetName val="AN_beton1"/>
      <sheetName val="upah_bahan1"/>
      <sheetName val="RAB_BONGKARAN1"/>
      <sheetName val="bq_tam-penghub1"/>
      <sheetName val="RAB_AR&amp;STR1"/>
      <sheetName val="RAB_M&amp;E1"/>
      <sheetName val="RAB_AR_STR1"/>
      <sheetName val="Bill_No_6_Koord_&amp;_Attendance"/>
      <sheetName val="Isolasi_Luar_Dalam"/>
      <sheetName val="Isolasi_Luar"/>
      <sheetName val="BQ_Kantor&amp;Pabrik(beton)"/>
      <sheetName val="AnalisaSIPIL_RIIL"/>
      <sheetName val="analis_azaa"/>
      <sheetName val="H_Satuan"/>
      <sheetName val="01A- RAB"/>
      <sheetName val="BQ"/>
      <sheetName val="HRG BHN"/>
      <sheetName val="jadw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RAB AR&amp;STR"/>
      <sheetName val="B - Norelec"/>
      <sheetName val="[BQ-FORM.xl턐ワ_x0000__x0000__x0000_"/>
      <sheetName val="[BQ-FORM.xl_x0006__x0000_۸ݼ࢈"/>
      <sheetName val="[BQ-FORM.xl턐ワ???"/>
      <sheetName val="[BQ-FORM.xl_x0006_?۸ݼ࢈"/>
      <sheetName val="I-KAMAR"/>
      <sheetName val="_BQ-FORM.xl턐ワ"/>
      <sheetName val="_BQ-FORM.xl_x0006_"/>
      <sheetName val="AC"/>
      <sheetName val="RAB_AR&amp;STR"/>
      <sheetName val="B_-_Norelec"/>
      <sheetName val="[BQ-FORM_xl턐ワ"/>
      <sheetName val="[BQ-FORM_xl۸ݼ࢈"/>
      <sheetName val="[BQ-FORM_xl턐ワ???"/>
      <sheetName val="[BQ-FORM_xl?۸ݼ࢈"/>
      <sheetName val="_BQ-FORM_xl턐ワ"/>
      <sheetName val="_BQ-FORM_xl"/>
      <sheetName val="_BQ-FORM.xl턐ワ___"/>
      <sheetName val="_BQ-FORM.xl_x0006__۸ݼ࢈"/>
      <sheetName val="hardas"/>
      <sheetName val="DSBDY"/>
      <sheetName val="analisa"/>
      <sheetName val="[BQ-FORM.xl턐ワ_x005f_x0000__x005f_x0000__x00"/>
      <sheetName val="[BQ-FORM.xl_x005f_x0006__x005f_x0000_۸ݼ࢈"/>
      <sheetName val="BoQ"/>
      <sheetName val="_BQ-FORM.xl턐ワ_x005f_x0000__x005f_x0000__x00"/>
      <sheetName val="_BQ-FORM.xl_x005f_x0006__x005f_x0000_۸ݼ࢈"/>
      <sheetName val="_BQ-FORM_xl۸ݼ࢈"/>
      <sheetName val="_BQ-FORM_xl턐ワ___"/>
      <sheetName val="_BQ-FORM_xl_۸ݼ࢈"/>
      <sheetName val="_BQ-FORM.xl_x005f_x0006__۸ݼ࢈"/>
      <sheetName val="_BQ-FORM.xl_x005f_x0006_"/>
      <sheetName val="Cover Daf-2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Pipe"/>
      <sheetName val="A"/>
      <sheetName val="_BQ-FORM.xl___x005f_x0000__x005f_x0000__x00"/>
      <sheetName val="_BQ-FORM_xl__"/>
      <sheetName val="_BQ-FORM_xl___"/>
      <sheetName val="_BQ-FORM_xl_____"/>
      <sheetName val="_BQ-FORM_xl____"/>
      <sheetName val="str-Rab"/>
      <sheetName val="_BQ-FORM.xl_x005f_x0006_____"/>
      <sheetName val="_BQ-FORM.xl턐ワ_帐ᾚ"/>
      <sheetName val="_BQ-FORM.xl_x0006__Ổ__"/>
      <sheetName val="概総括1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5f_x005f_x0000__x005"/>
      <sheetName val="_BQ-FORM.xl_x005f_x005f_x005f_x0006__x005f_x005f_"/>
      <sheetName val="-FORM.xl___x005f_x005f_x005f_x0000__x005f_x005f_x"/>
      <sheetName val="_BQ-FORM.xl_x005f_x005f_x005f_x0006__۸ݼ࢈"/>
      <sheetName val="_BQ-FORM.xl_x005f_x005f_x005f_x0006_"/>
      <sheetName val="[BQ-FORM.xl_x005f_x0006_?۸ݼ࢈"/>
      <sheetName val="[BQ-FORM.xl턐ワ_x0000_帐ᾚ"/>
      <sheetName val="[BQ-FORM.xl_x0006__x0000_Ổ_x0000__x0000_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[BQ-FORM.xl턐ワ?帐ᾚ"/>
      <sheetName val="[BQ-FORM.xl_x0006_?Ổ??"/>
      <sheetName val="[BQ-FORM.xl??_x0000_??"/>
      <sheetName val="[BQ-FORM.xl_x0006__x0000_?_x0000__x0000_"/>
      <sheetName val="Cash Flow bulanan"/>
      <sheetName val="EE-PROP"/>
      <sheetName val="[BQ-FORM.xl턐ワ_x005f_x005f_x005f_x0000__x005"/>
      <sheetName val="[BQ-FORM.xl_x005f_x005f_x005f_x0006__x005f_x005f_"/>
      <sheetName val="[BQ-FORM.xl턐ワ_x0000_"/>
      <sheetName val="RAB_AR&amp;STR1"/>
      <sheetName val="B_-_Norelec1"/>
      <sheetName val="[BQ-FORM_xl턐ワ???1"/>
      <sheetName val="_BQ-FORM_xl턐ワ1"/>
      <sheetName val="_BQ-FORM_xl턐ワ___1"/>
      <sheetName val="[BQ-FORM_xl턐ワ_x005f_x0000__x005f_x0000__x00"/>
      <sheetName val="[BQ-FORM_xl_x005f_x0006__x005f_x0000_۸ݼ࢈"/>
      <sheetName val="[BQ-FORM_xl?????1"/>
      <sheetName val="_BQ-FORM_xl??1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_x005f_x0006__۸ݼ࢈"/>
      <sheetName val="_BQ-FORM_xl_x005f_x0006_"/>
      <sheetName val="Cover_Daf-2"/>
      <sheetName val="_BQ-FORM_xl턐ワ_x005f_x005f_x005f_x0000__x005"/>
      <sheetName val="_BQ-FORM_xl_x005f_x005f_x005f_x0006__x005f_x005f_"/>
      <sheetName val="_BQ-FORM_xl___x005f_x0000__x005f_x0000__x00"/>
      <sheetName val="_BQ-FORM_xl_x005f_x0006__x005f_x0000____"/>
      <sheetName val="_BQ-FORM_xl_____1"/>
      <sheetName val="_BQ-FORM_xl_x005f_x0006_____"/>
      <sheetName val="_BQ-FORM_xl__1"/>
      <sheetName val="-FORM_xl___x005f_x005f_x005f_x0000__x005f_x005f_x"/>
      <sheetName val="_BQ-FORM_xl_x005f_x005f_x005f_x0006__۸ݼ࢈"/>
      <sheetName val="_BQ-FORM_xl_x005f_x005f_x005f_x0006_"/>
      <sheetName val="[BQ-FORM_xl_x005f_x0006_?۸ݼ࢈"/>
      <sheetName val="[BQ-FORM_xl턐ワ帐ᾚ"/>
      <sheetName val="[BQ-FORM_xlỔ"/>
      <sheetName val="_BQ-FORM_xl??_x005f_x0000__x005f_x0000__x00"/>
      <sheetName val="_BQ-FORM_xl_x005f_x0006__x005f_x0000_???"/>
      <sheetName val="_BQ-FORM_xl??___1"/>
      <sheetName val="_BQ-FORM_xl_x005f_x0006__???"/>
      <sheetName val="[BQ-FORM_xl??_x005f_x0000__x005f_x0000__x00"/>
      <sheetName val="[BQ-FORM_xl_x005f_x0006_????"/>
      <sheetName val="[BQ-FORM_xl턐ワ?帐ᾚ"/>
      <sheetName val="[BQ-FORM_xl?Ổ??"/>
      <sheetName val="[BQ-FORM_xl?"/>
      <sheetName val="-FORM_xl___x005f_x0000__x005f_x0000__x005f_x0000_"/>
      <sheetName val="_BQ-FORM_xl턐ワ_帐ᾚ"/>
      <sheetName val="_BQ-FORM_xl_Ổ__"/>
      <sheetName val="Cash_Flow_bulanan"/>
      <sheetName val="PROCURE"/>
      <sheetName val="[BQ-FORM.xl턐ワ?"/>
      <sheetName val="???1"/>
      <sheetName val="_BQ-FORM.xl턐ワ_x005f_x005f_x005f_x005f_x005f"/>
      <sheetName val="_BQ-FORM.xl_x005f_x005f_x005f_x005f_x005f_x005f_x"/>
      <sheetName val="_BQ-FORM.xl___x005f_x005f_x005f_x0000__x005"/>
      <sheetName val="_BQ-FORM.xl_x005f_x005f_x005f_x0006_____"/>
      <sheetName val="-FORM.xl___x005f_x005f_x005f_x005f_x005f_x005f_x0"/>
      <sheetName val="_BQ-FORM.xl턐ワ_x005f_x0000_帐ᾚ"/>
      <sheetName val="_BQ-FORM.xl_x005f_x0006__x005f_x0000_Ổ_x000"/>
      <sheetName val="_BQ-FORM.xl_x005f_x0006__Ổ__"/>
      <sheetName val="_BQ-FORM.xl___x005f_x0000___"/>
      <sheetName val="_BQ-FORM.xl_x005f_x0006__x005f_x0000___x000"/>
      <sheetName val="_BQ-FORM.xl턐ワ_x005f_x0000_"/>
      <sheetName val="OP. ALAT"/>
      <sheetName val="OP. PERJAM"/>
      <sheetName val="B. PERSONIL"/>
      <sheetName val="KAN. LOKAL"/>
      <sheetName val="Perm. Test"/>
      <sheetName val="[BQ-FORM.xl턐ワ_x0000_ҡ"/>
      <sheetName val="[BQ-FORM.xl_x0006__x0000__x0000__x0000__x0000_"/>
      <sheetName val="___1"/>
      <sheetName val="_BQ-FORM.xl??_??"/>
      <sheetName val="_BQ-FORM.xl_x0006__?__"/>
      <sheetName val="[BQ-FORM.xl??_x0000_"/>
      <sheetName val="[BQ-FORM.xl???"/>
      <sheetName val="H.Satu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  <sheetName val="HB "/>
      <sheetName val="Rincian"/>
      <sheetName val="Material"/>
      <sheetName val="ESCON"/>
      <sheetName val="listplank"/>
      <sheetName val="sanitary"/>
      <sheetName val="instalasi air bersih"/>
      <sheetName val="instalasi air kotor_bekas"/>
      <sheetName val="paving"/>
      <sheetName val="jadw"/>
      <sheetName val="I-KAMAR"/>
      <sheetName val="I_KAMAR"/>
      <sheetName val="daffin"/>
      <sheetName val="BQ"/>
      <sheetName val="anal"/>
      <sheetName val="TE TS FA LAN MATV"/>
      <sheetName val="ANALISA"/>
      <sheetName val="s-curve BP05 (7)"/>
      <sheetName val="HASAT"/>
      <sheetName val="VAC-1"/>
      <sheetName val="AC"/>
      <sheetName val="Menu"/>
      <sheetName val="Daf Harga"/>
      <sheetName val="Bill"/>
      <sheetName val="Rekap Bill"/>
      <sheetName val="An_ Harga"/>
      <sheetName val="Rekap Addendum"/>
      <sheetName val="SAP"/>
      <sheetName val="A"/>
      <sheetName val="AHS"/>
      <sheetName val="Rate"/>
      <sheetName val="r.tank"/>
      <sheetName val="prelim"/>
      <sheetName val="STR"/>
      <sheetName val="H.Satuan"/>
      <sheetName val="TJ1Q47"/>
      <sheetName val="harga bahan"/>
      <sheetName val="harga "/>
      <sheetName val="Sheet9"/>
      <sheetName val="RAB_KL"/>
      <sheetName val="Rekap RAB_Amd"/>
      <sheetName val="RAB_Amd"/>
      <sheetName val="REKAP_Dftr_Kuan_Hrg_Amd"/>
      <sheetName val="Dftr_Kuan_Hrg Amd"/>
      <sheetName val="Rekap"/>
      <sheetName val="Rekapitulasi"/>
      <sheetName val="Py.Schedule"/>
      <sheetName val="UPAH&amp;BHN"/>
      <sheetName val="ahs_utama"/>
      <sheetName val="boq"/>
      <sheetName val="bahan-mos"/>
      <sheetName val="Urai _Resap pengikat"/>
      <sheetName val="SAT-BHN"/>
      <sheetName val=" "/>
      <sheetName val="내역표지"/>
      <sheetName val="TOWN"/>
      <sheetName val="Bill_1_VAC_Supply_A"/>
      <sheetName val="PROTECTION "/>
      <sheetName val="Hrg.Sat"/>
      <sheetName val="Hsatuan-OK"/>
      <sheetName val="struktur tdk dipakai"/>
      <sheetName val="BAG_2"/>
      <sheetName val="Jadwal"/>
      <sheetName val="RAB MEK 15 M MB "/>
      <sheetName val="Mat.Mek"/>
      <sheetName val="Duct"/>
      <sheetName val="OHD"/>
      <sheetName val="ahsAC"/>
      <sheetName val="EE-PROP"/>
      <sheetName val="D_6"/>
      <sheetName val="D_7"/>
      <sheetName val="Bill.1.VAC-Supply-A"/>
      <sheetName val="ttn"/>
      <sheetName val="TOTAL RKP "/>
      <sheetName val="bau"/>
      <sheetName val="Basic Price"/>
      <sheetName val="61004"/>
      <sheetName val="61005"/>
      <sheetName val="61006"/>
      <sheetName val="61007"/>
      <sheetName val="61008"/>
      <sheetName val="RAB AR&amp;STR"/>
      <sheetName val="ANALISA PEK.UMUM"/>
      <sheetName val="BAHAN"/>
      <sheetName val="ANALISA KONST BTN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maker"/>
      <sheetName val="scope"/>
      <sheetName val="bq"/>
      <sheetName val="PRO"/>
      <sheetName val="SUMPRO"/>
      <sheetName val="sex"/>
      <sheetName val="dbp-0601"/>
      <sheetName val="GTS I PS"/>
      <sheetName val="RAB"/>
      <sheetName val="대비표"/>
      <sheetName val="L-TIGA"/>
      <sheetName val="LOADDAT"/>
      <sheetName val="Man Power &amp; Comp"/>
      <sheetName val="SAP"/>
      <sheetName val="BQ AC- SEMANAN"/>
      <sheetName val="I-KAMAR"/>
      <sheetName val="I_KAMAR"/>
      <sheetName val="boq"/>
      <sheetName val="Cash Flow bulanan"/>
      <sheetName val="AFORM-BQR"/>
      <sheetName val="Currency Rate"/>
      <sheetName val="BOW"/>
      <sheetName val="GTS_I_PS"/>
      <sheetName val="BQ_AC-_SEMANAN"/>
      <sheetName val="Currency_Rate"/>
      <sheetName val="capacity"/>
      <sheetName val="Man power"/>
      <sheetName val="AC"/>
      <sheetName val="Menu"/>
      <sheetName val="Daf Harga"/>
      <sheetName val="Bill"/>
      <sheetName val="Rekap Bill"/>
      <sheetName val="An_ Harga"/>
      <sheetName val="STR"/>
      <sheetName val="p_luar"/>
      <sheetName val="fin SB"/>
      <sheetName val="FIN PARKIR"/>
      <sheetName val="RINC FIN T4 "/>
      <sheetName val="daffin"/>
      <sheetName val="hrg dasar"/>
      <sheetName val="RINC FIN T4  _3_"/>
      <sheetName val="RINC FIN T4  _2_"/>
      <sheetName val="Cash2"/>
      <sheetName val="Z"/>
      <sheetName val="L-Mechanical"/>
      <sheetName val="AHAS1"/>
      <sheetName val="Basic Price"/>
      <sheetName val="Agregat Halus _ Kasar"/>
      <sheetName val="Peralatan"/>
      <sheetName val="div 8"/>
      <sheetName val="div 2"/>
      <sheetName val="div 3"/>
      <sheetName val="div 4"/>
      <sheetName val="div 5"/>
      <sheetName val="div 6"/>
      <sheetName val="div 7"/>
      <sheetName val="div 9"/>
      <sheetName val="L4_PemelRutin"/>
      <sheetName val="Rekap Biaya"/>
      <sheetName val="Informasi"/>
      <sheetName val="Rek_SA"/>
      <sheetName val="ES_T_B_C"/>
      <sheetName val="Bill.1.VAC-Supply-A"/>
      <sheetName val="Markup"/>
      <sheetName val="GTS_I_PS1"/>
      <sheetName val="BQ_AC-_SEMANAN1"/>
      <sheetName val="Currency_Rate1"/>
      <sheetName val="Rekap Addendum"/>
      <sheetName val="BAG_2"/>
      <sheetName val="INDEKS"/>
      <sheetName val="JABATAN"/>
      <sheetName val="DATA"/>
      <sheetName val="BANGUNAN PENUNJANG"/>
      <sheetName val="dasboard"/>
      <sheetName val="AHS_Kusen"/>
      <sheetName val="harsat&amp;upah"/>
      <sheetName val="Plat"/>
      <sheetName val="HARSAT"/>
      <sheetName val="GTS_I_PS2"/>
      <sheetName val="BQ_AC-_SEMANAN2"/>
      <sheetName val="Currency_Rate2"/>
      <sheetName val="Man_power"/>
      <sheetName val="Listrik"/>
      <sheetName val="Cover"/>
      <sheetName val="TOTAL"/>
      <sheetName val="Harsat Bahan"/>
      <sheetName val="Harsat Upah"/>
      <sheetName val="r.tank"/>
      <sheetName val="prelim"/>
      <sheetName val="BQ ARS"/>
      <sheetName val="SAT-BHN"/>
      <sheetName val="A"/>
      <sheetName val="TENAGA"/>
      <sheetName val="tifico"/>
      <sheetName val="Analisa"/>
      <sheetName val="F ALARM"/>
      <sheetName val="Rekapitulasi"/>
      <sheetName val="Rekap RAB_kl"/>
      <sheetName val="RAB_KL"/>
      <sheetName val="Rekap RAB_Amd"/>
      <sheetName val="RAB_Amd"/>
      <sheetName val="REKAP_Dftr_Kuan_Hrg_Amd"/>
      <sheetName val="Dftr_Kuan_Hrg Amd"/>
      <sheetName val="Kolom UT"/>
      <sheetName val="Perhit.Alat"/>
      <sheetName val="Urai _Resap pengikat"/>
      <sheetName val="STAF"/>
      <sheetName val="安装"/>
      <sheetName val="Public Area"/>
      <sheetName val="Material"/>
      <sheetName val="Daf 1"/>
      <sheetName val="VAC-1"/>
      <sheetName val="磨煤加压"/>
      <sheetName val="RAB-ME"/>
      <sheetName val="H.Satuan"/>
      <sheetName val="struktur tdk dipakai"/>
      <sheetName val="schalt"/>
      <sheetName val="schtng"/>
      <sheetName val="schbhn"/>
      <sheetName val="luar Apart"/>
      <sheetName val="Anal"/>
      <sheetName val="RAB-NEGO"/>
      <sheetName val="Bill rekap"/>
      <sheetName val="jadw"/>
      <sheetName val="BM"/>
      <sheetName val="BID"/>
      <sheetName val="luar"/>
      <sheetName val="RINC hotel"/>
      <sheetName val="PROTECTION "/>
      <sheetName val="bahan-mos"/>
      <sheetName val="Ch"/>
      <sheetName val="SDY"/>
      <sheetName val="Perhitungan RAB"/>
      <sheetName val="Rencana Anggaran Biaya"/>
      <sheetName val="Harga Satuan"/>
      <sheetName val="Hitung"/>
      <sheetName val="MP-PLAN"/>
      <sheetName val="EE-PROP"/>
      <sheetName val="Kanan"/>
      <sheetName val="ANA"/>
      <sheetName val="Perm. Test"/>
      <sheetName val="N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79">
          <cell r="T179">
            <v>205</v>
          </cell>
          <cell r="U179">
            <v>218</v>
          </cell>
          <cell r="V179">
            <v>302</v>
          </cell>
          <cell r="W179">
            <v>419</v>
          </cell>
          <cell r="X179">
            <v>433</v>
          </cell>
          <cell r="Y179">
            <v>430</v>
          </cell>
          <cell r="Z179">
            <v>494</v>
          </cell>
          <cell r="AA179">
            <v>520</v>
          </cell>
          <cell r="AB179">
            <v>522</v>
          </cell>
          <cell r="AC179">
            <v>508</v>
          </cell>
          <cell r="AD179">
            <v>581</v>
          </cell>
          <cell r="AE179">
            <v>524</v>
          </cell>
          <cell r="AF179">
            <v>526</v>
          </cell>
          <cell r="AG179">
            <v>502</v>
          </cell>
          <cell r="AH179">
            <v>248</v>
          </cell>
        </row>
        <row r="180">
          <cell r="T180">
            <v>205</v>
          </cell>
          <cell r="U180">
            <v>423</v>
          </cell>
          <cell r="V180">
            <v>725</v>
          </cell>
          <cell r="W180">
            <v>1144</v>
          </cell>
          <cell r="X180">
            <v>1577</v>
          </cell>
          <cell r="Y180">
            <v>2007</v>
          </cell>
          <cell r="Z180">
            <v>2501</v>
          </cell>
          <cell r="AA180">
            <v>3021</v>
          </cell>
          <cell r="AB180">
            <v>3543</v>
          </cell>
          <cell r="AC180">
            <v>4051</v>
          </cell>
          <cell r="AD180">
            <v>4632</v>
          </cell>
          <cell r="AE180">
            <v>5156</v>
          </cell>
          <cell r="AF180">
            <v>5682</v>
          </cell>
          <cell r="AG180">
            <v>6184</v>
          </cell>
          <cell r="AH180">
            <v>6432</v>
          </cell>
        </row>
      </sheetData>
      <sheetData sheetId="25" refreshError="1"/>
      <sheetData sheetId="26" refreshError="1"/>
      <sheetData sheetId="27" refreshError="1">
        <row r="16">
          <cell r="G16">
            <v>3100889.7360623879</v>
          </cell>
          <cell r="J16">
            <v>-3100889.7360623879</v>
          </cell>
          <cell r="K16">
            <v>-3100889.7360623879</v>
          </cell>
        </row>
        <row r="17">
          <cell r="J17">
            <v>3270260.8906708667</v>
          </cell>
          <cell r="K17">
            <v>169371.15460847877</v>
          </cell>
        </row>
        <row r="18">
          <cell r="J18">
            <v>-441747.35457777925</v>
          </cell>
          <cell r="K18">
            <v>-272376.19996930048</v>
          </cell>
        </row>
        <row r="19">
          <cell r="J19">
            <v>-565829.35575965873</v>
          </cell>
          <cell r="K19">
            <v>-838205.55572895915</v>
          </cell>
        </row>
        <row r="20">
          <cell r="J20">
            <v>-339427.47117581428</v>
          </cell>
          <cell r="K20">
            <v>-1177633.0269047734</v>
          </cell>
        </row>
        <row r="21">
          <cell r="J21">
            <v>-96645.766817710944</v>
          </cell>
          <cell r="K21">
            <v>-1274278.7937224843</v>
          </cell>
        </row>
        <row r="22">
          <cell r="J22">
            <v>-43686.328851310071</v>
          </cell>
          <cell r="K22">
            <v>-1317965.1225737943</v>
          </cell>
        </row>
        <row r="23">
          <cell r="J23">
            <v>-157770.37578145368</v>
          </cell>
          <cell r="K23">
            <v>-1475735.498355248</v>
          </cell>
        </row>
        <row r="24">
          <cell r="J24">
            <v>-31904.301259564934</v>
          </cell>
          <cell r="K24">
            <v>-1507639.7996148129</v>
          </cell>
        </row>
        <row r="25">
          <cell r="J25">
            <v>32340.963578523137</v>
          </cell>
          <cell r="K25">
            <v>-1475298.8360362898</v>
          </cell>
        </row>
        <row r="26">
          <cell r="J26">
            <v>106535.03291010531</v>
          </cell>
          <cell r="K26">
            <v>-1368763.8031261845</v>
          </cell>
        </row>
        <row r="27">
          <cell r="J27">
            <v>-1645.5875842371024</v>
          </cell>
          <cell r="K27">
            <v>-1370409.3907104216</v>
          </cell>
        </row>
        <row r="28">
          <cell r="J28">
            <v>294415.34818107402</v>
          </cell>
          <cell r="K28">
            <v>-1075994.0425293476</v>
          </cell>
        </row>
        <row r="29">
          <cell r="J29">
            <v>-78134.719742490212</v>
          </cell>
          <cell r="K29">
            <v>-1154128.7622718378</v>
          </cell>
        </row>
        <row r="30">
          <cell r="J30">
            <v>32326.792100662133</v>
          </cell>
          <cell r="K30">
            <v>-1121801.9701711757</v>
          </cell>
        </row>
        <row r="31">
          <cell r="J31">
            <v>463798.22697295237</v>
          </cell>
          <cell r="K31">
            <v>-658003.7431982233</v>
          </cell>
        </row>
        <row r="32">
          <cell r="J32">
            <v>607947.97597508598</v>
          </cell>
          <cell r="K32">
            <v>-50055.767223137314</v>
          </cell>
        </row>
        <row r="33">
          <cell r="J33">
            <v>0</v>
          </cell>
          <cell r="K33">
            <v>-50055.767223137314</v>
          </cell>
        </row>
        <row r="34">
          <cell r="J34">
            <v>0</v>
          </cell>
          <cell r="K34">
            <v>-50055.767223137314</v>
          </cell>
        </row>
        <row r="35">
          <cell r="J35">
            <v>1051161.6616859552</v>
          </cell>
          <cell r="K35">
            <v>1001105.8944628179</v>
          </cell>
        </row>
        <row r="36">
          <cell r="J36">
            <v>0</v>
          </cell>
          <cell r="K36">
            <v>1001105.8944628179</v>
          </cell>
        </row>
      </sheetData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v2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BILL (2)"/>
      <sheetName val="BILL"/>
      <sheetName val="Item1"/>
      <sheetName val="Item2"/>
      <sheetName val="Item4-5"/>
      <sheetName val="Item3"/>
      <sheetName val="Proses"/>
      <sheetName val="Alat DC"/>
      <sheetName val="Item6"/>
      <sheetName val="Item7"/>
      <sheetName val="Item8"/>
      <sheetName val="Item9"/>
      <sheetName val="Item10"/>
      <sheetName val="H.Satuan"/>
      <sheetName val="Jam Al Myr Item"/>
      <sheetName val="Jam Alat"/>
      <sheetName val="Jarak"/>
      <sheetName val="Tim &amp; Loc"/>
      <sheetName val="Gorong-2"/>
      <sheetName val="Pas-batu"/>
      <sheetName val="Ang Qua"/>
      <sheetName val="Franco BC"/>
      <sheetName val="Alat Qua."/>
      <sheetName val="crushing_pro"/>
      <sheetName val="hauling_pro"/>
      <sheetName val="mix_pro"/>
      <sheetName val="spread_pro"/>
      <sheetName val="kapasitas"/>
      <sheetName val="Sum"/>
      <sheetName val="HATSAT-KUDUS"/>
      <sheetName val="H_Satuan"/>
      <sheetName val="DC AM-02(baru)"/>
      <sheetName val="escon"/>
      <sheetName val="Cash Flow bulanan"/>
      <sheetName val="Kolom ABCDG vGI"/>
      <sheetName val="AN Tdr"/>
      <sheetName val="FINISHING"/>
      <sheetName val="GIP"/>
      <sheetName val="HM.MEK."/>
      <sheetName val="PVC"/>
      <sheetName val="P.UTMA"/>
      <sheetName val="GV10k"/>
      <sheetName val="KITZ"/>
      <sheetName val="U,Psg.pipa"/>
      <sheetName val="HS.KITZ"/>
      <sheetName val="TE TS FA LAN MATV"/>
      <sheetName val="DivVII"/>
      <sheetName val="satpek"/>
      <sheetName val="I-KAMAR"/>
      <sheetName val="HARSAT"/>
      <sheetName val="Hitung"/>
      <sheetName val="Analisa"/>
      <sheetName val="Rencana Anggaran Biaya"/>
      <sheetName val="MAP2"/>
      <sheetName val="rab"/>
      <sheetName val="61008"/>
      <sheetName val="MAP"/>
      <sheetName val="anal-mpu"/>
      <sheetName val="Bhn"/>
      <sheetName val="bahan+upah"/>
      <sheetName val="Harga Material"/>
      <sheetName val="Harga Bahan &amp; Upah "/>
      <sheetName val="Harga Satuan"/>
      <sheetName val="AC"/>
      <sheetName val="4-MVAC"/>
      <sheetName val="BQ"/>
      <sheetName val="I_KAMAR"/>
      <sheetName val="VAC-1"/>
      <sheetName val="Currency Rate"/>
      <sheetName val="304-06"/>
      <sheetName val="Penjumlahan"/>
      <sheetName val="RAB_KL"/>
      <sheetName val="Rekap RAB_Amd"/>
      <sheetName val="RAB_Amd"/>
      <sheetName val="REKAP_Dftr_Kuan_Hrg_Amd"/>
      <sheetName val="Dftr_Kuan_Hrg Amd"/>
      <sheetName val="BAG_2"/>
      <sheetName val="str"/>
      <sheetName val="me"/>
      <sheetName val="total"/>
      <sheetName val="HARGADASAR"/>
      <sheetName val="Rkp"/>
      <sheetName val="REKAP A BESAR"/>
      <sheetName val="대비표"/>
      <sheetName val="COMM"/>
      <sheetName val="FINAL"/>
      <sheetName val="95삼성급(본사)"/>
      <sheetName val="SAP"/>
      <sheetName val="Sheet2"/>
      <sheetName val="LOADDAT"/>
      <sheetName val="BILL_(2)"/>
      <sheetName val="Alat_DC"/>
      <sheetName val="H_Satuan1"/>
      <sheetName val="Jam_Al_Myr_Item"/>
      <sheetName val="Jam_Alat"/>
      <sheetName val="Tim_&amp;_Loc"/>
      <sheetName val="Ang_Qua"/>
      <sheetName val="Franco_BC"/>
      <sheetName val="Alat_Qua_"/>
      <sheetName val="Analisa_Harga_Satuan"/>
      <sheetName val="TE_TS_FA_LAN_MATV"/>
      <sheetName val="Bangunan_Utama"/>
      <sheetName val="Analisa_2"/>
      <sheetName val="Daftar_Harga"/>
      <sheetName val="Daftar_Upah"/>
      <sheetName val="Material"/>
      <sheetName val="Koefisien"/>
      <sheetName val="Rekap"/>
      <sheetName val="Upah"/>
      <sheetName val="Harga_Satuan"/>
      <sheetName val="D7(1)"/>
      <sheetName val="BOQ"/>
      <sheetName val="5-ALAT(1)"/>
      <sheetName val="4-Basic Price"/>
      <sheetName val="61007"/>
      <sheetName val="dashboard VERSI BATUBARA"/>
      <sheetName val="inves alat"/>
      <sheetName val="Estimate"/>
      <sheetName val="schtng"/>
      <sheetName val="schbhn"/>
      <sheetName val="schalt"/>
      <sheetName val="BAG-2"/>
      <sheetName val="struktur tdk dipakai"/>
      <sheetName val="met bab3"/>
      <sheetName val="anal bab8"/>
      <sheetName val="Rumus"/>
      <sheetName val="61006"/>
      <sheetName val="Klad Bank BNI"/>
      <sheetName val="CH"/>
      <sheetName val="AHS_LAL"/>
      <sheetName val="Bahan "/>
      <sheetName val="Analisa "/>
      <sheetName val="BQ Utama "/>
      <sheetName val="Upah "/>
      <sheetName val="PRY01-1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TI"/>
      <sheetName val="coba"/>
      <sheetName val="DASHBOARD"/>
      <sheetName val="daftar"/>
      <sheetName val="Penawaran"/>
      <sheetName val="Surat"/>
      <sheetName val="JO"/>
      <sheetName val="Rekap"/>
      <sheetName val="Kuant&amp;Harga"/>
      <sheetName val="Har Sat"/>
      <sheetName val="lamp1"/>
      <sheetName val="lamp2"/>
      <sheetName val="lamp3a"/>
      <sheetName val="lamp4ae"/>
      <sheetName val="Lamp5"/>
      <sheetName val="LAMP7"/>
      <sheetName val="Peralatan"/>
      <sheetName val="subkon"/>
      <sheetName val="Metoda"/>
      <sheetName val="antek"/>
      <sheetName val="CV Teknik"/>
      <sheetName val="Struk Org Proy"/>
      <sheetName val="DafPerson"/>
      <sheetName val="604"/>
      <sheetName val="605"/>
      <sheetName val="6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6">
          <cell r="B66">
            <v>2</v>
          </cell>
        </row>
        <row r="67">
          <cell r="B67">
            <v>3</v>
          </cell>
        </row>
        <row r="68">
          <cell r="B68">
            <v>4</v>
          </cell>
        </row>
        <row r="69">
          <cell r="B69">
            <v>5</v>
          </cell>
        </row>
        <row r="70">
          <cell r="B70">
            <v>6</v>
          </cell>
        </row>
        <row r="71">
          <cell r="B71">
            <v>7</v>
          </cell>
        </row>
        <row r="72">
          <cell r="B72">
            <v>8</v>
          </cell>
        </row>
        <row r="73">
          <cell r="B73">
            <v>9</v>
          </cell>
        </row>
        <row r="74">
          <cell r="B74">
            <v>10</v>
          </cell>
        </row>
        <row r="75">
          <cell r="B75">
            <v>11</v>
          </cell>
        </row>
        <row r="76">
          <cell r="B76">
            <v>12</v>
          </cell>
        </row>
        <row r="77">
          <cell r="B77">
            <v>13</v>
          </cell>
        </row>
        <row r="78">
          <cell r="B78">
            <v>14</v>
          </cell>
        </row>
        <row r="79">
          <cell r="B79">
            <v>15</v>
          </cell>
        </row>
        <row r="80">
          <cell r="B80">
            <v>16</v>
          </cell>
        </row>
        <row r="81">
          <cell r="B81">
            <v>17</v>
          </cell>
        </row>
        <row r="82">
          <cell r="B82">
            <v>18</v>
          </cell>
        </row>
        <row r="83">
          <cell r="B83">
            <v>19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TI"/>
      <sheetName val="coba"/>
      <sheetName val="DASHBOARD"/>
      <sheetName val="daftar"/>
      <sheetName val="Penawaran"/>
      <sheetName val="Surat"/>
      <sheetName val="JO"/>
      <sheetName val="Rekap"/>
      <sheetName val="Kuant&amp;Harga"/>
      <sheetName val="Har Sat"/>
      <sheetName val="lamp1"/>
      <sheetName val="lamp2"/>
      <sheetName val="lamp3a"/>
      <sheetName val="lamp4ae"/>
      <sheetName val="Lamp5"/>
      <sheetName val="LAMP7"/>
      <sheetName val="Peralatan"/>
      <sheetName val="subkon"/>
      <sheetName val="Metoda"/>
      <sheetName val="antek"/>
      <sheetName val="CV Teknik"/>
      <sheetName val="Struk Org Proy"/>
      <sheetName val="DafPerson"/>
      <sheetName val="604"/>
      <sheetName val="605"/>
      <sheetName val="6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6">
          <cell r="B66">
            <v>2</v>
          </cell>
        </row>
        <row r="67">
          <cell r="B67">
            <v>3</v>
          </cell>
        </row>
        <row r="68">
          <cell r="B68">
            <v>4</v>
          </cell>
        </row>
        <row r="69">
          <cell r="B69">
            <v>5</v>
          </cell>
        </row>
        <row r="70">
          <cell r="B70">
            <v>6</v>
          </cell>
        </row>
        <row r="71">
          <cell r="B71">
            <v>7</v>
          </cell>
        </row>
        <row r="72">
          <cell r="B72">
            <v>8</v>
          </cell>
        </row>
        <row r="73">
          <cell r="B73">
            <v>9</v>
          </cell>
        </row>
        <row r="74">
          <cell r="B74">
            <v>10</v>
          </cell>
        </row>
        <row r="75">
          <cell r="B75">
            <v>11</v>
          </cell>
        </row>
        <row r="76">
          <cell r="B76">
            <v>12</v>
          </cell>
        </row>
        <row r="77">
          <cell r="B77">
            <v>13</v>
          </cell>
        </row>
        <row r="78">
          <cell r="B78">
            <v>14</v>
          </cell>
        </row>
        <row r="79">
          <cell r="B79">
            <v>15</v>
          </cell>
        </row>
        <row r="80">
          <cell r="B80">
            <v>16</v>
          </cell>
        </row>
        <row r="81">
          <cell r="B81">
            <v>17</v>
          </cell>
        </row>
        <row r="82">
          <cell r="B82">
            <v>18</v>
          </cell>
        </row>
        <row r="83">
          <cell r="B83">
            <v>19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&amp;Bahan"/>
      <sheetName val="ANALISA"/>
      <sheetName val="Resume"/>
      <sheetName val="RAB "/>
      <sheetName val="Hit Ok"/>
      <sheetName val="REKAP RAB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 NON STD okk"/>
      <sheetName val="HRG BAHAN &amp; UPAH okk"/>
      <sheetName val="Analis Kusen okk"/>
      <sheetName val="Analisa K"/>
      <sheetName val="Analis ME okk"/>
      <sheetName val="REKAP TOTAL BLOK A &amp; BLOK B"/>
      <sheetName val="ANALISA-SNI-BLOK B"/>
      <sheetName val="REKAP_SNI_BLOK B"/>
      <sheetName val="COMPARASI"/>
      <sheetName val="REKAP TOTAL A+B+FASUM "/>
      <sheetName val="REKAP BLOK B"/>
      <sheetName val="BLOK - B1"/>
      <sheetName val="PLUMBING B1"/>
      <sheetName val="ELEKTRIKAL B1"/>
      <sheetName val="PONTEN"/>
      <sheetName val="POS JAGA"/>
      <sheetName val="KTR PENGELOLA"/>
      <sheetName val="PAGAR KEL &amp; BRC"/>
      <sheetName val="PAVING BLOK DAN ASPAL"/>
      <sheetName val="PJU"/>
      <sheetName val="SAMBUNG DAYA"/>
      <sheetName val="DRAINASE"/>
      <sheetName val="FIRE HIDRAN"/>
      <sheetName val="REKAP ME &amp; PLUMBING OK "/>
      <sheetName val="ELEKTRIKAL A+B+C"/>
      <sheetName val="MEKANIKAL LINGKUNGAN"/>
      <sheetName val="MUSHOLLA"/>
      <sheetName val="REKAP BANG. PRASARANA "/>
      <sheetName val="REKAP BLOK C"/>
      <sheetName val="BLOK -C"/>
      <sheetName val="BLOK - B 2"/>
      <sheetName val="PARKIR RODA 2  2 UNIT"/>
      <sheetName val="PARKIR RODA 2  1 UNIT"/>
      <sheetName val="SHELTER"/>
      <sheetName val="DEPO SAMPAH"/>
      <sheetName val="POWER HOUSE"/>
      <sheetName val="pengelompok"/>
      <sheetName val="rekap std M.E"/>
      <sheetName val="RKP BLOK A TDK DIPAKAI"/>
      <sheetName val="BLOK - A OKKK TDK DIPAKAI"/>
      <sheetName val="REKAP TOTAL  "/>
      <sheetName val="REKAP LANSCAPE DRAINAGE"/>
      <sheetName val="rKP PRASARANA YANG DITUNDA"/>
      <sheetName val="REKAP &amp; BAHAN UPAH ME-tdk pake"/>
      <sheetName val="RKP TOT BANG+ME(TDK DIPAKAI)"/>
      <sheetName val="HRG BAHAN _ UPAH okk"/>
      <sheetName val="A"/>
      <sheetName val="HARGA_MAT_NON_STD_okk"/>
      <sheetName val="HRG_BAHAN_&amp;_UPAH_okk"/>
      <sheetName val="Analis_Kusen_okk"/>
      <sheetName val="Analisa_K"/>
      <sheetName val="Analis_ME_okk"/>
      <sheetName val="REKAP_TOTAL_BLOK_A_&amp;_BLOK_B"/>
      <sheetName val="ANALISA-SNI-BLOK_B"/>
      <sheetName val="REKAP_SNI_BLOK_B"/>
      <sheetName val="REKAP_TOTAL_A+B+FASUM_"/>
      <sheetName val="REKAP_BLOK_B"/>
      <sheetName val="BLOK_-_B1"/>
      <sheetName val="PLUMBING_B1"/>
      <sheetName val="ELEKTRIKAL_B1"/>
      <sheetName val="POS_JAGA"/>
      <sheetName val="KTR_PENGELOLA"/>
      <sheetName val="PAGAR_KEL_&amp;_BRC"/>
      <sheetName val="PAVING_BLOK_DAN_ASPAL"/>
      <sheetName val="SAMBUNG_DAYA"/>
      <sheetName val="FIRE_HIDRAN"/>
      <sheetName val="REKAP_ME_&amp;_PLUMBING_OK_"/>
      <sheetName val="ELEKTRIKAL_A+B+C"/>
      <sheetName val="MEKANIKAL_LINGKUNGAN"/>
      <sheetName val="REKAP_BANG__PRASARANA_"/>
      <sheetName val="REKAP_BLOK_C"/>
      <sheetName val="BLOK_-C"/>
      <sheetName val="BLOK_-_B_2"/>
      <sheetName val="PARKIR_RODA_2__2_UNIT"/>
      <sheetName val="PARKIR_RODA_2__1_UNIT"/>
      <sheetName val="DEPO_SAMPAH"/>
      <sheetName val="POWER_HOUSE"/>
      <sheetName val="rekap_std_M_E"/>
      <sheetName val="RKP_BLOK_A_TDK_DIPAKAI"/>
      <sheetName val="BLOK_-_A_OKKK_TDK_DIPAKAI"/>
      <sheetName val="REKAP_TOTAL__"/>
      <sheetName val="REKAP_LANSCAPE_DRAINAGE"/>
      <sheetName val="rKP_PRASARANA_YANG_DITUNDA"/>
      <sheetName val="REKAP_&amp;_BAHAN_UPAH_ME-tdk_pake"/>
      <sheetName val="RKP_TOT_BANG+ME(TDK_DIPAKAI)"/>
      <sheetName val="HRG_BAHAN___UPAH_okk"/>
      <sheetName val="escon"/>
      <sheetName val="QTO-11P"/>
      <sheetName val="Har Sat"/>
      <sheetName val="H.Satuan"/>
      <sheetName val="Analisa"/>
      <sheetName val="Anal Alat BID"/>
      <sheetName val="D _ W sizes"/>
      <sheetName val="harsat_upah"/>
      <sheetName val="BOQ (1-3)"/>
      <sheetName val="4-Basic Price"/>
      <sheetName val="New MADC"/>
      <sheetName val="Informasi"/>
      <sheetName val="ANL STR"/>
      <sheetName val="Bahan "/>
      <sheetName val="Upah"/>
      <sheetName val="Pekerjaan "/>
      <sheetName val="PLUMBING"/>
      <sheetName val="Ana. PU"/>
      <sheetName val="Cover"/>
      <sheetName val="GEDUNG-A"/>
      <sheetName val="HRG BHN"/>
      <sheetName val="struktur tdk dipakai"/>
      <sheetName val="TOWN"/>
      <sheetName val="BOQ-Indonesia"/>
      <sheetName val="Kuantitas &amp; Harga"/>
      <sheetName val="ANALISA railing"/>
      <sheetName val="Kuantitas _ Harga"/>
      <sheetName val="Fill this out first..."/>
      <sheetName val="Rekapitulasi"/>
      <sheetName val="12CGOU"/>
      <sheetName val="Fill this out first___"/>
      <sheetName val="Elektrikal"/>
      <sheetName val="351BQMCN"/>
      <sheetName val="TAHAP"/>
      <sheetName val="Pipe"/>
      <sheetName val="name"/>
      <sheetName val="INDEX"/>
      <sheetName val="Cover Daf-2"/>
      <sheetName val="HSD"/>
      <sheetName val="HARGA MATERIAL"/>
      <sheetName val="REKAP"/>
      <sheetName val="MAP"/>
      <sheetName val="Estimate"/>
      <sheetName val="BOQ"/>
      <sheetName val="5-ALAT(1)"/>
      <sheetName val="Daftar BOQ"/>
      <sheetName val="Reference"/>
      <sheetName val="PEMBESIAN BALOK tukang (2)"/>
      <sheetName val="AnalisaSIPIL RIIL"/>
      <sheetName val="OwnEq"/>
      <sheetName val="SEX"/>
      <sheetName val="Analisa SNI STANDART "/>
      <sheetName val="COST"/>
    </sheetNames>
    <sheetDataSet>
      <sheetData sheetId="0" refreshError="1"/>
      <sheetData sheetId="1">
        <row r="17">
          <cell r="A17">
            <v>2</v>
          </cell>
        </row>
      </sheetData>
      <sheetData sheetId="2" refreshError="1">
        <row r="17">
          <cell r="A17">
            <v>2</v>
          </cell>
          <cell r="B17" t="str">
            <v xml:space="preserve">Rangka Daun Jendela Alumunium </v>
          </cell>
          <cell r="C17" t="str">
            <v>M'</v>
          </cell>
          <cell r="D17">
            <v>124948</v>
          </cell>
          <cell r="E17" t="str">
            <v>tidak pakai</v>
          </cell>
        </row>
        <row r="18">
          <cell r="A18">
            <v>3</v>
          </cell>
          <cell r="B18" t="str">
            <v>Rangka Tiang Sirip Alumunium 1/1 Putih</v>
          </cell>
          <cell r="C18" t="str">
            <v>M'</v>
          </cell>
          <cell r="D18">
            <v>62474</v>
          </cell>
          <cell r="E18" t="str">
            <v>tidak pakai</v>
          </cell>
        </row>
        <row r="19">
          <cell r="A19">
            <v>4</v>
          </cell>
          <cell r="B19" t="str">
            <v>Pasang Shading Sirip Alumunium 0.2/10 +Rangka</v>
          </cell>
          <cell r="C19" t="str">
            <v>M2</v>
          </cell>
          <cell r="D19">
            <v>0</v>
          </cell>
          <cell r="E19" t="str">
            <v>tidak pakai</v>
          </cell>
        </row>
        <row r="20">
          <cell r="A20">
            <v>5</v>
          </cell>
          <cell r="B20" t="str">
            <v>Alumunium Tipis</v>
          </cell>
          <cell r="C20" t="str">
            <v>M2</v>
          </cell>
          <cell r="D20">
            <v>124948</v>
          </cell>
        </row>
        <row r="25">
          <cell r="A25">
            <v>6</v>
          </cell>
          <cell r="B25" t="str">
            <v>Kunci Pintu Handle stainleess (dorma)</v>
          </cell>
          <cell r="C25" t="str">
            <v>Set</v>
          </cell>
          <cell r="D25">
            <v>650000</v>
          </cell>
          <cell r="E25" t="str">
            <v>tidak pakai</v>
          </cell>
        </row>
        <row r="26">
          <cell r="A26">
            <v>7</v>
          </cell>
          <cell r="B26" t="str">
            <v>Kunci tanam Antik</v>
          </cell>
          <cell r="C26" t="str">
            <v>Set</v>
          </cell>
          <cell r="D26">
            <v>265000</v>
          </cell>
          <cell r="E26" t="str">
            <v>tidak pakai</v>
          </cell>
        </row>
        <row r="28">
          <cell r="A28">
            <v>9</v>
          </cell>
          <cell r="B28" t="str">
            <v>Kunci Silinder</v>
          </cell>
          <cell r="C28" t="str">
            <v>Set</v>
          </cell>
          <cell r="D28">
            <v>217900</v>
          </cell>
          <cell r="E28" t="str">
            <v>tidak pakai</v>
          </cell>
        </row>
        <row r="29">
          <cell r="A29">
            <v>10</v>
          </cell>
          <cell r="B29" t="str">
            <v>Kunci Selot</v>
          </cell>
          <cell r="C29" t="str">
            <v>Set</v>
          </cell>
          <cell r="D29">
            <v>48300</v>
          </cell>
          <cell r="E29" t="str">
            <v>tidak pakai</v>
          </cell>
        </row>
        <row r="30">
          <cell r="A30">
            <v>11</v>
          </cell>
          <cell r="B30" t="str">
            <v>Engsel jendela</v>
          </cell>
          <cell r="C30" t="str">
            <v>Bh</v>
          </cell>
          <cell r="D30">
            <v>16600</v>
          </cell>
          <cell r="E30" t="str">
            <v>tidak pakai</v>
          </cell>
        </row>
        <row r="33">
          <cell r="A33">
            <v>14</v>
          </cell>
          <cell r="B33" t="str">
            <v>Kait/hak angin</v>
          </cell>
          <cell r="C33" t="str">
            <v>Set</v>
          </cell>
          <cell r="D33">
            <v>27000</v>
          </cell>
          <cell r="E33" t="str">
            <v>tidak pakai</v>
          </cell>
        </row>
        <row r="34">
          <cell r="A34">
            <v>15</v>
          </cell>
          <cell r="B34" t="str">
            <v>Grendel pintu kuningan</v>
          </cell>
          <cell r="C34" t="str">
            <v>Bh</v>
          </cell>
          <cell r="D34">
            <v>125000</v>
          </cell>
          <cell r="E34" t="str">
            <v>tidak pakai</v>
          </cell>
        </row>
        <row r="35">
          <cell r="A35">
            <v>16</v>
          </cell>
          <cell r="B35" t="str">
            <v xml:space="preserve">Grendel jendela </v>
          </cell>
          <cell r="C35" t="str">
            <v>Bh</v>
          </cell>
          <cell r="D35">
            <v>8100</v>
          </cell>
          <cell r="E35" t="str">
            <v>tidak pakai</v>
          </cell>
        </row>
        <row r="36">
          <cell r="A36">
            <v>17</v>
          </cell>
          <cell r="B36" t="str">
            <v>Grendel pintu</v>
          </cell>
          <cell r="C36" t="str">
            <v>Bh</v>
          </cell>
          <cell r="D36">
            <v>14200</v>
          </cell>
          <cell r="E36" t="str">
            <v>tidak pakai</v>
          </cell>
        </row>
        <row r="37">
          <cell r="A37">
            <v>18</v>
          </cell>
          <cell r="B37" t="str">
            <v>Stripting Knip</v>
          </cell>
          <cell r="C37" t="str">
            <v>Set</v>
          </cell>
          <cell r="D37">
            <v>13700</v>
          </cell>
          <cell r="E37" t="str">
            <v>tidak pakai</v>
          </cell>
        </row>
        <row r="38">
          <cell r="A38">
            <v>19</v>
          </cell>
          <cell r="B38" t="str">
            <v>Door Closer</v>
          </cell>
          <cell r="C38" t="str">
            <v>Set</v>
          </cell>
          <cell r="D38">
            <v>260800</v>
          </cell>
          <cell r="E38" t="str">
            <v>tidak pakai</v>
          </cell>
        </row>
        <row r="39">
          <cell r="A39">
            <v>20</v>
          </cell>
          <cell r="B39" t="str">
            <v>Door Holder</v>
          </cell>
          <cell r="C39" t="str">
            <v>Set</v>
          </cell>
          <cell r="D39">
            <v>500000</v>
          </cell>
          <cell r="E39" t="str">
            <v>tidak pakai</v>
          </cell>
        </row>
        <row r="40">
          <cell r="A40">
            <v>21</v>
          </cell>
          <cell r="B40" t="str">
            <v>Door Stop</v>
          </cell>
          <cell r="C40" t="str">
            <v>Set</v>
          </cell>
          <cell r="D40">
            <v>32100</v>
          </cell>
          <cell r="E40" t="str">
            <v>tidak pakai</v>
          </cell>
        </row>
        <row r="41">
          <cell r="A41">
            <v>22</v>
          </cell>
          <cell r="B41" t="str">
            <v>Kaca bening 3 mm</v>
          </cell>
          <cell r="C41" t="str">
            <v>M2</v>
          </cell>
          <cell r="D41">
            <v>57900</v>
          </cell>
          <cell r="E41" t="str">
            <v>tidak pakai</v>
          </cell>
        </row>
        <row r="42">
          <cell r="A42">
            <v>23</v>
          </cell>
          <cell r="B42" t="str">
            <v>Kaca bening 5 mm</v>
          </cell>
          <cell r="C42" t="str">
            <v>M2</v>
          </cell>
          <cell r="D42">
            <v>66700</v>
          </cell>
          <cell r="E42" t="str">
            <v>tidak pakai</v>
          </cell>
        </row>
        <row r="44">
          <cell r="A44">
            <v>25</v>
          </cell>
          <cell r="B44" t="str">
            <v>Kaca Bening 12 mm</v>
          </cell>
          <cell r="C44" t="str">
            <v>M2</v>
          </cell>
          <cell r="D44">
            <v>403787.64062499994</v>
          </cell>
          <cell r="E44" t="str">
            <v>tidak pakai</v>
          </cell>
        </row>
        <row r="47">
          <cell r="A47">
            <v>28</v>
          </cell>
          <cell r="B47" t="str">
            <v>Besi hollow 2.5/5</v>
          </cell>
          <cell r="C47" t="str">
            <v>Kg</v>
          </cell>
          <cell r="D47">
            <v>74462.500000000058</v>
          </cell>
          <cell r="E47">
            <v>0.82</v>
          </cell>
          <cell r="F47" t="str">
            <v>Koefieann</v>
          </cell>
        </row>
        <row r="48">
          <cell r="A48">
            <v>29</v>
          </cell>
          <cell r="B48" t="str">
            <v>Besi hollow 5/5</v>
          </cell>
          <cell r="C48" t="str">
            <v>Kg</v>
          </cell>
          <cell r="D48">
            <v>74462.500000000058</v>
          </cell>
          <cell r="E48">
            <v>0</v>
          </cell>
          <cell r="F48" t="str">
            <v>Koefieann</v>
          </cell>
        </row>
        <row r="49">
          <cell r="A49">
            <v>30</v>
          </cell>
          <cell r="B49" t="str">
            <v>Besi hollow 2/2</v>
          </cell>
          <cell r="C49" t="str">
            <v>Kg</v>
          </cell>
          <cell r="D49">
            <v>74462.500000000058</v>
          </cell>
          <cell r="E49">
            <v>0.82</v>
          </cell>
          <cell r="F49" t="str">
            <v>Koefieann</v>
          </cell>
        </row>
        <row r="50">
          <cell r="A50">
            <v>31</v>
          </cell>
          <cell r="B50" t="str">
            <v>Besi hollow 2/4</v>
          </cell>
          <cell r="C50" t="str">
            <v>Kg</v>
          </cell>
          <cell r="D50">
            <v>74462.500000000058</v>
          </cell>
          <cell r="E50">
            <v>0.82</v>
          </cell>
          <cell r="F50" t="str">
            <v>Koefieann</v>
          </cell>
        </row>
        <row r="52">
          <cell r="A52">
            <v>33</v>
          </cell>
          <cell r="B52" t="str">
            <v>Glass Block</v>
          </cell>
          <cell r="C52" t="str">
            <v>Bh</v>
          </cell>
          <cell r="D52">
            <v>45000</v>
          </cell>
          <cell r="E52" t="str">
            <v>tidak pakai</v>
          </cell>
        </row>
        <row r="53">
          <cell r="A53">
            <v>34</v>
          </cell>
          <cell r="B53" t="str">
            <v>Kaca Es</v>
          </cell>
          <cell r="C53" t="str">
            <v>M2</v>
          </cell>
          <cell r="D53">
            <v>66700</v>
          </cell>
          <cell r="E53" t="str">
            <v>tidak pakai</v>
          </cell>
        </row>
        <row r="54">
          <cell r="A54">
            <v>35</v>
          </cell>
          <cell r="B54" t="str">
            <v>Krepyak Kaca Nako + Kerangka</v>
          </cell>
          <cell r="C54" t="str">
            <v>M2</v>
          </cell>
          <cell r="D54">
            <v>81300</v>
          </cell>
          <cell r="E54" t="str">
            <v>tidak pakai</v>
          </cell>
        </row>
        <row r="55">
          <cell r="A55">
            <v>36</v>
          </cell>
          <cell r="B55" t="str">
            <v>Sticker Efek Kaca Es</v>
          </cell>
          <cell r="C55" t="str">
            <v>M2</v>
          </cell>
          <cell r="D55">
            <v>150000</v>
          </cell>
          <cell r="E55" t="str">
            <v>tidak pakai</v>
          </cell>
        </row>
        <row r="56">
          <cell r="A56">
            <v>37</v>
          </cell>
          <cell r="B56" t="str">
            <v>Rel Pintu Dorong</v>
          </cell>
          <cell r="C56" t="str">
            <v>M'</v>
          </cell>
          <cell r="D56">
            <v>275000</v>
          </cell>
          <cell r="E56" t="str">
            <v>tidak pakai</v>
          </cell>
        </row>
        <row r="57">
          <cell r="A57">
            <v>38</v>
          </cell>
          <cell r="B57" t="str">
            <v>Rolling Door</v>
          </cell>
          <cell r="C57" t="str">
            <v>M2</v>
          </cell>
          <cell r="D57">
            <v>358100</v>
          </cell>
          <cell r="E57" t="str">
            <v>tidak pakai</v>
          </cell>
        </row>
        <row r="58">
          <cell r="A58">
            <v>39</v>
          </cell>
          <cell r="B58" t="str">
            <v>Roster</v>
          </cell>
          <cell r="C58" t="str">
            <v>M2</v>
          </cell>
          <cell r="D58">
            <v>133850</v>
          </cell>
          <cell r="E58" t="str">
            <v>tidak pakai</v>
          </cell>
        </row>
        <row r="59">
          <cell r="A59">
            <v>40</v>
          </cell>
          <cell r="B59" t="str">
            <v>Gipsum Board</v>
          </cell>
          <cell r="C59" t="str">
            <v>M2</v>
          </cell>
          <cell r="D59">
            <v>29000</v>
          </cell>
          <cell r="E59" t="str">
            <v>tidak pakai</v>
          </cell>
        </row>
        <row r="60">
          <cell r="A60">
            <v>41</v>
          </cell>
          <cell r="B60" t="str">
            <v>List Gipsum</v>
          </cell>
          <cell r="C60" t="str">
            <v>M'</v>
          </cell>
          <cell r="D60">
            <v>17300</v>
          </cell>
          <cell r="E60" t="str">
            <v>tidak pakai</v>
          </cell>
        </row>
        <row r="65">
          <cell r="A65">
            <v>46</v>
          </cell>
          <cell r="B65" t="str">
            <v>Cat Dinding</v>
          </cell>
          <cell r="C65" t="str">
            <v>M2</v>
          </cell>
          <cell r="D65">
            <v>9900</v>
          </cell>
          <cell r="E65" t="str">
            <v>tidak pakai</v>
          </cell>
        </row>
        <row r="66">
          <cell r="A66">
            <v>47</v>
          </cell>
          <cell r="B66" t="str">
            <v>Plesteran Camprot</v>
          </cell>
          <cell r="C66" t="str">
            <v>M2</v>
          </cell>
          <cell r="D66">
            <v>14600</v>
          </cell>
          <cell r="E66" t="str">
            <v>tidak pakai</v>
          </cell>
        </row>
        <row r="67">
          <cell r="A67">
            <v>48</v>
          </cell>
          <cell r="B67" t="str">
            <v>Rangka Metal Furring</v>
          </cell>
          <cell r="C67" t="str">
            <v>M'</v>
          </cell>
          <cell r="D67">
            <v>90000</v>
          </cell>
          <cell r="E67" t="str">
            <v>tidak pakai</v>
          </cell>
        </row>
        <row r="143">
          <cell r="A143" t="str">
            <v>No.</v>
          </cell>
          <cell r="B143" t="str">
            <v>Item Pekerjaan</v>
          </cell>
          <cell r="C143" t="str">
            <v>Satuan</v>
          </cell>
          <cell r="D143" t="str">
            <v>Harga Satuan</v>
          </cell>
          <cell r="E143" t="str">
            <v>P1</v>
          </cell>
          <cell r="G143" t="str">
            <v>P1'</v>
          </cell>
          <cell r="I143" t="str">
            <v>P2</v>
          </cell>
          <cell r="K143" t="str">
            <v>P3</v>
          </cell>
          <cell r="M143" t="str">
            <v>P4</v>
          </cell>
          <cell r="O143" t="str">
            <v>P5</v>
          </cell>
          <cell r="Q143" t="str">
            <v>P6</v>
          </cell>
          <cell r="S143" t="str">
            <v>J1</v>
          </cell>
          <cell r="U143" t="str">
            <v>J1'</v>
          </cell>
          <cell r="W143" t="str">
            <v>J2</v>
          </cell>
          <cell r="Y143" t="str">
            <v>J3</v>
          </cell>
          <cell r="AA143" t="str">
            <v>J4</v>
          </cell>
          <cell r="AC143" t="str">
            <v>J5</v>
          </cell>
          <cell r="AE143" t="str">
            <v>J6</v>
          </cell>
          <cell r="AG143" t="str">
            <v>J7</v>
          </cell>
          <cell r="AI143" t="str">
            <v>J8</v>
          </cell>
          <cell r="AK143" t="str">
            <v>J9</v>
          </cell>
          <cell r="AM143" t="str">
            <v>J10</v>
          </cell>
          <cell r="AO143" t="str">
            <v>J11</v>
          </cell>
          <cell r="AQ143" t="str">
            <v>BV1</v>
          </cell>
          <cell r="AS143" t="str">
            <v>BV 2</v>
          </cell>
          <cell r="AU143" t="str">
            <v>BV 3</v>
          </cell>
          <cell r="AW143" t="str">
            <v>Shading Lt. 1 = 3 Buah</v>
          </cell>
          <cell r="AY143" t="str">
            <v>Shading Lt. 1 = 2 Buah</v>
          </cell>
          <cell r="BA143" t="str">
            <v>Shading Lt. 1 = 2 Buah</v>
          </cell>
          <cell r="BC143" t="str">
            <v>Pintu Pagar TK</v>
          </cell>
          <cell r="BE143" t="str">
            <v>R1</v>
          </cell>
          <cell r="BG143" t="str">
            <v>R2</v>
          </cell>
          <cell r="BI143" t="str">
            <v>R3</v>
          </cell>
          <cell r="BK143" t="str">
            <v>R3'</v>
          </cell>
          <cell r="BM143" t="str">
            <v>R4</v>
          </cell>
          <cell r="BO143" t="str">
            <v>R5</v>
          </cell>
        </row>
        <row r="144">
          <cell r="D144" t="str">
            <v>Rp.</v>
          </cell>
          <cell r="E144" t="str">
            <v>Vol.</v>
          </cell>
          <cell r="F144" t="str">
            <v>Jumlah Harga</v>
          </cell>
          <cell r="G144" t="str">
            <v>Vol.</v>
          </cell>
          <cell r="H144" t="str">
            <v>Jumlah Harga</v>
          </cell>
          <cell r="I144" t="str">
            <v>Vol.</v>
          </cell>
          <cell r="J144" t="str">
            <v>Jumlah Harga</v>
          </cell>
          <cell r="K144" t="str">
            <v>Vol.</v>
          </cell>
          <cell r="L144" t="str">
            <v>Jumlah Harga</v>
          </cell>
          <cell r="M144" t="str">
            <v>Vol.</v>
          </cell>
          <cell r="N144" t="str">
            <v>Jumlah Harga</v>
          </cell>
          <cell r="O144" t="str">
            <v>Vol.</v>
          </cell>
          <cell r="P144" t="str">
            <v>Jumlah Harga</v>
          </cell>
          <cell r="Q144" t="str">
            <v>Vol.</v>
          </cell>
          <cell r="R144" t="str">
            <v>Jumlah Harga</v>
          </cell>
          <cell r="S144" t="str">
            <v>Vol.</v>
          </cell>
          <cell r="T144" t="str">
            <v>Jumlah Harga</v>
          </cell>
          <cell r="U144" t="str">
            <v>Vol.</v>
          </cell>
          <cell r="V144" t="str">
            <v>Jumlah Harga</v>
          </cell>
          <cell r="W144" t="str">
            <v>Vol.</v>
          </cell>
          <cell r="X144" t="str">
            <v>Jumlah Harga</v>
          </cell>
          <cell r="Y144" t="str">
            <v>Vol.</v>
          </cell>
          <cell r="Z144" t="str">
            <v>Jumlah Harga</v>
          </cell>
          <cell r="AA144" t="str">
            <v>Vol.</v>
          </cell>
          <cell r="AB144" t="str">
            <v>Jumlah Harga</v>
          </cell>
          <cell r="AC144" t="str">
            <v>Vol.</v>
          </cell>
          <cell r="AD144" t="str">
            <v>Jumlah Harga</v>
          </cell>
          <cell r="AE144" t="str">
            <v>Vol.</v>
          </cell>
          <cell r="AF144" t="str">
            <v>Jumlah Harga</v>
          </cell>
          <cell r="AG144" t="str">
            <v>Vol.</v>
          </cell>
          <cell r="AH144" t="str">
            <v>Jumlah Harga</v>
          </cell>
          <cell r="AI144" t="str">
            <v>Vol.</v>
          </cell>
          <cell r="AJ144" t="str">
            <v>Jumlah Harga</v>
          </cell>
          <cell r="AK144" t="str">
            <v>Vol.</v>
          </cell>
          <cell r="AL144" t="str">
            <v>Jumlah Harga</v>
          </cell>
          <cell r="AM144" t="str">
            <v>Vol.</v>
          </cell>
          <cell r="AN144" t="str">
            <v>Jumlah Harga</v>
          </cell>
          <cell r="AO144" t="str">
            <v>Vol.</v>
          </cell>
          <cell r="AP144" t="str">
            <v>Jumlah Harga</v>
          </cell>
          <cell r="AQ144" t="str">
            <v>Vol.</v>
          </cell>
          <cell r="AR144" t="str">
            <v>Jumlah Harga</v>
          </cell>
          <cell r="AS144" t="str">
            <v>Vol.</v>
          </cell>
          <cell r="AT144" t="str">
            <v>Jumlah Harga</v>
          </cell>
          <cell r="AU144" t="str">
            <v>Vol.</v>
          </cell>
          <cell r="AV144" t="str">
            <v>Jumlah Harga</v>
          </cell>
          <cell r="AW144" t="str">
            <v>Vol.</v>
          </cell>
          <cell r="AX144" t="str">
            <v>Jumlah Harga</v>
          </cell>
          <cell r="AY144" t="str">
            <v>Vol.</v>
          </cell>
          <cell r="AZ144" t="str">
            <v>Jumlah Harga</v>
          </cell>
          <cell r="BA144" t="str">
            <v>Vol.</v>
          </cell>
          <cell r="BB144" t="str">
            <v>Jumlah Harga</v>
          </cell>
          <cell r="BC144" t="str">
            <v>Vol.</v>
          </cell>
          <cell r="BD144" t="str">
            <v>Jumlah Harga</v>
          </cell>
          <cell r="BE144" t="str">
            <v>Vol.</v>
          </cell>
          <cell r="BF144" t="str">
            <v>Jumlah Harga</v>
          </cell>
          <cell r="BG144" t="str">
            <v>Vol.</v>
          </cell>
          <cell r="BH144" t="str">
            <v>Jumlah Harga</v>
          </cell>
          <cell r="BI144" t="str">
            <v>Vol.</v>
          </cell>
          <cell r="BJ144" t="str">
            <v>Jumlah Harga</v>
          </cell>
          <cell r="BK144" t="str">
            <v>Vol.</v>
          </cell>
          <cell r="BL144" t="str">
            <v>Jumlah Harga</v>
          </cell>
          <cell r="BM144" t="str">
            <v>Vol.</v>
          </cell>
          <cell r="BN144" t="str">
            <v>Jumlah Harga</v>
          </cell>
          <cell r="BO144" t="str">
            <v>Vol.</v>
          </cell>
          <cell r="BP144" t="str">
            <v>Jumlah Harga</v>
          </cell>
        </row>
        <row r="145">
          <cell r="A145" t="str">
            <v>IV.</v>
          </cell>
          <cell r="B145" t="str">
            <v>UNIT BANGUNAN TK</v>
          </cell>
          <cell r="Q145">
            <v>0</v>
          </cell>
        </row>
        <row r="146">
          <cell r="Q146">
            <v>0</v>
          </cell>
        </row>
        <row r="147">
          <cell r="A147">
            <v>1</v>
          </cell>
          <cell r="B147" t="str">
            <v>Kayu 6/12</v>
          </cell>
          <cell r="C147" t="str">
            <v>M3</v>
          </cell>
          <cell r="D147">
            <v>0</v>
          </cell>
          <cell r="E147">
            <v>0</v>
          </cell>
          <cell r="F147">
            <v>0</v>
          </cell>
          <cell r="G147">
            <v>2.0400000000000001E-2</v>
          </cell>
          <cell r="H147">
            <v>0</v>
          </cell>
          <cell r="I147">
            <v>2.2800000000000001E-2</v>
          </cell>
          <cell r="J147">
            <v>0</v>
          </cell>
          <cell r="K147">
            <v>0</v>
          </cell>
          <cell r="L147">
            <v>0</v>
          </cell>
          <cell r="M147">
            <v>3.6144000000000003E-2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X147">
            <v>0</v>
          </cell>
          <cell r="AZ147">
            <v>0</v>
          </cell>
          <cell r="BB147">
            <v>0</v>
          </cell>
          <cell r="BD147">
            <v>0</v>
          </cell>
          <cell r="BF147">
            <v>0</v>
          </cell>
          <cell r="BH147">
            <v>0</v>
          </cell>
          <cell r="BJ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</row>
        <row r="148">
          <cell r="A148">
            <v>2</v>
          </cell>
          <cell r="B148" t="str">
            <v>Kayu Slimar 3/10</v>
          </cell>
          <cell r="C148" t="str">
            <v>M3</v>
          </cell>
          <cell r="D148">
            <v>0</v>
          </cell>
          <cell r="E148">
            <v>0</v>
          </cell>
          <cell r="F148">
            <v>0</v>
          </cell>
          <cell r="G148">
            <v>4.7999999999999996E-3</v>
          </cell>
          <cell r="H148">
            <v>0</v>
          </cell>
          <cell r="I148">
            <v>4.0000000000000001E-3</v>
          </cell>
          <cell r="J148">
            <v>0</v>
          </cell>
          <cell r="K148">
            <v>0</v>
          </cell>
          <cell r="L148">
            <v>0</v>
          </cell>
          <cell r="M148">
            <v>1.4159999999999999E-2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X148">
            <v>0</v>
          </cell>
          <cell r="AZ148">
            <v>0</v>
          </cell>
          <cell r="BB148">
            <v>0</v>
          </cell>
          <cell r="BD148">
            <v>0</v>
          </cell>
          <cell r="BF148">
            <v>0</v>
          </cell>
          <cell r="BH148">
            <v>0</v>
          </cell>
          <cell r="BJ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</row>
        <row r="149">
          <cell r="A149">
            <v>3</v>
          </cell>
          <cell r="B149" t="str">
            <v>Kayu Slimar 3/15</v>
          </cell>
          <cell r="C149" t="str">
            <v>M3</v>
          </cell>
          <cell r="D149">
            <v>0</v>
          </cell>
          <cell r="E149">
            <v>0</v>
          </cell>
          <cell r="F149">
            <v>0</v>
          </cell>
          <cell r="G149">
            <v>3.2</v>
          </cell>
          <cell r="H149">
            <v>0</v>
          </cell>
          <cell r="I149">
            <v>6</v>
          </cell>
          <cell r="J149">
            <v>0</v>
          </cell>
          <cell r="K149">
            <v>0</v>
          </cell>
          <cell r="L149">
            <v>0</v>
          </cell>
          <cell r="M149">
            <v>2.6999999999999997E-3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X149">
            <v>0</v>
          </cell>
          <cell r="AZ149">
            <v>0</v>
          </cell>
          <cell r="BB149">
            <v>0</v>
          </cell>
          <cell r="BD149">
            <v>0</v>
          </cell>
          <cell r="BF149">
            <v>0</v>
          </cell>
          <cell r="BH149">
            <v>0</v>
          </cell>
          <cell r="BJ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</row>
        <row r="150">
          <cell r="A150">
            <v>4</v>
          </cell>
          <cell r="B150" t="str">
            <v>Kayu Slimar 3/20</v>
          </cell>
          <cell r="C150" t="str">
            <v>M3</v>
          </cell>
          <cell r="D150">
            <v>0</v>
          </cell>
          <cell r="E150">
            <v>0</v>
          </cell>
          <cell r="F150">
            <v>0</v>
          </cell>
          <cell r="G150">
            <v>4.68</v>
          </cell>
          <cell r="H150">
            <v>0</v>
          </cell>
          <cell r="I150">
            <v>4.7</v>
          </cell>
          <cell r="J150">
            <v>0</v>
          </cell>
          <cell r="K150">
            <v>0</v>
          </cell>
          <cell r="L150">
            <v>0</v>
          </cell>
          <cell r="M150">
            <v>3.5999999999999999E-3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1.6751999999999996</v>
          </cell>
          <cell r="AL150">
            <v>0</v>
          </cell>
          <cell r="AM150">
            <v>1.1447999999999998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X150">
            <v>0</v>
          </cell>
          <cell r="AZ150">
            <v>0</v>
          </cell>
          <cell r="BB150">
            <v>0</v>
          </cell>
          <cell r="BD150">
            <v>0</v>
          </cell>
          <cell r="BF150">
            <v>0</v>
          </cell>
          <cell r="BH150">
            <v>0</v>
          </cell>
          <cell r="BJ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</row>
        <row r="151">
          <cell r="A151">
            <v>5</v>
          </cell>
          <cell r="B151" t="str">
            <v>Kayu 2/10</v>
          </cell>
          <cell r="C151" t="str">
            <v>M3</v>
          </cell>
          <cell r="D151">
            <v>0</v>
          </cell>
          <cell r="E151">
            <v>0</v>
          </cell>
          <cell r="F151">
            <v>0</v>
          </cell>
          <cell r="G151">
            <v>5.3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5.4000000000000012E-3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29.499999999999993</v>
          </cell>
          <cell r="T151">
            <v>0</v>
          </cell>
          <cell r="U151">
            <v>29.499999999999993</v>
          </cell>
          <cell r="V151">
            <v>0</v>
          </cell>
          <cell r="W151">
            <v>3.2</v>
          </cell>
          <cell r="X151">
            <v>0</v>
          </cell>
          <cell r="Y151">
            <v>3.2</v>
          </cell>
          <cell r="Z151">
            <v>0</v>
          </cell>
          <cell r="AA151">
            <v>16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12</v>
          </cell>
          <cell r="AP151">
            <v>0</v>
          </cell>
          <cell r="AQ151">
            <v>2</v>
          </cell>
          <cell r="AR151">
            <v>0</v>
          </cell>
          <cell r="AS151">
            <v>2</v>
          </cell>
          <cell r="AT151">
            <v>0</v>
          </cell>
          <cell r="AU151">
            <v>2</v>
          </cell>
          <cell r="AV151">
            <v>0</v>
          </cell>
          <cell r="AW151">
            <v>14</v>
          </cell>
          <cell r="AX151">
            <v>0</v>
          </cell>
          <cell r="AY151">
            <v>14.04</v>
          </cell>
          <cell r="AZ151">
            <v>0</v>
          </cell>
          <cell r="BA151">
            <v>26.4</v>
          </cell>
          <cell r="BB151">
            <v>0</v>
          </cell>
          <cell r="BD151">
            <v>0</v>
          </cell>
          <cell r="BF151">
            <v>0</v>
          </cell>
          <cell r="BH151">
            <v>0</v>
          </cell>
          <cell r="BJ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</row>
        <row r="152">
          <cell r="A152">
            <v>6</v>
          </cell>
          <cell r="B152" t="str">
            <v>Panil t = 3 cm</v>
          </cell>
          <cell r="C152" t="str">
            <v>M2</v>
          </cell>
          <cell r="D152">
            <v>0</v>
          </cell>
          <cell r="E152">
            <v>0</v>
          </cell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0.49500000000000005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12.700000000000001</v>
          </cell>
          <cell r="AD152">
            <v>0</v>
          </cell>
          <cell r="AE152">
            <v>6.66</v>
          </cell>
          <cell r="AF152">
            <v>0</v>
          </cell>
          <cell r="AG152">
            <v>5</v>
          </cell>
          <cell r="AH152">
            <v>0</v>
          </cell>
          <cell r="AI152">
            <v>5.8199999999999994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X152">
            <v>0</v>
          </cell>
          <cell r="AZ152">
            <v>0</v>
          </cell>
          <cell r="BB152">
            <v>0</v>
          </cell>
          <cell r="BD152">
            <v>0</v>
          </cell>
          <cell r="BF152">
            <v>0</v>
          </cell>
          <cell r="BH152">
            <v>0</v>
          </cell>
          <cell r="BJ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</row>
        <row r="153">
          <cell r="A153">
            <v>1</v>
          </cell>
          <cell r="B153" t="str">
            <v>Kusen Aluminium 5/10</v>
          </cell>
          <cell r="C153" t="str">
            <v>M'</v>
          </cell>
          <cell r="D153">
            <v>124948</v>
          </cell>
          <cell r="E153">
            <v>6.1999999999999993</v>
          </cell>
          <cell r="F153">
            <v>774677.59999999986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5</v>
          </cell>
          <cell r="N153">
            <v>624740</v>
          </cell>
          <cell r="O153">
            <v>27.3</v>
          </cell>
          <cell r="P153">
            <v>3411080.4</v>
          </cell>
          <cell r="Q153">
            <v>16.45</v>
          </cell>
          <cell r="R153">
            <v>2055394.5999999999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X153">
            <v>0</v>
          </cell>
          <cell r="AZ153">
            <v>0</v>
          </cell>
          <cell r="BB153">
            <v>0</v>
          </cell>
          <cell r="BD153">
            <v>0</v>
          </cell>
          <cell r="BF153">
            <v>0</v>
          </cell>
          <cell r="BH153">
            <v>0</v>
          </cell>
          <cell r="BJ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</row>
        <row r="154">
          <cell r="A154">
            <v>2</v>
          </cell>
          <cell r="B154" t="str">
            <v xml:space="preserve">Rangka Daun Jendela Alumunium </v>
          </cell>
          <cell r="C154" t="str">
            <v>M'</v>
          </cell>
          <cell r="D154">
            <v>124948</v>
          </cell>
          <cell r="E154">
            <v>0</v>
          </cell>
          <cell r="F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X154">
            <v>0</v>
          </cell>
          <cell r="AZ154">
            <v>0</v>
          </cell>
          <cell r="BB154">
            <v>0</v>
          </cell>
          <cell r="BD154">
            <v>0</v>
          </cell>
          <cell r="BF154">
            <v>0</v>
          </cell>
          <cell r="BH154">
            <v>0</v>
          </cell>
          <cell r="BJ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</row>
        <row r="155">
          <cell r="A155">
            <v>3</v>
          </cell>
          <cell r="B155" t="str">
            <v>Rangka Tiang Sirip Alumunium 1/1 Putih</v>
          </cell>
          <cell r="C155" t="str">
            <v>M'</v>
          </cell>
          <cell r="D155">
            <v>62474</v>
          </cell>
          <cell r="E155">
            <v>0</v>
          </cell>
          <cell r="F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4.9000000000000004</v>
          </cell>
          <cell r="AB155">
            <v>306122.60000000003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2.9</v>
          </cell>
          <cell r="AP155">
            <v>181174.6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1.6400000000000001</v>
          </cell>
          <cell r="AV155">
            <v>102457.36</v>
          </cell>
          <cell r="AW155">
            <v>15.75</v>
          </cell>
          <cell r="AX155">
            <v>983965.5</v>
          </cell>
          <cell r="AY155">
            <v>15.599999999999998</v>
          </cell>
          <cell r="AZ155">
            <v>974594.39999999991</v>
          </cell>
          <cell r="BA155">
            <v>31.199999999999996</v>
          </cell>
          <cell r="BB155">
            <v>1949188.7999999998</v>
          </cell>
          <cell r="BD155">
            <v>0</v>
          </cell>
          <cell r="BF155">
            <v>0</v>
          </cell>
          <cell r="BH155">
            <v>0</v>
          </cell>
          <cell r="BJ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</row>
        <row r="156">
          <cell r="A156">
            <v>4</v>
          </cell>
          <cell r="B156" t="str">
            <v>Pasang Shading Sirip Alumunium 0.2/10 +Rangka</v>
          </cell>
          <cell r="C156" t="str">
            <v>M2</v>
          </cell>
          <cell r="D156">
            <v>0</v>
          </cell>
          <cell r="E156">
            <v>0</v>
          </cell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0.38250000000000001</v>
          </cell>
          <cell r="T156">
            <v>0</v>
          </cell>
          <cell r="U156">
            <v>0.38250000000000001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0.45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0.22500000000000001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0.15809999999999999</v>
          </cell>
          <cell r="AV156">
            <v>0</v>
          </cell>
          <cell r="AW156">
            <v>5.1450000000000005</v>
          </cell>
          <cell r="AX156">
            <v>0</v>
          </cell>
          <cell r="AY156">
            <v>5.04</v>
          </cell>
          <cell r="AZ156">
            <v>0</v>
          </cell>
          <cell r="BA156">
            <v>10.08</v>
          </cell>
          <cell r="BB156">
            <v>0</v>
          </cell>
          <cell r="BD156">
            <v>0</v>
          </cell>
          <cell r="BF156">
            <v>0</v>
          </cell>
          <cell r="BH156">
            <v>0</v>
          </cell>
          <cell r="BJ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</row>
        <row r="157">
          <cell r="A157">
            <v>5</v>
          </cell>
          <cell r="B157" t="str">
            <v>Daun Pintu Panil Kamper</v>
          </cell>
          <cell r="C157" t="str">
            <v>bh</v>
          </cell>
          <cell r="D157">
            <v>550000</v>
          </cell>
          <cell r="E157">
            <v>0</v>
          </cell>
          <cell r="F157">
            <v>0</v>
          </cell>
          <cell r="G157">
            <v>0.15839999999999999</v>
          </cell>
          <cell r="H157">
            <v>87119.999999999985</v>
          </cell>
          <cell r="I157">
            <v>9.6000000000000002E-2</v>
          </cell>
          <cell r="J157">
            <v>52800</v>
          </cell>
          <cell r="K157">
            <v>0</v>
          </cell>
          <cell r="L157">
            <v>0</v>
          </cell>
          <cell r="M157">
            <v>1.2</v>
          </cell>
          <cell r="N157">
            <v>660000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X157">
            <v>0</v>
          </cell>
          <cell r="AZ157">
            <v>0</v>
          </cell>
          <cell r="BB157">
            <v>0</v>
          </cell>
          <cell r="BD157">
            <v>0</v>
          </cell>
          <cell r="BF157">
            <v>0</v>
          </cell>
          <cell r="BH157">
            <v>0</v>
          </cell>
          <cell r="BJ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</row>
        <row r="158">
          <cell r="A158">
            <v>6</v>
          </cell>
          <cell r="B158" t="str">
            <v>Plat besi t = 2 mm</v>
          </cell>
          <cell r="C158" t="str">
            <v>Kg</v>
          </cell>
          <cell r="D158">
            <v>0</v>
          </cell>
          <cell r="E158">
            <v>0</v>
          </cell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57.085200000000007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4.0440000000000005</v>
          </cell>
          <cell r="AL158">
            <v>0</v>
          </cell>
          <cell r="AM158">
            <v>2.6789999999999998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X158">
            <v>0</v>
          </cell>
          <cell r="AZ158">
            <v>0</v>
          </cell>
          <cell r="BB158">
            <v>0</v>
          </cell>
          <cell r="BD158">
            <v>0</v>
          </cell>
          <cell r="BF158">
            <v>0</v>
          </cell>
          <cell r="BH158">
            <v>0</v>
          </cell>
          <cell r="BJ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</row>
        <row r="159">
          <cell r="A159">
            <v>7</v>
          </cell>
          <cell r="B159" t="str">
            <v>C 40.40.2  (pesan khusus)</v>
          </cell>
          <cell r="C159" t="str">
            <v>Kg</v>
          </cell>
          <cell r="D159">
            <v>14122.3</v>
          </cell>
          <cell r="E159">
            <v>0</v>
          </cell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42.56</v>
          </cell>
          <cell r="L159">
            <v>601045.08799999999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1.68</v>
          </cell>
          <cell r="AL159">
            <v>23725.463999999996</v>
          </cell>
          <cell r="AM159">
            <v>1.1447999999999998</v>
          </cell>
          <cell r="AN159">
            <v>16167.209039999996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X159">
            <v>0</v>
          </cell>
          <cell r="AZ159">
            <v>0</v>
          </cell>
          <cell r="BB159">
            <v>0</v>
          </cell>
          <cell r="BD159">
            <v>0</v>
          </cell>
          <cell r="BF159">
            <v>0</v>
          </cell>
          <cell r="BH159">
            <v>0</v>
          </cell>
          <cell r="BJ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</row>
        <row r="160">
          <cell r="A160">
            <v>8</v>
          </cell>
          <cell r="B160" t="str">
            <v>Handle besi dia 16 mm</v>
          </cell>
          <cell r="C160" t="str">
            <v>Set</v>
          </cell>
          <cell r="D160">
            <v>129652.5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1</v>
          </cell>
          <cell r="L160">
            <v>129652.5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15.8</v>
          </cell>
          <cell r="AL160">
            <v>2048509.5</v>
          </cell>
          <cell r="AM160">
            <v>12.166</v>
          </cell>
          <cell r="AN160">
            <v>1577352.3149999999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X160">
            <v>0</v>
          </cell>
          <cell r="AZ160">
            <v>0</v>
          </cell>
          <cell r="BB160">
            <v>0</v>
          </cell>
          <cell r="BD160">
            <v>0</v>
          </cell>
          <cell r="BF160">
            <v>0</v>
          </cell>
          <cell r="BH160">
            <v>0</v>
          </cell>
          <cell r="BJ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</row>
        <row r="161">
          <cell r="A161">
            <v>9</v>
          </cell>
          <cell r="B161" t="str">
            <v>Hendle pintu Stainless</v>
          </cell>
          <cell r="C161" t="str">
            <v>Set</v>
          </cell>
          <cell r="D161">
            <v>261652.5</v>
          </cell>
          <cell r="E161">
            <v>2</v>
          </cell>
          <cell r="F161">
            <v>523305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X161">
            <v>0</v>
          </cell>
          <cell r="AZ161">
            <v>0</v>
          </cell>
          <cell r="BB161">
            <v>0</v>
          </cell>
          <cell r="BC161">
            <v>2</v>
          </cell>
          <cell r="BD161">
            <v>523305</v>
          </cell>
          <cell r="BF161">
            <v>0</v>
          </cell>
          <cell r="BH161">
            <v>0</v>
          </cell>
          <cell r="BJ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</row>
        <row r="162">
          <cell r="A162">
            <v>10</v>
          </cell>
          <cell r="B162" t="str">
            <v>Kunci Pintu Handle stainleess (dorma)</v>
          </cell>
          <cell r="C162" t="str">
            <v>Set</v>
          </cell>
          <cell r="D162">
            <v>650000</v>
          </cell>
          <cell r="E162">
            <v>0</v>
          </cell>
          <cell r="F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X162">
            <v>0</v>
          </cell>
          <cell r="AZ162">
            <v>0</v>
          </cell>
          <cell r="BB162">
            <v>0</v>
          </cell>
          <cell r="BD162">
            <v>0</v>
          </cell>
          <cell r="BF162">
            <v>0</v>
          </cell>
          <cell r="BH162">
            <v>0</v>
          </cell>
          <cell r="BJ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</row>
        <row r="163">
          <cell r="A163">
            <v>11</v>
          </cell>
          <cell r="B163" t="str">
            <v>Kunci tanam Antik</v>
          </cell>
          <cell r="C163" t="str">
            <v>Set</v>
          </cell>
          <cell r="D163">
            <v>265000</v>
          </cell>
          <cell r="E163">
            <v>0</v>
          </cell>
          <cell r="F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X163">
            <v>0</v>
          </cell>
          <cell r="AZ163">
            <v>0</v>
          </cell>
          <cell r="BB163">
            <v>0</v>
          </cell>
          <cell r="BD163">
            <v>0</v>
          </cell>
          <cell r="BF163">
            <v>0</v>
          </cell>
          <cell r="BH163">
            <v>0</v>
          </cell>
          <cell r="BJ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</row>
        <row r="164">
          <cell r="A164">
            <v>12</v>
          </cell>
          <cell r="B164" t="str">
            <v>Kunci tanam biasa</v>
          </cell>
          <cell r="C164" t="str">
            <v>Set</v>
          </cell>
          <cell r="D164">
            <v>168565</v>
          </cell>
          <cell r="E164">
            <v>0</v>
          </cell>
          <cell r="F164">
            <v>0</v>
          </cell>
          <cell r="G164">
            <v>1</v>
          </cell>
          <cell r="H164">
            <v>168565</v>
          </cell>
          <cell r="I164">
            <v>0</v>
          </cell>
          <cell r="J164">
            <v>0</v>
          </cell>
          <cell r="K164">
            <v>1</v>
          </cell>
          <cell r="L164">
            <v>168565</v>
          </cell>
          <cell r="M164">
            <v>1</v>
          </cell>
          <cell r="N164">
            <v>168565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X164">
            <v>0</v>
          </cell>
          <cell r="AZ164">
            <v>0</v>
          </cell>
          <cell r="BB164">
            <v>0</v>
          </cell>
          <cell r="BC164">
            <v>2</v>
          </cell>
          <cell r="BD164">
            <v>337130</v>
          </cell>
          <cell r="BF164">
            <v>0</v>
          </cell>
          <cell r="BH164">
            <v>0</v>
          </cell>
          <cell r="BJ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</row>
        <row r="165">
          <cell r="A165">
            <v>13</v>
          </cell>
          <cell r="B165" t="str">
            <v>Kunci Silinder</v>
          </cell>
          <cell r="C165" t="str">
            <v>Set</v>
          </cell>
          <cell r="D165">
            <v>217900</v>
          </cell>
          <cell r="E165">
            <v>0</v>
          </cell>
          <cell r="F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X165">
            <v>0</v>
          </cell>
          <cell r="AZ165">
            <v>0</v>
          </cell>
          <cell r="BB165">
            <v>0</v>
          </cell>
          <cell r="BD165">
            <v>0</v>
          </cell>
          <cell r="BF165">
            <v>0</v>
          </cell>
          <cell r="BH165">
            <v>0</v>
          </cell>
          <cell r="BJ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</row>
        <row r="166">
          <cell r="A166">
            <v>14</v>
          </cell>
          <cell r="B166" t="str">
            <v>Kunci Selot</v>
          </cell>
          <cell r="C166" t="str">
            <v>Set</v>
          </cell>
          <cell r="D166">
            <v>48300</v>
          </cell>
          <cell r="E166">
            <v>0</v>
          </cell>
          <cell r="F166">
            <v>0</v>
          </cell>
          <cell r="G166">
            <v>1</v>
          </cell>
          <cell r="H166">
            <v>48300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X166">
            <v>0</v>
          </cell>
          <cell r="AZ166">
            <v>0</v>
          </cell>
          <cell r="BB166">
            <v>0</v>
          </cell>
          <cell r="BD166">
            <v>0</v>
          </cell>
          <cell r="BF166">
            <v>0</v>
          </cell>
          <cell r="BH166">
            <v>0</v>
          </cell>
          <cell r="BJ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</row>
        <row r="167">
          <cell r="A167">
            <v>15</v>
          </cell>
          <cell r="B167" t="str">
            <v>Engsel jendela</v>
          </cell>
          <cell r="C167" t="str">
            <v>Bh</v>
          </cell>
          <cell r="D167">
            <v>16600</v>
          </cell>
          <cell r="E167">
            <v>0</v>
          </cell>
          <cell r="F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X167">
            <v>0</v>
          </cell>
          <cell r="AZ167">
            <v>0</v>
          </cell>
          <cell r="BB167">
            <v>0</v>
          </cell>
          <cell r="BD167">
            <v>0</v>
          </cell>
          <cell r="BF167">
            <v>0</v>
          </cell>
          <cell r="BH167">
            <v>0</v>
          </cell>
          <cell r="BJ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</row>
        <row r="168">
          <cell r="A168">
            <v>16</v>
          </cell>
          <cell r="B168" t="str">
            <v>Engsel pintu</v>
          </cell>
          <cell r="C168" t="str">
            <v>Bh</v>
          </cell>
          <cell r="D168">
            <v>44395.75</v>
          </cell>
          <cell r="E168">
            <v>4</v>
          </cell>
          <cell r="F168">
            <v>177583</v>
          </cell>
          <cell r="G168">
            <v>4</v>
          </cell>
          <cell r="H168">
            <v>177583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3</v>
          </cell>
          <cell r="N168">
            <v>133187.25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X168">
            <v>0</v>
          </cell>
          <cell r="AZ168">
            <v>0</v>
          </cell>
          <cell r="BB168">
            <v>0</v>
          </cell>
          <cell r="BC168">
            <v>4</v>
          </cell>
          <cell r="BD168">
            <v>177583</v>
          </cell>
          <cell r="BF168">
            <v>0</v>
          </cell>
          <cell r="BH168">
            <v>0</v>
          </cell>
          <cell r="BJ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</row>
        <row r="169">
          <cell r="A169">
            <v>17</v>
          </cell>
          <cell r="B169" t="str">
            <v>Engsel Pintu dari pipa besi dia 2 cm</v>
          </cell>
          <cell r="C169" t="str">
            <v>Bh</v>
          </cell>
          <cell r="D169">
            <v>66593.625</v>
          </cell>
          <cell r="E169">
            <v>0</v>
          </cell>
          <cell r="F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2</v>
          </cell>
          <cell r="L169">
            <v>133187.25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X169">
            <v>0</v>
          </cell>
          <cell r="AZ169">
            <v>0</v>
          </cell>
          <cell r="BB169">
            <v>0</v>
          </cell>
          <cell r="BD169">
            <v>0</v>
          </cell>
          <cell r="BF169">
            <v>0</v>
          </cell>
          <cell r="BH169">
            <v>0</v>
          </cell>
          <cell r="BJ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</row>
        <row r="170">
          <cell r="A170">
            <v>18</v>
          </cell>
          <cell r="B170" t="str">
            <v>Kait/hak angin</v>
          </cell>
          <cell r="C170" t="str">
            <v>Set</v>
          </cell>
          <cell r="D170">
            <v>27000</v>
          </cell>
          <cell r="E170">
            <v>0</v>
          </cell>
          <cell r="F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X170">
            <v>0</v>
          </cell>
          <cell r="AZ170">
            <v>0</v>
          </cell>
          <cell r="BB170">
            <v>0</v>
          </cell>
          <cell r="BD170">
            <v>0</v>
          </cell>
          <cell r="BF170">
            <v>0</v>
          </cell>
          <cell r="BH170">
            <v>0</v>
          </cell>
          <cell r="BJ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</row>
        <row r="171">
          <cell r="A171">
            <v>19</v>
          </cell>
          <cell r="B171" t="str">
            <v>Grendel pintu kuningan</v>
          </cell>
          <cell r="C171" t="str">
            <v>Bh</v>
          </cell>
          <cell r="D171">
            <v>125000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X171">
            <v>0</v>
          </cell>
          <cell r="AZ171">
            <v>0</v>
          </cell>
          <cell r="BB171">
            <v>0</v>
          </cell>
          <cell r="BD171">
            <v>0</v>
          </cell>
          <cell r="BF171">
            <v>0</v>
          </cell>
          <cell r="BH171">
            <v>0</v>
          </cell>
          <cell r="BJ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</row>
        <row r="172">
          <cell r="A172">
            <v>20</v>
          </cell>
          <cell r="B172" t="str">
            <v xml:space="preserve">Grendel jendela </v>
          </cell>
          <cell r="C172" t="str">
            <v>Bh</v>
          </cell>
          <cell r="D172">
            <v>8100</v>
          </cell>
          <cell r="E172">
            <v>0</v>
          </cell>
          <cell r="F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X172">
            <v>0</v>
          </cell>
          <cell r="AZ172">
            <v>0</v>
          </cell>
          <cell r="BB172">
            <v>0</v>
          </cell>
          <cell r="BD172">
            <v>0</v>
          </cell>
          <cell r="BF172">
            <v>0</v>
          </cell>
          <cell r="BH172">
            <v>0</v>
          </cell>
          <cell r="BJ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</row>
        <row r="173">
          <cell r="A173">
            <v>21</v>
          </cell>
          <cell r="B173" t="str">
            <v>Grendel pintu</v>
          </cell>
          <cell r="C173" t="str">
            <v>Bh</v>
          </cell>
          <cell r="D173">
            <v>14200</v>
          </cell>
          <cell r="E173">
            <v>0</v>
          </cell>
          <cell r="F173">
            <v>0</v>
          </cell>
          <cell r="G173">
            <v>2</v>
          </cell>
          <cell r="H173">
            <v>28400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X173">
            <v>0</v>
          </cell>
          <cell r="AZ173">
            <v>0</v>
          </cell>
          <cell r="BB173">
            <v>0</v>
          </cell>
          <cell r="BC173">
            <v>1</v>
          </cell>
          <cell r="BD173">
            <v>14200</v>
          </cell>
          <cell r="BF173">
            <v>0</v>
          </cell>
          <cell r="BH173">
            <v>0</v>
          </cell>
          <cell r="BJ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</row>
        <row r="174">
          <cell r="A174">
            <v>22</v>
          </cell>
          <cell r="B174" t="str">
            <v>Stripting Knip</v>
          </cell>
          <cell r="C174" t="str">
            <v>Set</v>
          </cell>
          <cell r="D174">
            <v>13700</v>
          </cell>
          <cell r="E174">
            <v>0</v>
          </cell>
          <cell r="F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X174">
            <v>0</v>
          </cell>
          <cell r="AZ174">
            <v>0</v>
          </cell>
          <cell r="BB174">
            <v>0</v>
          </cell>
          <cell r="BD174">
            <v>0</v>
          </cell>
          <cell r="BF174">
            <v>0</v>
          </cell>
          <cell r="BH174">
            <v>0</v>
          </cell>
          <cell r="BJ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</row>
        <row r="175">
          <cell r="A175">
            <v>23</v>
          </cell>
          <cell r="B175" t="str">
            <v>Door Closer</v>
          </cell>
          <cell r="C175" t="str">
            <v>Set</v>
          </cell>
          <cell r="D175">
            <v>260800</v>
          </cell>
          <cell r="E175">
            <v>0</v>
          </cell>
          <cell r="F175">
            <v>0</v>
          </cell>
          <cell r="G175">
            <v>2</v>
          </cell>
          <cell r="H175">
            <v>521600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X175">
            <v>0</v>
          </cell>
          <cell r="AZ175">
            <v>0</v>
          </cell>
          <cell r="BB175">
            <v>0</v>
          </cell>
          <cell r="BD175">
            <v>0</v>
          </cell>
          <cell r="BF175">
            <v>0</v>
          </cell>
          <cell r="BH175">
            <v>0</v>
          </cell>
          <cell r="BJ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</row>
        <row r="176">
          <cell r="A176">
            <v>24</v>
          </cell>
          <cell r="B176" t="str">
            <v>Door Holder</v>
          </cell>
          <cell r="C176" t="str">
            <v>Set</v>
          </cell>
          <cell r="D176">
            <v>500000</v>
          </cell>
          <cell r="E176">
            <v>0</v>
          </cell>
          <cell r="F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X176">
            <v>0</v>
          </cell>
          <cell r="AZ176">
            <v>0</v>
          </cell>
          <cell r="BB176">
            <v>0</v>
          </cell>
          <cell r="BD176">
            <v>0</v>
          </cell>
          <cell r="BF176">
            <v>0</v>
          </cell>
          <cell r="BH176">
            <v>0</v>
          </cell>
          <cell r="BJ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</row>
        <row r="177">
          <cell r="A177">
            <v>25</v>
          </cell>
          <cell r="B177" t="str">
            <v>Door Stop</v>
          </cell>
          <cell r="C177" t="str">
            <v>Set</v>
          </cell>
          <cell r="D177">
            <v>32100</v>
          </cell>
          <cell r="E177">
            <v>0</v>
          </cell>
          <cell r="F177">
            <v>0</v>
          </cell>
          <cell r="G177">
            <v>0.10319999999999999</v>
          </cell>
          <cell r="H177">
            <v>3312.7199999999993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X177">
            <v>0</v>
          </cell>
          <cell r="AZ177">
            <v>0</v>
          </cell>
          <cell r="BB177">
            <v>0</v>
          </cell>
          <cell r="BD177">
            <v>0</v>
          </cell>
          <cell r="BF177">
            <v>0</v>
          </cell>
          <cell r="BH177">
            <v>0</v>
          </cell>
          <cell r="BJ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</row>
        <row r="178">
          <cell r="A178">
            <v>26</v>
          </cell>
          <cell r="B178" t="str">
            <v>Kaca bening 5 mm</v>
          </cell>
          <cell r="C178" t="str">
            <v>M2</v>
          </cell>
          <cell r="D178">
            <v>66700</v>
          </cell>
          <cell r="E178">
            <v>0</v>
          </cell>
          <cell r="F178">
            <v>0</v>
          </cell>
          <cell r="H178">
            <v>0</v>
          </cell>
          <cell r="I178">
            <v>0.10319999999999999</v>
          </cell>
          <cell r="J178">
            <v>6883.4399999999987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0.15809999999999999</v>
          </cell>
          <cell r="AR178">
            <v>10545.269999999999</v>
          </cell>
          <cell r="AS178">
            <v>0.15809999999999999</v>
          </cell>
          <cell r="AT178">
            <v>10545.269999999999</v>
          </cell>
          <cell r="AU178">
            <v>0</v>
          </cell>
          <cell r="AV178">
            <v>0</v>
          </cell>
          <cell r="AX178">
            <v>0</v>
          </cell>
          <cell r="AZ178">
            <v>0</v>
          </cell>
          <cell r="BB178">
            <v>0</v>
          </cell>
          <cell r="BD178">
            <v>0</v>
          </cell>
          <cell r="BF178">
            <v>0</v>
          </cell>
          <cell r="BH178">
            <v>0</v>
          </cell>
          <cell r="BJ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</row>
        <row r="179">
          <cell r="A179">
            <v>27</v>
          </cell>
          <cell r="B179" t="str">
            <v>Kaca bening 10 mm</v>
          </cell>
          <cell r="C179" t="str">
            <v>M2</v>
          </cell>
          <cell r="D179">
            <v>280895.75</v>
          </cell>
          <cell r="E179">
            <v>0</v>
          </cell>
          <cell r="F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23.1525</v>
          </cell>
          <cell r="P179">
            <v>6503438.8518749997</v>
          </cell>
          <cell r="Q179">
            <v>11.025</v>
          </cell>
          <cell r="R179">
            <v>3096875.6437500003</v>
          </cell>
          <cell r="S179">
            <v>6.6389999999999993</v>
          </cell>
          <cell r="T179">
            <v>1864866.8842499999</v>
          </cell>
          <cell r="U179">
            <v>6.6389999999999993</v>
          </cell>
          <cell r="V179">
            <v>1864866.8842499999</v>
          </cell>
          <cell r="W179">
            <v>0.34410000000000002</v>
          </cell>
          <cell r="X179">
            <v>96656.227575000012</v>
          </cell>
          <cell r="Y179">
            <v>0.34410000000000002</v>
          </cell>
          <cell r="Z179">
            <v>96656.227575000012</v>
          </cell>
          <cell r="AA179">
            <v>2.8280000000000003</v>
          </cell>
          <cell r="AB179">
            <v>794373.1810000001</v>
          </cell>
          <cell r="AC179">
            <v>2.8280000000000003</v>
          </cell>
          <cell r="AD179">
            <v>794373.1810000001</v>
          </cell>
          <cell r="AE179">
            <v>2.8839999999999999</v>
          </cell>
          <cell r="AF179">
            <v>810103.34299999999</v>
          </cell>
          <cell r="AG179">
            <v>1.26</v>
          </cell>
          <cell r="AH179">
            <v>353928.64500000002</v>
          </cell>
          <cell r="AI179">
            <v>1.57605</v>
          </cell>
          <cell r="AJ179">
            <v>442705.74678749999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1.375</v>
          </cell>
          <cell r="AP179">
            <v>386231.65625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X179">
            <v>0</v>
          </cell>
          <cell r="AZ179">
            <v>0</v>
          </cell>
          <cell r="BB179">
            <v>0</v>
          </cell>
          <cell r="BD179">
            <v>0</v>
          </cell>
          <cell r="BF179">
            <v>0</v>
          </cell>
          <cell r="BH179">
            <v>0</v>
          </cell>
          <cell r="BJ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</row>
        <row r="180">
          <cell r="A180">
            <v>28</v>
          </cell>
          <cell r="B180" t="str">
            <v>Kaca Bening 12 mm</v>
          </cell>
          <cell r="C180" t="str">
            <v>M2</v>
          </cell>
          <cell r="D180">
            <v>403787.64062499994</v>
          </cell>
          <cell r="E180">
            <v>0</v>
          </cell>
          <cell r="F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X180">
            <v>0</v>
          </cell>
          <cell r="AZ180">
            <v>0</v>
          </cell>
          <cell r="BB180">
            <v>0</v>
          </cell>
          <cell r="BD180">
            <v>0</v>
          </cell>
          <cell r="BF180">
            <v>0</v>
          </cell>
          <cell r="BH180">
            <v>0</v>
          </cell>
          <cell r="BJ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</row>
        <row r="181">
          <cell r="A181">
            <v>29</v>
          </cell>
          <cell r="B181" t="str">
            <v>Besi hollow 4/4</v>
          </cell>
          <cell r="C181" t="str">
            <v>M'</v>
          </cell>
          <cell r="D181">
            <v>48625.000000000051</v>
          </cell>
          <cell r="E181">
            <v>0</v>
          </cell>
          <cell r="F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5.09</v>
          </cell>
          <cell r="L181">
            <v>247501.25000000026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X181">
            <v>0</v>
          </cell>
          <cell r="AZ181">
            <v>0</v>
          </cell>
          <cell r="BB181">
            <v>0</v>
          </cell>
          <cell r="BC181">
            <v>0</v>
          </cell>
          <cell r="BD181">
            <v>0</v>
          </cell>
          <cell r="BF181">
            <v>0</v>
          </cell>
          <cell r="BH181">
            <v>0</v>
          </cell>
          <cell r="BJ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</row>
        <row r="182">
          <cell r="A182">
            <v>30</v>
          </cell>
          <cell r="B182" t="str">
            <v>Besi hollow 6/6</v>
          </cell>
          <cell r="C182" t="str">
            <v>M'</v>
          </cell>
          <cell r="D182">
            <v>74462.500000000058</v>
          </cell>
          <cell r="E182">
            <v>0</v>
          </cell>
          <cell r="F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5.09</v>
          </cell>
          <cell r="L182">
            <v>379014.12500000029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X182">
            <v>0</v>
          </cell>
          <cell r="AZ182">
            <v>0</v>
          </cell>
          <cell r="BB182">
            <v>0</v>
          </cell>
          <cell r="BD182">
            <v>0</v>
          </cell>
          <cell r="BF182">
            <v>0</v>
          </cell>
          <cell r="BH182">
            <v>0</v>
          </cell>
          <cell r="BJ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</row>
        <row r="183">
          <cell r="A183">
            <v>31</v>
          </cell>
          <cell r="B183" t="str">
            <v>Besi hollow 2.5/5</v>
          </cell>
          <cell r="C183" t="str">
            <v>Kg</v>
          </cell>
          <cell r="D183">
            <v>74462.500000000058</v>
          </cell>
          <cell r="E183">
            <v>0</v>
          </cell>
          <cell r="F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X183">
            <v>0</v>
          </cell>
          <cell r="AZ183">
            <v>0</v>
          </cell>
          <cell r="BB183">
            <v>0</v>
          </cell>
          <cell r="BD183">
            <v>0</v>
          </cell>
          <cell r="BF183">
            <v>0</v>
          </cell>
          <cell r="BH183">
            <v>0</v>
          </cell>
          <cell r="BJ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</row>
        <row r="184">
          <cell r="A184">
            <v>32</v>
          </cell>
          <cell r="B184" t="str">
            <v>Besi hollow 5/5</v>
          </cell>
          <cell r="C184" t="str">
            <v>Kg</v>
          </cell>
          <cell r="D184">
            <v>74462.500000000058</v>
          </cell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X184">
            <v>0</v>
          </cell>
          <cell r="AZ184">
            <v>0</v>
          </cell>
          <cell r="BB184">
            <v>0</v>
          </cell>
          <cell r="BD184">
            <v>0</v>
          </cell>
          <cell r="BF184">
            <v>0</v>
          </cell>
          <cell r="BH184">
            <v>0</v>
          </cell>
          <cell r="BJ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</row>
        <row r="185">
          <cell r="A185">
            <v>33</v>
          </cell>
          <cell r="B185" t="str">
            <v>Besi hollow 2/2</v>
          </cell>
          <cell r="C185" t="str">
            <v>Kg</v>
          </cell>
          <cell r="D185">
            <v>74462.500000000058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X185">
            <v>0</v>
          </cell>
          <cell r="AZ185">
            <v>0</v>
          </cell>
          <cell r="BB185">
            <v>0</v>
          </cell>
          <cell r="BD185">
            <v>0</v>
          </cell>
          <cell r="BF185">
            <v>0</v>
          </cell>
          <cell r="BH185">
            <v>0</v>
          </cell>
          <cell r="BJ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</row>
        <row r="186">
          <cell r="A186">
            <v>34</v>
          </cell>
          <cell r="B186" t="str">
            <v>Besi hollow 2/4</v>
          </cell>
          <cell r="C186" t="str">
            <v>Kg</v>
          </cell>
          <cell r="D186">
            <v>74462.500000000058</v>
          </cell>
          <cell r="E186">
            <v>0</v>
          </cell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X186">
            <v>0</v>
          </cell>
          <cell r="AZ186">
            <v>0</v>
          </cell>
          <cell r="BB186">
            <v>0</v>
          </cell>
          <cell r="BC186">
            <v>6.1991999999999994</v>
          </cell>
          <cell r="BD186">
            <v>461607.93000000034</v>
          </cell>
          <cell r="BF186">
            <v>0</v>
          </cell>
          <cell r="BH186">
            <v>0</v>
          </cell>
          <cell r="BJ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</row>
        <row r="187">
          <cell r="A187">
            <v>35</v>
          </cell>
          <cell r="B187" t="str">
            <v>Kaca Tempered 12 mm</v>
          </cell>
          <cell r="C187" t="str">
            <v>M2</v>
          </cell>
          <cell r="D187">
            <v>528395.75</v>
          </cell>
          <cell r="E187">
            <v>4.3049999999999997</v>
          </cell>
          <cell r="F187">
            <v>2274743.7037499999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X187">
            <v>0</v>
          </cell>
          <cell r="AZ187">
            <v>0</v>
          </cell>
          <cell r="BB187">
            <v>0</v>
          </cell>
          <cell r="BD187">
            <v>0</v>
          </cell>
          <cell r="BF187">
            <v>0</v>
          </cell>
          <cell r="BH187">
            <v>0</v>
          </cell>
          <cell r="BJ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</row>
        <row r="188">
          <cell r="A188">
            <v>36</v>
          </cell>
          <cell r="B188" t="str">
            <v>Glass Block</v>
          </cell>
          <cell r="C188" t="str">
            <v>Bh</v>
          </cell>
          <cell r="D188">
            <v>45000</v>
          </cell>
          <cell r="E188">
            <v>0</v>
          </cell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X188">
            <v>0</v>
          </cell>
          <cell r="AZ188">
            <v>0</v>
          </cell>
          <cell r="BB188">
            <v>0</v>
          </cell>
          <cell r="BD188">
            <v>0</v>
          </cell>
          <cell r="BF188">
            <v>0</v>
          </cell>
          <cell r="BH188">
            <v>0</v>
          </cell>
          <cell r="BJ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</row>
        <row r="189">
          <cell r="A189">
            <v>37</v>
          </cell>
          <cell r="B189" t="str">
            <v>Kaca Es</v>
          </cell>
          <cell r="C189" t="str">
            <v>M2</v>
          </cell>
          <cell r="D189">
            <v>66700</v>
          </cell>
          <cell r="E189">
            <v>0</v>
          </cell>
          <cell r="F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X189">
            <v>0</v>
          </cell>
          <cell r="AZ189">
            <v>0</v>
          </cell>
          <cell r="BB189">
            <v>0</v>
          </cell>
          <cell r="BD189">
            <v>0</v>
          </cell>
          <cell r="BF189">
            <v>0</v>
          </cell>
          <cell r="BH189">
            <v>0</v>
          </cell>
          <cell r="BJ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</row>
        <row r="190">
          <cell r="A190">
            <v>38</v>
          </cell>
          <cell r="B190" t="str">
            <v>Krepyak Kaca Nako + Kerangka</v>
          </cell>
          <cell r="C190" t="str">
            <v>M2</v>
          </cell>
          <cell r="D190">
            <v>81300</v>
          </cell>
          <cell r="E190">
            <v>0</v>
          </cell>
          <cell r="F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X190">
            <v>0</v>
          </cell>
          <cell r="AZ190">
            <v>0</v>
          </cell>
          <cell r="BB190">
            <v>0</v>
          </cell>
          <cell r="BD190">
            <v>0</v>
          </cell>
          <cell r="BF190">
            <v>0</v>
          </cell>
          <cell r="BH190">
            <v>0</v>
          </cell>
          <cell r="BJ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</row>
        <row r="191">
          <cell r="A191">
            <v>39</v>
          </cell>
          <cell r="B191" t="str">
            <v>Sticker Efek Kaca Es</v>
          </cell>
          <cell r="C191" t="str">
            <v>M2</v>
          </cell>
          <cell r="D191">
            <v>150000</v>
          </cell>
          <cell r="E191">
            <v>0</v>
          </cell>
          <cell r="F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4.1899999999999995</v>
          </cell>
          <cell r="T191">
            <v>628499.99999999988</v>
          </cell>
          <cell r="U191">
            <v>3.9323999999999999</v>
          </cell>
          <cell r="V191">
            <v>589860</v>
          </cell>
          <cell r="W191">
            <v>0</v>
          </cell>
          <cell r="X191">
            <v>0</v>
          </cell>
          <cell r="Y191">
            <v>0.16500000000000001</v>
          </cell>
          <cell r="Z191">
            <v>24750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0.31619999999999998</v>
          </cell>
          <cell r="AT191">
            <v>47430</v>
          </cell>
          <cell r="AU191">
            <v>0</v>
          </cell>
          <cell r="AV191">
            <v>0</v>
          </cell>
          <cell r="AX191">
            <v>0</v>
          </cell>
          <cell r="AZ191">
            <v>0</v>
          </cell>
          <cell r="BB191">
            <v>0</v>
          </cell>
          <cell r="BD191">
            <v>0</v>
          </cell>
          <cell r="BF191">
            <v>0</v>
          </cell>
          <cell r="BH191">
            <v>0</v>
          </cell>
          <cell r="BJ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</row>
        <row r="192">
          <cell r="A192">
            <v>40</v>
          </cell>
          <cell r="B192" t="str">
            <v>Rel Pintu Dorong</v>
          </cell>
          <cell r="C192" t="str">
            <v>M'</v>
          </cell>
          <cell r="D192">
            <v>275000</v>
          </cell>
          <cell r="E192">
            <v>0</v>
          </cell>
          <cell r="F192">
            <v>0</v>
          </cell>
          <cell r="H192">
            <v>0</v>
          </cell>
          <cell r="I192">
            <v>8.8000000000000007</v>
          </cell>
          <cell r="J192">
            <v>2420000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X192">
            <v>0</v>
          </cell>
          <cell r="AZ192">
            <v>0</v>
          </cell>
          <cell r="BB192">
            <v>0</v>
          </cell>
          <cell r="BD192">
            <v>0</v>
          </cell>
          <cell r="BF192">
            <v>0</v>
          </cell>
          <cell r="BH192">
            <v>0</v>
          </cell>
          <cell r="BJ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</row>
        <row r="193">
          <cell r="A193">
            <v>41</v>
          </cell>
          <cell r="B193" t="str">
            <v>Rolling Door</v>
          </cell>
          <cell r="C193" t="str">
            <v>M2</v>
          </cell>
          <cell r="D193">
            <v>358100</v>
          </cell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X193">
            <v>0</v>
          </cell>
          <cell r="AZ193">
            <v>0</v>
          </cell>
          <cell r="BB193">
            <v>0</v>
          </cell>
          <cell r="BD193">
            <v>0</v>
          </cell>
          <cell r="BF193">
            <v>0</v>
          </cell>
          <cell r="BH193">
            <v>0</v>
          </cell>
          <cell r="BJ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</row>
        <row r="194">
          <cell r="A194">
            <v>42</v>
          </cell>
          <cell r="B194" t="str">
            <v>Roster</v>
          </cell>
          <cell r="C194" t="str">
            <v>M2</v>
          </cell>
          <cell r="D194">
            <v>133850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X194">
            <v>0</v>
          </cell>
          <cell r="AZ194">
            <v>0</v>
          </cell>
          <cell r="BB194">
            <v>0</v>
          </cell>
          <cell r="BD194">
            <v>0</v>
          </cell>
          <cell r="BE194">
            <v>3.9600000000000004</v>
          </cell>
          <cell r="BF194">
            <v>530046</v>
          </cell>
          <cell r="BG194">
            <v>7.2700000000000014</v>
          </cell>
          <cell r="BH194">
            <v>973089.50000000023</v>
          </cell>
          <cell r="BI194">
            <v>0.64000000000000012</v>
          </cell>
          <cell r="BJ194">
            <v>85664.000000000015</v>
          </cell>
          <cell r="BK194">
            <v>0.64000000000000012</v>
          </cell>
          <cell r="BL194">
            <v>85664.000000000015</v>
          </cell>
          <cell r="BM194">
            <v>0.32000000000000006</v>
          </cell>
          <cell r="BN194">
            <v>42832.000000000007</v>
          </cell>
          <cell r="BO194">
            <v>0.72000000000000008</v>
          </cell>
          <cell r="BP194">
            <v>96372.000000000015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</row>
        <row r="195">
          <cell r="A195">
            <v>43</v>
          </cell>
          <cell r="B195" t="str">
            <v>Gipsum Board</v>
          </cell>
          <cell r="C195" t="str">
            <v>M2</v>
          </cell>
          <cell r="D195">
            <v>29000</v>
          </cell>
          <cell r="E195">
            <v>0</v>
          </cell>
          <cell r="F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X195">
            <v>0</v>
          </cell>
          <cell r="AZ195">
            <v>0</v>
          </cell>
          <cell r="BB195">
            <v>0</v>
          </cell>
          <cell r="BD195">
            <v>0</v>
          </cell>
          <cell r="BF195">
            <v>0</v>
          </cell>
          <cell r="BH195">
            <v>0</v>
          </cell>
          <cell r="BJ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</row>
        <row r="196">
          <cell r="A196">
            <v>44</v>
          </cell>
          <cell r="B196" t="str">
            <v>List Gipsum</v>
          </cell>
          <cell r="C196" t="str">
            <v>M'</v>
          </cell>
          <cell r="D196">
            <v>17300</v>
          </cell>
          <cell r="E196">
            <v>0</v>
          </cell>
          <cell r="F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X196">
            <v>0</v>
          </cell>
          <cell r="AZ196">
            <v>0</v>
          </cell>
          <cell r="BB196">
            <v>0</v>
          </cell>
          <cell r="BD196">
            <v>0</v>
          </cell>
          <cell r="BF196">
            <v>0</v>
          </cell>
          <cell r="BH196">
            <v>0</v>
          </cell>
          <cell r="BJ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</row>
        <row r="197">
          <cell r="A197">
            <v>45</v>
          </cell>
          <cell r="B197" t="str">
            <v>Sealent</v>
          </cell>
          <cell r="C197" t="str">
            <v>M'</v>
          </cell>
          <cell r="D197">
            <v>8400</v>
          </cell>
          <cell r="E197">
            <v>0</v>
          </cell>
          <cell r="F197">
            <v>0</v>
          </cell>
          <cell r="G197">
            <v>4.88</v>
          </cell>
          <cell r="H197">
            <v>40992</v>
          </cell>
          <cell r="I197">
            <v>4.88</v>
          </cell>
          <cell r="J197">
            <v>40992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40.319999999999993</v>
          </cell>
          <cell r="P197">
            <v>338687.99999999994</v>
          </cell>
          <cell r="Q197">
            <v>19.600000000000001</v>
          </cell>
          <cell r="R197">
            <v>164640</v>
          </cell>
          <cell r="S197">
            <v>58.63</v>
          </cell>
          <cell r="T197">
            <v>492492</v>
          </cell>
          <cell r="U197">
            <v>58.63</v>
          </cell>
          <cell r="V197">
            <v>492492</v>
          </cell>
          <cell r="W197">
            <v>5.6800000000000006</v>
          </cell>
          <cell r="X197">
            <v>47712.000000000007</v>
          </cell>
          <cell r="Y197">
            <v>5.6800000000000006</v>
          </cell>
          <cell r="Z197">
            <v>47712.000000000007</v>
          </cell>
          <cell r="AA197">
            <v>31</v>
          </cell>
          <cell r="AB197">
            <v>260400</v>
          </cell>
          <cell r="AC197">
            <v>31.400000000000002</v>
          </cell>
          <cell r="AD197">
            <v>263760</v>
          </cell>
          <cell r="AE197">
            <v>19.439999999999998</v>
          </cell>
          <cell r="AF197">
            <v>163295.99999999997</v>
          </cell>
          <cell r="AG197">
            <v>4.5999999999999996</v>
          </cell>
          <cell r="AH197">
            <v>38640</v>
          </cell>
          <cell r="AI197">
            <v>10.76</v>
          </cell>
          <cell r="AJ197">
            <v>90384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3.2800000000000002</v>
          </cell>
          <cell r="AR197">
            <v>27552.000000000004</v>
          </cell>
          <cell r="AS197">
            <v>3.2800000000000002</v>
          </cell>
          <cell r="AT197">
            <v>27552.000000000004</v>
          </cell>
          <cell r="AU197">
            <v>0</v>
          </cell>
          <cell r="AV197">
            <v>0</v>
          </cell>
          <cell r="AX197">
            <v>0</v>
          </cell>
          <cell r="AZ197">
            <v>0</v>
          </cell>
          <cell r="BB197">
            <v>0</v>
          </cell>
          <cell r="BD197">
            <v>0</v>
          </cell>
          <cell r="BF197">
            <v>0</v>
          </cell>
          <cell r="BH197">
            <v>0</v>
          </cell>
          <cell r="BJ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</row>
        <row r="198">
          <cell r="A198">
            <v>46</v>
          </cell>
          <cell r="B198" t="str">
            <v>Benangan Kusen</v>
          </cell>
          <cell r="C198" t="str">
            <v>M'</v>
          </cell>
          <cell r="D198">
            <v>4296.0074999999997</v>
          </cell>
          <cell r="E198">
            <v>6.1999999999999993</v>
          </cell>
          <cell r="F198">
            <v>26635.246499999994</v>
          </cell>
          <cell r="G198">
            <v>10.6</v>
          </cell>
          <cell r="H198">
            <v>45537.679499999998</v>
          </cell>
          <cell r="I198">
            <v>0</v>
          </cell>
          <cell r="J198">
            <v>0</v>
          </cell>
          <cell r="K198">
            <v>5.5990000000000002</v>
          </cell>
          <cell r="L198">
            <v>24053.345992499999</v>
          </cell>
          <cell r="M198">
            <v>5.7839999999999998</v>
          </cell>
          <cell r="N198">
            <v>24848.107379999998</v>
          </cell>
          <cell r="O198">
            <v>23.320000000000004</v>
          </cell>
          <cell r="P198">
            <v>100182.89490000001</v>
          </cell>
          <cell r="Q198">
            <v>13.5</v>
          </cell>
          <cell r="R198">
            <v>57996.101249999992</v>
          </cell>
          <cell r="S198">
            <v>21.6</v>
          </cell>
          <cell r="T198">
            <v>92793.762000000002</v>
          </cell>
          <cell r="U198">
            <v>21.6</v>
          </cell>
          <cell r="V198">
            <v>92793.762000000002</v>
          </cell>
          <cell r="W198">
            <v>6.4</v>
          </cell>
          <cell r="X198">
            <v>27494.448</v>
          </cell>
          <cell r="Y198">
            <v>6.4</v>
          </cell>
          <cell r="Z198">
            <v>27494.448</v>
          </cell>
          <cell r="AA198">
            <v>18.8</v>
          </cell>
          <cell r="AB198">
            <v>80764.940999999992</v>
          </cell>
          <cell r="AC198">
            <v>16.600000000000001</v>
          </cell>
          <cell r="AD198">
            <v>71313.724499999997</v>
          </cell>
          <cell r="AE198">
            <v>10.120000000000001</v>
          </cell>
          <cell r="AF198">
            <v>43475.5959</v>
          </cell>
          <cell r="AG198">
            <v>10</v>
          </cell>
          <cell r="AH198">
            <v>42960.074999999997</v>
          </cell>
          <cell r="AI198">
            <v>11.639999999999999</v>
          </cell>
          <cell r="AJ198">
            <v>50005.527299999994</v>
          </cell>
          <cell r="AK198">
            <v>20</v>
          </cell>
          <cell r="AL198">
            <v>85920.15</v>
          </cell>
          <cell r="AM198">
            <v>15.4</v>
          </cell>
          <cell r="AN198">
            <v>66158.515499999994</v>
          </cell>
          <cell r="AO198">
            <v>16.8</v>
          </cell>
          <cell r="AP198">
            <v>72172.925999999992</v>
          </cell>
          <cell r="AQ198">
            <v>4</v>
          </cell>
          <cell r="AR198">
            <v>17184.03</v>
          </cell>
          <cell r="AS198">
            <v>4</v>
          </cell>
          <cell r="AT198">
            <v>17184.03</v>
          </cell>
          <cell r="AU198">
            <v>4</v>
          </cell>
          <cell r="AV198">
            <v>17184.03</v>
          </cell>
          <cell r="AW198">
            <v>22.8</v>
          </cell>
          <cell r="AX198">
            <v>97948.97099999999</v>
          </cell>
          <cell r="AY198">
            <v>22.9</v>
          </cell>
          <cell r="AZ198">
            <v>98378.571749999988</v>
          </cell>
          <cell r="BA198">
            <v>39.200000000000003</v>
          </cell>
          <cell r="BB198">
            <v>168403.49400000001</v>
          </cell>
          <cell r="BD198">
            <v>0</v>
          </cell>
          <cell r="BE198">
            <v>69.599999999999994</v>
          </cell>
          <cell r="BF198">
            <v>299002.12199999997</v>
          </cell>
          <cell r="BG198">
            <v>117.6</v>
          </cell>
          <cell r="BH198">
            <v>505210.48199999996</v>
          </cell>
          <cell r="BI198">
            <v>8</v>
          </cell>
          <cell r="BJ198">
            <v>34368.06</v>
          </cell>
          <cell r="BK198">
            <v>8</v>
          </cell>
          <cell r="BL198">
            <v>34368.06</v>
          </cell>
          <cell r="BM198">
            <v>4.8000000000000007</v>
          </cell>
          <cell r="BN198">
            <v>20620.836000000003</v>
          </cell>
          <cell r="BO198">
            <v>15.200000000000001</v>
          </cell>
          <cell r="BP198">
            <v>65299.313999999998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</row>
        <row r="199">
          <cell r="A199">
            <v>47</v>
          </cell>
          <cell r="B199" t="str">
            <v xml:space="preserve">Cat Kayu </v>
          </cell>
          <cell r="C199" t="str">
            <v>M2</v>
          </cell>
          <cell r="D199">
            <v>19370.5</v>
          </cell>
          <cell r="E199">
            <v>0</v>
          </cell>
          <cell r="F199">
            <v>0</v>
          </cell>
          <cell r="G199">
            <v>4.68</v>
          </cell>
          <cell r="H199">
            <v>90653.939999999988</v>
          </cell>
          <cell r="I199">
            <v>4.7</v>
          </cell>
          <cell r="J199">
            <v>91041.35</v>
          </cell>
          <cell r="K199">
            <v>0</v>
          </cell>
          <cell r="L199">
            <v>0</v>
          </cell>
          <cell r="M199">
            <v>4.0991999999999997</v>
          </cell>
          <cell r="N199">
            <v>79403.553599999999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3.3503999999999992</v>
          </cell>
          <cell r="AL199">
            <v>64898.923199999983</v>
          </cell>
          <cell r="AM199">
            <v>2.2895999999999996</v>
          </cell>
          <cell r="AN199">
            <v>44350.696799999991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X199">
            <v>0</v>
          </cell>
          <cell r="AZ199">
            <v>0</v>
          </cell>
          <cell r="BB199">
            <v>0</v>
          </cell>
          <cell r="BD199">
            <v>0</v>
          </cell>
          <cell r="BF199">
            <v>0</v>
          </cell>
          <cell r="BH199">
            <v>0</v>
          </cell>
          <cell r="BJ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</row>
        <row r="200">
          <cell r="A200">
            <v>48</v>
          </cell>
          <cell r="B200" t="str">
            <v>Cat Besi</v>
          </cell>
          <cell r="C200" t="str">
            <v>M2</v>
          </cell>
          <cell r="D200">
            <v>13698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5.6445590696960588</v>
          </cell>
          <cell r="L200">
            <v>77319.170136696615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0.12169439999999999</v>
          </cell>
          <cell r="AL200">
            <v>1666.9698911999999</v>
          </cell>
          <cell r="AM200">
            <v>0.15644160000000001</v>
          </cell>
          <cell r="AN200">
            <v>2142.9370368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X200">
            <v>0</v>
          </cell>
          <cell r="AZ200">
            <v>0</v>
          </cell>
          <cell r="BB200">
            <v>0</v>
          </cell>
          <cell r="BC200">
            <v>0.7439039999999999</v>
          </cell>
          <cell r="BD200">
            <v>10189.996991999998</v>
          </cell>
          <cell r="BF200">
            <v>0</v>
          </cell>
          <cell r="BH200">
            <v>0</v>
          </cell>
          <cell r="BJ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</row>
        <row r="201">
          <cell r="A201">
            <v>49</v>
          </cell>
          <cell r="B201" t="str">
            <v>Cat Dinding</v>
          </cell>
          <cell r="C201" t="str">
            <v>M2</v>
          </cell>
          <cell r="D201">
            <v>9900</v>
          </cell>
          <cell r="E201">
            <v>0</v>
          </cell>
          <cell r="F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X201">
            <v>0</v>
          </cell>
          <cell r="AZ201">
            <v>0</v>
          </cell>
          <cell r="BB201">
            <v>0</v>
          </cell>
          <cell r="BD201">
            <v>0</v>
          </cell>
          <cell r="BE201">
            <v>7.9200000000000008</v>
          </cell>
          <cell r="BF201">
            <v>78408.000000000015</v>
          </cell>
          <cell r="BG201">
            <v>14.540000000000003</v>
          </cell>
          <cell r="BH201">
            <v>143946.00000000003</v>
          </cell>
          <cell r="BI201">
            <v>1.2800000000000002</v>
          </cell>
          <cell r="BJ201">
            <v>12672.000000000002</v>
          </cell>
          <cell r="BK201">
            <v>1.2800000000000002</v>
          </cell>
          <cell r="BL201">
            <v>12672.000000000002</v>
          </cell>
          <cell r="BM201">
            <v>0.64000000000000012</v>
          </cell>
          <cell r="BN201">
            <v>6336.0000000000009</v>
          </cell>
          <cell r="BO201">
            <v>1.4400000000000002</v>
          </cell>
          <cell r="BP201">
            <v>14256.000000000002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</row>
        <row r="202">
          <cell r="A202">
            <v>50</v>
          </cell>
          <cell r="B202" t="str">
            <v>Plesteran Camprot</v>
          </cell>
          <cell r="C202" t="str">
            <v>M2</v>
          </cell>
          <cell r="D202">
            <v>14600</v>
          </cell>
          <cell r="E202">
            <v>0</v>
          </cell>
          <cell r="F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F202">
            <v>0</v>
          </cell>
          <cell r="BH202">
            <v>0</v>
          </cell>
          <cell r="BJ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</row>
        <row r="203">
          <cell r="A203">
            <v>51</v>
          </cell>
          <cell r="B203" t="str">
            <v>Rangka Metal Furring</v>
          </cell>
          <cell r="C203" t="str">
            <v>M'</v>
          </cell>
          <cell r="D203">
            <v>90000</v>
          </cell>
          <cell r="BD203">
            <v>0</v>
          </cell>
          <cell r="BF203">
            <v>0</v>
          </cell>
          <cell r="BH203">
            <v>0</v>
          </cell>
          <cell r="BJ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</row>
        <row r="204">
          <cell r="A204">
            <v>0</v>
          </cell>
        </row>
        <row r="205">
          <cell r="B205" t="str">
            <v>Jumlah Harga</v>
          </cell>
          <cell r="F205">
            <v>3776944.5502499999</v>
          </cell>
          <cell r="H205">
            <v>1212064.3395</v>
          </cell>
          <cell r="J205">
            <v>2611716.79</v>
          </cell>
          <cell r="L205">
            <v>1760337.7291291971</v>
          </cell>
          <cell r="N205">
            <v>1690743.9109799999</v>
          </cell>
          <cell r="P205">
            <v>10353390.146775</v>
          </cell>
          <cell r="R205">
            <v>5374906.3450000007</v>
          </cell>
          <cell r="T205">
            <v>3078652.6462499998</v>
          </cell>
          <cell r="V205">
            <v>3040012.6462500002</v>
          </cell>
          <cell r="X205">
            <v>171862.67557500003</v>
          </cell>
          <cell r="Z205">
            <v>196612.67557500003</v>
          </cell>
          <cell r="AB205">
            <v>1441660.7220000001</v>
          </cell>
          <cell r="AD205">
            <v>1129446.9055000001</v>
          </cell>
          <cell r="AF205">
            <v>1016874.9389</v>
          </cell>
          <cell r="AG205">
            <v>0</v>
          </cell>
          <cell r="AH205">
            <v>435528.72000000003</v>
          </cell>
          <cell r="AI205">
            <v>0</v>
          </cell>
          <cell r="AJ205">
            <v>583095.27408749994</v>
          </cell>
          <cell r="AK205">
            <v>0</v>
          </cell>
          <cell r="AL205">
            <v>2224721.0070912</v>
          </cell>
          <cell r="AM205">
            <v>0</v>
          </cell>
          <cell r="AN205">
            <v>1706171.6733768</v>
          </cell>
          <cell r="AO205">
            <v>0</v>
          </cell>
          <cell r="AP205">
            <v>639579.18224999995</v>
          </cell>
          <cell r="AQ205">
            <v>0</v>
          </cell>
          <cell r="AR205">
            <v>55281.3</v>
          </cell>
          <cell r="AS205">
            <v>0</v>
          </cell>
          <cell r="AT205">
            <v>102711.3</v>
          </cell>
          <cell r="AU205">
            <v>0</v>
          </cell>
          <cell r="AV205">
            <v>119641.39</v>
          </cell>
          <cell r="AW205">
            <v>0</v>
          </cell>
          <cell r="AX205">
            <v>1081914.4709999999</v>
          </cell>
          <cell r="AY205">
            <v>0</v>
          </cell>
          <cell r="AZ205">
            <v>1072972.9717499998</v>
          </cell>
          <cell r="BA205">
            <v>0</v>
          </cell>
          <cell r="BB205">
            <v>2117592.2939999998</v>
          </cell>
          <cell r="BC205">
            <v>0</v>
          </cell>
          <cell r="BD205">
            <v>1524015.9269920003</v>
          </cell>
          <cell r="BE205">
            <v>0</v>
          </cell>
          <cell r="BF205">
            <v>907456.12199999997</v>
          </cell>
          <cell r="BG205">
            <v>0</v>
          </cell>
          <cell r="BH205">
            <v>1622245.9820000003</v>
          </cell>
          <cell r="BI205">
            <v>0</v>
          </cell>
          <cell r="BJ205">
            <v>132704.06000000003</v>
          </cell>
          <cell r="BL205">
            <v>132704.06000000003</v>
          </cell>
          <cell r="BM205">
            <v>0</v>
          </cell>
          <cell r="BN205">
            <v>69788.83600000001</v>
          </cell>
          <cell r="BO205">
            <v>0</v>
          </cell>
          <cell r="BP205">
            <v>175927.31400000001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</row>
        <row r="206">
          <cell r="F206">
            <v>6424805.5502499994</v>
          </cell>
          <cell r="J206">
            <v>4349487.5559539944</v>
          </cell>
          <cell r="L206">
            <v>2566512.0490891971</v>
          </cell>
          <cell r="N206">
            <v>1690743.9109799999</v>
          </cell>
          <cell r="P206">
            <v>10353390.146775</v>
          </cell>
          <cell r="R206">
            <v>5374906.3450000007</v>
          </cell>
          <cell r="T206">
            <v>3126445.2562500001</v>
          </cell>
          <cell r="V206">
            <v>3087805.2562500001</v>
          </cell>
          <cell r="X206">
            <v>171862.67557500003</v>
          </cell>
          <cell r="Z206">
            <v>196612.67557500003</v>
          </cell>
          <cell r="AB206">
            <v>1497887.3220000002</v>
          </cell>
          <cell r="AD206">
            <v>1129446.9055000001</v>
          </cell>
          <cell r="AH206" t="str">
            <v>J7 TK = J9 SD</v>
          </cell>
          <cell r="AJ206" t="str">
            <v>J8 TK = J10 SD</v>
          </cell>
        </row>
        <row r="207">
          <cell r="J207">
            <v>-1737770.7659539944</v>
          </cell>
          <cell r="L207">
            <v>-806174.31995999999</v>
          </cell>
          <cell r="N207">
            <v>0</v>
          </cell>
          <cell r="P207">
            <v>0</v>
          </cell>
          <cell r="R207">
            <v>0</v>
          </cell>
        </row>
        <row r="209">
          <cell r="A209" t="str">
            <v>No.</v>
          </cell>
          <cell r="B209" t="str">
            <v>Item Pekerjaan</v>
          </cell>
          <cell r="C209" t="str">
            <v>Satuan</v>
          </cell>
          <cell r="D209" t="str">
            <v>Harga Satuan</v>
          </cell>
          <cell r="E209" t="str">
            <v>P1</v>
          </cell>
          <cell r="G209" t="str">
            <v>P2</v>
          </cell>
          <cell r="I209" t="str">
            <v>P3</v>
          </cell>
          <cell r="K209" t="str">
            <v>P4</v>
          </cell>
          <cell r="M209" t="str">
            <v>P5</v>
          </cell>
          <cell r="O209" t="str">
            <v>P6</v>
          </cell>
          <cell r="Q209" t="str">
            <v>P7</v>
          </cell>
          <cell r="S209" t="str">
            <v>P8</v>
          </cell>
          <cell r="U209" t="str">
            <v>P9</v>
          </cell>
          <cell r="W209" t="str">
            <v>J1</v>
          </cell>
          <cell r="Y209" t="str">
            <v>J1'</v>
          </cell>
          <cell r="AA209" t="str">
            <v>J2</v>
          </cell>
          <cell r="AC209" t="str">
            <v>J2'</v>
          </cell>
          <cell r="AE209" t="str">
            <v>J3</v>
          </cell>
          <cell r="AG209" t="str">
            <v>J4</v>
          </cell>
          <cell r="AI209" t="str">
            <v>J5</v>
          </cell>
          <cell r="AK209" t="str">
            <v>J6</v>
          </cell>
          <cell r="AM209" t="str">
            <v>J7</v>
          </cell>
          <cell r="AO209" t="str">
            <v>J8</v>
          </cell>
          <cell r="AQ209" t="str">
            <v>BV1</v>
          </cell>
          <cell r="AS209" t="str">
            <v>M1</v>
          </cell>
          <cell r="AU209" t="str">
            <v>M2</v>
          </cell>
          <cell r="AW209" t="str">
            <v>M3</v>
          </cell>
          <cell r="AY209" t="str">
            <v>R1</v>
          </cell>
          <cell r="BA209" t="str">
            <v>R1'</v>
          </cell>
          <cell r="BC209" t="str">
            <v>R2</v>
          </cell>
          <cell r="BE209" t="str">
            <v>R2'</v>
          </cell>
          <cell r="BG209" t="str">
            <v>R3</v>
          </cell>
          <cell r="BI209" t="str">
            <v>R4</v>
          </cell>
          <cell r="BK209" t="str">
            <v>R5</v>
          </cell>
          <cell r="BM209" t="str">
            <v>R6</v>
          </cell>
          <cell r="BO209" t="str">
            <v>R7</v>
          </cell>
          <cell r="BQ209" t="str">
            <v>R8</v>
          </cell>
          <cell r="BS209" t="str">
            <v>R9</v>
          </cell>
          <cell r="BU209" t="str">
            <v>R10</v>
          </cell>
          <cell r="BW209" t="str">
            <v>R10'</v>
          </cell>
          <cell r="BY209" t="str">
            <v>R11</v>
          </cell>
          <cell r="CA209" t="str">
            <v>R11'</v>
          </cell>
          <cell r="CC209" t="str">
            <v>R12</v>
          </cell>
          <cell r="CE209" t="str">
            <v>R13</v>
          </cell>
          <cell r="CG209" t="str">
            <v>R14</v>
          </cell>
          <cell r="CI209" t="str">
            <v>R15</v>
          </cell>
          <cell r="CK209" t="str">
            <v>R16</v>
          </cell>
          <cell r="CM209" t="str">
            <v>R17</v>
          </cell>
          <cell r="CO209" t="str">
            <v>R18</v>
          </cell>
        </row>
        <row r="210">
          <cell r="D210" t="str">
            <v>Rp.</v>
          </cell>
          <cell r="E210" t="str">
            <v>Vol.</v>
          </cell>
          <cell r="F210" t="str">
            <v>Jumlah Harga</v>
          </cell>
          <cell r="G210" t="str">
            <v>Vol.</v>
          </cell>
          <cell r="H210" t="str">
            <v>Jumlah Harga</v>
          </cell>
          <cell r="I210" t="str">
            <v>Vol.</v>
          </cell>
          <cell r="J210" t="str">
            <v>Jumlah Harga</v>
          </cell>
          <cell r="K210" t="str">
            <v>Vol.</v>
          </cell>
          <cell r="L210" t="str">
            <v>Jumlah Harga</v>
          </cell>
          <cell r="M210" t="str">
            <v>Vol.</v>
          </cell>
          <cell r="N210" t="str">
            <v>Jumlah Harga</v>
          </cell>
          <cell r="O210" t="str">
            <v>Vol.</v>
          </cell>
          <cell r="P210" t="str">
            <v>Jumlah Harga</v>
          </cell>
          <cell r="Q210" t="str">
            <v>Vol.</v>
          </cell>
          <cell r="R210" t="str">
            <v>Jumlah Harga</v>
          </cell>
          <cell r="S210" t="str">
            <v>Vol.</v>
          </cell>
          <cell r="T210" t="str">
            <v>Jumlah Harga</v>
          </cell>
          <cell r="U210" t="str">
            <v>Vol.</v>
          </cell>
          <cell r="V210" t="str">
            <v>Jumlah Harga</v>
          </cell>
          <cell r="W210" t="str">
            <v>Vol.</v>
          </cell>
          <cell r="X210" t="str">
            <v>Jumlah Harga</v>
          </cell>
          <cell r="Y210" t="str">
            <v>Vol.</v>
          </cell>
          <cell r="Z210" t="str">
            <v>Jumlah Harga</v>
          </cell>
          <cell r="AA210" t="str">
            <v>Vol.</v>
          </cell>
          <cell r="AB210" t="str">
            <v>Jumlah Harga</v>
          </cell>
          <cell r="AC210" t="str">
            <v>Vol.</v>
          </cell>
          <cell r="AD210" t="str">
            <v>Jumlah Harga</v>
          </cell>
          <cell r="AE210" t="str">
            <v>Vol.</v>
          </cell>
          <cell r="AF210" t="str">
            <v>Jumlah Harga</v>
          </cell>
          <cell r="AG210" t="str">
            <v>Vol.</v>
          </cell>
          <cell r="AH210" t="str">
            <v>Jumlah Harga</v>
          </cell>
          <cell r="AI210" t="str">
            <v>Vol.</v>
          </cell>
          <cell r="AJ210" t="str">
            <v>Jumlah Harga</v>
          </cell>
          <cell r="AK210" t="str">
            <v>Vol.</v>
          </cell>
          <cell r="AL210" t="str">
            <v>Jumlah Harga</v>
          </cell>
          <cell r="AM210" t="str">
            <v>Vol.</v>
          </cell>
          <cell r="AN210" t="str">
            <v>Jumlah Harga</v>
          </cell>
          <cell r="AO210" t="str">
            <v>Vol.</v>
          </cell>
          <cell r="AP210" t="str">
            <v>Jumlah Harga</v>
          </cell>
          <cell r="AQ210" t="str">
            <v>Vol.</v>
          </cell>
          <cell r="AR210" t="str">
            <v>Jumlah Harga</v>
          </cell>
          <cell r="AS210" t="str">
            <v>Vol.</v>
          </cell>
          <cell r="AT210" t="str">
            <v>Jumlah Harga</v>
          </cell>
          <cell r="AU210" t="str">
            <v>Vol.</v>
          </cell>
          <cell r="AV210" t="str">
            <v>Jumlah Harga</v>
          </cell>
          <cell r="AW210" t="str">
            <v>Vol.</v>
          </cell>
          <cell r="AX210" t="str">
            <v>Jumlah Harga</v>
          </cell>
          <cell r="AY210" t="str">
            <v>Vol.</v>
          </cell>
          <cell r="AZ210" t="str">
            <v>Jumlah Harga</v>
          </cell>
          <cell r="BA210" t="str">
            <v>Vol.</v>
          </cell>
          <cell r="BB210" t="str">
            <v>Jumlah Harga</v>
          </cell>
          <cell r="BC210" t="str">
            <v>Vol.</v>
          </cell>
          <cell r="BD210" t="str">
            <v>Jumlah Harga</v>
          </cell>
          <cell r="BE210" t="str">
            <v>Vol.</v>
          </cell>
          <cell r="BF210" t="str">
            <v>Jumlah Harga</v>
          </cell>
          <cell r="BG210" t="str">
            <v>Vol.</v>
          </cell>
          <cell r="BH210" t="str">
            <v>Jumlah Harga</v>
          </cell>
          <cell r="BI210" t="str">
            <v>Vol.</v>
          </cell>
          <cell r="BJ210" t="str">
            <v>Jumlah Harga</v>
          </cell>
          <cell r="BK210" t="str">
            <v>Vol.</v>
          </cell>
          <cell r="BL210" t="str">
            <v>Jumlah Harga</v>
          </cell>
          <cell r="BM210" t="str">
            <v>Vol.</v>
          </cell>
          <cell r="BN210" t="str">
            <v>Jumlah Harga</v>
          </cell>
          <cell r="BO210" t="str">
            <v>Vol.</v>
          </cell>
          <cell r="BP210" t="str">
            <v>Jumlah Harga</v>
          </cell>
          <cell r="BQ210" t="str">
            <v>Vol.</v>
          </cell>
          <cell r="BR210" t="str">
            <v>Jumlah Harga</v>
          </cell>
          <cell r="BS210" t="str">
            <v>Vol.</v>
          </cell>
          <cell r="BT210" t="str">
            <v>Jumlah Harga</v>
          </cell>
          <cell r="BU210" t="str">
            <v>Vol.</v>
          </cell>
          <cell r="BV210" t="str">
            <v>Jumlah Harga</v>
          </cell>
          <cell r="BW210" t="str">
            <v>Vol.</v>
          </cell>
          <cell r="BX210" t="str">
            <v>Jumlah Harga</v>
          </cell>
          <cell r="BY210" t="str">
            <v>Vol.</v>
          </cell>
          <cell r="BZ210" t="str">
            <v>Jumlah Harga</v>
          </cell>
          <cell r="CA210" t="str">
            <v>Vol.</v>
          </cell>
          <cell r="CB210" t="str">
            <v>Jumlah Harga</v>
          </cell>
          <cell r="CC210" t="str">
            <v>Vol.</v>
          </cell>
          <cell r="CD210" t="str">
            <v>Jumlah Harga</v>
          </cell>
          <cell r="CE210" t="str">
            <v>Vol.</v>
          </cell>
          <cell r="CF210" t="str">
            <v>Jumlah Harga</v>
          </cell>
          <cell r="CG210" t="str">
            <v>Vol.</v>
          </cell>
          <cell r="CH210" t="str">
            <v>Jumlah Harga</v>
          </cell>
          <cell r="CI210" t="str">
            <v>Vol.</v>
          </cell>
          <cell r="CJ210" t="str">
            <v>Jumlah Harga</v>
          </cell>
          <cell r="CK210" t="str">
            <v>Vol.</v>
          </cell>
          <cell r="CL210" t="str">
            <v>Jumlah Harga</v>
          </cell>
          <cell r="CM210" t="str">
            <v>Vol.</v>
          </cell>
          <cell r="CN210" t="str">
            <v>Jumlah Harga</v>
          </cell>
          <cell r="CO210" t="str">
            <v>Vol.</v>
          </cell>
          <cell r="CP210" t="str">
            <v>Jumlah Harga</v>
          </cell>
        </row>
        <row r="211">
          <cell r="A211" t="str">
            <v>I.</v>
          </cell>
          <cell r="B211" t="str">
            <v>UNIT BANGUNAN SMA</v>
          </cell>
        </row>
        <row r="213">
          <cell r="A213">
            <v>1</v>
          </cell>
          <cell r="B213" t="str">
            <v>Kayu 6/12</v>
          </cell>
          <cell r="C213" t="str">
            <v>M3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3.6144000000000003E-2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6.0400000000000011E-3</v>
          </cell>
          <cell r="R213">
            <v>0</v>
          </cell>
          <cell r="S213">
            <v>2.8E-3</v>
          </cell>
          <cell r="T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1.12E-2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</row>
        <row r="214">
          <cell r="A214">
            <v>2</v>
          </cell>
          <cell r="B214" t="str">
            <v>Kayu Slimar 3/10</v>
          </cell>
          <cell r="C214" t="str">
            <v>M3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1.4159999999999999E-2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2.8E-3</v>
          </cell>
          <cell r="T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3.2000000000000006E-3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</row>
        <row r="215">
          <cell r="A215">
            <v>3</v>
          </cell>
          <cell r="B215" t="str">
            <v>Kayu Slimar 3/15</v>
          </cell>
          <cell r="C215" t="str">
            <v>M3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2.6999999999999997E-3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1.28</v>
          </cell>
          <cell r="R215">
            <v>0</v>
          </cell>
          <cell r="S215">
            <v>2.8</v>
          </cell>
          <cell r="T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3.2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</row>
        <row r="216">
          <cell r="A216">
            <v>4</v>
          </cell>
          <cell r="B216" t="str">
            <v>Kayu Slimar 3/20</v>
          </cell>
          <cell r="C216" t="str">
            <v>M3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3.5999999999999999E-3</v>
          </cell>
          <cell r="L216">
            <v>0</v>
          </cell>
          <cell r="M216">
            <v>0</v>
          </cell>
          <cell r="N216">
            <v>0</v>
          </cell>
          <cell r="O216">
            <v>1.44</v>
          </cell>
          <cell r="P216">
            <v>0</v>
          </cell>
          <cell r="Q216">
            <v>1.1000000000000001</v>
          </cell>
          <cell r="R216">
            <v>0</v>
          </cell>
          <cell r="S216">
            <v>1.2949999999999999</v>
          </cell>
          <cell r="T216">
            <v>0</v>
          </cell>
          <cell r="U216">
            <v>0.48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3.6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</row>
        <row r="217">
          <cell r="A217">
            <v>5</v>
          </cell>
          <cell r="B217" t="str">
            <v>Kayu 2/10</v>
          </cell>
          <cell r="C217" t="str">
            <v>M3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5.4000000000000012E-3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3.5999999999999996</v>
          </cell>
          <cell r="R217">
            <v>0</v>
          </cell>
          <cell r="S217">
            <v>4.5999999999999996</v>
          </cell>
          <cell r="T217">
            <v>0</v>
          </cell>
          <cell r="V217">
            <v>0</v>
          </cell>
          <cell r="W217">
            <v>12.399999999999999</v>
          </cell>
          <cell r="X217">
            <v>0</v>
          </cell>
          <cell r="Y217">
            <v>12.399999999999999</v>
          </cell>
          <cell r="Z217">
            <v>0</v>
          </cell>
          <cell r="AA217">
            <v>17.399999999999999</v>
          </cell>
          <cell r="AB217">
            <v>0</v>
          </cell>
          <cell r="AC217">
            <v>17.399999999999999</v>
          </cell>
          <cell r="AD217">
            <v>0</v>
          </cell>
          <cell r="AE217">
            <v>9.3500000000000014</v>
          </cell>
          <cell r="AF217">
            <v>0</v>
          </cell>
          <cell r="AG217">
            <v>4</v>
          </cell>
          <cell r="AH217">
            <v>0</v>
          </cell>
          <cell r="AI217">
            <v>6.3999999999999995</v>
          </cell>
          <cell r="AJ217">
            <v>0</v>
          </cell>
          <cell r="AK217">
            <v>5.9</v>
          </cell>
          <cell r="AL217">
            <v>0</v>
          </cell>
          <cell r="AM217">
            <v>46.699999999999996</v>
          </cell>
          <cell r="AN217">
            <v>0</v>
          </cell>
          <cell r="AO217">
            <v>4</v>
          </cell>
          <cell r="AP217">
            <v>0</v>
          </cell>
          <cell r="AQ217">
            <v>3.2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4.9000000000000004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</row>
        <row r="218">
          <cell r="A218">
            <v>6</v>
          </cell>
          <cell r="B218" t="str">
            <v>Panil t = 3 cm</v>
          </cell>
          <cell r="C218" t="str">
            <v>M2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0.49500000000000005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T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</row>
        <row r="219">
          <cell r="A219">
            <v>1</v>
          </cell>
          <cell r="B219" t="str">
            <v>Kusen Aluminium 5/10</v>
          </cell>
          <cell r="C219" t="str">
            <v>M'</v>
          </cell>
          <cell r="D219">
            <v>124948</v>
          </cell>
          <cell r="E219">
            <v>6.1999999999999993</v>
          </cell>
          <cell r="F219">
            <v>774677.59999999986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5</v>
          </cell>
          <cell r="L219">
            <v>624740</v>
          </cell>
          <cell r="M219">
            <v>6.1999999999999993</v>
          </cell>
          <cell r="N219">
            <v>774677.59999999986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</row>
        <row r="220">
          <cell r="A220">
            <v>2</v>
          </cell>
          <cell r="B220" t="str">
            <v xml:space="preserve">Rangka Daun Jendela Alumunium </v>
          </cell>
          <cell r="C220" t="str">
            <v>M'</v>
          </cell>
          <cell r="D220">
            <v>124948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</row>
        <row r="221">
          <cell r="A221">
            <v>3</v>
          </cell>
          <cell r="B221" t="str">
            <v>Rangka Tiang Sirip Alumunium 1/1 Putih</v>
          </cell>
          <cell r="C221" t="str">
            <v>M'</v>
          </cell>
          <cell r="D221">
            <v>62474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0</v>
          </cell>
          <cell r="V221">
            <v>0</v>
          </cell>
          <cell r="W221">
            <v>2.8499999999999996</v>
          </cell>
          <cell r="X221">
            <v>178050.89999999997</v>
          </cell>
          <cell r="Y221">
            <v>2.8499999999999996</v>
          </cell>
          <cell r="Z221">
            <v>178050.89999999997</v>
          </cell>
          <cell r="AA221">
            <v>2.8499999999999996</v>
          </cell>
          <cell r="AB221">
            <v>178050.89999999997</v>
          </cell>
          <cell r="AC221">
            <v>2.8499999999999996</v>
          </cell>
          <cell r="AD221">
            <v>178050.89999999997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1.85</v>
          </cell>
          <cell r="AL221">
            <v>115576.90000000001</v>
          </cell>
          <cell r="AM221">
            <v>16.600000000000001</v>
          </cell>
          <cell r="AN221">
            <v>1037068.4000000001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</row>
        <row r="222">
          <cell r="A222">
            <v>4</v>
          </cell>
          <cell r="B222" t="str">
            <v>Pasang Shading Sirip Alumunium 0.2/10 +Rangka</v>
          </cell>
          <cell r="C222" t="str">
            <v>M2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V222">
            <v>0</v>
          </cell>
          <cell r="W222">
            <v>0.50749999999999995</v>
          </cell>
          <cell r="X222">
            <v>0</v>
          </cell>
          <cell r="Y222">
            <v>0.50749999999999995</v>
          </cell>
          <cell r="Z222">
            <v>0</v>
          </cell>
          <cell r="AA222">
            <v>0.50749999999999995</v>
          </cell>
          <cell r="AB222">
            <v>0</v>
          </cell>
          <cell r="AC222">
            <v>0.50749999999999995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0.14499999999999999</v>
          </cell>
          <cell r="AL222">
            <v>0</v>
          </cell>
          <cell r="AM222">
            <v>1.9249999999999996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</row>
        <row r="223">
          <cell r="A223">
            <v>5</v>
          </cell>
          <cell r="B223" t="str">
            <v>Daun Pintu Panil Kamper</v>
          </cell>
          <cell r="C223" t="str">
            <v>bh</v>
          </cell>
          <cell r="D223">
            <v>550000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1.2</v>
          </cell>
          <cell r="L223">
            <v>660000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2.4E-2</v>
          </cell>
          <cell r="R223">
            <v>13200</v>
          </cell>
          <cell r="S223">
            <v>1.2E-2</v>
          </cell>
          <cell r="T223">
            <v>6600</v>
          </cell>
          <cell r="U223">
            <v>6.339599999999999</v>
          </cell>
          <cell r="V223">
            <v>3486779.9999999995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2.1599999999999998E-2</v>
          </cell>
          <cell r="AX223">
            <v>11879.999999999998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</row>
        <row r="224">
          <cell r="A224">
            <v>6</v>
          </cell>
          <cell r="B224" t="str">
            <v>Plat besi t = 2 mm</v>
          </cell>
          <cell r="C224" t="str">
            <v>Kg</v>
          </cell>
          <cell r="D224">
            <v>0</v>
          </cell>
          <cell r="E224">
            <v>0</v>
          </cell>
          <cell r="F224">
            <v>0</v>
          </cell>
          <cell r="G224">
            <v>107.44703200000002</v>
          </cell>
          <cell r="H224">
            <v>0</v>
          </cell>
          <cell r="I224">
            <v>57.085200000000007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</row>
        <row r="225">
          <cell r="A225">
            <v>7</v>
          </cell>
          <cell r="B225" t="str">
            <v>C 40.40.2  (pesan khusus)</v>
          </cell>
          <cell r="C225" t="str">
            <v>Kg</v>
          </cell>
          <cell r="D225">
            <v>14122.3</v>
          </cell>
          <cell r="E225">
            <v>0</v>
          </cell>
          <cell r="F225">
            <v>0</v>
          </cell>
          <cell r="G225">
            <v>86.141440000000003</v>
          </cell>
          <cell r="H225">
            <v>1216515.2581120001</v>
          </cell>
          <cell r="I225">
            <v>42.56</v>
          </cell>
          <cell r="J225">
            <v>601045.08799999999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3.5711999999999997</v>
          </cell>
          <cell r="P225">
            <v>50433.557759999996</v>
          </cell>
          <cell r="Q225">
            <v>0</v>
          </cell>
          <cell r="R225">
            <v>0</v>
          </cell>
          <cell r="T225">
            <v>0</v>
          </cell>
          <cell r="U225">
            <v>0.90624000000000005</v>
          </cell>
          <cell r="V225">
            <v>12798.193152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</row>
        <row r="226">
          <cell r="A226">
            <v>8</v>
          </cell>
          <cell r="B226" t="str">
            <v>Handle besi dia 16 mm</v>
          </cell>
          <cell r="C226" t="str">
            <v>Set</v>
          </cell>
          <cell r="D226">
            <v>129652.5</v>
          </cell>
          <cell r="E226">
            <v>0</v>
          </cell>
          <cell r="F226">
            <v>0</v>
          </cell>
          <cell r="G226">
            <v>2</v>
          </cell>
          <cell r="H226">
            <v>259305</v>
          </cell>
          <cell r="I226">
            <v>1</v>
          </cell>
          <cell r="J226">
            <v>129652.5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</row>
        <row r="227">
          <cell r="A227">
            <v>9</v>
          </cell>
          <cell r="B227" t="str">
            <v>Hendle pintu Stainless</v>
          </cell>
          <cell r="C227" t="str">
            <v>Set</v>
          </cell>
          <cell r="D227">
            <v>261652.5</v>
          </cell>
          <cell r="E227">
            <v>2</v>
          </cell>
          <cell r="F227">
            <v>523305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2</v>
          </cell>
          <cell r="N227">
            <v>523305</v>
          </cell>
          <cell r="O227">
            <v>2</v>
          </cell>
          <cell r="P227">
            <v>523305</v>
          </cell>
          <cell r="Q227">
            <v>0</v>
          </cell>
          <cell r="R227">
            <v>0</v>
          </cell>
          <cell r="T227">
            <v>0</v>
          </cell>
          <cell r="U227">
            <v>2</v>
          </cell>
          <cell r="V227">
            <v>523305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</row>
        <row r="228">
          <cell r="A228">
            <v>10</v>
          </cell>
          <cell r="B228" t="str">
            <v>Kunci Pintu Handle stainleess (dorma)</v>
          </cell>
          <cell r="C228" t="str">
            <v>Set</v>
          </cell>
          <cell r="D228">
            <v>650000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</v>
          </cell>
          <cell r="P228">
            <v>1300000</v>
          </cell>
          <cell r="Q228">
            <v>0</v>
          </cell>
          <cell r="R228">
            <v>0</v>
          </cell>
          <cell r="T228">
            <v>0</v>
          </cell>
          <cell r="U228">
            <v>2</v>
          </cell>
          <cell r="V228">
            <v>1300000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</row>
        <row r="229">
          <cell r="A229">
            <v>11</v>
          </cell>
          <cell r="B229" t="str">
            <v>Kunci tanam Antik</v>
          </cell>
          <cell r="C229" t="str">
            <v>Set</v>
          </cell>
          <cell r="D229">
            <v>265000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T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</row>
        <row r="230">
          <cell r="A230">
            <v>12</v>
          </cell>
          <cell r="B230" t="str">
            <v>Kunci tanam biasa</v>
          </cell>
          <cell r="C230" t="str">
            <v>Set</v>
          </cell>
          <cell r="D230">
            <v>168565</v>
          </cell>
          <cell r="E230">
            <v>0</v>
          </cell>
          <cell r="F230">
            <v>0</v>
          </cell>
          <cell r="G230">
            <v>1</v>
          </cell>
          <cell r="H230">
            <v>168565</v>
          </cell>
          <cell r="I230">
            <v>1</v>
          </cell>
          <cell r="J230">
            <v>168565</v>
          </cell>
          <cell r="K230">
            <v>1</v>
          </cell>
          <cell r="L230">
            <v>168565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</v>
          </cell>
          <cell r="T230">
            <v>168565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</row>
        <row r="231">
          <cell r="A231">
            <v>13</v>
          </cell>
          <cell r="B231" t="str">
            <v>Kunci Silinder</v>
          </cell>
          <cell r="C231" t="str">
            <v>Set</v>
          </cell>
          <cell r="D231">
            <v>217900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</row>
        <row r="232">
          <cell r="A232">
            <v>14</v>
          </cell>
          <cell r="B232" t="str">
            <v>Kunci Selot</v>
          </cell>
          <cell r="C232" t="str">
            <v>Set</v>
          </cell>
          <cell r="D232">
            <v>48300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48300</v>
          </cell>
          <cell r="S232">
            <v>1</v>
          </cell>
          <cell r="T232">
            <v>48300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1</v>
          </cell>
          <cell r="AX232">
            <v>48300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</row>
        <row r="233">
          <cell r="A233">
            <v>15</v>
          </cell>
          <cell r="B233" t="str">
            <v>Engsel jendela</v>
          </cell>
          <cell r="C233" t="str">
            <v>Bh</v>
          </cell>
          <cell r="D233">
            <v>16600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</row>
        <row r="234">
          <cell r="A234">
            <v>16</v>
          </cell>
          <cell r="B234" t="str">
            <v>Engsel pintu</v>
          </cell>
          <cell r="C234" t="str">
            <v>Bh</v>
          </cell>
          <cell r="D234">
            <v>44395.75</v>
          </cell>
          <cell r="E234">
            <v>4</v>
          </cell>
          <cell r="F234">
            <v>177583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</v>
          </cell>
          <cell r="L234">
            <v>133187.25</v>
          </cell>
          <cell r="M234">
            <v>4</v>
          </cell>
          <cell r="N234">
            <v>177583</v>
          </cell>
          <cell r="O234">
            <v>0</v>
          </cell>
          <cell r="P234">
            <v>0</v>
          </cell>
          <cell r="Q234">
            <v>2</v>
          </cell>
          <cell r="R234">
            <v>88791.5</v>
          </cell>
          <cell r="S234">
            <v>2</v>
          </cell>
          <cell r="T234">
            <v>88791.5</v>
          </cell>
          <cell r="U234">
            <v>6</v>
          </cell>
          <cell r="V234">
            <v>266374.5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2</v>
          </cell>
          <cell r="AX234">
            <v>88791.5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</row>
        <row r="235">
          <cell r="A235">
            <v>17</v>
          </cell>
          <cell r="B235" t="str">
            <v>Engsel Pintu dari pipa besi dia 2 cm</v>
          </cell>
          <cell r="C235" t="str">
            <v>Bh</v>
          </cell>
          <cell r="D235">
            <v>66593.625</v>
          </cell>
          <cell r="E235">
            <v>0</v>
          </cell>
          <cell r="F235">
            <v>0</v>
          </cell>
          <cell r="G235">
            <v>4</v>
          </cell>
          <cell r="H235">
            <v>266374.5</v>
          </cell>
          <cell r="I235">
            <v>2</v>
          </cell>
          <cell r="J235">
            <v>133187.25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T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</row>
        <row r="236">
          <cell r="A236">
            <v>18</v>
          </cell>
          <cell r="B236" t="str">
            <v>Kait/hak angin</v>
          </cell>
          <cell r="C236" t="str">
            <v>Set</v>
          </cell>
          <cell r="D236">
            <v>27000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T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</row>
        <row r="237">
          <cell r="A237">
            <v>19</v>
          </cell>
          <cell r="B237" t="str">
            <v>Grendel pintu kuningan</v>
          </cell>
          <cell r="C237" t="str">
            <v>Bh</v>
          </cell>
          <cell r="D237">
            <v>125000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</row>
        <row r="238">
          <cell r="A238">
            <v>20</v>
          </cell>
          <cell r="B238" t="str">
            <v xml:space="preserve">Grendel jendela </v>
          </cell>
          <cell r="C238" t="str">
            <v>Bh</v>
          </cell>
          <cell r="D238">
            <v>8100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T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</row>
        <row r="239">
          <cell r="A239">
            <v>21</v>
          </cell>
          <cell r="B239" t="str">
            <v>Grendel pintu</v>
          </cell>
          <cell r="C239" t="str">
            <v>Bh</v>
          </cell>
          <cell r="D239">
            <v>14200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1</v>
          </cell>
          <cell r="R239">
            <v>14200</v>
          </cell>
          <cell r="S239">
            <v>1</v>
          </cell>
          <cell r="T239">
            <v>14200</v>
          </cell>
          <cell r="U239">
            <v>2</v>
          </cell>
          <cell r="V239">
            <v>28400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1</v>
          </cell>
          <cell r="AX239">
            <v>14200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</row>
        <row r="240">
          <cell r="A240">
            <v>22</v>
          </cell>
          <cell r="B240" t="str">
            <v>Stripting Knip</v>
          </cell>
          <cell r="C240" t="str">
            <v>Set</v>
          </cell>
          <cell r="D240">
            <v>13700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T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</row>
        <row r="241">
          <cell r="A241">
            <v>23</v>
          </cell>
          <cell r="B241" t="str">
            <v>Door Closer</v>
          </cell>
          <cell r="C241" t="str">
            <v>Set</v>
          </cell>
          <cell r="D241">
            <v>260800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1</v>
          </cell>
          <cell r="T241">
            <v>260800</v>
          </cell>
          <cell r="U241">
            <v>1</v>
          </cell>
          <cell r="V241">
            <v>260800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</v>
          </cell>
          <cell r="AX241">
            <v>260800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</row>
        <row r="242">
          <cell r="A242">
            <v>24</v>
          </cell>
          <cell r="B242" t="str">
            <v>Door Holder</v>
          </cell>
          <cell r="C242" t="str">
            <v>Set</v>
          </cell>
          <cell r="D242">
            <v>500000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T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</row>
        <row r="243">
          <cell r="A243">
            <v>25</v>
          </cell>
          <cell r="B243" t="str">
            <v>Door Stop</v>
          </cell>
          <cell r="C243" t="str">
            <v>Set</v>
          </cell>
          <cell r="D243">
            <v>32100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1</v>
          </cell>
          <cell r="T243">
            <v>32100</v>
          </cell>
          <cell r="U243">
            <v>1</v>
          </cell>
          <cell r="V243">
            <v>32100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</v>
          </cell>
          <cell r="AX243">
            <v>32100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</row>
        <row r="244">
          <cell r="A244">
            <v>26</v>
          </cell>
          <cell r="B244" t="str">
            <v>Kaca bening 5 mm</v>
          </cell>
          <cell r="C244" t="str">
            <v>M2</v>
          </cell>
          <cell r="D244">
            <v>66700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T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0.48</v>
          </cell>
          <cell r="AR244">
            <v>32016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5.0399999999999993E-2</v>
          </cell>
          <cell r="AX244">
            <v>3361.6799999999994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</row>
        <row r="245">
          <cell r="A245">
            <v>27</v>
          </cell>
          <cell r="B245" t="str">
            <v>Kaca bening 10 mm</v>
          </cell>
          <cell r="C245" t="str">
            <v>M2</v>
          </cell>
          <cell r="D245">
            <v>280895.75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T245">
            <v>0</v>
          </cell>
          <cell r="V245">
            <v>0</v>
          </cell>
          <cell r="W245">
            <v>1.1875</v>
          </cell>
          <cell r="X245">
            <v>333563.703125</v>
          </cell>
          <cell r="Y245">
            <v>1.1875</v>
          </cell>
          <cell r="Z245">
            <v>333563.703125</v>
          </cell>
          <cell r="AA245">
            <v>1.3174999999999999</v>
          </cell>
          <cell r="AB245">
            <v>370080.15062499995</v>
          </cell>
          <cell r="AC245">
            <v>1.3174999999999999</v>
          </cell>
          <cell r="AD245">
            <v>370080.15062499995</v>
          </cell>
          <cell r="AE245">
            <v>0.90999999999999992</v>
          </cell>
          <cell r="AF245">
            <v>255615.13249999998</v>
          </cell>
          <cell r="AG245">
            <v>0.46810000000000002</v>
          </cell>
          <cell r="AH245">
            <v>131487.300575</v>
          </cell>
          <cell r="AI245">
            <v>0</v>
          </cell>
          <cell r="AJ245">
            <v>0</v>
          </cell>
          <cell r="AK245">
            <v>0.57999999999999996</v>
          </cell>
          <cell r="AL245">
            <v>162919.53499999997</v>
          </cell>
          <cell r="AM245">
            <v>9.1875</v>
          </cell>
          <cell r="AN245">
            <v>2580729.703125</v>
          </cell>
          <cell r="AO245">
            <v>0.495</v>
          </cell>
          <cell r="AP245">
            <v>139043.39624999999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</row>
        <row r="246">
          <cell r="A246">
            <v>28</v>
          </cell>
          <cell r="B246" t="str">
            <v>Kaca Bening 12 mm</v>
          </cell>
          <cell r="C246" t="str">
            <v>M2</v>
          </cell>
          <cell r="D246">
            <v>403787.64062499994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T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0.84009999999999996</v>
          </cell>
          <cell r="AJ246">
            <v>339221.99688906246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</row>
        <row r="247">
          <cell r="A247">
            <v>29</v>
          </cell>
          <cell r="B247" t="str">
            <v>Besi hollow 4/4</v>
          </cell>
          <cell r="C247" t="str">
            <v>M'</v>
          </cell>
          <cell r="D247">
            <v>48625.000000000051</v>
          </cell>
          <cell r="E247">
            <v>0</v>
          </cell>
          <cell r="F247">
            <v>0</v>
          </cell>
          <cell r="G247">
            <v>6.3140000000000009</v>
          </cell>
          <cell r="H247">
            <v>307018.25000000035</v>
          </cell>
          <cell r="I247">
            <v>5.09</v>
          </cell>
          <cell r="J247">
            <v>247501.25000000026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</row>
        <row r="248">
          <cell r="A248">
            <v>30</v>
          </cell>
          <cell r="B248" t="str">
            <v>Besi hollow 6/6</v>
          </cell>
          <cell r="C248" t="str">
            <v>M'</v>
          </cell>
          <cell r="D248">
            <v>74462.500000000058</v>
          </cell>
          <cell r="E248">
            <v>0</v>
          </cell>
          <cell r="F248">
            <v>0</v>
          </cell>
          <cell r="G248">
            <v>6.3140000000000009</v>
          </cell>
          <cell r="H248">
            <v>470156.22500000044</v>
          </cell>
          <cell r="I248">
            <v>5.09</v>
          </cell>
          <cell r="J248">
            <v>379014.12500000029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</row>
        <row r="249">
          <cell r="A249">
            <v>31</v>
          </cell>
          <cell r="B249" t="str">
            <v>Besi hollow 2.5/5</v>
          </cell>
          <cell r="C249" t="str">
            <v>Kg</v>
          </cell>
          <cell r="D249">
            <v>74462.500000000058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116.68600000000001</v>
          </cell>
          <cell r="V249">
            <v>8688731.2750000078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</row>
        <row r="250">
          <cell r="A250">
            <v>32</v>
          </cell>
          <cell r="B250" t="str">
            <v>Besi hollow 5/5</v>
          </cell>
          <cell r="C250" t="str">
            <v>Kg</v>
          </cell>
          <cell r="D250">
            <v>74462.500000000058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</row>
        <row r="251">
          <cell r="A251">
            <v>33</v>
          </cell>
          <cell r="B251" t="str">
            <v>Besi hollow 2/2</v>
          </cell>
          <cell r="C251" t="str">
            <v>Kg</v>
          </cell>
          <cell r="D251">
            <v>74462.500000000058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T251">
            <v>0</v>
          </cell>
          <cell r="U251">
            <v>37.725575999999997</v>
          </cell>
          <cell r="V251">
            <v>2809140.7029000018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</row>
        <row r="252">
          <cell r="A252">
            <v>34</v>
          </cell>
          <cell r="B252" t="str">
            <v>Besi hollow 2/4</v>
          </cell>
          <cell r="C252" t="str">
            <v>Kg</v>
          </cell>
          <cell r="D252">
            <v>74462.500000000058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31.488000000000003</v>
          </cell>
          <cell r="P252">
            <v>2344675.200000002</v>
          </cell>
          <cell r="Q252">
            <v>0</v>
          </cell>
          <cell r="R252">
            <v>0</v>
          </cell>
          <cell r="T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</row>
        <row r="253">
          <cell r="A253">
            <v>35</v>
          </cell>
          <cell r="B253" t="str">
            <v>Kaca Tempered 12 mm</v>
          </cell>
          <cell r="C253" t="str">
            <v>M2</v>
          </cell>
          <cell r="D253">
            <v>528395.75</v>
          </cell>
          <cell r="E253">
            <v>4.3049999999999997</v>
          </cell>
          <cell r="F253">
            <v>2274743.7037499999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4.3049999999999997</v>
          </cell>
          <cell r="N253">
            <v>2274743.7037499999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T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</row>
        <row r="254">
          <cell r="A254">
            <v>36</v>
          </cell>
          <cell r="B254" t="str">
            <v>Glass Block</v>
          </cell>
          <cell r="C254" t="str">
            <v>Bh</v>
          </cell>
          <cell r="D254">
            <v>45000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T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</row>
        <row r="255">
          <cell r="A255">
            <v>37</v>
          </cell>
          <cell r="B255" t="str">
            <v>Kaca Es</v>
          </cell>
          <cell r="C255" t="str">
            <v>M2</v>
          </cell>
          <cell r="D255">
            <v>66700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3.8399999999999997E-2</v>
          </cell>
          <cell r="R255">
            <v>2561.2799999999997</v>
          </cell>
          <cell r="S255">
            <v>0.126</v>
          </cell>
          <cell r="T255">
            <v>8404.2000000000007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</row>
        <row r="256">
          <cell r="A256">
            <v>38</v>
          </cell>
          <cell r="B256" t="str">
            <v>Krepyak Kaca Nako + Kerangka</v>
          </cell>
          <cell r="C256" t="str">
            <v>M2</v>
          </cell>
          <cell r="D256">
            <v>81300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</row>
        <row r="257">
          <cell r="A257">
            <v>39</v>
          </cell>
          <cell r="B257" t="str">
            <v>Sticker Efek Kaca Es</v>
          </cell>
          <cell r="C257" t="str">
            <v>M2</v>
          </cell>
          <cell r="D257">
            <v>150000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</row>
        <row r="258">
          <cell r="A258">
            <v>40</v>
          </cell>
          <cell r="B258" t="str">
            <v>Rel Pintu Dorong</v>
          </cell>
          <cell r="C258" t="str">
            <v>M'</v>
          </cell>
          <cell r="D258">
            <v>275000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0</v>
          </cell>
          <cell r="V258">
            <v>0</v>
          </cell>
          <cell r="W258">
            <v>4</v>
          </cell>
          <cell r="X258">
            <v>1100000</v>
          </cell>
          <cell r="Y258">
            <v>4</v>
          </cell>
          <cell r="Z258">
            <v>1100000</v>
          </cell>
          <cell r="AA258">
            <v>6.4</v>
          </cell>
          <cell r="AB258">
            <v>1760000</v>
          </cell>
          <cell r="AC258">
            <v>6.4</v>
          </cell>
          <cell r="AD258">
            <v>1760000</v>
          </cell>
          <cell r="AE258">
            <v>3</v>
          </cell>
          <cell r="AF258">
            <v>825000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</row>
        <row r="259">
          <cell r="A259">
            <v>41</v>
          </cell>
          <cell r="B259" t="str">
            <v>Rolling Door</v>
          </cell>
          <cell r="C259" t="str">
            <v>M2</v>
          </cell>
          <cell r="D259">
            <v>358100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</row>
        <row r="260">
          <cell r="A260">
            <v>42</v>
          </cell>
          <cell r="B260" t="str">
            <v>Roster</v>
          </cell>
          <cell r="C260" t="str">
            <v>M2</v>
          </cell>
          <cell r="D260">
            <v>133850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0.96</v>
          </cell>
          <cell r="AZ260">
            <v>128496</v>
          </cell>
          <cell r="BA260">
            <v>0.96</v>
          </cell>
          <cell r="BB260">
            <v>128496</v>
          </cell>
          <cell r="BC260">
            <v>1.28</v>
          </cell>
          <cell r="BD260">
            <v>171328</v>
          </cell>
          <cell r="BE260">
            <v>1.28</v>
          </cell>
          <cell r="BF260">
            <v>171328</v>
          </cell>
          <cell r="BG260">
            <v>0.32000000000000006</v>
          </cell>
          <cell r="BH260">
            <v>42832.000000000007</v>
          </cell>
          <cell r="BI260">
            <v>1.92</v>
          </cell>
          <cell r="BJ260">
            <v>256992</v>
          </cell>
          <cell r="BK260">
            <v>2.8</v>
          </cell>
          <cell r="BL260">
            <v>374780</v>
          </cell>
          <cell r="BM260">
            <v>2.04</v>
          </cell>
          <cell r="BN260">
            <v>273054</v>
          </cell>
          <cell r="BO260">
            <v>0.8</v>
          </cell>
          <cell r="BP260">
            <v>107080</v>
          </cell>
          <cell r="BQ260">
            <v>0.48</v>
          </cell>
          <cell r="BR260">
            <v>64248</v>
          </cell>
          <cell r="BS260">
            <v>1.6</v>
          </cell>
          <cell r="BT260">
            <v>214160</v>
          </cell>
          <cell r="BU260">
            <v>1.4</v>
          </cell>
          <cell r="BV260">
            <v>187390</v>
          </cell>
          <cell r="BW260">
            <v>1.4</v>
          </cell>
          <cell r="BX260">
            <v>187390</v>
          </cell>
          <cell r="BY260">
            <v>0.32000000000000006</v>
          </cell>
          <cell r="BZ260">
            <v>42832.000000000007</v>
          </cell>
          <cell r="CA260">
            <v>0.32000000000000006</v>
          </cell>
          <cell r="CB260">
            <v>42832.000000000007</v>
          </cell>
          <cell r="CC260">
            <v>0.48</v>
          </cell>
          <cell r="CD260">
            <v>64248</v>
          </cell>
          <cell r="CE260">
            <v>0.64000000000000012</v>
          </cell>
          <cell r="CF260">
            <v>85664.000000000015</v>
          </cell>
          <cell r="CG260">
            <v>5.6</v>
          </cell>
          <cell r="CH260">
            <v>749560</v>
          </cell>
          <cell r="CI260">
            <v>3.6</v>
          </cell>
          <cell r="CJ260">
            <v>481860</v>
          </cell>
          <cell r="CK260">
            <v>7.0359999999999987</v>
          </cell>
          <cell r="CL260">
            <v>941768.59999999986</v>
          </cell>
          <cell r="CM260">
            <v>6.58</v>
          </cell>
          <cell r="CN260">
            <v>880733</v>
          </cell>
          <cell r="CO260">
            <v>4.4000000000000004</v>
          </cell>
          <cell r="CP260">
            <v>588940</v>
          </cell>
        </row>
        <row r="261">
          <cell r="A261">
            <v>43</v>
          </cell>
          <cell r="B261" t="str">
            <v>Gipsum Board</v>
          </cell>
          <cell r="C261" t="str">
            <v>M2</v>
          </cell>
          <cell r="D261">
            <v>29000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0.95</v>
          </cell>
          <cell r="AT261">
            <v>27550</v>
          </cell>
          <cell r="AU261">
            <v>3.3439999999999999</v>
          </cell>
          <cell r="AV261">
            <v>96976</v>
          </cell>
          <cell r="AW261">
            <v>19.399999999999999</v>
          </cell>
          <cell r="AX261">
            <v>562600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</row>
        <row r="262">
          <cell r="A262">
            <v>44</v>
          </cell>
          <cell r="B262" t="str">
            <v>List Gipsum</v>
          </cell>
          <cell r="C262" t="str">
            <v>M'</v>
          </cell>
          <cell r="D262">
            <v>17300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</row>
        <row r="263">
          <cell r="A263">
            <v>45</v>
          </cell>
          <cell r="B263" t="str">
            <v>Sealent</v>
          </cell>
          <cell r="C263" t="str">
            <v>M'</v>
          </cell>
          <cell r="D263">
            <v>8400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1.76</v>
          </cell>
          <cell r="R263">
            <v>14784</v>
          </cell>
          <cell r="T263">
            <v>0</v>
          </cell>
          <cell r="V263">
            <v>0</v>
          </cell>
          <cell r="W263">
            <v>12.5</v>
          </cell>
          <cell r="X263">
            <v>105000</v>
          </cell>
          <cell r="Y263">
            <v>12.5</v>
          </cell>
          <cell r="Z263">
            <v>105000</v>
          </cell>
          <cell r="AA263">
            <v>15.899999999999999</v>
          </cell>
          <cell r="AB263">
            <v>133560</v>
          </cell>
          <cell r="AC263">
            <v>15.899999999999999</v>
          </cell>
          <cell r="AD263">
            <v>133560</v>
          </cell>
          <cell r="AE263">
            <v>10.799999999999999</v>
          </cell>
          <cell r="AF263">
            <v>90719.999999999985</v>
          </cell>
          <cell r="AG263">
            <v>7.28</v>
          </cell>
          <cell r="AH263">
            <v>61152</v>
          </cell>
          <cell r="AI263">
            <v>12.08</v>
          </cell>
          <cell r="AJ263">
            <v>101472</v>
          </cell>
          <cell r="AK263">
            <v>3.05</v>
          </cell>
          <cell r="AL263">
            <v>25620</v>
          </cell>
          <cell r="AM263">
            <v>67.374999999999986</v>
          </cell>
          <cell r="AN263">
            <v>565949.99999999988</v>
          </cell>
          <cell r="AO263">
            <v>7.2</v>
          </cell>
          <cell r="AP263">
            <v>60480</v>
          </cell>
          <cell r="AQ263">
            <v>6.4000000000000012</v>
          </cell>
          <cell r="AR263">
            <v>53760.000000000007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2.16</v>
          </cell>
          <cell r="AX263">
            <v>18144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</row>
        <row r="264">
          <cell r="A264">
            <v>46</v>
          </cell>
          <cell r="B264" t="str">
            <v>Benangan Kusen</v>
          </cell>
          <cell r="C264" t="str">
            <v>M'</v>
          </cell>
          <cell r="D264">
            <v>4296.0074999999997</v>
          </cell>
          <cell r="E264">
            <v>6.1999999999999993</v>
          </cell>
          <cell r="F264">
            <v>26635.246499999994</v>
          </cell>
          <cell r="G264">
            <v>6.3140000000000009</v>
          </cell>
          <cell r="H264">
            <v>27124.991355000002</v>
          </cell>
          <cell r="I264">
            <v>5.5990000000000002</v>
          </cell>
          <cell r="J264">
            <v>24053.345992499999</v>
          </cell>
          <cell r="K264">
            <v>5.7839999999999998</v>
          </cell>
          <cell r="L264">
            <v>24848.107379999998</v>
          </cell>
          <cell r="M264">
            <v>6.1999999999999993</v>
          </cell>
          <cell r="N264">
            <v>26635.246499999994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2.2799999999999998</v>
          </cell>
          <cell r="T264">
            <v>9794.8970999999983</v>
          </cell>
          <cell r="U264">
            <v>51.899999999999991</v>
          </cell>
          <cell r="V264">
            <v>222962.78924999994</v>
          </cell>
          <cell r="W264">
            <v>14.399999999999999</v>
          </cell>
          <cell r="X264">
            <v>61862.507999999987</v>
          </cell>
          <cell r="Y264">
            <v>14.399999999999999</v>
          </cell>
          <cell r="Z264">
            <v>61862.507999999987</v>
          </cell>
          <cell r="AA264">
            <v>16</v>
          </cell>
          <cell r="AB264">
            <v>68736.12</v>
          </cell>
          <cell r="AC264">
            <v>16</v>
          </cell>
          <cell r="AD264">
            <v>68736.12</v>
          </cell>
          <cell r="AE264">
            <v>4.8000000000000007</v>
          </cell>
          <cell r="AF264">
            <v>20620.836000000003</v>
          </cell>
          <cell r="AG264">
            <v>8</v>
          </cell>
          <cell r="AH264">
            <v>34368.06</v>
          </cell>
          <cell r="AI264">
            <v>12.799999999999999</v>
          </cell>
          <cell r="AJ264">
            <v>54988.895999999993</v>
          </cell>
          <cell r="AK264">
            <v>8.5</v>
          </cell>
          <cell r="AL264">
            <v>36516.063750000001</v>
          </cell>
          <cell r="AM264">
            <v>30.599999999999998</v>
          </cell>
          <cell r="AN264">
            <v>131457.82949999999</v>
          </cell>
          <cell r="AO264">
            <v>8</v>
          </cell>
          <cell r="AP264">
            <v>34368.06</v>
          </cell>
          <cell r="AQ264">
            <v>6.4</v>
          </cell>
          <cell r="AR264">
            <v>27494.448</v>
          </cell>
          <cell r="AS264">
            <v>0</v>
          </cell>
          <cell r="AT264">
            <v>0</v>
          </cell>
          <cell r="AU264">
            <v>11.12</v>
          </cell>
          <cell r="AV264">
            <v>47771.603399999993</v>
          </cell>
          <cell r="AW264">
            <v>26.86</v>
          </cell>
          <cell r="AX264">
            <v>115390.76144999999</v>
          </cell>
          <cell r="AY264">
            <v>11.2</v>
          </cell>
          <cell r="AZ264">
            <v>48115.283999999992</v>
          </cell>
          <cell r="BA264">
            <v>11.2</v>
          </cell>
          <cell r="BB264">
            <v>48115.283999999992</v>
          </cell>
          <cell r="BC264">
            <v>16</v>
          </cell>
          <cell r="BD264">
            <v>68736.12</v>
          </cell>
          <cell r="BE264">
            <v>16</v>
          </cell>
          <cell r="BF264">
            <v>68736.12</v>
          </cell>
          <cell r="BG264">
            <v>4.8000000000000007</v>
          </cell>
          <cell r="BH264">
            <v>20620.836000000003</v>
          </cell>
          <cell r="BI264">
            <v>18</v>
          </cell>
          <cell r="BJ264">
            <v>77328.134999999995</v>
          </cell>
          <cell r="BK264">
            <v>19.599999999999998</v>
          </cell>
          <cell r="BL264">
            <v>84201.746999999988</v>
          </cell>
          <cell r="BM264">
            <v>60.400000000000006</v>
          </cell>
          <cell r="BN264">
            <v>259478.853</v>
          </cell>
          <cell r="BO264">
            <v>9.6</v>
          </cell>
          <cell r="BP264">
            <v>41241.671999999999</v>
          </cell>
          <cell r="BQ264">
            <v>6.4</v>
          </cell>
          <cell r="BR264">
            <v>27494.448</v>
          </cell>
          <cell r="BS264">
            <v>16.600000000000001</v>
          </cell>
          <cell r="BT264">
            <v>71313.724499999997</v>
          </cell>
          <cell r="BU264">
            <v>14.399999999999999</v>
          </cell>
          <cell r="BV264">
            <v>61862.507999999987</v>
          </cell>
          <cell r="BW264">
            <v>14.399999999999999</v>
          </cell>
          <cell r="BX264">
            <v>61862.507999999987</v>
          </cell>
          <cell r="BY264">
            <v>4.8000000000000007</v>
          </cell>
          <cell r="BZ264">
            <v>20620.836000000003</v>
          </cell>
          <cell r="CA264">
            <v>4.8000000000000007</v>
          </cell>
          <cell r="CB264">
            <v>20620.836000000003</v>
          </cell>
          <cell r="CC264">
            <v>6.4</v>
          </cell>
          <cell r="CD264">
            <v>27494.448</v>
          </cell>
          <cell r="CE264">
            <v>8</v>
          </cell>
          <cell r="CF264">
            <v>34368.06</v>
          </cell>
          <cell r="CG264">
            <v>30.799999999999997</v>
          </cell>
          <cell r="CH264">
            <v>132317.03099999999</v>
          </cell>
          <cell r="CI264">
            <v>22.8</v>
          </cell>
          <cell r="CJ264">
            <v>97948.97099999999</v>
          </cell>
          <cell r="CK264">
            <v>50.839999999999996</v>
          </cell>
          <cell r="CL264">
            <v>218409.02129999996</v>
          </cell>
          <cell r="CM264">
            <v>35.4</v>
          </cell>
          <cell r="CN264">
            <v>152078.66549999997</v>
          </cell>
          <cell r="CO264">
            <v>16.8</v>
          </cell>
          <cell r="CP264">
            <v>72172.925999999992</v>
          </cell>
        </row>
        <row r="265">
          <cell r="A265">
            <v>47</v>
          </cell>
          <cell r="B265" t="str">
            <v xml:space="preserve">Cat Kayu </v>
          </cell>
          <cell r="C265" t="str">
            <v>M2</v>
          </cell>
          <cell r="D265">
            <v>19370.5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4.0991999999999997</v>
          </cell>
          <cell r="L265">
            <v>79403.553599999999</v>
          </cell>
          <cell r="M265">
            <v>0</v>
          </cell>
          <cell r="N265">
            <v>0</v>
          </cell>
          <cell r="O265">
            <v>2.88</v>
          </cell>
          <cell r="P265">
            <v>55787.040000000001</v>
          </cell>
          <cell r="Q265">
            <v>1.1420000000000001</v>
          </cell>
          <cell r="R265">
            <v>22121.111000000001</v>
          </cell>
          <cell r="S265">
            <v>2.59</v>
          </cell>
          <cell r="T265">
            <v>50169.594999999994</v>
          </cell>
          <cell r="U265">
            <v>0.48</v>
          </cell>
          <cell r="V265">
            <v>9297.84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3.6</v>
          </cell>
          <cell r="AX265">
            <v>69733.8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</row>
        <row r="266">
          <cell r="A266">
            <v>48</v>
          </cell>
          <cell r="B266" t="str">
            <v>Cat Besi</v>
          </cell>
          <cell r="C266" t="str">
            <v>M2</v>
          </cell>
          <cell r="D266">
            <v>13698</v>
          </cell>
          <cell r="E266">
            <v>0</v>
          </cell>
          <cell r="F266">
            <v>0</v>
          </cell>
          <cell r="G266">
            <v>8.543518139392118</v>
          </cell>
          <cell r="H266">
            <v>117029.11147339323</v>
          </cell>
          <cell r="I266">
            <v>5.6445590696960588</v>
          </cell>
          <cell r="J266">
            <v>77319.170136696615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3.7785600000000001</v>
          </cell>
          <cell r="P266">
            <v>51758.71488</v>
          </cell>
          <cell r="Q266">
            <v>0</v>
          </cell>
          <cell r="R266">
            <v>0</v>
          </cell>
          <cell r="T266">
            <v>0</v>
          </cell>
          <cell r="U266">
            <v>28.369569120000001</v>
          </cell>
          <cell r="V266">
            <v>388606.35780576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</row>
        <row r="267">
          <cell r="A267">
            <v>49</v>
          </cell>
          <cell r="B267" t="str">
            <v>Cat Dinding</v>
          </cell>
          <cell r="C267" t="str">
            <v>M2</v>
          </cell>
          <cell r="D267">
            <v>9900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0.95</v>
          </cell>
          <cell r="AT267">
            <v>9405</v>
          </cell>
          <cell r="AU267">
            <v>3.3439999999999999</v>
          </cell>
          <cell r="AV267">
            <v>33105.599999999999</v>
          </cell>
          <cell r="AW267">
            <v>19.399999999999999</v>
          </cell>
          <cell r="AX267">
            <v>192060</v>
          </cell>
          <cell r="AY267">
            <v>1.92</v>
          </cell>
          <cell r="AZ267">
            <v>19008</v>
          </cell>
          <cell r="BA267">
            <v>1.92</v>
          </cell>
          <cell r="BB267">
            <v>19008</v>
          </cell>
          <cell r="BC267">
            <v>2.56</v>
          </cell>
          <cell r="BD267">
            <v>25344</v>
          </cell>
          <cell r="BE267">
            <v>2.56</v>
          </cell>
          <cell r="BF267">
            <v>25344</v>
          </cell>
          <cell r="BG267">
            <v>0.64000000000000012</v>
          </cell>
          <cell r="BH267">
            <v>6336.0000000000009</v>
          </cell>
          <cell r="BI267">
            <v>3.84</v>
          </cell>
          <cell r="BJ267">
            <v>38016</v>
          </cell>
          <cell r="BK267">
            <v>5.6</v>
          </cell>
          <cell r="BL267">
            <v>55440</v>
          </cell>
          <cell r="BM267">
            <v>14.4</v>
          </cell>
          <cell r="BN267">
            <v>142560</v>
          </cell>
          <cell r="BO267">
            <v>1.6</v>
          </cell>
          <cell r="BP267">
            <v>15840</v>
          </cell>
          <cell r="BQ267">
            <v>0.96</v>
          </cell>
          <cell r="BR267">
            <v>9504</v>
          </cell>
          <cell r="BS267">
            <v>3.2</v>
          </cell>
          <cell r="BT267">
            <v>31680</v>
          </cell>
          <cell r="BU267">
            <v>2.8</v>
          </cell>
          <cell r="BV267">
            <v>27720</v>
          </cell>
          <cell r="BW267">
            <v>2.8</v>
          </cell>
          <cell r="BX267">
            <v>27720</v>
          </cell>
          <cell r="BY267">
            <v>0.64000000000000012</v>
          </cell>
          <cell r="BZ267">
            <v>6336.0000000000009</v>
          </cell>
          <cell r="CA267">
            <v>0.64000000000000012</v>
          </cell>
          <cell r="CB267">
            <v>6336.0000000000009</v>
          </cell>
          <cell r="CC267">
            <v>0.96</v>
          </cell>
          <cell r="CD267">
            <v>9504</v>
          </cell>
          <cell r="CE267">
            <v>1.2800000000000002</v>
          </cell>
          <cell r="CF267">
            <v>12672.000000000002</v>
          </cell>
          <cell r="CG267">
            <v>11.2</v>
          </cell>
          <cell r="CH267">
            <v>110880</v>
          </cell>
          <cell r="CI267">
            <v>7.2</v>
          </cell>
          <cell r="CJ267">
            <v>71280</v>
          </cell>
          <cell r="CK267">
            <v>16.799999999999997</v>
          </cell>
          <cell r="CL267">
            <v>166319.99999999997</v>
          </cell>
          <cell r="CM267">
            <v>13.16</v>
          </cell>
          <cell r="CN267">
            <v>130284</v>
          </cell>
          <cell r="CO267">
            <v>8.8000000000000007</v>
          </cell>
          <cell r="CP267">
            <v>87120</v>
          </cell>
        </row>
        <row r="268">
          <cell r="A268">
            <v>50</v>
          </cell>
          <cell r="B268" t="str">
            <v>Plesteran Camprot</v>
          </cell>
          <cell r="C268" t="str">
            <v>M2</v>
          </cell>
          <cell r="D268">
            <v>14600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K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</row>
        <row r="269">
          <cell r="A269">
            <v>51</v>
          </cell>
          <cell r="B269" t="str">
            <v>Rangka Metal Furring</v>
          </cell>
          <cell r="C269" t="str">
            <v>M'</v>
          </cell>
          <cell r="D269">
            <v>90000</v>
          </cell>
          <cell r="AS269">
            <v>4.05</v>
          </cell>
          <cell r="AT269">
            <v>364500</v>
          </cell>
          <cell r="AU269">
            <v>6.4399999999999995</v>
          </cell>
          <cell r="AV269">
            <v>579600</v>
          </cell>
          <cell r="AW269">
            <v>32.550000000000004</v>
          </cell>
          <cell r="AX269">
            <v>2929500.0000000005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</row>
        <row r="270">
          <cell r="V270">
            <v>0</v>
          </cell>
        </row>
        <row r="271">
          <cell r="B271" t="str">
            <v>Jumlah Harga</v>
          </cell>
          <cell r="F271">
            <v>3776944.5502499999</v>
          </cell>
          <cell r="H271">
            <v>2832088.3359403941</v>
          </cell>
          <cell r="J271">
            <v>1760337.7291291971</v>
          </cell>
          <cell r="L271">
            <v>1690743.9109799999</v>
          </cell>
          <cell r="N271">
            <v>3776944.5502499999</v>
          </cell>
          <cell r="P271">
            <v>4325959.5126400022</v>
          </cell>
          <cell r="R271">
            <v>203957.891</v>
          </cell>
          <cell r="T271">
            <v>687725.19209999987</v>
          </cell>
          <cell r="V271">
            <v>18029296.658107769</v>
          </cell>
          <cell r="X271">
            <v>1778477.1111249998</v>
          </cell>
          <cell r="Z271">
            <v>1778477.1111249998</v>
          </cell>
          <cell r="AB271">
            <v>2510427.1706250003</v>
          </cell>
          <cell r="AD271">
            <v>2510427.1706250003</v>
          </cell>
          <cell r="AF271">
            <v>1191955.9685</v>
          </cell>
          <cell r="AG271">
            <v>0</v>
          </cell>
          <cell r="AH271">
            <v>227007.360575</v>
          </cell>
          <cell r="AI271">
            <v>0</v>
          </cell>
          <cell r="AJ271">
            <v>495682.89288906247</v>
          </cell>
          <cell r="AK271">
            <v>0</v>
          </cell>
          <cell r="AL271">
            <v>340632.49875000003</v>
          </cell>
          <cell r="AM271">
            <v>0</v>
          </cell>
          <cell r="AN271">
            <v>4315205.9326250004</v>
          </cell>
          <cell r="AO271">
            <v>0</v>
          </cell>
          <cell r="AP271">
            <v>233891.45624999999</v>
          </cell>
          <cell r="AQ271">
            <v>0</v>
          </cell>
          <cell r="AR271">
            <v>113270.448</v>
          </cell>
          <cell r="AS271">
            <v>0</v>
          </cell>
          <cell r="AT271">
            <v>401455</v>
          </cell>
          <cell r="AU271">
            <v>0</v>
          </cell>
          <cell r="AV271">
            <v>757453.2034</v>
          </cell>
          <cell r="AW271">
            <v>0</v>
          </cell>
          <cell r="AX271">
            <v>4346861.7414500006</v>
          </cell>
          <cell r="AY271">
            <v>0</v>
          </cell>
          <cell r="AZ271">
            <v>195619.28399999999</v>
          </cell>
          <cell r="BA271">
            <v>0</v>
          </cell>
          <cell r="BB271">
            <v>195619.28399999999</v>
          </cell>
          <cell r="BC271">
            <v>0</v>
          </cell>
          <cell r="BD271">
            <v>265408.12</v>
          </cell>
          <cell r="BE271">
            <v>0</v>
          </cell>
          <cell r="BF271">
            <v>265408.12</v>
          </cell>
          <cell r="BG271">
            <v>0</v>
          </cell>
          <cell r="BH271">
            <v>69788.83600000001</v>
          </cell>
          <cell r="BI271">
            <v>0</v>
          </cell>
          <cell r="BJ271">
            <v>372336.13500000001</v>
          </cell>
          <cell r="BL271">
            <v>514421.74699999997</v>
          </cell>
          <cell r="BM271">
            <v>0</v>
          </cell>
          <cell r="BN271">
            <v>675092.853</v>
          </cell>
          <cell r="BO271">
            <v>0</v>
          </cell>
          <cell r="BP271">
            <v>164161.67199999999</v>
          </cell>
          <cell r="BQ271">
            <v>0</v>
          </cell>
          <cell r="BR271">
            <v>101246.448</v>
          </cell>
          <cell r="BS271">
            <v>0</v>
          </cell>
          <cell r="BT271">
            <v>317153.72450000001</v>
          </cell>
          <cell r="BU271">
            <v>0</v>
          </cell>
          <cell r="BV271">
            <v>276972.50799999997</v>
          </cell>
          <cell r="BW271">
            <v>0</v>
          </cell>
          <cell r="BX271">
            <v>276972.50799999997</v>
          </cell>
          <cell r="BY271">
            <v>0</v>
          </cell>
          <cell r="BZ271">
            <v>69788.83600000001</v>
          </cell>
          <cell r="CA271">
            <v>0</v>
          </cell>
          <cell r="CB271">
            <v>69788.83600000001</v>
          </cell>
          <cell r="CC271">
            <v>0</v>
          </cell>
          <cell r="CD271">
            <v>101246.448</v>
          </cell>
          <cell r="CE271">
            <v>0</v>
          </cell>
          <cell r="CF271">
            <v>132704.06000000003</v>
          </cell>
          <cell r="CG271">
            <v>0</v>
          </cell>
          <cell r="CH271">
            <v>992757.03099999996</v>
          </cell>
          <cell r="CI271">
            <v>0</v>
          </cell>
          <cell r="CJ271">
            <v>651088.97100000002</v>
          </cell>
          <cell r="CK271">
            <v>0</v>
          </cell>
          <cell r="CL271">
            <v>1326497.6212999998</v>
          </cell>
          <cell r="CM271">
            <v>0</v>
          </cell>
          <cell r="CN271">
            <v>1163095.6655000001</v>
          </cell>
          <cell r="CO271">
            <v>0</v>
          </cell>
          <cell r="CP271">
            <v>748232.92599999998</v>
          </cell>
        </row>
        <row r="275">
          <cell r="A275" t="str">
            <v>No.</v>
          </cell>
          <cell r="B275" t="str">
            <v>Item Pekerjaan</v>
          </cell>
          <cell r="C275" t="str">
            <v>Satuan</v>
          </cell>
          <cell r="D275" t="str">
            <v>Harga Satuan</v>
          </cell>
          <cell r="E275" t="str">
            <v>P1</v>
          </cell>
          <cell r="G275" t="str">
            <v>P2</v>
          </cell>
          <cell r="I275" t="str">
            <v>P3</v>
          </cell>
          <cell r="K275" t="str">
            <v>J1</v>
          </cell>
          <cell r="M275" t="str">
            <v>J1'</v>
          </cell>
          <cell r="O275" t="str">
            <v>J2</v>
          </cell>
          <cell r="Q275" t="str">
            <v>J3</v>
          </cell>
          <cell r="S275" t="str">
            <v>J4</v>
          </cell>
          <cell r="U275" t="str">
            <v>J4'</v>
          </cell>
          <cell r="W275" t="str">
            <v>R1</v>
          </cell>
          <cell r="Y275" t="str">
            <v>R2</v>
          </cell>
          <cell r="AA275" t="str">
            <v>R3</v>
          </cell>
        </row>
        <row r="276">
          <cell r="D276" t="str">
            <v>Rp.</v>
          </cell>
          <cell r="E276" t="str">
            <v>Vol.</v>
          </cell>
          <cell r="F276" t="str">
            <v>Jumlah Harga</v>
          </cell>
          <cell r="G276" t="str">
            <v>Vol.</v>
          </cell>
          <cell r="H276" t="str">
            <v>Jumlah Harga</v>
          </cell>
          <cell r="I276" t="str">
            <v>Vol.</v>
          </cell>
          <cell r="J276" t="str">
            <v>Jumlah Harga</v>
          </cell>
          <cell r="K276" t="str">
            <v>Vol.</v>
          </cell>
          <cell r="L276" t="str">
            <v>Jumlah Harga</v>
          </cell>
          <cell r="M276" t="str">
            <v>Vol.</v>
          </cell>
          <cell r="N276" t="str">
            <v>Jumlah Harga</v>
          </cell>
          <cell r="O276" t="str">
            <v>Vol.</v>
          </cell>
          <cell r="P276" t="str">
            <v>Jumlah Harga</v>
          </cell>
          <cell r="Q276" t="str">
            <v>Vol.</v>
          </cell>
          <cell r="R276" t="str">
            <v>Jumlah Harga</v>
          </cell>
          <cell r="S276" t="str">
            <v>Vol.</v>
          </cell>
          <cell r="T276" t="str">
            <v>Jumlah Harga</v>
          </cell>
          <cell r="U276" t="str">
            <v>Vol.</v>
          </cell>
          <cell r="V276" t="str">
            <v>Jumlah Harga</v>
          </cell>
          <cell r="W276" t="str">
            <v>Vol.</v>
          </cell>
          <cell r="X276" t="str">
            <v>Jumlah Harga</v>
          </cell>
          <cell r="Y276" t="str">
            <v>Vol.</v>
          </cell>
          <cell r="Z276" t="str">
            <v>Jumlah Harga</v>
          </cell>
          <cell r="AA276" t="str">
            <v>Vol.</v>
          </cell>
          <cell r="AB276" t="str">
            <v>Jumlah Harga</v>
          </cell>
        </row>
        <row r="277">
          <cell r="A277" t="str">
            <v>V.</v>
          </cell>
          <cell r="B277" t="str">
            <v>UNIT BANGUNAN KANTOR PUSAT</v>
          </cell>
        </row>
        <row r="279">
          <cell r="A279">
            <v>1</v>
          </cell>
          <cell r="B279" t="str">
            <v>Kayu 6/12</v>
          </cell>
          <cell r="C279" t="str">
            <v>M3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3.6144000000000003E-2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</row>
        <row r="280">
          <cell r="A280">
            <v>2</v>
          </cell>
          <cell r="B280" t="str">
            <v>Kayu Slimar 3/10</v>
          </cell>
          <cell r="C280" t="str">
            <v>M3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1.4159999999999999E-2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</row>
        <row r="281">
          <cell r="A281">
            <v>3</v>
          </cell>
          <cell r="B281" t="str">
            <v>Kayu Slimar 3/15</v>
          </cell>
          <cell r="C281" t="str">
            <v>M3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2.6999999999999997E-3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</row>
        <row r="282">
          <cell r="A282">
            <v>4</v>
          </cell>
          <cell r="B282" t="str">
            <v>Kayu Slimar 3/20</v>
          </cell>
          <cell r="C282" t="str">
            <v>M3</v>
          </cell>
          <cell r="D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3.5999999999999999E-3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</row>
        <row r="283">
          <cell r="A283">
            <v>5</v>
          </cell>
          <cell r="B283" t="str">
            <v>Kayu 2/10</v>
          </cell>
          <cell r="C283" t="str">
            <v>M3</v>
          </cell>
          <cell r="D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5.4000000000000012E-3</v>
          </cell>
          <cell r="J283">
            <v>0</v>
          </cell>
          <cell r="K283">
            <v>12.399999999999999</v>
          </cell>
          <cell r="L283">
            <v>0</v>
          </cell>
          <cell r="M283">
            <v>12.399999999999999</v>
          </cell>
          <cell r="N283">
            <v>0</v>
          </cell>
          <cell r="O283">
            <v>6.4</v>
          </cell>
          <cell r="P283">
            <v>0</v>
          </cell>
          <cell r="Q283">
            <v>93.25</v>
          </cell>
          <cell r="R283">
            <v>0</v>
          </cell>
          <cell r="S283">
            <v>13.814999999999998</v>
          </cell>
          <cell r="T283">
            <v>0</v>
          </cell>
          <cell r="U283">
            <v>13.814999999999998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</row>
        <row r="284">
          <cell r="A284">
            <v>6</v>
          </cell>
          <cell r="B284" t="str">
            <v>Panil t = 3 cm</v>
          </cell>
          <cell r="C284" t="str">
            <v>M2</v>
          </cell>
          <cell r="D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0.49500000000000005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</row>
        <row r="285">
          <cell r="A285">
            <v>1</v>
          </cell>
          <cell r="B285" t="str">
            <v>Kusen Aluminium 5/10</v>
          </cell>
          <cell r="C285" t="str">
            <v>M'</v>
          </cell>
          <cell r="D285">
            <v>124948</v>
          </cell>
          <cell r="F285">
            <v>0</v>
          </cell>
          <cell r="G285">
            <v>0</v>
          </cell>
          <cell r="H285">
            <v>0</v>
          </cell>
          <cell r="I285">
            <v>5</v>
          </cell>
          <cell r="J285">
            <v>624740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</row>
        <row r="286">
          <cell r="A286">
            <v>2</v>
          </cell>
          <cell r="B286" t="str">
            <v xml:space="preserve">Rangka Daun Jendela Alumunium </v>
          </cell>
          <cell r="C286" t="str">
            <v>M'</v>
          </cell>
          <cell r="D286">
            <v>124948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</row>
        <row r="287">
          <cell r="A287">
            <v>3</v>
          </cell>
          <cell r="B287" t="str">
            <v>Rangka Tiang Sirip Alumunium 1/1 Putih</v>
          </cell>
          <cell r="C287" t="str">
            <v>M'</v>
          </cell>
          <cell r="D287">
            <v>62474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2.8499999999999996</v>
          </cell>
          <cell r="L287">
            <v>178050.89999999997</v>
          </cell>
          <cell r="M287">
            <v>2.8499999999999996</v>
          </cell>
          <cell r="N287">
            <v>178050.89999999997</v>
          </cell>
          <cell r="O287">
            <v>0</v>
          </cell>
          <cell r="P287">
            <v>0</v>
          </cell>
          <cell r="Q287">
            <v>14.100000000000003</v>
          </cell>
          <cell r="R287">
            <v>880883.40000000026</v>
          </cell>
          <cell r="S287">
            <v>2.12</v>
          </cell>
          <cell r="T287">
            <v>132444.88</v>
          </cell>
          <cell r="U287">
            <v>2.12</v>
          </cell>
          <cell r="V287">
            <v>132444.88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</row>
        <row r="288">
          <cell r="A288">
            <v>4</v>
          </cell>
          <cell r="B288" t="str">
            <v>Pasang Shading Sirip Alumunium 0.2/10 +Rangka</v>
          </cell>
          <cell r="C288" t="str">
            <v>M2</v>
          </cell>
          <cell r="D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0.50749999999999995</v>
          </cell>
          <cell r="L288">
            <v>0</v>
          </cell>
          <cell r="M288">
            <v>0.50749999999999995</v>
          </cell>
          <cell r="N288">
            <v>0</v>
          </cell>
          <cell r="O288">
            <v>0</v>
          </cell>
          <cell r="P288">
            <v>0</v>
          </cell>
          <cell r="Q288">
            <v>1.4649999999999999</v>
          </cell>
          <cell r="R288">
            <v>0</v>
          </cell>
          <cell r="S288">
            <v>0.252</v>
          </cell>
          <cell r="T288">
            <v>0</v>
          </cell>
          <cell r="U288">
            <v>0.252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</row>
        <row r="289">
          <cell r="A289">
            <v>5</v>
          </cell>
          <cell r="B289" t="str">
            <v>Daun Pintu Panil Kamper</v>
          </cell>
          <cell r="C289" t="str">
            <v>bh</v>
          </cell>
          <cell r="D289">
            <v>550000</v>
          </cell>
          <cell r="F289">
            <v>0</v>
          </cell>
          <cell r="G289">
            <v>0</v>
          </cell>
          <cell r="H289">
            <v>0</v>
          </cell>
          <cell r="I289">
            <v>1.2</v>
          </cell>
          <cell r="J289">
            <v>660000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>
            <v>6</v>
          </cell>
          <cell r="B290" t="str">
            <v>Plat besi t = 2 mm</v>
          </cell>
          <cell r="C290" t="str">
            <v>Kg</v>
          </cell>
          <cell r="D290">
            <v>0</v>
          </cell>
          <cell r="F290">
            <v>0</v>
          </cell>
          <cell r="G290">
            <v>57.085200000000007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>
            <v>7</v>
          </cell>
          <cell r="B291" t="str">
            <v>C 40.40.2  (pesan khusus)</v>
          </cell>
          <cell r="C291" t="str">
            <v>Kg</v>
          </cell>
          <cell r="D291">
            <v>14122.3</v>
          </cell>
          <cell r="F291">
            <v>0</v>
          </cell>
          <cell r="G291">
            <v>42.56</v>
          </cell>
          <cell r="H291">
            <v>601045.08799999999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</row>
        <row r="292">
          <cell r="A292">
            <v>8</v>
          </cell>
          <cell r="B292" t="str">
            <v>Handle besi dia 16 mm</v>
          </cell>
          <cell r="C292" t="str">
            <v>Set</v>
          </cell>
          <cell r="D292">
            <v>129652.5</v>
          </cell>
          <cell r="F292">
            <v>0</v>
          </cell>
          <cell r="G292">
            <v>1</v>
          </cell>
          <cell r="H292">
            <v>129652.5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</row>
        <row r="293">
          <cell r="A293">
            <v>9</v>
          </cell>
          <cell r="B293" t="str">
            <v>Hendle pintu Stainless</v>
          </cell>
          <cell r="C293" t="str">
            <v>Set</v>
          </cell>
          <cell r="D293">
            <v>261652.5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</row>
        <row r="294">
          <cell r="A294">
            <v>10</v>
          </cell>
          <cell r="B294" t="str">
            <v>Kunci Pintu Handle stainleess (dorma)</v>
          </cell>
          <cell r="C294" t="str">
            <v>Set</v>
          </cell>
          <cell r="D294">
            <v>650000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</row>
        <row r="295">
          <cell r="A295">
            <v>11</v>
          </cell>
          <cell r="B295" t="str">
            <v>Kunci tanam Antik</v>
          </cell>
          <cell r="C295" t="str">
            <v>Set</v>
          </cell>
          <cell r="D295">
            <v>265000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</row>
        <row r="296">
          <cell r="A296">
            <v>12</v>
          </cell>
          <cell r="B296" t="str">
            <v>Kunci tanam biasa</v>
          </cell>
          <cell r="C296" t="str">
            <v>Set</v>
          </cell>
          <cell r="D296">
            <v>168565</v>
          </cell>
          <cell r="F296">
            <v>0</v>
          </cell>
          <cell r="G296">
            <v>1</v>
          </cell>
          <cell r="H296">
            <v>168565</v>
          </cell>
          <cell r="I296">
            <v>1</v>
          </cell>
          <cell r="J296">
            <v>168565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</row>
        <row r="297">
          <cell r="A297">
            <v>13</v>
          </cell>
          <cell r="B297" t="str">
            <v>Kunci Silinder</v>
          </cell>
          <cell r="C297" t="str">
            <v>Set</v>
          </cell>
          <cell r="D297">
            <v>217900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</row>
        <row r="298">
          <cell r="A298">
            <v>14</v>
          </cell>
          <cell r="B298" t="str">
            <v>Kunci Selot</v>
          </cell>
          <cell r="C298" t="str">
            <v>Set</v>
          </cell>
          <cell r="D298">
            <v>48300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</row>
        <row r="299">
          <cell r="A299">
            <v>15</v>
          </cell>
          <cell r="B299" t="str">
            <v>Engsel jendela</v>
          </cell>
          <cell r="C299" t="str">
            <v>Bh</v>
          </cell>
          <cell r="D299">
            <v>16600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</row>
        <row r="300">
          <cell r="A300">
            <v>16</v>
          </cell>
          <cell r="B300" t="str">
            <v>Engsel pintu</v>
          </cell>
          <cell r="C300" t="str">
            <v>Bh</v>
          </cell>
          <cell r="D300">
            <v>44395.75</v>
          </cell>
          <cell r="F300">
            <v>0</v>
          </cell>
          <cell r="G300">
            <v>0</v>
          </cell>
          <cell r="H300">
            <v>0</v>
          </cell>
          <cell r="I300">
            <v>3</v>
          </cell>
          <cell r="J300">
            <v>133187.25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</row>
        <row r="301">
          <cell r="A301">
            <v>17</v>
          </cell>
          <cell r="B301" t="str">
            <v>Engsel Pintu dari pipa besi dia 2 cm</v>
          </cell>
          <cell r="C301" t="str">
            <v>Bh</v>
          </cell>
          <cell r="D301">
            <v>66593.625</v>
          </cell>
          <cell r="F301">
            <v>0</v>
          </cell>
          <cell r="G301">
            <v>2</v>
          </cell>
          <cell r="H301">
            <v>133187.25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>
            <v>18</v>
          </cell>
          <cell r="B302" t="str">
            <v>Kait/hak angin</v>
          </cell>
          <cell r="C302" t="str">
            <v>Set</v>
          </cell>
          <cell r="D302">
            <v>27000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</row>
        <row r="303">
          <cell r="A303">
            <v>19</v>
          </cell>
          <cell r="B303" t="str">
            <v>Grendel pintu kuningan</v>
          </cell>
          <cell r="C303" t="str">
            <v>Bh</v>
          </cell>
          <cell r="D303">
            <v>125000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>
            <v>20</v>
          </cell>
          <cell r="B304" t="str">
            <v xml:space="preserve">Grendel jendela </v>
          </cell>
          <cell r="C304" t="str">
            <v>Bh</v>
          </cell>
          <cell r="D304">
            <v>8100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1</v>
          </cell>
          <cell r="P304">
            <v>8100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</row>
        <row r="305">
          <cell r="A305">
            <v>21</v>
          </cell>
          <cell r="B305" t="str">
            <v>Grendel pintu</v>
          </cell>
          <cell r="C305" t="str">
            <v>Bh</v>
          </cell>
          <cell r="D305">
            <v>14200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</row>
        <row r="306">
          <cell r="A306">
            <v>22</v>
          </cell>
          <cell r="B306" t="str">
            <v>Stripting Knip</v>
          </cell>
          <cell r="C306" t="str">
            <v>Set</v>
          </cell>
          <cell r="D306">
            <v>13700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</row>
        <row r="307">
          <cell r="A307">
            <v>23</v>
          </cell>
          <cell r="B307" t="str">
            <v>Door Closer</v>
          </cell>
          <cell r="C307" t="str">
            <v>Set</v>
          </cell>
          <cell r="D307">
            <v>260800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</row>
        <row r="308">
          <cell r="A308">
            <v>24</v>
          </cell>
          <cell r="B308" t="str">
            <v>Door Holder</v>
          </cell>
          <cell r="C308" t="str">
            <v>Set</v>
          </cell>
          <cell r="D308">
            <v>500000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</row>
        <row r="309">
          <cell r="A309">
            <v>25</v>
          </cell>
          <cell r="B309" t="str">
            <v>Door Stop</v>
          </cell>
          <cell r="C309" t="str">
            <v>Set</v>
          </cell>
          <cell r="D309">
            <v>32100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</row>
        <row r="310">
          <cell r="A310">
            <v>26</v>
          </cell>
          <cell r="B310" t="str">
            <v>Kaca bening 5 mm</v>
          </cell>
          <cell r="C310" t="str">
            <v>M2</v>
          </cell>
          <cell r="D310">
            <v>66700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</row>
        <row r="311">
          <cell r="A311">
            <v>27</v>
          </cell>
          <cell r="B311" t="str">
            <v>Kaca bening 10 mm</v>
          </cell>
          <cell r="C311" t="str">
            <v>M2</v>
          </cell>
          <cell r="D311">
            <v>280895.75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1.1875</v>
          </cell>
          <cell r="L311">
            <v>333563.703125</v>
          </cell>
          <cell r="M311">
            <v>1.1875</v>
          </cell>
          <cell r="N311">
            <v>333563.703125</v>
          </cell>
          <cell r="O311">
            <v>0.64749999999999996</v>
          </cell>
          <cell r="P311">
            <v>181879.99812499998</v>
          </cell>
          <cell r="Q311">
            <v>4.5719999999999992</v>
          </cell>
          <cell r="R311">
            <v>1284255.3689999997</v>
          </cell>
          <cell r="S311">
            <v>1.3035499999999998</v>
          </cell>
          <cell r="T311">
            <v>366161.65491249994</v>
          </cell>
          <cell r="U311">
            <v>1.3035499999999998</v>
          </cell>
          <cell r="V311">
            <v>366161.65491249994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</row>
        <row r="312">
          <cell r="A312">
            <v>28</v>
          </cell>
          <cell r="B312" t="str">
            <v>Kaca Bening 12 mm</v>
          </cell>
          <cell r="C312" t="str">
            <v>M2</v>
          </cell>
          <cell r="D312">
            <v>403787.64062499994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</row>
        <row r="313">
          <cell r="A313">
            <v>29</v>
          </cell>
          <cell r="B313" t="str">
            <v>Besi hollow 4/4</v>
          </cell>
          <cell r="C313" t="str">
            <v>M'</v>
          </cell>
          <cell r="D313">
            <v>48625.000000000051</v>
          </cell>
          <cell r="F313">
            <v>0</v>
          </cell>
          <cell r="G313">
            <v>5.09</v>
          </cell>
          <cell r="H313">
            <v>247501.25000000026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</row>
        <row r="314">
          <cell r="A314">
            <v>30</v>
          </cell>
          <cell r="B314" t="str">
            <v>Besi hollow 6/6</v>
          </cell>
          <cell r="C314" t="str">
            <v>M'</v>
          </cell>
          <cell r="D314">
            <v>74462.500000000058</v>
          </cell>
          <cell r="E314">
            <v>1.413793103448276</v>
          </cell>
          <cell r="F314">
            <v>105274.56896551733</v>
          </cell>
          <cell r="G314">
            <v>5.09</v>
          </cell>
          <cell r="H314">
            <v>379014.12500000029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</row>
        <row r="315">
          <cell r="A315">
            <v>31</v>
          </cell>
          <cell r="B315" t="str">
            <v>Besi hollow 2.5/5</v>
          </cell>
          <cell r="C315" t="str">
            <v>Kg</v>
          </cell>
          <cell r="D315">
            <v>74462.500000000058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>
            <v>32</v>
          </cell>
          <cell r="B316" t="str">
            <v>Besi hollow 5/5</v>
          </cell>
          <cell r="C316" t="str">
            <v>Kg</v>
          </cell>
          <cell r="D316">
            <v>74462.500000000058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>
            <v>33</v>
          </cell>
          <cell r="B317" t="str">
            <v>Besi hollow 2/2</v>
          </cell>
          <cell r="C317" t="str">
            <v>Kg</v>
          </cell>
          <cell r="D317">
            <v>74462.500000000058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</row>
        <row r="318">
          <cell r="A318">
            <v>34</v>
          </cell>
          <cell r="B318" t="str">
            <v>Besi hollow 2/4</v>
          </cell>
          <cell r="C318" t="str">
            <v>Kg</v>
          </cell>
          <cell r="D318">
            <v>74462.500000000058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</row>
        <row r="319">
          <cell r="A319">
            <v>35</v>
          </cell>
          <cell r="B319" t="str">
            <v>Kaca Tempered 12 mm</v>
          </cell>
          <cell r="C319" t="str">
            <v>M2</v>
          </cell>
          <cell r="D319">
            <v>528395.75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</row>
        <row r="320">
          <cell r="A320">
            <v>36</v>
          </cell>
          <cell r="B320" t="str">
            <v>Glass Block</v>
          </cell>
          <cell r="C320" t="str">
            <v>Bh</v>
          </cell>
          <cell r="D320">
            <v>45000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</row>
        <row r="321">
          <cell r="A321">
            <v>37</v>
          </cell>
          <cell r="B321" t="str">
            <v>Kaca Es</v>
          </cell>
          <cell r="C321" t="str">
            <v>M2</v>
          </cell>
          <cell r="D321">
            <v>66700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</row>
        <row r="322">
          <cell r="A322">
            <v>38</v>
          </cell>
          <cell r="B322" t="str">
            <v>Krepyak Kaca Nako + Kerangka</v>
          </cell>
          <cell r="C322" t="str">
            <v>M2</v>
          </cell>
          <cell r="D322">
            <v>81300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>
            <v>39</v>
          </cell>
          <cell r="B323" t="str">
            <v>Sticker Efek Kaca Es</v>
          </cell>
          <cell r="C323" t="str">
            <v>M2</v>
          </cell>
          <cell r="D323">
            <v>150000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>
            <v>40</v>
          </cell>
          <cell r="B324" t="str">
            <v>Rel Pintu Dorong</v>
          </cell>
          <cell r="C324" t="str">
            <v>M'</v>
          </cell>
          <cell r="D324">
            <v>275000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4</v>
          </cell>
          <cell r="L324">
            <v>1100000</v>
          </cell>
          <cell r="M324">
            <v>4</v>
          </cell>
          <cell r="N324">
            <v>1100000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>
            <v>41</v>
          </cell>
          <cell r="B325" t="str">
            <v>Rolling Door</v>
          </cell>
          <cell r="C325" t="str">
            <v>M2</v>
          </cell>
          <cell r="D325">
            <v>358100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>
            <v>42</v>
          </cell>
          <cell r="B326" t="str">
            <v>Roster</v>
          </cell>
          <cell r="C326" t="str">
            <v>M2</v>
          </cell>
          <cell r="D326">
            <v>133850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0.2</v>
          </cell>
          <cell r="X326">
            <v>26770</v>
          </cell>
          <cell r="Y326">
            <v>5.15</v>
          </cell>
          <cell r="Z326">
            <v>689327.5</v>
          </cell>
          <cell r="AA326">
            <v>0.8</v>
          </cell>
          <cell r="AB326">
            <v>107080</v>
          </cell>
        </row>
        <row r="327">
          <cell r="A327">
            <v>43</v>
          </cell>
          <cell r="B327" t="str">
            <v>Gipsum Board</v>
          </cell>
          <cell r="C327" t="str">
            <v>M2</v>
          </cell>
          <cell r="D327">
            <v>29000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>
            <v>44</v>
          </cell>
          <cell r="B328" t="str">
            <v>List Gipsum</v>
          </cell>
          <cell r="C328" t="str">
            <v>M'</v>
          </cell>
          <cell r="D328">
            <v>17300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</row>
        <row r="329">
          <cell r="A329">
            <v>45</v>
          </cell>
          <cell r="B329" t="str">
            <v>Sealent</v>
          </cell>
          <cell r="C329" t="str">
            <v>M'</v>
          </cell>
          <cell r="D329">
            <v>8400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12.5</v>
          </cell>
          <cell r="L329">
            <v>105000</v>
          </cell>
          <cell r="M329">
            <v>12.5</v>
          </cell>
          <cell r="N329">
            <v>105000</v>
          </cell>
          <cell r="O329">
            <v>9.1999999999999993</v>
          </cell>
          <cell r="P329">
            <v>77280</v>
          </cell>
          <cell r="Q329">
            <v>69.260000000000005</v>
          </cell>
          <cell r="R329">
            <v>581784</v>
          </cell>
          <cell r="S329">
            <v>19.54</v>
          </cell>
          <cell r="T329">
            <v>164136</v>
          </cell>
          <cell r="U329">
            <v>19.54</v>
          </cell>
          <cell r="V329">
            <v>164136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</row>
        <row r="330">
          <cell r="A330">
            <v>46</v>
          </cell>
          <cell r="B330" t="str">
            <v>Benangan Kusen</v>
          </cell>
          <cell r="C330" t="str">
            <v>M'</v>
          </cell>
          <cell r="D330">
            <v>4296.0074999999997</v>
          </cell>
          <cell r="F330">
            <v>0</v>
          </cell>
          <cell r="G330">
            <v>5.5990000000000002</v>
          </cell>
          <cell r="H330">
            <v>24053.345992499999</v>
          </cell>
          <cell r="I330">
            <v>5.7839999999999998</v>
          </cell>
          <cell r="J330">
            <v>24848.107379999998</v>
          </cell>
          <cell r="K330">
            <v>14.399999999999999</v>
          </cell>
          <cell r="L330">
            <v>61862.507999999987</v>
          </cell>
          <cell r="M330">
            <v>14.399999999999999</v>
          </cell>
          <cell r="N330">
            <v>61862.507999999987</v>
          </cell>
          <cell r="O330">
            <v>8</v>
          </cell>
          <cell r="P330">
            <v>34368.06</v>
          </cell>
          <cell r="Q330">
            <v>23</v>
          </cell>
          <cell r="R330">
            <v>98808.172499999986</v>
          </cell>
          <cell r="S330">
            <v>14.32</v>
          </cell>
          <cell r="T330">
            <v>61518.827399999995</v>
          </cell>
          <cell r="U330">
            <v>14.32</v>
          </cell>
          <cell r="V330">
            <v>61518.827399999995</v>
          </cell>
          <cell r="W330">
            <v>0.8</v>
          </cell>
          <cell r="X330">
            <v>3436.806</v>
          </cell>
          <cell r="Y330">
            <v>55.800000000000004</v>
          </cell>
          <cell r="Z330">
            <v>239717.21849999999</v>
          </cell>
          <cell r="AA330">
            <v>69.2</v>
          </cell>
          <cell r="AB330">
            <v>297283.71899999998</v>
          </cell>
        </row>
        <row r="331">
          <cell r="A331">
            <v>47</v>
          </cell>
          <cell r="B331" t="str">
            <v xml:space="preserve">Cat Kayu </v>
          </cell>
          <cell r="C331" t="str">
            <v>M2</v>
          </cell>
          <cell r="D331">
            <v>19370.5</v>
          </cell>
          <cell r="F331">
            <v>0</v>
          </cell>
          <cell r="G331">
            <v>0</v>
          </cell>
          <cell r="H331">
            <v>0</v>
          </cell>
          <cell r="I331">
            <v>4.0991999999999997</v>
          </cell>
          <cell r="J331">
            <v>79403.553599999999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</row>
        <row r="332">
          <cell r="A332">
            <v>48</v>
          </cell>
          <cell r="B332" t="str">
            <v>Cat Besi</v>
          </cell>
          <cell r="C332" t="str">
            <v>M2</v>
          </cell>
          <cell r="D332">
            <v>13698</v>
          </cell>
          <cell r="F332">
            <v>0</v>
          </cell>
          <cell r="G332">
            <v>5.6445590696960588</v>
          </cell>
          <cell r="H332">
            <v>77319.170136696615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</row>
        <row r="333">
          <cell r="A333">
            <v>49</v>
          </cell>
          <cell r="B333" t="str">
            <v>Cat Dinding</v>
          </cell>
          <cell r="C333" t="str">
            <v>M2</v>
          </cell>
          <cell r="D333">
            <v>9900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0.4</v>
          </cell>
          <cell r="X333">
            <v>3960</v>
          </cell>
          <cell r="Y333">
            <v>10.3</v>
          </cell>
          <cell r="Z333">
            <v>101970</v>
          </cell>
          <cell r="AA333">
            <v>13.025</v>
          </cell>
          <cell r="AB333">
            <v>128947.5</v>
          </cell>
        </row>
        <row r="334">
          <cell r="A334">
            <v>50</v>
          </cell>
          <cell r="B334" t="str">
            <v>Plesteran Camprot</v>
          </cell>
          <cell r="C334" t="str">
            <v>M2</v>
          </cell>
          <cell r="D334">
            <v>14600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K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1.6</v>
          </cell>
          <cell r="Z334">
            <v>23360</v>
          </cell>
          <cell r="AA334">
            <v>0.8</v>
          </cell>
          <cell r="AB334">
            <v>11680</v>
          </cell>
        </row>
        <row r="336">
          <cell r="B336" t="str">
            <v>Jumlah Harga</v>
          </cell>
          <cell r="F336">
            <v>105274.56896551733</v>
          </cell>
          <cell r="H336">
            <v>1760337.7291291971</v>
          </cell>
          <cell r="J336">
            <v>1690743.9109799999</v>
          </cell>
          <cell r="L336">
            <v>1778477.1111249998</v>
          </cell>
          <cell r="N336">
            <v>1778477.1111249998</v>
          </cell>
          <cell r="P336">
            <v>301628.05812499998</v>
          </cell>
          <cell r="R336">
            <v>2845730.9414999997</v>
          </cell>
          <cell r="T336">
            <v>724261.3623124999</v>
          </cell>
          <cell r="V336">
            <v>724261.3623124999</v>
          </cell>
          <cell r="X336">
            <v>34166.805999999997</v>
          </cell>
          <cell r="Z336">
            <v>1054374.7185</v>
          </cell>
          <cell r="AB336">
            <v>544991.21900000004</v>
          </cell>
        </row>
        <row r="340">
          <cell r="A340" t="str">
            <v>No.</v>
          </cell>
          <cell r="B340" t="str">
            <v>Item Pekerjaan</v>
          </cell>
          <cell r="C340" t="str">
            <v>Satuan</v>
          </cell>
          <cell r="D340" t="str">
            <v>Harga Satuan</v>
          </cell>
          <cell r="E340" t="str">
            <v>P1A</v>
          </cell>
          <cell r="G340" t="str">
            <v>P1B</v>
          </cell>
          <cell r="I340" t="str">
            <v>P2</v>
          </cell>
          <cell r="K340" t="str">
            <v>P3A</v>
          </cell>
          <cell r="M340" t="str">
            <v>P3B</v>
          </cell>
          <cell r="O340" t="str">
            <v>P4A</v>
          </cell>
          <cell r="Q340" t="str">
            <v>P4B</v>
          </cell>
          <cell r="S340" t="str">
            <v>J2A</v>
          </cell>
          <cell r="U340" t="str">
            <v>J2B</v>
          </cell>
          <cell r="W340" t="str">
            <v>J3</v>
          </cell>
          <cell r="Y340" t="str">
            <v>J4</v>
          </cell>
          <cell r="AA340" t="str">
            <v>J5 atau J8</v>
          </cell>
          <cell r="AC340" t="str">
            <v>BV1</v>
          </cell>
          <cell r="AE340" t="str">
            <v>BV2</v>
          </cell>
        </row>
        <row r="341">
          <cell r="D341" t="str">
            <v>Rp.</v>
          </cell>
          <cell r="E341" t="str">
            <v>Vol.</v>
          </cell>
          <cell r="F341" t="str">
            <v>Jumlah Harga</v>
          </cell>
          <cell r="G341" t="str">
            <v>Vol.</v>
          </cell>
          <cell r="H341" t="str">
            <v>Jumlah Harga</v>
          </cell>
          <cell r="I341" t="str">
            <v>Vol.</v>
          </cell>
          <cell r="J341" t="str">
            <v>Jumlah Harga</v>
          </cell>
          <cell r="K341" t="str">
            <v>Vol.</v>
          </cell>
          <cell r="L341" t="str">
            <v>Jumlah Harga</v>
          </cell>
          <cell r="M341" t="str">
            <v>Vol.</v>
          </cell>
          <cell r="N341" t="str">
            <v>Jumlah Harga</v>
          </cell>
          <cell r="O341" t="str">
            <v>Vol.</v>
          </cell>
          <cell r="P341" t="str">
            <v>Jumlah Harga</v>
          </cell>
          <cell r="Q341" t="str">
            <v>Vol.</v>
          </cell>
          <cell r="R341" t="str">
            <v>Jumlah Harga</v>
          </cell>
          <cell r="S341" t="str">
            <v>Vol.</v>
          </cell>
          <cell r="T341" t="str">
            <v>Jumlah Harga</v>
          </cell>
          <cell r="U341" t="str">
            <v>Vol.</v>
          </cell>
          <cell r="V341" t="str">
            <v>Jumlah Harga</v>
          </cell>
          <cell r="W341" t="str">
            <v>Vol.</v>
          </cell>
          <cell r="X341" t="str">
            <v>Jumlah Harga</v>
          </cell>
          <cell r="Y341" t="str">
            <v>Vol.</v>
          </cell>
          <cell r="Z341" t="str">
            <v>Jumlah Harga</v>
          </cell>
          <cell r="AA341" t="str">
            <v>Vol.</v>
          </cell>
          <cell r="AB341" t="str">
            <v>Jumlah Harga</v>
          </cell>
          <cell r="AC341" t="str">
            <v>Vol.</v>
          </cell>
          <cell r="AD341" t="str">
            <v>Jumlah Harga</v>
          </cell>
          <cell r="AE341" t="str">
            <v>Vol.</v>
          </cell>
          <cell r="AF341" t="str">
            <v>Jumlah Harga</v>
          </cell>
        </row>
        <row r="342">
          <cell r="A342" t="str">
            <v>VI.</v>
          </cell>
          <cell r="B342" t="str">
            <v>UNIT BANGUNAN ASRAMA</v>
          </cell>
        </row>
        <row r="344">
          <cell r="A344">
            <v>1</v>
          </cell>
          <cell r="B344" t="str">
            <v>Kayu 6/12</v>
          </cell>
          <cell r="C344" t="str">
            <v>M3</v>
          </cell>
          <cell r="D344">
            <v>0</v>
          </cell>
          <cell r="E344">
            <v>1.12E-2</v>
          </cell>
          <cell r="F344">
            <v>0</v>
          </cell>
          <cell r="G344">
            <v>1.12E-2</v>
          </cell>
          <cell r="H344">
            <v>0</v>
          </cell>
          <cell r="I344">
            <v>0</v>
          </cell>
          <cell r="J344">
            <v>0</v>
          </cell>
          <cell r="K344">
            <v>3.6144000000000003E-2</v>
          </cell>
          <cell r="L344">
            <v>0</v>
          </cell>
          <cell r="M344">
            <v>3.6144000000000003E-2</v>
          </cell>
          <cell r="N344">
            <v>0</v>
          </cell>
          <cell r="O344">
            <v>8.0000000000000002E-3</v>
          </cell>
          <cell r="P344">
            <v>0</v>
          </cell>
          <cell r="Q344">
            <v>8.0000000000000002E-3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</row>
        <row r="345">
          <cell r="A345">
            <v>2</v>
          </cell>
          <cell r="B345" t="str">
            <v>Kayu Slimar 3/10</v>
          </cell>
          <cell r="C345" t="str">
            <v>M3</v>
          </cell>
          <cell r="D345">
            <v>0</v>
          </cell>
          <cell r="E345">
            <v>3.2000000000000002E-3</v>
          </cell>
          <cell r="F345">
            <v>0</v>
          </cell>
          <cell r="G345">
            <v>3.2000000000000002E-3</v>
          </cell>
          <cell r="H345">
            <v>0</v>
          </cell>
          <cell r="I345">
            <v>0</v>
          </cell>
          <cell r="J345">
            <v>0</v>
          </cell>
          <cell r="K345">
            <v>1.4159999999999999E-2</v>
          </cell>
          <cell r="L345">
            <v>0</v>
          </cell>
          <cell r="M345">
            <v>1.4159999999999999E-2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</row>
        <row r="346">
          <cell r="A346">
            <v>3</v>
          </cell>
          <cell r="B346" t="str">
            <v>Kayu Slimar 3/15</v>
          </cell>
          <cell r="C346" t="str">
            <v>M3</v>
          </cell>
          <cell r="D346">
            <v>0</v>
          </cell>
          <cell r="E346">
            <v>3.2</v>
          </cell>
          <cell r="F346">
            <v>0</v>
          </cell>
          <cell r="G346">
            <v>3.2</v>
          </cell>
          <cell r="H346">
            <v>0</v>
          </cell>
          <cell r="I346">
            <v>0</v>
          </cell>
          <cell r="J346">
            <v>0</v>
          </cell>
          <cell r="K346">
            <v>2.6999999999999997E-3</v>
          </cell>
          <cell r="L346">
            <v>0</v>
          </cell>
          <cell r="M346">
            <v>2.6999999999999997E-3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</row>
        <row r="347">
          <cell r="A347">
            <v>4</v>
          </cell>
          <cell r="B347" t="str">
            <v>Kayu Slimar 3/20</v>
          </cell>
          <cell r="C347" t="str">
            <v>M3</v>
          </cell>
          <cell r="D347">
            <v>0</v>
          </cell>
          <cell r="E347">
            <v>3.2</v>
          </cell>
          <cell r="F347">
            <v>0</v>
          </cell>
          <cell r="G347">
            <v>3.2</v>
          </cell>
          <cell r="H347">
            <v>0</v>
          </cell>
          <cell r="I347">
            <v>0</v>
          </cell>
          <cell r="J347">
            <v>0</v>
          </cell>
          <cell r="K347">
            <v>3.5999999999999999E-3</v>
          </cell>
          <cell r="L347">
            <v>0</v>
          </cell>
          <cell r="M347">
            <v>3.5999999999999999E-3</v>
          </cell>
          <cell r="N347">
            <v>0</v>
          </cell>
          <cell r="O347">
            <v>1.32</v>
          </cell>
          <cell r="P347">
            <v>0</v>
          </cell>
          <cell r="Q347">
            <v>1.32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8">
          <cell r="A348">
            <v>5</v>
          </cell>
          <cell r="B348" t="str">
            <v>Kayu 2/10</v>
          </cell>
          <cell r="C348" t="str">
            <v>M3</v>
          </cell>
          <cell r="D348">
            <v>0</v>
          </cell>
          <cell r="E348">
            <v>5</v>
          </cell>
          <cell r="F348">
            <v>0</v>
          </cell>
          <cell r="G348">
            <v>5</v>
          </cell>
          <cell r="H348">
            <v>0</v>
          </cell>
          <cell r="I348">
            <v>0</v>
          </cell>
          <cell r="J348">
            <v>0</v>
          </cell>
          <cell r="K348">
            <v>5.4000000000000012E-3</v>
          </cell>
          <cell r="L348">
            <v>0</v>
          </cell>
          <cell r="M348">
            <v>5.4000000000000012E-3</v>
          </cell>
          <cell r="N348">
            <v>0</v>
          </cell>
          <cell r="O348">
            <v>3.8</v>
          </cell>
          <cell r="P348">
            <v>0</v>
          </cell>
          <cell r="Q348">
            <v>3.8</v>
          </cell>
          <cell r="R348">
            <v>0</v>
          </cell>
          <cell r="S348">
            <v>10.85</v>
          </cell>
          <cell r="T348">
            <v>0</v>
          </cell>
          <cell r="U348">
            <v>10.85</v>
          </cell>
          <cell r="V348">
            <v>0</v>
          </cell>
          <cell r="W348">
            <v>0</v>
          </cell>
          <cell r="X348">
            <v>0</v>
          </cell>
          <cell r="Y348">
            <v>4.5999999999999996</v>
          </cell>
          <cell r="Z348">
            <v>0</v>
          </cell>
          <cell r="AA348">
            <v>3.5999999999999996</v>
          </cell>
          <cell r="AB348">
            <v>0</v>
          </cell>
          <cell r="AC348">
            <v>4</v>
          </cell>
          <cell r="AD348">
            <v>0</v>
          </cell>
          <cell r="AE348">
            <v>4</v>
          </cell>
          <cell r="AF348">
            <v>0</v>
          </cell>
        </row>
        <row r="349">
          <cell r="A349">
            <v>6</v>
          </cell>
          <cell r="B349" t="str">
            <v>Panil t = 3 cm</v>
          </cell>
          <cell r="C349" t="str">
            <v>M2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0.49500000000000005</v>
          </cell>
          <cell r="L349">
            <v>0</v>
          </cell>
          <cell r="M349">
            <v>0.49500000000000005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6.66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</row>
        <row r="350">
          <cell r="A350">
            <v>1</v>
          </cell>
          <cell r="B350" t="str">
            <v>Kusen Aluminium 5/10</v>
          </cell>
          <cell r="C350" t="str">
            <v>M'</v>
          </cell>
          <cell r="D350">
            <v>124948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6.1999999999999993</v>
          </cell>
          <cell r="J350">
            <v>774677.59999999986</v>
          </cell>
          <cell r="K350">
            <v>5</v>
          </cell>
          <cell r="L350">
            <v>624740</v>
          </cell>
          <cell r="M350">
            <v>5</v>
          </cell>
          <cell r="N350">
            <v>624740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</row>
        <row r="351">
          <cell r="A351">
            <v>2</v>
          </cell>
          <cell r="B351" t="str">
            <v xml:space="preserve">Rangka Daun Jendela Alumunium </v>
          </cell>
          <cell r="C351" t="str">
            <v>M'</v>
          </cell>
          <cell r="D351">
            <v>124948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7</v>
          </cell>
          <cell r="T351">
            <v>874636</v>
          </cell>
          <cell r="U351">
            <v>7</v>
          </cell>
          <cell r="V351">
            <v>874636</v>
          </cell>
          <cell r="W351">
            <v>0</v>
          </cell>
          <cell r="X351">
            <v>0</v>
          </cell>
          <cell r="Y351">
            <v>4.2</v>
          </cell>
          <cell r="Z351">
            <v>524781.6</v>
          </cell>
          <cell r="AA351">
            <v>3.2</v>
          </cell>
          <cell r="AB351">
            <v>399833.60000000003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</row>
        <row r="352">
          <cell r="A352">
            <v>3</v>
          </cell>
          <cell r="B352" t="str">
            <v>Rangka Tiang Sirip Alumunium 1/1 Putih</v>
          </cell>
          <cell r="C352" t="str">
            <v>M'</v>
          </cell>
          <cell r="D352">
            <v>62474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2.6</v>
          </cell>
          <cell r="T352">
            <v>162432.4</v>
          </cell>
          <cell r="U352">
            <v>2.6</v>
          </cell>
          <cell r="V352">
            <v>162432.4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</row>
        <row r="353">
          <cell r="A353">
            <v>4</v>
          </cell>
          <cell r="B353" t="str">
            <v>Pasang Shading Sirip Alumunium 0.2/10 +Rangka</v>
          </cell>
          <cell r="C353" t="str">
            <v>M2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0.26250000000000001</v>
          </cell>
          <cell r="T353">
            <v>0</v>
          </cell>
          <cell r="U353">
            <v>0.26250000000000001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</row>
        <row r="354">
          <cell r="A354">
            <v>5</v>
          </cell>
          <cell r="B354" t="str">
            <v>Daun Pintu Panil Kamper</v>
          </cell>
          <cell r="C354" t="str">
            <v>bh</v>
          </cell>
          <cell r="D354">
            <v>550000</v>
          </cell>
          <cell r="E354">
            <v>1.2E-2</v>
          </cell>
          <cell r="F354">
            <v>6600</v>
          </cell>
          <cell r="G354">
            <v>1.2E-2</v>
          </cell>
          <cell r="H354">
            <v>6600</v>
          </cell>
          <cell r="I354">
            <v>0</v>
          </cell>
          <cell r="J354">
            <v>0</v>
          </cell>
          <cell r="K354">
            <v>1.2</v>
          </cell>
          <cell r="L354">
            <v>660000</v>
          </cell>
          <cell r="M354">
            <v>1.2</v>
          </cell>
          <cell r="N354">
            <v>660000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5">
          <cell r="A355">
            <v>6</v>
          </cell>
          <cell r="B355" t="str">
            <v>Plat besi t = 2 mm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</row>
        <row r="356">
          <cell r="A356">
            <v>7</v>
          </cell>
          <cell r="B356" t="str">
            <v>C 40.40.2  (pesan khusus)</v>
          </cell>
          <cell r="C356" t="str">
            <v>Kg</v>
          </cell>
          <cell r="D356">
            <v>14122.3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</row>
        <row r="357">
          <cell r="A357">
            <v>8</v>
          </cell>
          <cell r="B357" t="str">
            <v>Handle besi dia 16 mm</v>
          </cell>
          <cell r="C357" t="str">
            <v>Set</v>
          </cell>
          <cell r="D357">
            <v>129652.5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8">
          <cell r="A358">
            <v>9</v>
          </cell>
          <cell r="B358" t="str">
            <v>Hendle pintu Stainless</v>
          </cell>
          <cell r="C358" t="str">
            <v>Set</v>
          </cell>
          <cell r="D358">
            <v>261652.5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</v>
          </cell>
          <cell r="J358">
            <v>523305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</row>
        <row r="359">
          <cell r="A359">
            <v>10</v>
          </cell>
          <cell r="B359" t="str">
            <v>Kunci Pintu Handle stainleess (dorma)</v>
          </cell>
          <cell r="C359" t="str">
            <v>Set</v>
          </cell>
          <cell r="D359">
            <v>650000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</row>
        <row r="360">
          <cell r="A360">
            <v>11</v>
          </cell>
          <cell r="B360" t="str">
            <v>Kunci tanam Antik</v>
          </cell>
          <cell r="C360" t="str">
            <v>Set</v>
          </cell>
          <cell r="D360">
            <v>265000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</row>
        <row r="361">
          <cell r="A361">
            <v>12</v>
          </cell>
          <cell r="B361" t="str">
            <v>Kunci tanam biasa</v>
          </cell>
          <cell r="C361" t="str">
            <v>Set</v>
          </cell>
          <cell r="D361">
            <v>168565</v>
          </cell>
          <cell r="E361">
            <v>1</v>
          </cell>
          <cell r="F361">
            <v>168565</v>
          </cell>
          <cell r="G361">
            <v>1</v>
          </cell>
          <cell r="H361">
            <v>168565</v>
          </cell>
          <cell r="I361">
            <v>0</v>
          </cell>
          <cell r="J361">
            <v>0</v>
          </cell>
          <cell r="K361">
            <v>1</v>
          </cell>
          <cell r="L361">
            <v>168565</v>
          </cell>
          <cell r="M361">
            <v>1</v>
          </cell>
          <cell r="N361">
            <v>168565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2">
          <cell r="A362">
            <v>13</v>
          </cell>
          <cell r="B362" t="str">
            <v>Kunci Silinder</v>
          </cell>
          <cell r="C362" t="str">
            <v>Set</v>
          </cell>
          <cell r="D362">
            <v>217900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</row>
        <row r="363">
          <cell r="A363">
            <v>14</v>
          </cell>
          <cell r="B363" t="str">
            <v>Kunci Selot</v>
          </cell>
          <cell r="C363" t="str">
            <v>Set</v>
          </cell>
          <cell r="D363">
            <v>48300</v>
          </cell>
          <cell r="E363">
            <v>1</v>
          </cell>
          <cell r="F363">
            <v>48300</v>
          </cell>
          <cell r="G363">
            <v>1</v>
          </cell>
          <cell r="H363">
            <v>48300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48300</v>
          </cell>
          <cell r="Q363">
            <v>1</v>
          </cell>
          <cell r="R363">
            <v>48300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</row>
        <row r="364">
          <cell r="A364">
            <v>15</v>
          </cell>
          <cell r="B364" t="str">
            <v>Engsel jendela</v>
          </cell>
          <cell r="C364" t="str">
            <v>Bh</v>
          </cell>
          <cell r="D364">
            <v>16600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</v>
          </cell>
          <cell r="T364">
            <v>66400</v>
          </cell>
          <cell r="U364">
            <v>4</v>
          </cell>
          <cell r="V364">
            <v>66400</v>
          </cell>
          <cell r="W364">
            <v>0</v>
          </cell>
          <cell r="X364">
            <v>0</v>
          </cell>
          <cell r="Y364">
            <v>2</v>
          </cell>
          <cell r="Z364">
            <v>33200</v>
          </cell>
          <cell r="AA364">
            <v>2</v>
          </cell>
          <cell r="AB364">
            <v>33200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</row>
        <row r="365">
          <cell r="A365">
            <v>16</v>
          </cell>
          <cell r="B365" t="str">
            <v>Engsel pintu</v>
          </cell>
          <cell r="C365" t="str">
            <v>Bh</v>
          </cell>
          <cell r="D365">
            <v>44395.75</v>
          </cell>
          <cell r="E365">
            <v>2</v>
          </cell>
          <cell r="F365">
            <v>88791.5</v>
          </cell>
          <cell r="G365">
            <v>2</v>
          </cell>
          <cell r="H365">
            <v>88791.5</v>
          </cell>
          <cell r="I365">
            <v>4</v>
          </cell>
          <cell r="J365">
            <v>177583</v>
          </cell>
          <cell r="K365">
            <v>3</v>
          </cell>
          <cell r="L365">
            <v>133187.25</v>
          </cell>
          <cell r="M365">
            <v>3</v>
          </cell>
          <cell r="N365">
            <v>133187.25</v>
          </cell>
          <cell r="O365">
            <v>2</v>
          </cell>
          <cell r="P365">
            <v>88791.5</v>
          </cell>
          <cell r="Q365">
            <v>2</v>
          </cell>
          <cell r="R365">
            <v>88791.5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6">
          <cell r="A366">
            <v>17</v>
          </cell>
          <cell r="B366" t="str">
            <v>Engsel Pintu dari pipa besi dia 2 cm</v>
          </cell>
          <cell r="C366" t="str">
            <v>Bh</v>
          </cell>
          <cell r="D366">
            <v>66593.625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</row>
        <row r="367">
          <cell r="A367">
            <v>18</v>
          </cell>
          <cell r="B367" t="str">
            <v>Kait/hak angin</v>
          </cell>
          <cell r="C367" t="str">
            <v>Set</v>
          </cell>
          <cell r="D367">
            <v>27000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</v>
          </cell>
          <cell r="T367">
            <v>162000</v>
          </cell>
          <cell r="U367">
            <v>6</v>
          </cell>
          <cell r="V367">
            <v>162000</v>
          </cell>
          <cell r="W367">
            <v>0</v>
          </cell>
          <cell r="X367">
            <v>0</v>
          </cell>
          <cell r="Y367">
            <v>2</v>
          </cell>
          <cell r="Z367">
            <v>54000</v>
          </cell>
          <cell r="AA367">
            <v>2</v>
          </cell>
          <cell r="AB367">
            <v>54000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</row>
        <row r="368">
          <cell r="A368">
            <v>19</v>
          </cell>
          <cell r="B368" t="str">
            <v>Grendel pintu kuningan</v>
          </cell>
          <cell r="C368" t="str">
            <v>Bh</v>
          </cell>
          <cell r="D368">
            <v>125000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69">
          <cell r="A369">
            <v>20</v>
          </cell>
          <cell r="B369" t="str">
            <v xml:space="preserve">Grendel jendela </v>
          </cell>
          <cell r="C369" t="str">
            <v>Bh</v>
          </cell>
          <cell r="D369">
            <v>8100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3</v>
          </cell>
          <cell r="T369">
            <v>24300</v>
          </cell>
          <cell r="U369">
            <v>3</v>
          </cell>
          <cell r="V369">
            <v>24300</v>
          </cell>
          <cell r="W369">
            <v>0</v>
          </cell>
          <cell r="X369">
            <v>0</v>
          </cell>
          <cell r="Y369">
            <v>1</v>
          </cell>
          <cell r="Z369">
            <v>8100</v>
          </cell>
          <cell r="AA369">
            <v>1</v>
          </cell>
          <cell r="AB369">
            <v>8100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</row>
        <row r="370">
          <cell r="A370">
            <v>21</v>
          </cell>
          <cell r="B370" t="str">
            <v>Grendel pintu</v>
          </cell>
          <cell r="C370" t="str">
            <v>Bh</v>
          </cell>
          <cell r="D370">
            <v>14200</v>
          </cell>
          <cell r="E370">
            <v>1</v>
          </cell>
          <cell r="F370">
            <v>14200</v>
          </cell>
          <cell r="G370">
            <v>1</v>
          </cell>
          <cell r="H370">
            <v>14200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1</v>
          </cell>
          <cell r="P370">
            <v>14200</v>
          </cell>
          <cell r="Q370">
            <v>1</v>
          </cell>
          <cell r="R370">
            <v>14200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</row>
        <row r="371">
          <cell r="A371">
            <v>22</v>
          </cell>
          <cell r="B371" t="str">
            <v>Stripting Knip</v>
          </cell>
          <cell r="C371" t="str">
            <v>Set</v>
          </cell>
          <cell r="D371">
            <v>13700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</row>
        <row r="372">
          <cell r="A372">
            <v>23</v>
          </cell>
          <cell r="B372" t="str">
            <v>Door Closer</v>
          </cell>
          <cell r="C372" t="str">
            <v>Set</v>
          </cell>
          <cell r="D372">
            <v>260800</v>
          </cell>
          <cell r="E372">
            <v>1</v>
          </cell>
          <cell r="F372">
            <v>260800</v>
          </cell>
          <cell r="G372">
            <v>1</v>
          </cell>
          <cell r="H372">
            <v>260800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</row>
        <row r="373">
          <cell r="A373">
            <v>24</v>
          </cell>
          <cell r="B373" t="str">
            <v>Door Holder</v>
          </cell>
          <cell r="C373" t="str">
            <v>Set</v>
          </cell>
          <cell r="D373">
            <v>500000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</row>
        <row r="374">
          <cell r="A374">
            <v>25</v>
          </cell>
          <cell r="B374" t="str">
            <v>Door Stop</v>
          </cell>
          <cell r="C374" t="str">
            <v>Set</v>
          </cell>
          <cell r="D374">
            <v>32100</v>
          </cell>
          <cell r="E374">
            <v>1</v>
          </cell>
          <cell r="F374">
            <v>32100</v>
          </cell>
          <cell r="G374">
            <v>1</v>
          </cell>
          <cell r="H374">
            <v>32100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</row>
        <row r="375">
          <cell r="A375">
            <v>26</v>
          </cell>
          <cell r="B375" t="str">
            <v>Kaca bening 5 mm</v>
          </cell>
          <cell r="C375" t="str">
            <v>M2</v>
          </cell>
          <cell r="D375">
            <v>66700</v>
          </cell>
          <cell r="E375">
            <v>5.0399999999999993E-2</v>
          </cell>
          <cell r="F375">
            <v>3361.6799999999994</v>
          </cell>
          <cell r="G375">
            <v>5.0399999999999993E-2</v>
          </cell>
          <cell r="H375">
            <v>3361.6799999999994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0.25919999999999999</v>
          </cell>
          <cell r="T375">
            <v>17288.64</v>
          </cell>
          <cell r="U375">
            <v>0.25919999999999999</v>
          </cell>
          <cell r="V375">
            <v>17288.64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0.4</v>
          </cell>
          <cell r="AF375">
            <v>26680</v>
          </cell>
        </row>
        <row r="376">
          <cell r="A376">
            <v>27</v>
          </cell>
          <cell r="B376" t="str">
            <v>Kaca bening 10 mm</v>
          </cell>
          <cell r="C376" t="str">
            <v>M2</v>
          </cell>
          <cell r="D376">
            <v>280895.75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1.1326000000000001</v>
          </cell>
          <cell r="T376">
            <v>318142.52645</v>
          </cell>
          <cell r="U376">
            <v>1.1326000000000001</v>
          </cell>
          <cell r="V376">
            <v>318142.52645</v>
          </cell>
          <cell r="W376">
            <v>2.8839999999999999</v>
          </cell>
          <cell r="X376">
            <v>810103.34299999999</v>
          </cell>
          <cell r="Y376">
            <v>0.50749999999999995</v>
          </cell>
          <cell r="Z376">
            <v>142554.59312499998</v>
          </cell>
          <cell r="AA376">
            <v>0.33249999999999996</v>
          </cell>
          <cell r="AB376">
            <v>93397.836874999994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</row>
        <row r="377">
          <cell r="A377">
            <v>28</v>
          </cell>
          <cell r="B377" t="str">
            <v>Kaca Bening 12 mm</v>
          </cell>
          <cell r="C377" t="str">
            <v>M2</v>
          </cell>
          <cell r="D377">
            <v>403787.64062499994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</row>
        <row r="378">
          <cell r="A378">
            <v>29</v>
          </cell>
          <cell r="B378" t="str">
            <v>Besi hollow 4/4</v>
          </cell>
          <cell r="C378" t="str">
            <v>M'</v>
          </cell>
          <cell r="D378">
            <v>48625.000000000051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</row>
        <row r="379">
          <cell r="A379">
            <v>30</v>
          </cell>
          <cell r="B379" t="str">
            <v>Besi hollow 6/6</v>
          </cell>
          <cell r="C379" t="str">
            <v>M'</v>
          </cell>
          <cell r="D379">
            <v>74462.500000000058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</row>
        <row r="380">
          <cell r="A380">
            <v>31</v>
          </cell>
          <cell r="B380" t="str">
            <v>Besi hollow 2.5/5</v>
          </cell>
          <cell r="C380" t="str">
            <v>Kg</v>
          </cell>
          <cell r="D380">
            <v>74462.500000000058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</row>
        <row r="381">
          <cell r="A381">
            <v>32</v>
          </cell>
          <cell r="B381" t="str">
            <v>Besi hollow 5/5</v>
          </cell>
          <cell r="C381" t="str">
            <v>Kg</v>
          </cell>
          <cell r="D381">
            <v>74462.500000000058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A382">
            <v>33</v>
          </cell>
          <cell r="B382" t="str">
            <v>Besi hollow 2/2</v>
          </cell>
          <cell r="C382" t="str">
            <v>Kg</v>
          </cell>
          <cell r="D382">
            <v>74462.500000000058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</row>
        <row r="383">
          <cell r="A383">
            <v>34</v>
          </cell>
          <cell r="B383" t="str">
            <v>Besi hollow 2/4</v>
          </cell>
          <cell r="C383" t="str">
            <v>Kg</v>
          </cell>
          <cell r="D383">
            <v>74462.500000000058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</row>
        <row r="384">
          <cell r="A384">
            <v>35</v>
          </cell>
          <cell r="B384" t="str">
            <v>Kaca Tempered 12 mm</v>
          </cell>
          <cell r="C384" t="str">
            <v>M2</v>
          </cell>
          <cell r="D384">
            <v>528395.75</v>
          </cell>
          <cell r="E384">
            <v>4.3049999999999997</v>
          </cell>
          <cell r="F384">
            <v>2274743.7037499999</v>
          </cell>
          <cell r="G384">
            <v>4.3049999999999997</v>
          </cell>
          <cell r="H384">
            <v>2274743.7037499999</v>
          </cell>
          <cell r="I384">
            <v>4.3049999999999997</v>
          </cell>
          <cell r="J384">
            <v>2274743.7037499999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A385">
            <v>36</v>
          </cell>
          <cell r="B385" t="str">
            <v>Glass Block</v>
          </cell>
          <cell r="C385" t="str">
            <v>Bh</v>
          </cell>
          <cell r="D385">
            <v>45000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</row>
        <row r="386">
          <cell r="A386">
            <v>37</v>
          </cell>
          <cell r="B386" t="str">
            <v>Kaca Es</v>
          </cell>
          <cell r="C386" t="str">
            <v>M2</v>
          </cell>
          <cell r="D386">
            <v>66700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0.4</v>
          </cell>
          <cell r="AD386">
            <v>26680</v>
          </cell>
          <cell r="AE386">
            <v>0</v>
          </cell>
          <cell r="AF386">
            <v>0</v>
          </cell>
        </row>
        <row r="387">
          <cell r="A387">
            <v>38</v>
          </cell>
          <cell r="B387" t="str">
            <v>Krepyak Kaca Nako + Kerangka</v>
          </cell>
          <cell r="C387" t="str">
            <v>M2</v>
          </cell>
          <cell r="D387">
            <v>81300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</row>
        <row r="388">
          <cell r="A388">
            <v>39</v>
          </cell>
          <cell r="B388" t="str">
            <v>Sticker Efek Kaca Es</v>
          </cell>
          <cell r="C388" t="str">
            <v>M2</v>
          </cell>
          <cell r="D388">
            <v>150000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</row>
        <row r="389">
          <cell r="A389">
            <v>40</v>
          </cell>
          <cell r="B389" t="str">
            <v>Rel Pintu Dorong</v>
          </cell>
          <cell r="C389" t="str">
            <v>M'</v>
          </cell>
          <cell r="D389">
            <v>275000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</row>
        <row r="390">
          <cell r="A390">
            <v>41</v>
          </cell>
          <cell r="B390" t="str">
            <v>Rolling Door</v>
          </cell>
          <cell r="C390" t="str">
            <v>M2</v>
          </cell>
          <cell r="D390">
            <v>358100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</row>
        <row r="391">
          <cell r="A391">
            <v>42</v>
          </cell>
          <cell r="B391" t="str">
            <v>Roster</v>
          </cell>
          <cell r="C391" t="str">
            <v>M2</v>
          </cell>
          <cell r="D391">
            <v>133850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</row>
        <row r="392">
          <cell r="A392">
            <v>43</v>
          </cell>
          <cell r="B392" t="str">
            <v>Gipsum Board</v>
          </cell>
          <cell r="C392" t="str">
            <v>M2</v>
          </cell>
          <cell r="D392">
            <v>29000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</row>
        <row r="393">
          <cell r="A393">
            <v>44</v>
          </cell>
          <cell r="B393" t="str">
            <v>List Gipsum</v>
          </cell>
          <cell r="C393" t="str">
            <v>M'</v>
          </cell>
          <cell r="D393">
            <v>17300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</row>
        <row r="394">
          <cell r="A394">
            <v>45</v>
          </cell>
          <cell r="B394" t="str">
            <v>Sealent</v>
          </cell>
          <cell r="C394" t="str">
            <v>M'</v>
          </cell>
          <cell r="D394">
            <v>8400</v>
          </cell>
          <cell r="E394">
            <v>2.16</v>
          </cell>
          <cell r="F394">
            <v>18144</v>
          </cell>
          <cell r="G394">
            <v>2.16</v>
          </cell>
          <cell r="H394">
            <v>18144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18.080000000000002</v>
          </cell>
          <cell r="T394">
            <v>151872.00000000003</v>
          </cell>
          <cell r="U394">
            <v>18.080000000000002</v>
          </cell>
          <cell r="V394">
            <v>151872.00000000003</v>
          </cell>
          <cell r="W394">
            <v>19.439999999999998</v>
          </cell>
          <cell r="X394">
            <v>163295.99999999997</v>
          </cell>
          <cell r="Y394">
            <v>7.1999999999999993</v>
          </cell>
          <cell r="Z394">
            <v>60479.999999999993</v>
          </cell>
          <cell r="AA394">
            <v>5.1999999999999993</v>
          </cell>
          <cell r="AB394">
            <v>43679.999999999993</v>
          </cell>
          <cell r="AC394">
            <v>7.1999999999999993</v>
          </cell>
          <cell r="AD394">
            <v>60479.999999999993</v>
          </cell>
          <cell r="AE394">
            <v>7.1999999999999993</v>
          </cell>
          <cell r="AF394">
            <v>60479.999999999993</v>
          </cell>
        </row>
        <row r="395">
          <cell r="A395">
            <v>46</v>
          </cell>
          <cell r="B395" t="str">
            <v>Benangan Kusen</v>
          </cell>
          <cell r="C395" t="str">
            <v>M'</v>
          </cell>
          <cell r="D395">
            <v>4296.0074999999997</v>
          </cell>
          <cell r="E395">
            <v>9.8000000000000007</v>
          </cell>
          <cell r="F395">
            <v>42100.873500000002</v>
          </cell>
          <cell r="G395">
            <v>9.8000000000000007</v>
          </cell>
          <cell r="H395">
            <v>42100.873500000002</v>
          </cell>
          <cell r="I395">
            <v>6.1999999999999993</v>
          </cell>
          <cell r="J395">
            <v>26635.246499999994</v>
          </cell>
          <cell r="K395">
            <v>5.7839999999999998</v>
          </cell>
          <cell r="L395">
            <v>24848.107379999998</v>
          </cell>
          <cell r="M395">
            <v>5.7839999999999998</v>
          </cell>
          <cell r="N395">
            <v>24848.107379999998</v>
          </cell>
          <cell r="O395">
            <v>7.6</v>
          </cell>
          <cell r="P395">
            <v>32649.656999999996</v>
          </cell>
          <cell r="Q395">
            <v>7.6</v>
          </cell>
          <cell r="R395">
            <v>32649.656999999996</v>
          </cell>
          <cell r="S395">
            <v>13.600000000000001</v>
          </cell>
          <cell r="T395">
            <v>58425.702000000005</v>
          </cell>
          <cell r="U395">
            <v>13.600000000000001</v>
          </cell>
          <cell r="V395">
            <v>58425.702000000005</v>
          </cell>
          <cell r="W395">
            <v>10.120000000000001</v>
          </cell>
          <cell r="X395">
            <v>43475.5959</v>
          </cell>
          <cell r="Y395">
            <v>9.1999999999999993</v>
          </cell>
          <cell r="Z395">
            <v>39523.268999999993</v>
          </cell>
          <cell r="AA395">
            <v>7.1999999999999993</v>
          </cell>
          <cell r="AB395">
            <v>30931.253999999994</v>
          </cell>
          <cell r="AC395">
            <v>16</v>
          </cell>
          <cell r="AD395">
            <v>68736.12</v>
          </cell>
          <cell r="AE395">
            <v>16</v>
          </cell>
          <cell r="AF395">
            <v>68736.12</v>
          </cell>
        </row>
        <row r="396">
          <cell r="A396">
            <v>47</v>
          </cell>
          <cell r="B396" t="str">
            <v xml:space="preserve">Cat Kayu </v>
          </cell>
          <cell r="C396" t="str">
            <v>M2</v>
          </cell>
          <cell r="D396">
            <v>19370.5</v>
          </cell>
          <cell r="E396">
            <v>3.2720000000000002</v>
          </cell>
          <cell r="F396">
            <v>63380.276000000005</v>
          </cell>
          <cell r="G396">
            <v>3.2720000000000002</v>
          </cell>
          <cell r="H396">
            <v>63380.276000000005</v>
          </cell>
          <cell r="I396">
            <v>0</v>
          </cell>
          <cell r="J396">
            <v>0</v>
          </cell>
          <cell r="K396">
            <v>4.0991999999999997</v>
          </cell>
          <cell r="L396">
            <v>79403.553599999999</v>
          </cell>
          <cell r="M396">
            <v>4.0991999999999997</v>
          </cell>
          <cell r="N396">
            <v>79403.553599999999</v>
          </cell>
          <cell r="O396">
            <v>1.3960000000000001</v>
          </cell>
          <cell r="P396">
            <v>27041.218000000001</v>
          </cell>
          <cell r="Q396">
            <v>1.3960000000000001</v>
          </cell>
          <cell r="R396">
            <v>27041.218000000001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</row>
        <row r="397">
          <cell r="A397">
            <v>48</v>
          </cell>
          <cell r="B397" t="str">
            <v>Cat Besi</v>
          </cell>
          <cell r="C397" t="str">
            <v>M2</v>
          </cell>
          <cell r="D397">
            <v>13698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</row>
        <row r="398">
          <cell r="A398">
            <v>49</v>
          </cell>
          <cell r="B398" t="str">
            <v>Cat Dinding</v>
          </cell>
          <cell r="C398" t="str">
            <v>M2</v>
          </cell>
          <cell r="D398">
            <v>9900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</row>
        <row r="399">
          <cell r="A399">
            <v>50</v>
          </cell>
          <cell r="B399" t="str">
            <v>Plesteran Camprot</v>
          </cell>
          <cell r="C399" t="str">
            <v>M2</v>
          </cell>
          <cell r="D399">
            <v>14600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</row>
        <row r="401">
          <cell r="B401" t="str">
            <v>Jumlah Harga</v>
          </cell>
          <cell r="F401">
            <v>3021087.0332500003</v>
          </cell>
          <cell r="H401">
            <v>3021087.0332500003</v>
          </cell>
          <cell r="J401">
            <v>3776944.5502499999</v>
          </cell>
          <cell r="L401">
            <v>1690743.9109799999</v>
          </cell>
          <cell r="N401">
            <v>1690743.9109799999</v>
          </cell>
          <cell r="P401">
            <v>210982.375</v>
          </cell>
          <cell r="R401">
            <v>210982.375</v>
          </cell>
          <cell r="T401">
            <v>1835497.2684499999</v>
          </cell>
          <cell r="V401">
            <v>1835497.2684499999</v>
          </cell>
          <cell r="X401">
            <v>1016874.9389</v>
          </cell>
          <cell r="Z401">
            <v>862639.46212499996</v>
          </cell>
          <cell r="AB401">
            <v>663142.69087499997</v>
          </cell>
          <cell r="AD401">
            <v>155896.12</v>
          </cell>
          <cell r="AF401">
            <v>155896.12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</row>
        <row r="402">
          <cell r="L402" t="str">
            <v>P3A ASR = P4 SD</v>
          </cell>
        </row>
        <row r="405">
          <cell r="A405" t="str">
            <v>No.</v>
          </cell>
          <cell r="B405" t="str">
            <v>Item Pekerjaan</v>
          </cell>
          <cell r="C405" t="str">
            <v>Satuan</v>
          </cell>
          <cell r="D405" t="str">
            <v>Harga Satuan</v>
          </cell>
          <cell r="E405" t="str">
            <v>P1</v>
          </cell>
          <cell r="G405" t="str">
            <v>P2</v>
          </cell>
          <cell r="I405" t="str">
            <v>P3</v>
          </cell>
          <cell r="K405" t="str">
            <v>P4</v>
          </cell>
          <cell r="M405" t="str">
            <v>J1</v>
          </cell>
          <cell r="O405" t="str">
            <v>BV1</v>
          </cell>
          <cell r="Q405" t="str">
            <v>R2B</v>
          </cell>
          <cell r="S405" t="str">
            <v>R2A</v>
          </cell>
          <cell r="U405" t="str">
            <v>R1</v>
          </cell>
        </row>
        <row r="406">
          <cell r="D406" t="str">
            <v>Rp.</v>
          </cell>
          <cell r="E406" t="str">
            <v>Vol.</v>
          </cell>
          <cell r="F406" t="str">
            <v>Jumlah Harga</v>
          </cell>
          <cell r="G406" t="str">
            <v>Vol.</v>
          </cell>
          <cell r="H406" t="str">
            <v>Jumlah Harga</v>
          </cell>
          <cell r="I406" t="str">
            <v>Vol.</v>
          </cell>
          <cell r="J406" t="str">
            <v>Jumlah Harga</v>
          </cell>
          <cell r="K406" t="str">
            <v>Vol.</v>
          </cell>
          <cell r="L406" t="str">
            <v>Jumlah Harga</v>
          </cell>
          <cell r="M406" t="str">
            <v>Vol.</v>
          </cell>
          <cell r="N406" t="str">
            <v>Jumlah Harga</v>
          </cell>
          <cell r="O406" t="str">
            <v>Vol.</v>
          </cell>
          <cell r="P406" t="str">
            <v>Jumlah Harga</v>
          </cell>
          <cell r="Q406" t="str">
            <v>Vol.</v>
          </cell>
          <cell r="R406" t="str">
            <v>Jumlah Harga</v>
          </cell>
          <cell r="S406" t="str">
            <v>Vol.</v>
          </cell>
          <cell r="T406" t="str">
            <v>Jumlah Harga</v>
          </cell>
          <cell r="U406" t="str">
            <v>Vol.</v>
          </cell>
          <cell r="V406" t="str">
            <v>Jumlah Harga</v>
          </cell>
        </row>
        <row r="407">
          <cell r="A407" t="str">
            <v>VII.</v>
          </cell>
          <cell r="B407" t="str">
            <v>UNIT BANGUNAN GSG</v>
          </cell>
        </row>
        <row r="409">
          <cell r="A409">
            <v>1</v>
          </cell>
          <cell r="B409" t="str">
            <v>Kayu 6/12</v>
          </cell>
          <cell r="C409" t="str">
            <v>M3</v>
          </cell>
          <cell r="D409">
            <v>0</v>
          </cell>
          <cell r="E409">
            <v>1.0200000000000001E-2</v>
          </cell>
          <cell r="F409">
            <v>0</v>
          </cell>
          <cell r="G409">
            <v>1.12E-2</v>
          </cell>
          <cell r="H409">
            <v>0</v>
          </cell>
          <cell r="I409">
            <v>3.6144000000000003E-2</v>
          </cell>
          <cell r="J409">
            <v>0</v>
          </cell>
          <cell r="K409">
            <v>5.2800000000000007E-2</v>
          </cell>
          <cell r="L409">
            <v>0</v>
          </cell>
          <cell r="N409">
            <v>0</v>
          </cell>
          <cell r="P409">
            <v>0</v>
          </cell>
          <cell r="R409">
            <v>0</v>
          </cell>
          <cell r="T409">
            <v>0</v>
          </cell>
          <cell r="V409">
            <v>0</v>
          </cell>
        </row>
        <row r="410">
          <cell r="A410">
            <v>2</v>
          </cell>
          <cell r="B410" t="str">
            <v>Kayu Slimar 3/10</v>
          </cell>
          <cell r="C410" t="str">
            <v>M3</v>
          </cell>
          <cell r="D410">
            <v>0</v>
          </cell>
          <cell r="E410">
            <v>5.1200000000000002E-2</v>
          </cell>
          <cell r="F410">
            <v>0</v>
          </cell>
          <cell r="G410">
            <v>3.2000000000000002E-3</v>
          </cell>
          <cell r="H410">
            <v>0</v>
          </cell>
          <cell r="I410">
            <v>1.4159999999999999E-2</v>
          </cell>
          <cell r="J410">
            <v>0</v>
          </cell>
          <cell r="K410">
            <v>1.4400000000000001E-2</v>
          </cell>
          <cell r="L410">
            <v>0</v>
          </cell>
          <cell r="N410">
            <v>0</v>
          </cell>
          <cell r="P410">
            <v>0</v>
          </cell>
          <cell r="R410">
            <v>0</v>
          </cell>
          <cell r="T410">
            <v>0</v>
          </cell>
          <cell r="V410">
            <v>0</v>
          </cell>
        </row>
        <row r="411">
          <cell r="A411">
            <v>3</v>
          </cell>
          <cell r="B411" t="str">
            <v>Kayu Slimar 3/15</v>
          </cell>
          <cell r="C411" t="str">
            <v>M3</v>
          </cell>
          <cell r="D411">
            <v>0</v>
          </cell>
          <cell r="E411">
            <v>13.84</v>
          </cell>
          <cell r="F411">
            <v>0</v>
          </cell>
          <cell r="G411">
            <v>3.2</v>
          </cell>
          <cell r="H411">
            <v>0</v>
          </cell>
          <cell r="I411">
            <v>2.6999999999999997E-3</v>
          </cell>
          <cell r="J411">
            <v>0</v>
          </cell>
          <cell r="L411">
            <v>0</v>
          </cell>
          <cell r="N411">
            <v>0</v>
          </cell>
          <cell r="P411">
            <v>0</v>
          </cell>
          <cell r="R411">
            <v>0</v>
          </cell>
          <cell r="T411">
            <v>0</v>
          </cell>
          <cell r="V411">
            <v>0</v>
          </cell>
        </row>
        <row r="412">
          <cell r="A412">
            <v>4</v>
          </cell>
          <cell r="B412" t="str">
            <v>Kayu Slimar 3/20</v>
          </cell>
          <cell r="C412" t="str">
            <v>M3</v>
          </cell>
          <cell r="D412">
            <v>0</v>
          </cell>
          <cell r="E412">
            <v>7.99</v>
          </cell>
          <cell r="F412">
            <v>0</v>
          </cell>
          <cell r="G412">
            <v>3.2</v>
          </cell>
          <cell r="H412">
            <v>0</v>
          </cell>
          <cell r="I412">
            <v>3.5999999999999999E-3</v>
          </cell>
          <cell r="J412">
            <v>0</v>
          </cell>
          <cell r="K412">
            <v>17.28</v>
          </cell>
          <cell r="L412">
            <v>0</v>
          </cell>
          <cell r="N412">
            <v>0</v>
          </cell>
          <cell r="P412">
            <v>0</v>
          </cell>
          <cell r="R412">
            <v>0</v>
          </cell>
          <cell r="T412">
            <v>0</v>
          </cell>
          <cell r="V412">
            <v>0</v>
          </cell>
        </row>
        <row r="413">
          <cell r="A413">
            <v>5</v>
          </cell>
          <cell r="B413" t="str">
            <v>Kayu 2/10</v>
          </cell>
          <cell r="C413" t="str">
            <v>M3</v>
          </cell>
          <cell r="D413">
            <v>0</v>
          </cell>
          <cell r="E413">
            <v>6.6</v>
          </cell>
          <cell r="F413">
            <v>0</v>
          </cell>
          <cell r="G413">
            <v>5</v>
          </cell>
          <cell r="H413">
            <v>0</v>
          </cell>
          <cell r="I413">
            <v>5.4000000000000012E-3</v>
          </cell>
          <cell r="J413">
            <v>0</v>
          </cell>
          <cell r="L413">
            <v>0</v>
          </cell>
          <cell r="M413">
            <v>4.92</v>
          </cell>
          <cell r="N413">
            <v>0</v>
          </cell>
          <cell r="O413">
            <v>2.2000000000000002</v>
          </cell>
          <cell r="P413">
            <v>0</v>
          </cell>
          <cell r="R413">
            <v>0</v>
          </cell>
          <cell r="T413">
            <v>0</v>
          </cell>
          <cell r="V413">
            <v>0</v>
          </cell>
        </row>
        <row r="414">
          <cell r="A414">
            <v>6</v>
          </cell>
          <cell r="B414" t="str">
            <v>Panil t = 3 cm</v>
          </cell>
          <cell r="C414" t="str">
            <v>M2</v>
          </cell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0.49500000000000005</v>
          </cell>
          <cell r="J414">
            <v>0</v>
          </cell>
          <cell r="L414">
            <v>0</v>
          </cell>
          <cell r="N414">
            <v>0</v>
          </cell>
          <cell r="P414">
            <v>0</v>
          </cell>
          <cell r="R414">
            <v>0</v>
          </cell>
          <cell r="T414">
            <v>0</v>
          </cell>
          <cell r="V414">
            <v>0</v>
          </cell>
        </row>
        <row r="415">
          <cell r="A415">
            <v>1</v>
          </cell>
          <cell r="B415" t="str">
            <v>Kusen Aluminium 5/10</v>
          </cell>
          <cell r="C415" t="str">
            <v>M'</v>
          </cell>
          <cell r="D415">
            <v>124948</v>
          </cell>
          <cell r="F415">
            <v>0</v>
          </cell>
          <cell r="G415">
            <v>0</v>
          </cell>
          <cell r="H415">
            <v>0</v>
          </cell>
          <cell r="I415">
            <v>5</v>
          </cell>
          <cell r="J415">
            <v>624740</v>
          </cell>
          <cell r="L415">
            <v>0</v>
          </cell>
          <cell r="N415">
            <v>0</v>
          </cell>
          <cell r="P415">
            <v>0</v>
          </cell>
          <cell r="R415">
            <v>0</v>
          </cell>
          <cell r="T415">
            <v>0</v>
          </cell>
          <cell r="V415">
            <v>0</v>
          </cell>
        </row>
        <row r="416">
          <cell r="A416">
            <v>2</v>
          </cell>
          <cell r="B416" t="str">
            <v xml:space="preserve">Rangka Daun Jendela Alumunium </v>
          </cell>
          <cell r="C416" t="str">
            <v>M'</v>
          </cell>
          <cell r="D416">
            <v>124948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L416">
            <v>0</v>
          </cell>
          <cell r="N416">
            <v>0</v>
          </cell>
          <cell r="P416">
            <v>0</v>
          </cell>
          <cell r="R416">
            <v>0</v>
          </cell>
          <cell r="T416">
            <v>0</v>
          </cell>
          <cell r="V416">
            <v>0</v>
          </cell>
        </row>
        <row r="417">
          <cell r="A417">
            <v>3</v>
          </cell>
          <cell r="B417" t="str">
            <v>Rangka Tiang Sirip Alumunium 1/1 Putih</v>
          </cell>
          <cell r="C417" t="str">
            <v>M'</v>
          </cell>
          <cell r="D417">
            <v>62474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L417">
            <v>0</v>
          </cell>
          <cell r="N417">
            <v>0</v>
          </cell>
          <cell r="P417">
            <v>0</v>
          </cell>
          <cell r="R417">
            <v>0</v>
          </cell>
          <cell r="T417">
            <v>0</v>
          </cell>
          <cell r="V417">
            <v>0</v>
          </cell>
        </row>
        <row r="418">
          <cell r="A418">
            <v>4</v>
          </cell>
          <cell r="B418" t="str">
            <v>Pasang Shading Sirip Alumunium 0.2/10 +Rangka</v>
          </cell>
          <cell r="C418" t="str">
            <v>M2</v>
          </cell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L418">
            <v>0</v>
          </cell>
          <cell r="N418">
            <v>0</v>
          </cell>
          <cell r="P418">
            <v>0</v>
          </cell>
          <cell r="R418">
            <v>0</v>
          </cell>
          <cell r="T418">
            <v>0</v>
          </cell>
          <cell r="V418">
            <v>0</v>
          </cell>
        </row>
        <row r="419">
          <cell r="A419">
            <v>5</v>
          </cell>
          <cell r="B419" t="str">
            <v>Daun Pintu Panil Kamper</v>
          </cell>
          <cell r="C419" t="str">
            <v>bh</v>
          </cell>
          <cell r="D419">
            <v>550000</v>
          </cell>
          <cell r="F419">
            <v>0</v>
          </cell>
          <cell r="G419">
            <v>1.2E-2</v>
          </cell>
          <cell r="H419">
            <v>6600</v>
          </cell>
          <cell r="I419">
            <v>1.2</v>
          </cell>
          <cell r="J419">
            <v>660000</v>
          </cell>
          <cell r="L419">
            <v>0</v>
          </cell>
          <cell r="N419">
            <v>0</v>
          </cell>
          <cell r="P419">
            <v>0</v>
          </cell>
          <cell r="R419">
            <v>0</v>
          </cell>
          <cell r="T419">
            <v>0</v>
          </cell>
          <cell r="V419">
            <v>0</v>
          </cell>
        </row>
        <row r="420">
          <cell r="A420">
            <v>6</v>
          </cell>
          <cell r="B420" t="str">
            <v>Plat besi t = 2 mm</v>
          </cell>
          <cell r="C420" t="str">
            <v>Kg</v>
          </cell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L420">
            <v>0</v>
          </cell>
          <cell r="N420">
            <v>0</v>
          </cell>
          <cell r="P420">
            <v>0</v>
          </cell>
          <cell r="R420">
            <v>0</v>
          </cell>
          <cell r="T420">
            <v>0</v>
          </cell>
          <cell r="V420">
            <v>0</v>
          </cell>
        </row>
        <row r="421">
          <cell r="A421">
            <v>7</v>
          </cell>
          <cell r="B421" t="str">
            <v>C 40.40.2  (pesan khusus)</v>
          </cell>
          <cell r="C421" t="str">
            <v>Kg</v>
          </cell>
          <cell r="D421">
            <v>14122.3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L421">
            <v>0</v>
          </cell>
          <cell r="N421">
            <v>0</v>
          </cell>
          <cell r="P421">
            <v>0</v>
          </cell>
          <cell r="R421">
            <v>0</v>
          </cell>
          <cell r="T421">
            <v>0</v>
          </cell>
          <cell r="V421">
            <v>0</v>
          </cell>
        </row>
        <row r="422">
          <cell r="A422">
            <v>8</v>
          </cell>
          <cell r="B422" t="str">
            <v>Handle besi dia 16 mm</v>
          </cell>
          <cell r="C422" t="str">
            <v>Set</v>
          </cell>
          <cell r="D422">
            <v>129652.5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L422">
            <v>0</v>
          </cell>
          <cell r="N422">
            <v>0</v>
          </cell>
          <cell r="P422">
            <v>0</v>
          </cell>
          <cell r="R422">
            <v>0</v>
          </cell>
          <cell r="T422">
            <v>0</v>
          </cell>
          <cell r="V422">
            <v>0</v>
          </cell>
        </row>
        <row r="423">
          <cell r="A423">
            <v>9</v>
          </cell>
          <cell r="B423" t="str">
            <v>Hendle pintu Stainless</v>
          </cell>
          <cell r="C423" t="str">
            <v>Set</v>
          </cell>
          <cell r="D423">
            <v>261652.5</v>
          </cell>
          <cell r="E423">
            <v>2</v>
          </cell>
          <cell r="F423">
            <v>523305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L423">
            <v>0</v>
          </cell>
          <cell r="N423">
            <v>0</v>
          </cell>
          <cell r="P423">
            <v>0</v>
          </cell>
          <cell r="R423">
            <v>0</v>
          </cell>
          <cell r="T423">
            <v>0</v>
          </cell>
          <cell r="V423">
            <v>0</v>
          </cell>
        </row>
        <row r="424">
          <cell r="A424">
            <v>10</v>
          </cell>
          <cell r="B424" t="str">
            <v>Kunci Pintu Handle stainleess (dorma)</v>
          </cell>
          <cell r="C424" t="str">
            <v>Set</v>
          </cell>
          <cell r="D424">
            <v>650000</v>
          </cell>
          <cell r="E424">
            <v>1</v>
          </cell>
          <cell r="F424">
            <v>650000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L424">
            <v>0</v>
          </cell>
          <cell r="N424">
            <v>0</v>
          </cell>
          <cell r="P424">
            <v>0</v>
          </cell>
          <cell r="R424">
            <v>0</v>
          </cell>
          <cell r="T424">
            <v>0</v>
          </cell>
          <cell r="V424">
            <v>0</v>
          </cell>
        </row>
        <row r="425">
          <cell r="A425">
            <v>11</v>
          </cell>
          <cell r="B425" t="str">
            <v>Kunci tanam Antik</v>
          </cell>
          <cell r="C425" t="str">
            <v>Set</v>
          </cell>
          <cell r="D425">
            <v>265000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L425">
            <v>0</v>
          </cell>
          <cell r="N425">
            <v>0</v>
          </cell>
          <cell r="P425">
            <v>0</v>
          </cell>
          <cell r="R425">
            <v>0</v>
          </cell>
          <cell r="T425">
            <v>0</v>
          </cell>
          <cell r="V425">
            <v>0</v>
          </cell>
        </row>
        <row r="426">
          <cell r="A426">
            <v>12</v>
          </cell>
          <cell r="B426" t="str">
            <v>Kunci tanam biasa</v>
          </cell>
          <cell r="C426" t="str">
            <v>Set</v>
          </cell>
          <cell r="D426">
            <v>168565</v>
          </cell>
          <cell r="E426">
            <v>2</v>
          </cell>
          <cell r="F426">
            <v>337130</v>
          </cell>
          <cell r="G426">
            <v>1</v>
          </cell>
          <cell r="H426">
            <v>168565</v>
          </cell>
          <cell r="I426">
            <v>1</v>
          </cell>
          <cell r="J426">
            <v>168565</v>
          </cell>
          <cell r="K426">
            <v>2</v>
          </cell>
          <cell r="L426">
            <v>337130</v>
          </cell>
          <cell r="N426">
            <v>0</v>
          </cell>
          <cell r="P426">
            <v>0</v>
          </cell>
          <cell r="R426">
            <v>0</v>
          </cell>
          <cell r="T426">
            <v>0</v>
          </cell>
          <cell r="V426">
            <v>0</v>
          </cell>
        </row>
        <row r="427">
          <cell r="A427">
            <v>13</v>
          </cell>
          <cell r="B427" t="str">
            <v>Kunci Silinder</v>
          </cell>
          <cell r="C427" t="str">
            <v>Set</v>
          </cell>
          <cell r="D427">
            <v>217900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L427">
            <v>0</v>
          </cell>
          <cell r="N427">
            <v>0</v>
          </cell>
          <cell r="P427">
            <v>0</v>
          </cell>
          <cell r="R427">
            <v>0</v>
          </cell>
          <cell r="T427">
            <v>0</v>
          </cell>
          <cell r="V427">
            <v>0</v>
          </cell>
        </row>
        <row r="428">
          <cell r="A428">
            <v>14</v>
          </cell>
          <cell r="B428" t="str">
            <v>Kunci Selot</v>
          </cell>
          <cell r="C428" t="str">
            <v>Set</v>
          </cell>
          <cell r="D428">
            <v>48300</v>
          </cell>
          <cell r="F428">
            <v>0</v>
          </cell>
          <cell r="G428">
            <v>1</v>
          </cell>
          <cell r="H428">
            <v>48300</v>
          </cell>
          <cell r="I428">
            <v>0</v>
          </cell>
          <cell r="J428">
            <v>0</v>
          </cell>
          <cell r="K428">
            <v>1</v>
          </cell>
          <cell r="L428">
            <v>48300</v>
          </cell>
          <cell r="N428">
            <v>0</v>
          </cell>
          <cell r="P428">
            <v>0</v>
          </cell>
          <cell r="R428">
            <v>0</v>
          </cell>
          <cell r="T428">
            <v>0</v>
          </cell>
          <cell r="V428">
            <v>0</v>
          </cell>
        </row>
        <row r="429">
          <cell r="A429">
            <v>15</v>
          </cell>
          <cell r="B429" t="str">
            <v>Engsel jendela</v>
          </cell>
          <cell r="C429" t="str">
            <v>Bh</v>
          </cell>
          <cell r="D429">
            <v>16600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L429">
            <v>0</v>
          </cell>
          <cell r="N429">
            <v>0</v>
          </cell>
          <cell r="P429">
            <v>0</v>
          </cell>
          <cell r="R429">
            <v>0</v>
          </cell>
          <cell r="T429">
            <v>0</v>
          </cell>
          <cell r="V429">
            <v>0</v>
          </cell>
        </row>
        <row r="430">
          <cell r="A430">
            <v>16</v>
          </cell>
          <cell r="B430" t="str">
            <v>Engsel pintu</v>
          </cell>
          <cell r="C430" t="str">
            <v>Bh</v>
          </cell>
          <cell r="D430">
            <v>44395.75</v>
          </cell>
          <cell r="E430">
            <v>4</v>
          </cell>
          <cell r="F430">
            <v>177583</v>
          </cell>
          <cell r="G430">
            <v>2</v>
          </cell>
          <cell r="H430">
            <v>88791.5</v>
          </cell>
          <cell r="I430">
            <v>3</v>
          </cell>
          <cell r="J430">
            <v>133187.25</v>
          </cell>
          <cell r="K430">
            <v>8</v>
          </cell>
          <cell r="L430">
            <v>355166</v>
          </cell>
          <cell r="N430">
            <v>0</v>
          </cell>
          <cell r="P430">
            <v>0</v>
          </cell>
          <cell r="R430">
            <v>0</v>
          </cell>
          <cell r="T430">
            <v>0</v>
          </cell>
          <cell r="V430">
            <v>0</v>
          </cell>
        </row>
        <row r="431">
          <cell r="A431">
            <v>17</v>
          </cell>
          <cell r="B431" t="str">
            <v>Engsel Pintu dari pipa besi dia 2 cm</v>
          </cell>
          <cell r="C431" t="str">
            <v>Bh</v>
          </cell>
          <cell r="D431">
            <v>66593.625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L431">
            <v>0</v>
          </cell>
          <cell r="N431">
            <v>0</v>
          </cell>
          <cell r="P431">
            <v>0</v>
          </cell>
          <cell r="R431">
            <v>0</v>
          </cell>
          <cell r="T431">
            <v>0</v>
          </cell>
          <cell r="V431">
            <v>0</v>
          </cell>
        </row>
        <row r="432">
          <cell r="A432">
            <v>18</v>
          </cell>
          <cell r="B432" t="str">
            <v>Kait/hak angin</v>
          </cell>
          <cell r="C432" t="str">
            <v>Set</v>
          </cell>
          <cell r="D432">
            <v>27000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L432">
            <v>0</v>
          </cell>
          <cell r="N432">
            <v>0</v>
          </cell>
          <cell r="P432">
            <v>0</v>
          </cell>
          <cell r="R432">
            <v>0</v>
          </cell>
          <cell r="T432">
            <v>0</v>
          </cell>
          <cell r="V432">
            <v>0</v>
          </cell>
        </row>
        <row r="433">
          <cell r="A433">
            <v>19</v>
          </cell>
          <cell r="B433" t="str">
            <v>Grendel pintu kuningan</v>
          </cell>
          <cell r="C433" t="str">
            <v>Bh</v>
          </cell>
          <cell r="D433">
            <v>125000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L433">
            <v>0</v>
          </cell>
          <cell r="N433">
            <v>0</v>
          </cell>
          <cell r="P433">
            <v>0</v>
          </cell>
          <cell r="R433">
            <v>0</v>
          </cell>
          <cell r="T433">
            <v>0</v>
          </cell>
          <cell r="V433">
            <v>0</v>
          </cell>
        </row>
        <row r="434">
          <cell r="A434">
            <v>20</v>
          </cell>
          <cell r="B434" t="str">
            <v xml:space="preserve">Grendel jendela </v>
          </cell>
          <cell r="C434" t="str">
            <v>Bh</v>
          </cell>
          <cell r="D434">
            <v>8100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L434">
            <v>0</v>
          </cell>
          <cell r="N434">
            <v>0</v>
          </cell>
          <cell r="P434">
            <v>0</v>
          </cell>
          <cell r="R434">
            <v>0</v>
          </cell>
          <cell r="T434">
            <v>0</v>
          </cell>
          <cell r="V434">
            <v>0</v>
          </cell>
        </row>
        <row r="435">
          <cell r="A435">
            <v>21</v>
          </cell>
          <cell r="B435" t="str">
            <v>Grendel pintu</v>
          </cell>
          <cell r="C435" t="str">
            <v>Bh</v>
          </cell>
          <cell r="D435">
            <v>14200</v>
          </cell>
          <cell r="E435">
            <v>2</v>
          </cell>
          <cell r="F435">
            <v>28400</v>
          </cell>
          <cell r="G435">
            <v>1</v>
          </cell>
          <cell r="H435">
            <v>14200</v>
          </cell>
          <cell r="I435">
            <v>0</v>
          </cell>
          <cell r="J435">
            <v>0</v>
          </cell>
          <cell r="K435">
            <v>2</v>
          </cell>
          <cell r="L435">
            <v>28400</v>
          </cell>
          <cell r="N435">
            <v>0</v>
          </cell>
          <cell r="P435">
            <v>0</v>
          </cell>
          <cell r="R435">
            <v>0</v>
          </cell>
          <cell r="T435">
            <v>0</v>
          </cell>
          <cell r="V435">
            <v>0</v>
          </cell>
        </row>
        <row r="436">
          <cell r="A436">
            <v>22</v>
          </cell>
          <cell r="B436" t="str">
            <v>Stripting Knip</v>
          </cell>
          <cell r="C436" t="str">
            <v>Set</v>
          </cell>
          <cell r="D436">
            <v>13700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L436">
            <v>0</v>
          </cell>
          <cell r="N436">
            <v>0</v>
          </cell>
          <cell r="P436">
            <v>0</v>
          </cell>
          <cell r="R436">
            <v>0</v>
          </cell>
          <cell r="T436">
            <v>0</v>
          </cell>
          <cell r="V436">
            <v>0</v>
          </cell>
        </row>
        <row r="437">
          <cell r="A437">
            <v>23</v>
          </cell>
          <cell r="B437" t="str">
            <v>Door Closer</v>
          </cell>
          <cell r="C437" t="str">
            <v>Set</v>
          </cell>
          <cell r="D437">
            <v>260800</v>
          </cell>
          <cell r="E437">
            <v>2</v>
          </cell>
          <cell r="F437">
            <v>521600</v>
          </cell>
          <cell r="G437">
            <v>1</v>
          </cell>
          <cell r="H437">
            <v>260800</v>
          </cell>
          <cell r="I437">
            <v>0</v>
          </cell>
          <cell r="J437">
            <v>0</v>
          </cell>
          <cell r="K437">
            <v>2</v>
          </cell>
          <cell r="L437">
            <v>521600</v>
          </cell>
          <cell r="N437">
            <v>0</v>
          </cell>
          <cell r="P437">
            <v>0</v>
          </cell>
          <cell r="R437">
            <v>0</v>
          </cell>
          <cell r="T437">
            <v>0</v>
          </cell>
          <cell r="V437">
            <v>0</v>
          </cell>
        </row>
        <row r="438">
          <cell r="A438">
            <v>24</v>
          </cell>
          <cell r="B438" t="str">
            <v>Door Holder</v>
          </cell>
          <cell r="C438" t="str">
            <v>Set</v>
          </cell>
          <cell r="D438">
            <v>500000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L438">
            <v>0</v>
          </cell>
          <cell r="N438">
            <v>0</v>
          </cell>
          <cell r="P438">
            <v>0</v>
          </cell>
          <cell r="R438">
            <v>0</v>
          </cell>
          <cell r="T438">
            <v>0</v>
          </cell>
          <cell r="V438">
            <v>0</v>
          </cell>
        </row>
        <row r="439">
          <cell r="A439">
            <v>25</v>
          </cell>
          <cell r="B439" t="str">
            <v>Door Stop</v>
          </cell>
          <cell r="C439" t="str">
            <v>Set</v>
          </cell>
          <cell r="D439">
            <v>32100</v>
          </cell>
          <cell r="E439">
            <v>2</v>
          </cell>
          <cell r="F439">
            <v>64200</v>
          </cell>
          <cell r="G439">
            <v>1</v>
          </cell>
          <cell r="H439">
            <v>32100</v>
          </cell>
          <cell r="I439">
            <v>0</v>
          </cell>
          <cell r="J439">
            <v>0</v>
          </cell>
          <cell r="K439">
            <v>2</v>
          </cell>
          <cell r="L439">
            <v>64200</v>
          </cell>
          <cell r="N439">
            <v>0</v>
          </cell>
          <cell r="P439">
            <v>0</v>
          </cell>
          <cell r="R439">
            <v>0</v>
          </cell>
          <cell r="T439">
            <v>0</v>
          </cell>
          <cell r="V439">
            <v>0</v>
          </cell>
        </row>
        <row r="440">
          <cell r="A440">
            <v>26</v>
          </cell>
          <cell r="B440" t="str">
            <v>Kaca bening 5 mm</v>
          </cell>
          <cell r="C440" t="str">
            <v>M2</v>
          </cell>
          <cell r="D440">
            <v>66700</v>
          </cell>
          <cell r="F440">
            <v>0</v>
          </cell>
          <cell r="G440">
            <v>5.0399999999999993E-2</v>
          </cell>
          <cell r="H440">
            <v>3361.6799999999994</v>
          </cell>
          <cell r="I440">
            <v>0</v>
          </cell>
          <cell r="J440">
            <v>0</v>
          </cell>
          <cell r="L440">
            <v>0</v>
          </cell>
          <cell r="M440">
            <v>0.28799999999999998</v>
          </cell>
          <cell r="N440">
            <v>19209.599999999999</v>
          </cell>
          <cell r="O440">
            <v>0.24</v>
          </cell>
          <cell r="P440">
            <v>16008</v>
          </cell>
          <cell r="R440">
            <v>0</v>
          </cell>
          <cell r="T440">
            <v>0</v>
          </cell>
          <cell r="V440">
            <v>0</v>
          </cell>
        </row>
        <row r="441">
          <cell r="A441">
            <v>27</v>
          </cell>
          <cell r="B441" t="str">
            <v>Kaca bening 10 mm</v>
          </cell>
          <cell r="C441" t="str">
            <v>M2</v>
          </cell>
          <cell r="D441">
            <v>280895.75</v>
          </cell>
          <cell r="E441">
            <v>0.34100000000000008</v>
          </cell>
          <cell r="F441">
            <v>95785.450750000018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L441">
            <v>0</v>
          </cell>
          <cell r="N441">
            <v>0</v>
          </cell>
          <cell r="P441">
            <v>0</v>
          </cell>
          <cell r="R441">
            <v>0</v>
          </cell>
          <cell r="T441">
            <v>0</v>
          </cell>
          <cell r="V441">
            <v>0</v>
          </cell>
        </row>
        <row r="442">
          <cell r="A442">
            <v>28</v>
          </cell>
          <cell r="B442" t="str">
            <v>Kaca Bening 12 mm</v>
          </cell>
          <cell r="C442" t="str">
            <v>M2</v>
          </cell>
          <cell r="D442">
            <v>403787.64062499994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L442">
            <v>0</v>
          </cell>
          <cell r="N442">
            <v>0</v>
          </cell>
          <cell r="P442">
            <v>0</v>
          </cell>
          <cell r="R442">
            <v>0</v>
          </cell>
          <cell r="T442">
            <v>0</v>
          </cell>
          <cell r="V442">
            <v>0</v>
          </cell>
        </row>
        <row r="443">
          <cell r="A443">
            <v>29</v>
          </cell>
          <cell r="B443" t="str">
            <v>Besi hollow 4/4</v>
          </cell>
          <cell r="C443" t="str">
            <v>M'</v>
          </cell>
          <cell r="D443">
            <v>48625.000000000051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L443">
            <v>0</v>
          </cell>
          <cell r="N443">
            <v>0</v>
          </cell>
          <cell r="P443">
            <v>0</v>
          </cell>
          <cell r="R443">
            <v>0</v>
          </cell>
          <cell r="T443">
            <v>0</v>
          </cell>
          <cell r="V443">
            <v>0</v>
          </cell>
        </row>
        <row r="444">
          <cell r="A444">
            <v>30</v>
          </cell>
          <cell r="B444" t="str">
            <v>Besi hollow 6/6</v>
          </cell>
          <cell r="C444" t="str">
            <v>M'</v>
          </cell>
          <cell r="D444">
            <v>74462.500000000058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L444">
            <v>0</v>
          </cell>
          <cell r="N444">
            <v>0</v>
          </cell>
          <cell r="P444">
            <v>0</v>
          </cell>
          <cell r="R444">
            <v>0</v>
          </cell>
          <cell r="T444">
            <v>0</v>
          </cell>
          <cell r="V444">
            <v>0</v>
          </cell>
        </row>
        <row r="445">
          <cell r="A445">
            <v>31</v>
          </cell>
          <cell r="B445" t="str">
            <v>Besi hollow 2.5/5</v>
          </cell>
          <cell r="C445" t="str">
            <v>Kg</v>
          </cell>
          <cell r="D445">
            <v>74462.500000000058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L445">
            <v>0</v>
          </cell>
          <cell r="N445">
            <v>0</v>
          </cell>
          <cell r="P445">
            <v>0</v>
          </cell>
          <cell r="R445">
            <v>0</v>
          </cell>
          <cell r="T445">
            <v>0</v>
          </cell>
          <cell r="V445">
            <v>0</v>
          </cell>
        </row>
        <row r="446">
          <cell r="A446">
            <v>32</v>
          </cell>
          <cell r="B446" t="str">
            <v>Besi hollow 5/5</v>
          </cell>
          <cell r="C446" t="str">
            <v>Kg</v>
          </cell>
          <cell r="D446">
            <v>74462.500000000058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L446">
            <v>0</v>
          </cell>
          <cell r="N446">
            <v>0</v>
          </cell>
          <cell r="P446">
            <v>0</v>
          </cell>
          <cell r="R446">
            <v>0</v>
          </cell>
          <cell r="T446">
            <v>0</v>
          </cell>
          <cell r="V446">
            <v>0</v>
          </cell>
        </row>
        <row r="447">
          <cell r="A447">
            <v>33</v>
          </cell>
          <cell r="B447" t="str">
            <v>Besi hollow 2/2</v>
          </cell>
          <cell r="C447" t="str">
            <v>Kg</v>
          </cell>
          <cell r="D447">
            <v>74462.500000000058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L447">
            <v>0</v>
          </cell>
          <cell r="N447">
            <v>0</v>
          </cell>
          <cell r="P447">
            <v>0</v>
          </cell>
          <cell r="R447">
            <v>0</v>
          </cell>
          <cell r="T447">
            <v>0</v>
          </cell>
          <cell r="V447">
            <v>0</v>
          </cell>
        </row>
        <row r="448">
          <cell r="A448">
            <v>34</v>
          </cell>
          <cell r="B448" t="str">
            <v>Besi hollow 2/4</v>
          </cell>
          <cell r="C448" t="str">
            <v>Kg</v>
          </cell>
          <cell r="D448">
            <v>74462.500000000058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L448">
            <v>0</v>
          </cell>
          <cell r="N448">
            <v>0</v>
          </cell>
          <cell r="P448">
            <v>0</v>
          </cell>
          <cell r="R448">
            <v>0</v>
          </cell>
          <cell r="T448">
            <v>0</v>
          </cell>
          <cell r="V448">
            <v>0</v>
          </cell>
        </row>
        <row r="449">
          <cell r="A449">
            <v>35</v>
          </cell>
          <cell r="B449" t="str">
            <v>Kaca Tempered 12 mm</v>
          </cell>
          <cell r="C449" t="str">
            <v>M2</v>
          </cell>
          <cell r="D449">
            <v>528395.75</v>
          </cell>
          <cell r="F449">
            <v>0</v>
          </cell>
          <cell r="G449">
            <v>4.3049999999999997</v>
          </cell>
          <cell r="H449">
            <v>2274743.7037499999</v>
          </cell>
          <cell r="I449">
            <v>0</v>
          </cell>
          <cell r="J449">
            <v>0</v>
          </cell>
          <cell r="L449">
            <v>0</v>
          </cell>
          <cell r="N449">
            <v>0</v>
          </cell>
          <cell r="P449">
            <v>0</v>
          </cell>
          <cell r="R449">
            <v>0</v>
          </cell>
          <cell r="T449">
            <v>0</v>
          </cell>
          <cell r="V449">
            <v>0</v>
          </cell>
        </row>
        <row r="450">
          <cell r="A450">
            <v>36</v>
          </cell>
          <cell r="B450" t="str">
            <v>Glass Block</v>
          </cell>
          <cell r="C450" t="str">
            <v>Bh</v>
          </cell>
          <cell r="D450">
            <v>45000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L450">
            <v>0</v>
          </cell>
          <cell r="N450">
            <v>0</v>
          </cell>
          <cell r="P450">
            <v>0</v>
          </cell>
          <cell r="R450">
            <v>0</v>
          </cell>
          <cell r="T450">
            <v>0</v>
          </cell>
          <cell r="V450">
            <v>0</v>
          </cell>
        </row>
        <row r="451">
          <cell r="A451">
            <v>37</v>
          </cell>
          <cell r="B451" t="str">
            <v>Kaca Es</v>
          </cell>
          <cell r="C451" t="str">
            <v>M2</v>
          </cell>
          <cell r="D451">
            <v>66700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L451">
            <v>0</v>
          </cell>
          <cell r="N451">
            <v>0</v>
          </cell>
          <cell r="P451">
            <v>0</v>
          </cell>
          <cell r="R451">
            <v>0</v>
          </cell>
          <cell r="T451">
            <v>0</v>
          </cell>
          <cell r="V451">
            <v>0</v>
          </cell>
        </row>
        <row r="452">
          <cell r="A452">
            <v>38</v>
          </cell>
          <cell r="B452" t="str">
            <v>Krepyak Kaca Nako + Kerangka</v>
          </cell>
          <cell r="C452" t="str">
            <v>M2</v>
          </cell>
          <cell r="D452">
            <v>81300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L452">
            <v>0</v>
          </cell>
          <cell r="N452">
            <v>0</v>
          </cell>
          <cell r="P452">
            <v>0</v>
          </cell>
          <cell r="R452">
            <v>0</v>
          </cell>
          <cell r="T452">
            <v>0</v>
          </cell>
          <cell r="V452">
            <v>0</v>
          </cell>
        </row>
        <row r="453">
          <cell r="A453">
            <v>39</v>
          </cell>
          <cell r="B453" t="str">
            <v>Sticker Efek Kaca Es</v>
          </cell>
          <cell r="C453" t="str">
            <v>M2</v>
          </cell>
          <cell r="D453">
            <v>150000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L453">
            <v>0</v>
          </cell>
          <cell r="N453">
            <v>0</v>
          </cell>
          <cell r="P453">
            <v>0</v>
          </cell>
          <cell r="R453">
            <v>0</v>
          </cell>
          <cell r="T453">
            <v>0</v>
          </cell>
          <cell r="V453">
            <v>0</v>
          </cell>
        </row>
        <row r="454">
          <cell r="A454">
            <v>40</v>
          </cell>
          <cell r="B454" t="str">
            <v>Rel Pintu Dorong</v>
          </cell>
          <cell r="C454" t="str">
            <v>M'</v>
          </cell>
          <cell r="D454">
            <v>275000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7.2</v>
          </cell>
          <cell r="L454">
            <v>1980000</v>
          </cell>
          <cell r="N454">
            <v>0</v>
          </cell>
          <cell r="P454">
            <v>0</v>
          </cell>
          <cell r="R454">
            <v>0</v>
          </cell>
          <cell r="T454">
            <v>0</v>
          </cell>
          <cell r="V454">
            <v>0</v>
          </cell>
        </row>
        <row r="455">
          <cell r="A455">
            <v>41</v>
          </cell>
          <cell r="B455" t="str">
            <v>Rolling Door</v>
          </cell>
          <cell r="C455" t="str">
            <v>M2</v>
          </cell>
          <cell r="D455">
            <v>358100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L455">
            <v>0</v>
          </cell>
          <cell r="N455">
            <v>0</v>
          </cell>
          <cell r="P455">
            <v>0</v>
          </cell>
          <cell r="R455">
            <v>0</v>
          </cell>
          <cell r="T455">
            <v>0</v>
          </cell>
          <cell r="V455">
            <v>0</v>
          </cell>
        </row>
        <row r="456">
          <cell r="A456">
            <v>42</v>
          </cell>
          <cell r="B456" t="str">
            <v>Roster</v>
          </cell>
          <cell r="C456" t="str">
            <v>M2</v>
          </cell>
          <cell r="D456">
            <v>133850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L456">
            <v>0</v>
          </cell>
          <cell r="N456">
            <v>0</v>
          </cell>
          <cell r="P456">
            <v>0</v>
          </cell>
          <cell r="Q456">
            <v>0.25919999999999999</v>
          </cell>
          <cell r="R456">
            <v>34693.919999999998</v>
          </cell>
          <cell r="S456">
            <v>0.25919999999999999</v>
          </cell>
          <cell r="T456">
            <v>34693.919999999998</v>
          </cell>
          <cell r="U456">
            <v>0.12959999999999999</v>
          </cell>
          <cell r="V456">
            <v>17346.96</v>
          </cell>
        </row>
        <row r="457">
          <cell r="A457">
            <v>43</v>
          </cell>
          <cell r="B457" t="str">
            <v>Gipsum Board</v>
          </cell>
          <cell r="C457" t="str">
            <v>M2</v>
          </cell>
          <cell r="D457">
            <v>29000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L457">
            <v>0</v>
          </cell>
          <cell r="N457">
            <v>0</v>
          </cell>
          <cell r="P457">
            <v>0</v>
          </cell>
          <cell r="R457">
            <v>0</v>
          </cell>
          <cell r="T457">
            <v>0</v>
          </cell>
          <cell r="V457">
            <v>0</v>
          </cell>
        </row>
        <row r="458">
          <cell r="A458">
            <v>44</v>
          </cell>
          <cell r="B458" t="str">
            <v>List Gipsum</v>
          </cell>
          <cell r="C458" t="str">
            <v>M'</v>
          </cell>
          <cell r="D458">
            <v>17300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L458">
            <v>0</v>
          </cell>
          <cell r="N458">
            <v>0</v>
          </cell>
          <cell r="P458">
            <v>0</v>
          </cell>
          <cell r="R458">
            <v>0</v>
          </cell>
          <cell r="T458">
            <v>0</v>
          </cell>
          <cell r="V458">
            <v>0</v>
          </cell>
        </row>
        <row r="459">
          <cell r="A459">
            <v>45</v>
          </cell>
          <cell r="B459" t="str">
            <v>Sealent</v>
          </cell>
          <cell r="C459" t="str">
            <v>M'</v>
          </cell>
          <cell r="D459">
            <v>8400</v>
          </cell>
          <cell r="E459">
            <v>14.520000000000003</v>
          </cell>
          <cell r="F459">
            <v>121968.00000000003</v>
          </cell>
          <cell r="G459">
            <v>2.16</v>
          </cell>
          <cell r="H459">
            <v>18144</v>
          </cell>
          <cell r="I459">
            <v>0</v>
          </cell>
          <cell r="J459">
            <v>0</v>
          </cell>
          <cell r="L459">
            <v>0</v>
          </cell>
          <cell r="M459">
            <v>1.1519999999999999</v>
          </cell>
          <cell r="N459">
            <v>9676.7999999999993</v>
          </cell>
          <cell r="O459">
            <v>6.4</v>
          </cell>
          <cell r="P459">
            <v>53760</v>
          </cell>
          <cell r="R459">
            <v>0</v>
          </cell>
          <cell r="T459">
            <v>0</v>
          </cell>
          <cell r="V459">
            <v>0</v>
          </cell>
        </row>
        <row r="460">
          <cell r="A460">
            <v>46</v>
          </cell>
          <cell r="B460" t="str">
            <v>Benangan Kusen</v>
          </cell>
          <cell r="C460" t="str">
            <v>M'</v>
          </cell>
          <cell r="D460">
            <v>4296.0074999999997</v>
          </cell>
          <cell r="E460">
            <v>13.2</v>
          </cell>
          <cell r="F460">
            <v>56707.298999999992</v>
          </cell>
          <cell r="G460">
            <v>9.8000000000000007</v>
          </cell>
          <cell r="H460">
            <v>42100.873500000002</v>
          </cell>
          <cell r="I460">
            <v>5.7839999999999998</v>
          </cell>
          <cell r="J460">
            <v>24848.107379999998</v>
          </cell>
          <cell r="K460">
            <v>28</v>
          </cell>
          <cell r="L460">
            <v>120288.20999999999</v>
          </cell>
          <cell r="M460">
            <v>8.92</v>
          </cell>
          <cell r="N460">
            <v>38320.386899999998</v>
          </cell>
          <cell r="O460">
            <v>4.4000000000000004</v>
          </cell>
          <cell r="P460">
            <v>18902.433000000001</v>
          </cell>
          <cell r="Q460">
            <v>6.4</v>
          </cell>
          <cell r="R460">
            <v>27494.448</v>
          </cell>
          <cell r="S460">
            <v>6.4</v>
          </cell>
          <cell r="T460">
            <v>27494.448</v>
          </cell>
          <cell r="U460">
            <v>3.2</v>
          </cell>
          <cell r="V460">
            <v>13747.224</v>
          </cell>
        </row>
        <row r="461">
          <cell r="A461">
            <v>47</v>
          </cell>
          <cell r="B461" t="str">
            <v xml:space="preserve">Cat Kayu </v>
          </cell>
          <cell r="C461" t="str">
            <v>M2</v>
          </cell>
          <cell r="D461">
            <v>19370.5</v>
          </cell>
          <cell r="E461">
            <v>7.99</v>
          </cell>
          <cell r="F461">
            <v>154770.29500000001</v>
          </cell>
          <cell r="G461">
            <v>3.2720000000000002</v>
          </cell>
          <cell r="H461">
            <v>63380.276000000005</v>
          </cell>
          <cell r="I461">
            <v>4.0991999999999997</v>
          </cell>
          <cell r="J461">
            <v>79403.553599999999</v>
          </cell>
          <cell r="K461">
            <v>17.28</v>
          </cell>
          <cell r="L461">
            <v>334722.24000000005</v>
          </cell>
          <cell r="N461">
            <v>0</v>
          </cell>
          <cell r="P461">
            <v>0</v>
          </cell>
          <cell r="R461">
            <v>0</v>
          </cell>
          <cell r="T461">
            <v>0</v>
          </cell>
          <cell r="V461">
            <v>0</v>
          </cell>
        </row>
        <row r="462">
          <cell r="A462">
            <v>48</v>
          </cell>
          <cell r="B462" t="str">
            <v>Cat Besi</v>
          </cell>
          <cell r="C462" t="str">
            <v>M2</v>
          </cell>
          <cell r="D462">
            <v>13698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L462">
            <v>0</v>
          </cell>
          <cell r="N462">
            <v>0</v>
          </cell>
          <cell r="P462">
            <v>0</v>
          </cell>
          <cell r="R462">
            <v>0</v>
          </cell>
          <cell r="T462">
            <v>0</v>
          </cell>
          <cell r="V462">
            <v>0</v>
          </cell>
        </row>
        <row r="463">
          <cell r="A463">
            <v>49</v>
          </cell>
          <cell r="B463" t="str">
            <v>Cat Dinding</v>
          </cell>
          <cell r="C463" t="str">
            <v>M2</v>
          </cell>
          <cell r="D463">
            <v>9900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N463">
            <v>0</v>
          </cell>
          <cell r="P463">
            <v>0</v>
          </cell>
          <cell r="Q463">
            <v>0.64000000000000012</v>
          </cell>
          <cell r="R463">
            <v>6336.0000000000009</v>
          </cell>
          <cell r="S463">
            <v>0.64000000000000012</v>
          </cell>
          <cell r="T463">
            <v>6336.0000000000009</v>
          </cell>
          <cell r="U463">
            <v>0.32000000000000006</v>
          </cell>
          <cell r="V463">
            <v>3168.0000000000005</v>
          </cell>
        </row>
        <row r="464">
          <cell r="A464">
            <v>50</v>
          </cell>
          <cell r="B464" t="str">
            <v>Plesteran Camprot</v>
          </cell>
          <cell r="C464" t="str">
            <v>M2</v>
          </cell>
          <cell r="D464">
            <v>14600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N464">
            <v>0</v>
          </cell>
          <cell r="P464">
            <v>0</v>
          </cell>
          <cell r="R464">
            <v>0</v>
          </cell>
          <cell r="T464">
            <v>0</v>
          </cell>
        </row>
        <row r="466">
          <cell r="B466" t="str">
            <v>Jumlah Harga</v>
          </cell>
          <cell r="F466">
            <v>2731449.0447499999</v>
          </cell>
          <cell r="H466">
            <v>3021087.0332500003</v>
          </cell>
          <cell r="J466">
            <v>1690743.9109799999</v>
          </cell>
          <cell r="L466">
            <v>3789806.45</v>
          </cell>
          <cell r="N466">
            <v>67206.786899999992</v>
          </cell>
          <cell r="P466">
            <v>88670.433000000005</v>
          </cell>
          <cell r="R466">
            <v>68524.368000000002</v>
          </cell>
          <cell r="T466">
            <v>68524.368000000002</v>
          </cell>
          <cell r="V466">
            <v>34262.184000000001</v>
          </cell>
        </row>
        <row r="467">
          <cell r="L467" t="str">
            <v>Rev Kaca 8 Jd 5</v>
          </cell>
        </row>
        <row r="470">
          <cell r="A470" t="str">
            <v>No.</v>
          </cell>
          <cell r="B470" t="str">
            <v>Item Pekerjaan</v>
          </cell>
          <cell r="C470" t="str">
            <v>Satuan</v>
          </cell>
          <cell r="D470" t="str">
            <v>Harga Satuan</v>
          </cell>
          <cell r="E470" t="str">
            <v>P1</v>
          </cell>
          <cell r="G470" t="str">
            <v>P2</v>
          </cell>
          <cell r="I470" t="str">
            <v>P3</v>
          </cell>
          <cell r="K470" t="str">
            <v>P4</v>
          </cell>
          <cell r="M470" t="str">
            <v>J1/BV</v>
          </cell>
          <cell r="O470" t="str">
            <v>BV1</v>
          </cell>
          <cell r="Q470" t="str">
            <v>BV1'</v>
          </cell>
          <cell r="S470" t="str">
            <v>R1</v>
          </cell>
          <cell r="U470" t="str">
            <v>R2</v>
          </cell>
          <cell r="W470" t="str">
            <v>R3</v>
          </cell>
          <cell r="Y470" t="str">
            <v>J1</v>
          </cell>
        </row>
        <row r="471">
          <cell r="D471" t="str">
            <v>Rp.</v>
          </cell>
          <cell r="E471" t="str">
            <v>Vol.</v>
          </cell>
          <cell r="F471" t="str">
            <v>Jumlah Harga</v>
          </cell>
          <cell r="G471" t="str">
            <v>Vol.</v>
          </cell>
          <cell r="H471" t="str">
            <v>Jumlah Harga</v>
          </cell>
          <cell r="I471" t="str">
            <v>Vol.</v>
          </cell>
          <cell r="J471" t="str">
            <v>Jumlah Harga</v>
          </cell>
          <cell r="K471" t="str">
            <v>Vol.</v>
          </cell>
          <cell r="L471" t="str">
            <v>Jumlah Harga</v>
          </cell>
          <cell r="M471" t="str">
            <v>Vol.</v>
          </cell>
          <cell r="N471" t="str">
            <v>Jumlah Harga</v>
          </cell>
          <cell r="O471" t="str">
            <v>Vol.</v>
          </cell>
          <cell r="P471" t="str">
            <v>Jumlah Harga</v>
          </cell>
          <cell r="Q471" t="str">
            <v>Vol.</v>
          </cell>
          <cell r="R471" t="str">
            <v>Jumlah Harga</v>
          </cell>
          <cell r="S471" t="str">
            <v>Vol.</v>
          </cell>
          <cell r="T471" t="str">
            <v>Jumlah Harga</v>
          </cell>
          <cell r="U471" t="str">
            <v>Vol.</v>
          </cell>
          <cell r="V471" t="str">
            <v>Jumlah Harga</v>
          </cell>
          <cell r="W471" t="str">
            <v>Vol.</v>
          </cell>
          <cell r="X471" t="str">
            <v>Jumlah Harga</v>
          </cell>
          <cell r="Y471" t="str">
            <v>Vol.</v>
          </cell>
          <cell r="Z471" t="str">
            <v>Jumlah Harga</v>
          </cell>
        </row>
        <row r="472">
          <cell r="A472" t="str">
            <v>VIII.</v>
          </cell>
          <cell r="B472" t="str">
            <v>UNIT BANGUNAN MASJID</v>
          </cell>
        </row>
        <row r="474">
          <cell r="A474">
            <v>1</v>
          </cell>
          <cell r="B474" t="str">
            <v>Kayu 6/12</v>
          </cell>
          <cell r="C474" t="str">
            <v>M3</v>
          </cell>
          <cell r="D474">
            <v>0</v>
          </cell>
          <cell r="F474">
            <v>0</v>
          </cell>
          <cell r="H474">
            <v>0</v>
          </cell>
          <cell r="I474">
            <v>1.7600000000000001E-2</v>
          </cell>
          <cell r="J474">
            <v>0</v>
          </cell>
          <cell r="K474">
            <v>3.6144000000000003E-2</v>
          </cell>
          <cell r="L474">
            <v>0</v>
          </cell>
          <cell r="N474">
            <v>0</v>
          </cell>
          <cell r="P474">
            <v>0</v>
          </cell>
          <cell r="R474">
            <v>0</v>
          </cell>
          <cell r="T474">
            <v>0</v>
          </cell>
          <cell r="V474">
            <v>0</v>
          </cell>
          <cell r="X474">
            <v>0</v>
          </cell>
          <cell r="Z474">
            <v>0</v>
          </cell>
        </row>
        <row r="475">
          <cell r="A475">
            <v>2</v>
          </cell>
          <cell r="B475" t="str">
            <v>Kayu Slimar 3/10</v>
          </cell>
          <cell r="C475" t="str">
            <v>M3</v>
          </cell>
          <cell r="D475">
            <v>0</v>
          </cell>
          <cell r="F475">
            <v>0</v>
          </cell>
          <cell r="H475">
            <v>0</v>
          </cell>
          <cell r="I475">
            <v>3.2000000000000006E-3</v>
          </cell>
          <cell r="J475">
            <v>0</v>
          </cell>
          <cell r="K475">
            <v>1.4159999999999999E-2</v>
          </cell>
          <cell r="L475">
            <v>0</v>
          </cell>
          <cell r="N475">
            <v>0</v>
          </cell>
          <cell r="P475">
            <v>0</v>
          </cell>
          <cell r="R475">
            <v>0</v>
          </cell>
          <cell r="T475">
            <v>0</v>
          </cell>
          <cell r="V475">
            <v>0</v>
          </cell>
          <cell r="X475">
            <v>0</v>
          </cell>
          <cell r="Z475">
            <v>0</v>
          </cell>
        </row>
        <row r="476">
          <cell r="A476">
            <v>3</v>
          </cell>
          <cell r="B476" t="str">
            <v>Kayu Slimar 3/15</v>
          </cell>
          <cell r="C476" t="str">
            <v>M3</v>
          </cell>
          <cell r="D476">
            <v>0</v>
          </cell>
          <cell r="F476">
            <v>0</v>
          </cell>
          <cell r="H476">
            <v>0</v>
          </cell>
          <cell r="I476">
            <v>1.92</v>
          </cell>
          <cell r="J476">
            <v>0</v>
          </cell>
          <cell r="K476">
            <v>2.6999999999999997E-3</v>
          </cell>
          <cell r="L476">
            <v>0</v>
          </cell>
          <cell r="N476">
            <v>0</v>
          </cell>
          <cell r="P476">
            <v>0</v>
          </cell>
          <cell r="R476">
            <v>0</v>
          </cell>
          <cell r="T476">
            <v>0</v>
          </cell>
          <cell r="V476">
            <v>0</v>
          </cell>
          <cell r="X476">
            <v>0</v>
          </cell>
          <cell r="Z476">
            <v>0</v>
          </cell>
        </row>
        <row r="477">
          <cell r="A477">
            <v>4</v>
          </cell>
          <cell r="B477" t="str">
            <v>Kayu Slimar 3/20</v>
          </cell>
          <cell r="C477" t="str">
            <v>M3</v>
          </cell>
          <cell r="D477">
            <v>0</v>
          </cell>
          <cell r="E477">
            <v>4.5119999999999996</v>
          </cell>
          <cell r="F477">
            <v>0</v>
          </cell>
          <cell r="G477">
            <v>0.14279999999999998</v>
          </cell>
          <cell r="H477">
            <v>0</v>
          </cell>
          <cell r="I477">
            <v>3.2</v>
          </cell>
          <cell r="J477">
            <v>0</v>
          </cell>
          <cell r="K477">
            <v>3.5999999999999999E-3</v>
          </cell>
          <cell r="L477">
            <v>0</v>
          </cell>
          <cell r="N477">
            <v>0</v>
          </cell>
          <cell r="P477">
            <v>0</v>
          </cell>
          <cell r="R477">
            <v>0</v>
          </cell>
          <cell r="T477">
            <v>0</v>
          </cell>
          <cell r="V477">
            <v>0</v>
          </cell>
          <cell r="X477">
            <v>0</v>
          </cell>
          <cell r="Z477">
            <v>0</v>
          </cell>
        </row>
        <row r="478">
          <cell r="A478">
            <v>5</v>
          </cell>
          <cell r="B478" t="str">
            <v>Kayu 2/10</v>
          </cell>
          <cell r="C478" t="str">
            <v>M3</v>
          </cell>
          <cell r="D478">
            <v>0</v>
          </cell>
          <cell r="E478">
            <v>5.9</v>
          </cell>
          <cell r="F478">
            <v>0</v>
          </cell>
          <cell r="H478">
            <v>0</v>
          </cell>
          <cell r="J478">
            <v>0</v>
          </cell>
          <cell r="K478">
            <v>5.4000000000000012E-3</v>
          </cell>
          <cell r="L478">
            <v>0</v>
          </cell>
          <cell r="M478">
            <v>2.016</v>
          </cell>
          <cell r="N478">
            <v>0</v>
          </cell>
          <cell r="O478">
            <v>2.8</v>
          </cell>
          <cell r="P478">
            <v>0</v>
          </cell>
          <cell r="Q478">
            <v>2.8</v>
          </cell>
          <cell r="R478">
            <v>0</v>
          </cell>
          <cell r="T478">
            <v>0</v>
          </cell>
          <cell r="V478">
            <v>0</v>
          </cell>
          <cell r="X478">
            <v>0</v>
          </cell>
          <cell r="Y478">
            <v>3.76</v>
          </cell>
          <cell r="Z478">
            <v>0</v>
          </cell>
        </row>
        <row r="479">
          <cell r="A479">
            <v>6</v>
          </cell>
          <cell r="B479" t="str">
            <v>Panil t = 3 cm</v>
          </cell>
          <cell r="C479" t="str">
            <v>M2</v>
          </cell>
          <cell r="D479">
            <v>0</v>
          </cell>
          <cell r="F479">
            <v>0</v>
          </cell>
          <cell r="H479">
            <v>0</v>
          </cell>
          <cell r="J479">
            <v>0</v>
          </cell>
          <cell r="K479">
            <v>0.49500000000000005</v>
          </cell>
          <cell r="L479">
            <v>0</v>
          </cell>
          <cell r="N479">
            <v>0</v>
          </cell>
          <cell r="P479">
            <v>0</v>
          </cell>
          <cell r="R479">
            <v>0</v>
          </cell>
          <cell r="T479">
            <v>0</v>
          </cell>
          <cell r="V479">
            <v>0</v>
          </cell>
          <cell r="X479">
            <v>0</v>
          </cell>
          <cell r="Z479">
            <v>0</v>
          </cell>
        </row>
        <row r="480">
          <cell r="A480">
            <v>1</v>
          </cell>
          <cell r="B480" t="str">
            <v>Kusen Aluminium 5/10</v>
          </cell>
          <cell r="C480" t="str">
            <v>M'</v>
          </cell>
          <cell r="D480">
            <v>124948</v>
          </cell>
          <cell r="F480">
            <v>0</v>
          </cell>
          <cell r="H480">
            <v>0</v>
          </cell>
          <cell r="J480">
            <v>0</v>
          </cell>
          <cell r="K480">
            <v>5</v>
          </cell>
          <cell r="L480">
            <v>624740</v>
          </cell>
          <cell r="N480">
            <v>0</v>
          </cell>
          <cell r="P480">
            <v>0</v>
          </cell>
          <cell r="R480">
            <v>0</v>
          </cell>
          <cell r="T480">
            <v>0</v>
          </cell>
          <cell r="V480">
            <v>0</v>
          </cell>
          <cell r="X480">
            <v>0</v>
          </cell>
          <cell r="Z480">
            <v>0</v>
          </cell>
        </row>
        <row r="481">
          <cell r="A481">
            <v>2</v>
          </cell>
          <cell r="B481" t="str">
            <v xml:space="preserve">Rangka Daun Jendela Alumunium </v>
          </cell>
          <cell r="C481" t="str">
            <v>M'</v>
          </cell>
          <cell r="D481">
            <v>124948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N481">
            <v>0</v>
          </cell>
          <cell r="P481">
            <v>0</v>
          </cell>
          <cell r="R481">
            <v>0</v>
          </cell>
          <cell r="T481">
            <v>0</v>
          </cell>
          <cell r="V481">
            <v>0</v>
          </cell>
          <cell r="X481">
            <v>0</v>
          </cell>
          <cell r="Z481">
            <v>0</v>
          </cell>
        </row>
        <row r="482">
          <cell r="A482">
            <v>3</v>
          </cell>
          <cell r="B482" t="str">
            <v>Rangka Tiang Sirip Alumunium 1/1 Putih</v>
          </cell>
          <cell r="C482" t="str">
            <v>M'</v>
          </cell>
          <cell r="D482">
            <v>62474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N482">
            <v>0</v>
          </cell>
          <cell r="P482">
            <v>0</v>
          </cell>
          <cell r="R482">
            <v>0</v>
          </cell>
          <cell r="T482">
            <v>0</v>
          </cell>
          <cell r="V482">
            <v>0</v>
          </cell>
          <cell r="X482">
            <v>0</v>
          </cell>
          <cell r="Z482">
            <v>0</v>
          </cell>
        </row>
        <row r="483">
          <cell r="A483">
            <v>4</v>
          </cell>
          <cell r="B483" t="str">
            <v>Pasang Shading Sirip Alumunium 0.2/10 +Rangka</v>
          </cell>
          <cell r="C483" t="str">
            <v>M2</v>
          </cell>
          <cell r="D483">
            <v>0</v>
          </cell>
          <cell r="F483">
            <v>0</v>
          </cell>
          <cell r="H483">
            <v>0</v>
          </cell>
          <cell r="J483">
            <v>0</v>
          </cell>
          <cell r="K483">
            <v>0</v>
          </cell>
          <cell r="L483">
            <v>0</v>
          </cell>
          <cell r="N483">
            <v>0</v>
          </cell>
          <cell r="P483">
            <v>0</v>
          </cell>
          <cell r="R483">
            <v>0</v>
          </cell>
          <cell r="T483">
            <v>0</v>
          </cell>
          <cell r="V483">
            <v>0</v>
          </cell>
          <cell r="X483">
            <v>0</v>
          </cell>
          <cell r="Z483">
            <v>0</v>
          </cell>
        </row>
        <row r="484">
          <cell r="A484">
            <v>5</v>
          </cell>
          <cell r="B484" t="str">
            <v>Daun Pintu Panil Kamper</v>
          </cell>
          <cell r="C484" t="str">
            <v>bh</v>
          </cell>
          <cell r="D484">
            <v>550000</v>
          </cell>
          <cell r="F484">
            <v>0</v>
          </cell>
          <cell r="H484">
            <v>0</v>
          </cell>
          <cell r="I484">
            <v>2.4E-2</v>
          </cell>
          <cell r="J484">
            <v>13200</v>
          </cell>
          <cell r="K484">
            <v>1.2</v>
          </cell>
          <cell r="L484">
            <v>660000</v>
          </cell>
          <cell r="N484">
            <v>0</v>
          </cell>
          <cell r="P484">
            <v>0</v>
          </cell>
          <cell r="R484">
            <v>0</v>
          </cell>
          <cell r="T484">
            <v>0</v>
          </cell>
          <cell r="V484">
            <v>0</v>
          </cell>
          <cell r="X484">
            <v>0</v>
          </cell>
          <cell r="Z484">
            <v>0</v>
          </cell>
        </row>
        <row r="485">
          <cell r="A485">
            <v>6</v>
          </cell>
          <cell r="B485" t="str">
            <v>Plat besi t = 2 mm</v>
          </cell>
          <cell r="C485" t="str">
            <v>Kg</v>
          </cell>
          <cell r="D485">
            <v>0</v>
          </cell>
          <cell r="E485">
            <v>1.6068</v>
          </cell>
          <cell r="F485">
            <v>0</v>
          </cell>
          <cell r="G485">
            <v>1.89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N485">
            <v>0</v>
          </cell>
          <cell r="P485">
            <v>0</v>
          </cell>
          <cell r="R485">
            <v>0</v>
          </cell>
          <cell r="T485">
            <v>0</v>
          </cell>
          <cell r="V485">
            <v>0</v>
          </cell>
          <cell r="X485">
            <v>0</v>
          </cell>
          <cell r="Z485">
            <v>0</v>
          </cell>
        </row>
        <row r="486">
          <cell r="A486">
            <v>7</v>
          </cell>
          <cell r="B486" t="str">
            <v>C 40.40.2  (pesan khusus)</v>
          </cell>
          <cell r="C486" t="str">
            <v>Kg</v>
          </cell>
          <cell r="D486">
            <v>14122.3</v>
          </cell>
          <cell r="E486">
            <v>0.96960000000000002</v>
          </cell>
          <cell r="F486">
            <v>13692.98208</v>
          </cell>
          <cell r="G486">
            <v>1.0247999999999999</v>
          </cell>
          <cell r="H486">
            <v>14472.533039999998</v>
          </cell>
          <cell r="J486">
            <v>0</v>
          </cell>
          <cell r="K486">
            <v>0</v>
          </cell>
          <cell r="L486">
            <v>0</v>
          </cell>
          <cell r="N486">
            <v>0</v>
          </cell>
          <cell r="P486">
            <v>0</v>
          </cell>
          <cell r="R486">
            <v>0</v>
          </cell>
          <cell r="T486">
            <v>0</v>
          </cell>
          <cell r="V486">
            <v>0</v>
          </cell>
          <cell r="X486">
            <v>0</v>
          </cell>
          <cell r="Z486">
            <v>0</v>
          </cell>
        </row>
        <row r="487">
          <cell r="A487">
            <v>8</v>
          </cell>
          <cell r="B487" t="str">
            <v>Handle besi dia 16 mm</v>
          </cell>
          <cell r="C487" t="str">
            <v>Set</v>
          </cell>
          <cell r="D487">
            <v>129652.5</v>
          </cell>
          <cell r="E487">
            <v>18.012</v>
          </cell>
          <cell r="F487">
            <v>2335300.83</v>
          </cell>
          <cell r="G487">
            <v>20.698</v>
          </cell>
          <cell r="H487">
            <v>2683547.4449999998</v>
          </cell>
          <cell r="J487">
            <v>0</v>
          </cell>
          <cell r="K487">
            <v>0</v>
          </cell>
          <cell r="L487">
            <v>0</v>
          </cell>
          <cell r="N487">
            <v>0</v>
          </cell>
          <cell r="P487">
            <v>0</v>
          </cell>
          <cell r="R487">
            <v>0</v>
          </cell>
          <cell r="T487">
            <v>0</v>
          </cell>
          <cell r="V487">
            <v>0</v>
          </cell>
          <cell r="X487">
            <v>0</v>
          </cell>
          <cell r="Z487">
            <v>0</v>
          </cell>
        </row>
        <row r="488">
          <cell r="A488">
            <v>9</v>
          </cell>
          <cell r="B488" t="str">
            <v>Hendle pintu Stainless</v>
          </cell>
          <cell r="C488" t="str">
            <v>Set</v>
          </cell>
          <cell r="D488">
            <v>261652.5</v>
          </cell>
          <cell r="E488">
            <v>2</v>
          </cell>
          <cell r="F488">
            <v>523305</v>
          </cell>
          <cell r="G488">
            <v>1</v>
          </cell>
          <cell r="H488">
            <v>261652.5</v>
          </cell>
          <cell r="J488">
            <v>0</v>
          </cell>
          <cell r="K488">
            <v>0</v>
          </cell>
          <cell r="L488">
            <v>0</v>
          </cell>
          <cell r="N488">
            <v>0</v>
          </cell>
          <cell r="P488">
            <v>0</v>
          </cell>
          <cell r="R488">
            <v>0</v>
          </cell>
          <cell r="T488">
            <v>0</v>
          </cell>
          <cell r="V488">
            <v>0</v>
          </cell>
          <cell r="X488">
            <v>0</v>
          </cell>
          <cell r="Z488">
            <v>0</v>
          </cell>
        </row>
        <row r="489">
          <cell r="A489">
            <v>10</v>
          </cell>
          <cell r="B489" t="str">
            <v>Kunci Pintu Handle stainleess (dorma)</v>
          </cell>
          <cell r="C489" t="str">
            <v>Set</v>
          </cell>
          <cell r="D489">
            <v>650000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N489">
            <v>0</v>
          </cell>
          <cell r="P489">
            <v>0</v>
          </cell>
          <cell r="R489">
            <v>0</v>
          </cell>
          <cell r="T489">
            <v>0</v>
          </cell>
          <cell r="V489">
            <v>0</v>
          </cell>
          <cell r="X489">
            <v>0</v>
          </cell>
          <cell r="Z489">
            <v>0</v>
          </cell>
        </row>
        <row r="490">
          <cell r="A490">
            <v>11</v>
          </cell>
          <cell r="B490" t="str">
            <v>Kunci tanam Antik</v>
          </cell>
          <cell r="C490" t="str">
            <v>Set</v>
          </cell>
          <cell r="D490">
            <v>265000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N490">
            <v>0</v>
          </cell>
          <cell r="P490">
            <v>0</v>
          </cell>
          <cell r="R490">
            <v>0</v>
          </cell>
          <cell r="T490">
            <v>0</v>
          </cell>
          <cell r="V490">
            <v>0</v>
          </cell>
          <cell r="X490">
            <v>0</v>
          </cell>
          <cell r="Z490">
            <v>0</v>
          </cell>
        </row>
        <row r="491">
          <cell r="A491">
            <v>12</v>
          </cell>
          <cell r="B491" t="str">
            <v>Kunci tanam biasa</v>
          </cell>
          <cell r="C491" t="str">
            <v>Set</v>
          </cell>
          <cell r="D491">
            <v>168565</v>
          </cell>
          <cell r="E491">
            <v>2</v>
          </cell>
          <cell r="F491">
            <v>337130</v>
          </cell>
          <cell r="G491">
            <v>1</v>
          </cell>
          <cell r="H491">
            <v>168565</v>
          </cell>
          <cell r="I491">
            <v>1</v>
          </cell>
          <cell r="J491">
            <v>168565</v>
          </cell>
          <cell r="K491">
            <v>1</v>
          </cell>
          <cell r="L491">
            <v>168565</v>
          </cell>
          <cell r="N491">
            <v>0</v>
          </cell>
          <cell r="P491">
            <v>0</v>
          </cell>
          <cell r="R491">
            <v>0</v>
          </cell>
          <cell r="T491">
            <v>0</v>
          </cell>
          <cell r="V491">
            <v>0</v>
          </cell>
          <cell r="X491">
            <v>0</v>
          </cell>
          <cell r="Z491">
            <v>0</v>
          </cell>
        </row>
        <row r="492">
          <cell r="A492">
            <v>13</v>
          </cell>
          <cell r="B492" t="str">
            <v>Kunci Silinder</v>
          </cell>
          <cell r="C492" t="str">
            <v>Set</v>
          </cell>
          <cell r="D492">
            <v>217900</v>
          </cell>
          <cell r="F492">
            <v>0</v>
          </cell>
          <cell r="H492">
            <v>0</v>
          </cell>
          <cell r="J492">
            <v>0</v>
          </cell>
          <cell r="K492">
            <v>0</v>
          </cell>
          <cell r="L492">
            <v>0</v>
          </cell>
          <cell r="N492">
            <v>0</v>
          </cell>
          <cell r="P492">
            <v>0</v>
          </cell>
          <cell r="R492">
            <v>0</v>
          </cell>
          <cell r="T492">
            <v>0</v>
          </cell>
          <cell r="V492">
            <v>0</v>
          </cell>
          <cell r="X492">
            <v>0</v>
          </cell>
          <cell r="Z492">
            <v>0</v>
          </cell>
        </row>
        <row r="493">
          <cell r="A493">
            <v>14</v>
          </cell>
          <cell r="B493" t="str">
            <v>Kunci Selot</v>
          </cell>
          <cell r="C493" t="str">
            <v>Set</v>
          </cell>
          <cell r="D493">
            <v>48300</v>
          </cell>
          <cell r="F493">
            <v>0</v>
          </cell>
          <cell r="H493">
            <v>0</v>
          </cell>
          <cell r="J493">
            <v>0</v>
          </cell>
          <cell r="K493">
            <v>0</v>
          </cell>
          <cell r="L493">
            <v>0</v>
          </cell>
          <cell r="N493">
            <v>0</v>
          </cell>
          <cell r="P493">
            <v>0</v>
          </cell>
          <cell r="R493">
            <v>0</v>
          </cell>
          <cell r="T493">
            <v>0</v>
          </cell>
          <cell r="V493">
            <v>0</v>
          </cell>
          <cell r="X493">
            <v>0</v>
          </cell>
          <cell r="Z493">
            <v>0</v>
          </cell>
        </row>
        <row r="494">
          <cell r="A494">
            <v>15</v>
          </cell>
          <cell r="B494" t="str">
            <v>Engsel jendela</v>
          </cell>
          <cell r="C494" t="str">
            <v>Bh</v>
          </cell>
          <cell r="D494">
            <v>16600</v>
          </cell>
          <cell r="F494">
            <v>0</v>
          </cell>
          <cell r="H494">
            <v>0</v>
          </cell>
          <cell r="J494">
            <v>0</v>
          </cell>
          <cell r="K494">
            <v>0</v>
          </cell>
          <cell r="L494">
            <v>0</v>
          </cell>
          <cell r="N494">
            <v>0</v>
          </cell>
          <cell r="P494">
            <v>0</v>
          </cell>
          <cell r="R494">
            <v>0</v>
          </cell>
          <cell r="T494">
            <v>0</v>
          </cell>
          <cell r="V494">
            <v>0</v>
          </cell>
          <cell r="X494">
            <v>0</v>
          </cell>
          <cell r="Z494">
            <v>0</v>
          </cell>
        </row>
        <row r="495">
          <cell r="A495">
            <v>16</v>
          </cell>
          <cell r="B495" t="str">
            <v>Engsel pintu</v>
          </cell>
          <cell r="C495" t="str">
            <v>Bh</v>
          </cell>
          <cell r="D495">
            <v>44395.75</v>
          </cell>
          <cell r="E495">
            <v>4</v>
          </cell>
          <cell r="F495">
            <v>177583</v>
          </cell>
          <cell r="H495">
            <v>0</v>
          </cell>
          <cell r="J495">
            <v>0</v>
          </cell>
          <cell r="K495">
            <v>3</v>
          </cell>
          <cell r="L495">
            <v>133187.25</v>
          </cell>
          <cell r="N495">
            <v>0</v>
          </cell>
          <cell r="P495">
            <v>0</v>
          </cell>
          <cell r="R495">
            <v>0</v>
          </cell>
          <cell r="T495">
            <v>0</v>
          </cell>
          <cell r="V495">
            <v>0</v>
          </cell>
          <cell r="X495">
            <v>0</v>
          </cell>
          <cell r="Z495">
            <v>0</v>
          </cell>
        </row>
        <row r="496">
          <cell r="A496">
            <v>17</v>
          </cell>
          <cell r="B496" t="str">
            <v>Engsel Pintu dari pipa besi dia 2 cm</v>
          </cell>
          <cell r="C496" t="str">
            <v>Bh</v>
          </cell>
          <cell r="D496">
            <v>66593.625</v>
          </cell>
          <cell r="F496">
            <v>0</v>
          </cell>
          <cell r="H496">
            <v>0</v>
          </cell>
          <cell r="J496">
            <v>0</v>
          </cell>
          <cell r="K496">
            <v>0</v>
          </cell>
          <cell r="L496">
            <v>0</v>
          </cell>
          <cell r="N496">
            <v>0</v>
          </cell>
          <cell r="P496">
            <v>0</v>
          </cell>
          <cell r="R496">
            <v>0</v>
          </cell>
          <cell r="T496">
            <v>0</v>
          </cell>
          <cell r="V496">
            <v>0</v>
          </cell>
          <cell r="X496">
            <v>0</v>
          </cell>
          <cell r="Z496">
            <v>0</v>
          </cell>
        </row>
        <row r="497">
          <cell r="A497">
            <v>18</v>
          </cell>
          <cell r="B497" t="str">
            <v>Kait/hak angin</v>
          </cell>
          <cell r="C497" t="str">
            <v>Set</v>
          </cell>
          <cell r="D497">
            <v>27000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N497">
            <v>0</v>
          </cell>
          <cell r="P497">
            <v>0</v>
          </cell>
          <cell r="R497">
            <v>0</v>
          </cell>
          <cell r="T497">
            <v>0</v>
          </cell>
          <cell r="V497">
            <v>0</v>
          </cell>
          <cell r="X497">
            <v>0</v>
          </cell>
          <cell r="Z497">
            <v>0</v>
          </cell>
        </row>
        <row r="498">
          <cell r="A498">
            <v>19</v>
          </cell>
          <cell r="B498" t="str">
            <v>Grendel pintu kuningan</v>
          </cell>
          <cell r="C498" t="str">
            <v>Bh</v>
          </cell>
          <cell r="D498">
            <v>125000</v>
          </cell>
          <cell r="F498">
            <v>0</v>
          </cell>
          <cell r="H498">
            <v>0</v>
          </cell>
          <cell r="J498">
            <v>0</v>
          </cell>
          <cell r="K498">
            <v>0</v>
          </cell>
          <cell r="L498">
            <v>0</v>
          </cell>
          <cell r="N498">
            <v>0</v>
          </cell>
          <cell r="P498">
            <v>0</v>
          </cell>
          <cell r="R498">
            <v>0</v>
          </cell>
          <cell r="T498">
            <v>0</v>
          </cell>
          <cell r="V498">
            <v>0</v>
          </cell>
          <cell r="X498">
            <v>0</v>
          </cell>
          <cell r="Z498">
            <v>0</v>
          </cell>
        </row>
        <row r="499">
          <cell r="A499">
            <v>20</v>
          </cell>
          <cell r="B499" t="str">
            <v xml:space="preserve">Grendel jendela </v>
          </cell>
          <cell r="C499" t="str">
            <v>Bh</v>
          </cell>
          <cell r="D499">
            <v>8100</v>
          </cell>
          <cell r="F499">
            <v>0</v>
          </cell>
          <cell r="H499">
            <v>0</v>
          </cell>
          <cell r="J499">
            <v>0</v>
          </cell>
          <cell r="K499">
            <v>0</v>
          </cell>
          <cell r="L499">
            <v>0</v>
          </cell>
          <cell r="N499">
            <v>0</v>
          </cell>
          <cell r="P499">
            <v>0</v>
          </cell>
          <cell r="R499">
            <v>0</v>
          </cell>
          <cell r="T499">
            <v>0</v>
          </cell>
          <cell r="V499">
            <v>0</v>
          </cell>
          <cell r="X499">
            <v>0</v>
          </cell>
          <cell r="Z499">
            <v>0</v>
          </cell>
        </row>
        <row r="500">
          <cell r="A500">
            <v>21</v>
          </cell>
          <cell r="B500" t="str">
            <v>Grendel pintu</v>
          </cell>
          <cell r="C500" t="str">
            <v>Bh</v>
          </cell>
          <cell r="D500">
            <v>14200</v>
          </cell>
          <cell r="E500">
            <v>2</v>
          </cell>
          <cell r="F500">
            <v>28400</v>
          </cell>
          <cell r="H500">
            <v>0</v>
          </cell>
          <cell r="J500">
            <v>0</v>
          </cell>
          <cell r="K500">
            <v>0</v>
          </cell>
          <cell r="L500">
            <v>0</v>
          </cell>
          <cell r="N500">
            <v>0</v>
          </cell>
          <cell r="P500">
            <v>0</v>
          </cell>
          <cell r="R500">
            <v>0</v>
          </cell>
          <cell r="T500">
            <v>0</v>
          </cell>
          <cell r="V500">
            <v>0</v>
          </cell>
          <cell r="X500">
            <v>0</v>
          </cell>
          <cell r="Z500">
            <v>0</v>
          </cell>
        </row>
        <row r="501">
          <cell r="A501">
            <v>22</v>
          </cell>
          <cell r="B501" t="str">
            <v>Stripting Knip</v>
          </cell>
          <cell r="C501" t="str">
            <v>Set</v>
          </cell>
          <cell r="D501">
            <v>13700</v>
          </cell>
          <cell r="F501">
            <v>0</v>
          </cell>
          <cell r="H501">
            <v>0</v>
          </cell>
          <cell r="J501">
            <v>0</v>
          </cell>
          <cell r="K501">
            <v>0</v>
          </cell>
          <cell r="L501">
            <v>0</v>
          </cell>
          <cell r="N501">
            <v>0</v>
          </cell>
          <cell r="P501">
            <v>0</v>
          </cell>
          <cell r="R501">
            <v>0</v>
          </cell>
          <cell r="T501">
            <v>0</v>
          </cell>
          <cell r="V501">
            <v>0</v>
          </cell>
          <cell r="X501">
            <v>0</v>
          </cell>
          <cell r="Z501">
            <v>0</v>
          </cell>
        </row>
        <row r="502">
          <cell r="A502">
            <v>23</v>
          </cell>
          <cell r="B502" t="str">
            <v>Door Closer</v>
          </cell>
          <cell r="C502" t="str">
            <v>Set</v>
          </cell>
          <cell r="D502">
            <v>260800</v>
          </cell>
          <cell r="F502">
            <v>0</v>
          </cell>
          <cell r="H502">
            <v>0</v>
          </cell>
          <cell r="J502">
            <v>0</v>
          </cell>
          <cell r="K502">
            <v>0</v>
          </cell>
          <cell r="L502">
            <v>0</v>
          </cell>
          <cell r="N502">
            <v>0</v>
          </cell>
          <cell r="P502">
            <v>0</v>
          </cell>
          <cell r="R502">
            <v>0</v>
          </cell>
          <cell r="T502">
            <v>0</v>
          </cell>
          <cell r="V502">
            <v>0</v>
          </cell>
          <cell r="X502">
            <v>0</v>
          </cell>
          <cell r="Z502">
            <v>0</v>
          </cell>
        </row>
        <row r="503">
          <cell r="A503">
            <v>24</v>
          </cell>
          <cell r="B503" t="str">
            <v>Door Holder</v>
          </cell>
          <cell r="C503" t="str">
            <v>Set</v>
          </cell>
          <cell r="D503">
            <v>500000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N503">
            <v>0</v>
          </cell>
          <cell r="P503">
            <v>0</v>
          </cell>
          <cell r="R503">
            <v>0</v>
          </cell>
          <cell r="T503">
            <v>0</v>
          </cell>
          <cell r="V503">
            <v>0</v>
          </cell>
          <cell r="X503">
            <v>0</v>
          </cell>
          <cell r="Z503">
            <v>0</v>
          </cell>
        </row>
        <row r="504">
          <cell r="A504">
            <v>25</v>
          </cell>
          <cell r="B504" t="str">
            <v>Door Stop</v>
          </cell>
          <cell r="C504" t="str">
            <v>Set</v>
          </cell>
          <cell r="D504">
            <v>32100</v>
          </cell>
          <cell r="F504">
            <v>0</v>
          </cell>
          <cell r="H504">
            <v>0</v>
          </cell>
          <cell r="J504">
            <v>0</v>
          </cell>
          <cell r="K504">
            <v>0</v>
          </cell>
          <cell r="L504">
            <v>0</v>
          </cell>
          <cell r="N504">
            <v>0</v>
          </cell>
          <cell r="P504">
            <v>0</v>
          </cell>
          <cell r="R504">
            <v>0</v>
          </cell>
          <cell r="T504">
            <v>0</v>
          </cell>
          <cell r="V504">
            <v>0</v>
          </cell>
          <cell r="X504">
            <v>0</v>
          </cell>
          <cell r="Z504">
            <v>0</v>
          </cell>
        </row>
        <row r="505">
          <cell r="A505">
            <v>26</v>
          </cell>
          <cell r="B505" t="str">
            <v>Kaca bening 5 mm</v>
          </cell>
          <cell r="C505" t="str">
            <v>M2</v>
          </cell>
          <cell r="D505">
            <v>66700</v>
          </cell>
          <cell r="F505">
            <v>0</v>
          </cell>
          <cell r="H505">
            <v>0</v>
          </cell>
          <cell r="I505">
            <v>5.0399999999999993E-2</v>
          </cell>
          <cell r="J505">
            <v>3361.6799999999994</v>
          </cell>
          <cell r="K505">
            <v>0</v>
          </cell>
          <cell r="L505">
            <v>0</v>
          </cell>
          <cell r="M505">
            <v>0.73599999999999999</v>
          </cell>
          <cell r="N505">
            <v>49091.199999999997</v>
          </cell>
          <cell r="O505">
            <v>0.36000000000000004</v>
          </cell>
          <cell r="P505">
            <v>24012.000000000004</v>
          </cell>
          <cell r="Q505">
            <v>0.36000000000000004</v>
          </cell>
          <cell r="R505">
            <v>24012.000000000004</v>
          </cell>
          <cell r="T505">
            <v>0</v>
          </cell>
          <cell r="V505">
            <v>0</v>
          </cell>
          <cell r="X505">
            <v>0</v>
          </cell>
          <cell r="Y505">
            <v>0.14400000000000002</v>
          </cell>
          <cell r="Z505">
            <v>9604.8000000000011</v>
          </cell>
        </row>
        <row r="506">
          <cell r="A506">
            <v>27</v>
          </cell>
          <cell r="B506" t="str">
            <v>Kaca bening 10 mm</v>
          </cell>
          <cell r="C506" t="str">
            <v>M2</v>
          </cell>
          <cell r="D506">
            <v>280895.75</v>
          </cell>
          <cell r="F506">
            <v>0</v>
          </cell>
          <cell r="H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  <cell r="R506">
            <v>0</v>
          </cell>
          <cell r="T506">
            <v>0</v>
          </cell>
          <cell r="V506">
            <v>0</v>
          </cell>
          <cell r="X506">
            <v>0</v>
          </cell>
          <cell r="Z506">
            <v>0</v>
          </cell>
        </row>
        <row r="507">
          <cell r="A507">
            <v>28</v>
          </cell>
          <cell r="B507" t="str">
            <v>Kaca Bening 12 mm</v>
          </cell>
          <cell r="C507" t="str">
            <v>M2</v>
          </cell>
          <cell r="D507">
            <v>403787.64062499994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N507">
            <v>0</v>
          </cell>
          <cell r="P507">
            <v>0</v>
          </cell>
          <cell r="R507">
            <v>0</v>
          </cell>
          <cell r="T507">
            <v>0</v>
          </cell>
          <cell r="V507">
            <v>0</v>
          </cell>
          <cell r="X507">
            <v>0</v>
          </cell>
          <cell r="Z507">
            <v>0</v>
          </cell>
        </row>
        <row r="508">
          <cell r="A508">
            <v>29</v>
          </cell>
          <cell r="B508" t="str">
            <v>Besi hollow 4/4</v>
          </cell>
          <cell r="C508" t="str">
            <v>M'</v>
          </cell>
          <cell r="D508">
            <v>48625.000000000051</v>
          </cell>
          <cell r="F508">
            <v>0</v>
          </cell>
          <cell r="H508">
            <v>0</v>
          </cell>
          <cell r="J508">
            <v>0</v>
          </cell>
          <cell r="K508">
            <v>0</v>
          </cell>
          <cell r="L508">
            <v>0</v>
          </cell>
          <cell r="N508">
            <v>0</v>
          </cell>
          <cell r="P508">
            <v>0</v>
          </cell>
          <cell r="R508">
            <v>0</v>
          </cell>
          <cell r="T508">
            <v>0</v>
          </cell>
          <cell r="V508">
            <v>0</v>
          </cell>
          <cell r="X508">
            <v>0</v>
          </cell>
          <cell r="Z508">
            <v>0</v>
          </cell>
        </row>
        <row r="509">
          <cell r="A509">
            <v>30</v>
          </cell>
          <cell r="B509" t="str">
            <v>Besi hollow 6/6</v>
          </cell>
          <cell r="C509" t="str">
            <v>M'</v>
          </cell>
          <cell r="D509">
            <v>74462.500000000058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N509">
            <v>0</v>
          </cell>
          <cell r="P509">
            <v>0</v>
          </cell>
          <cell r="R509">
            <v>0</v>
          </cell>
          <cell r="T509">
            <v>0</v>
          </cell>
          <cell r="V509">
            <v>0</v>
          </cell>
          <cell r="X509">
            <v>0</v>
          </cell>
          <cell r="Z509">
            <v>0</v>
          </cell>
        </row>
        <row r="510">
          <cell r="A510">
            <v>31</v>
          </cell>
          <cell r="B510" t="str">
            <v>Besi hollow 2.5/5</v>
          </cell>
          <cell r="C510" t="str">
            <v>Kg</v>
          </cell>
          <cell r="D510">
            <v>74462.500000000058</v>
          </cell>
          <cell r="F510">
            <v>0</v>
          </cell>
          <cell r="H510">
            <v>0</v>
          </cell>
          <cell r="J510">
            <v>0</v>
          </cell>
          <cell r="K510">
            <v>0</v>
          </cell>
          <cell r="L510">
            <v>0</v>
          </cell>
          <cell r="N510">
            <v>0</v>
          </cell>
          <cell r="P510">
            <v>0</v>
          </cell>
          <cell r="R510">
            <v>0</v>
          </cell>
          <cell r="T510">
            <v>0</v>
          </cell>
          <cell r="V510">
            <v>0</v>
          </cell>
          <cell r="X510">
            <v>0</v>
          </cell>
          <cell r="Z510">
            <v>0</v>
          </cell>
        </row>
        <row r="511">
          <cell r="A511">
            <v>32</v>
          </cell>
          <cell r="B511" t="str">
            <v>Besi hollow 5/5</v>
          </cell>
          <cell r="C511" t="str">
            <v>Kg</v>
          </cell>
          <cell r="D511">
            <v>74462.500000000058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N511">
            <v>0</v>
          </cell>
          <cell r="P511">
            <v>0</v>
          </cell>
          <cell r="R511">
            <v>0</v>
          </cell>
          <cell r="T511">
            <v>0</v>
          </cell>
          <cell r="V511">
            <v>0</v>
          </cell>
          <cell r="X511">
            <v>0</v>
          </cell>
          <cell r="Z511">
            <v>0</v>
          </cell>
        </row>
        <row r="512">
          <cell r="A512">
            <v>33</v>
          </cell>
          <cell r="B512" t="str">
            <v>Besi hollow 2/2</v>
          </cell>
          <cell r="C512" t="str">
            <v>Kg</v>
          </cell>
          <cell r="D512">
            <v>74462.500000000058</v>
          </cell>
          <cell r="F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P512">
            <v>0</v>
          </cell>
          <cell r="R512">
            <v>0</v>
          </cell>
          <cell r="T512">
            <v>0</v>
          </cell>
          <cell r="V512">
            <v>0</v>
          </cell>
          <cell r="X512">
            <v>0</v>
          </cell>
          <cell r="Z512">
            <v>0</v>
          </cell>
        </row>
        <row r="513">
          <cell r="A513">
            <v>34</v>
          </cell>
          <cell r="B513" t="str">
            <v>Besi hollow 2/4</v>
          </cell>
          <cell r="C513" t="str">
            <v>Kg</v>
          </cell>
          <cell r="D513">
            <v>74462.500000000058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N513">
            <v>0</v>
          </cell>
          <cell r="P513">
            <v>0</v>
          </cell>
          <cell r="R513">
            <v>0</v>
          </cell>
          <cell r="T513">
            <v>0</v>
          </cell>
          <cell r="V513">
            <v>0</v>
          </cell>
          <cell r="X513">
            <v>0</v>
          </cell>
          <cell r="Z513">
            <v>0</v>
          </cell>
        </row>
        <row r="514">
          <cell r="A514">
            <v>35</v>
          </cell>
          <cell r="B514" t="str">
            <v>Kaca Tempered 12 mm</v>
          </cell>
          <cell r="C514" t="str">
            <v>M2</v>
          </cell>
          <cell r="D514">
            <v>528395.75</v>
          </cell>
          <cell r="F514">
            <v>0</v>
          </cell>
          <cell r="H514">
            <v>0</v>
          </cell>
          <cell r="J514">
            <v>0</v>
          </cell>
          <cell r="K514">
            <v>0</v>
          </cell>
          <cell r="L514">
            <v>0</v>
          </cell>
          <cell r="N514">
            <v>0</v>
          </cell>
          <cell r="P514">
            <v>0</v>
          </cell>
          <cell r="R514">
            <v>0</v>
          </cell>
          <cell r="T514">
            <v>0</v>
          </cell>
          <cell r="V514">
            <v>0</v>
          </cell>
          <cell r="X514">
            <v>0</v>
          </cell>
          <cell r="Z514">
            <v>0</v>
          </cell>
        </row>
        <row r="515">
          <cell r="A515">
            <v>36</v>
          </cell>
          <cell r="B515" t="str">
            <v>Glass Block</v>
          </cell>
          <cell r="C515" t="str">
            <v>Bh</v>
          </cell>
          <cell r="D515">
            <v>45000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N515">
            <v>0</v>
          </cell>
          <cell r="P515">
            <v>0</v>
          </cell>
          <cell r="R515">
            <v>0</v>
          </cell>
          <cell r="T515">
            <v>0</v>
          </cell>
          <cell r="V515">
            <v>0</v>
          </cell>
          <cell r="X515">
            <v>0</v>
          </cell>
          <cell r="Z515">
            <v>0</v>
          </cell>
        </row>
        <row r="516">
          <cell r="A516">
            <v>37</v>
          </cell>
          <cell r="B516" t="str">
            <v>Kaca Es</v>
          </cell>
          <cell r="C516" t="str">
            <v>M2</v>
          </cell>
          <cell r="D516">
            <v>66700</v>
          </cell>
          <cell r="F516">
            <v>0</v>
          </cell>
          <cell r="H516">
            <v>0</v>
          </cell>
          <cell r="J516">
            <v>0</v>
          </cell>
          <cell r="K516">
            <v>0</v>
          </cell>
          <cell r="L516">
            <v>0</v>
          </cell>
          <cell r="N516">
            <v>0</v>
          </cell>
          <cell r="P516">
            <v>0</v>
          </cell>
          <cell r="R516">
            <v>0</v>
          </cell>
          <cell r="T516">
            <v>0</v>
          </cell>
          <cell r="V516">
            <v>0</v>
          </cell>
          <cell r="X516">
            <v>0</v>
          </cell>
          <cell r="Z516">
            <v>0</v>
          </cell>
        </row>
        <row r="517">
          <cell r="A517">
            <v>38</v>
          </cell>
          <cell r="B517" t="str">
            <v>Krepyak Kaca Nako + Kerangka</v>
          </cell>
          <cell r="C517" t="str">
            <v>M2</v>
          </cell>
          <cell r="D517">
            <v>81300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N517">
            <v>0</v>
          </cell>
          <cell r="P517">
            <v>0</v>
          </cell>
          <cell r="R517">
            <v>0</v>
          </cell>
          <cell r="T517">
            <v>0</v>
          </cell>
          <cell r="V517">
            <v>0</v>
          </cell>
          <cell r="X517">
            <v>0</v>
          </cell>
          <cell r="Z517">
            <v>0</v>
          </cell>
        </row>
        <row r="518">
          <cell r="A518">
            <v>39</v>
          </cell>
          <cell r="B518" t="str">
            <v>Sticker Efek Kaca Es</v>
          </cell>
          <cell r="C518" t="str">
            <v>M2</v>
          </cell>
          <cell r="D518">
            <v>150000</v>
          </cell>
          <cell r="F518">
            <v>0</v>
          </cell>
          <cell r="H518">
            <v>0</v>
          </cell>
          <cell r="J518">
            <v>0</v>
          </cell>
          <cell r="K518">
            <v>0</v>
          </cell>
          <cell r="L518">
            <v>0</v>
          </cell>
          <cell r="N518">
            <v>0</v>
          </cell>
          <cell r="P518">
            <v>0</v>
          </cell>
          <cell r="R518">
            <v>0</v>
          </cell>
          <cell r="T518">
            <v>0</v>
          </cell>
          <cell r="V518">
            <v>0</v>
          </cell>
          <cell r="X518">
            <v>0</v>
          </cell>
          <cell r="Z518">
            <v>0</v>
          </cell>
        </row>
        <row r="519">
          <cell r="A519">
            <v>40</v>
          </cell>
          <cell r="B519" t="str">
            <v>Rel Pintu Dorong</v>
          </cell>
          <cell r="C519" t="str">
            <v>M'</v>
          </cell>
          <cell r="D519">
            <v>275000</v>
          </cell>
          <cell r="F519">
            <v>0</v>
          </cell>
          <cell r="G519">
            <v>5.2</v>
          </cell>
          <cell r="H519">
            <v>1430000</v>
          </cell>
          <cell r="I519">
            <v>3.2</v>
          </cell>
          <cell r="J519">
            <v>880000</v>
          </cell>
          <cell r="K519">
            <v>0</v>
          </cell>
          <cell r="L519">
            <v>0</v>
          </cell>
          <cell r="N519">
            <v>0</v>
          </cell>
          <cell r="P519">
            <v>0</v>
          </cell>
          <cell r="R519">
            <v>0</v>
          </cell>
          <cell r="T519">
            <v>0</v>
          </cell>
          <cell r="V519">
            <v>0</v>
          </cell>
          <cell r="X519">
            <v>0</v>
          </cell>
          <cell r="Z519">
            <v>0</v>
          </cell>
        </row>
        <row r="520">
          <cell r="A520">
            <v>41</v>
          </cell>
          <cell r="B520" t="str">
            <v>Rolling Door</v>
          </cell>
          <cell r="C520" t="str">
            <v>M2</v>
          </cell>
          <cell r="D520">
            <v>358100</v>
          </cell>
          <cell r="F520">
            <v>0</v>
          </cell>
          <cell r="H520">
            <v>0</v>
          </cell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P520">
            <v>0</v>
          </cell>
          <cell r="R520">
            <v>0</v>
          </cell>
          <cell r="T520">
            <v>0</v>
          </cell>
          <cell r="V520">
            <v>0</v>
          </cell>
          <cell r="X520">
            <v>0</v>
          </cell>
          <cell r="Z520">
            <v>0</v>
          </cell>
        </row>
        <row r="521">
          <cell r="A521">
            <v>42</v>
          </cell>
          <cell r="B521" t="str">
            <v>Roster</v>
          </cell>
          <cell r="C521" t="str">
            <v>M2</v>
          </cell>
          <cell r="D521">
            <v>133850</v>
          </cell>
          <cell r="F521">
            <v>0</v>
          </cell>
          <cell r="H521">
            <v>0</v>
          </cell>
          <cell r="J521">
            <v>0</v>
          </cell>
          <cell r="K521">
            <v>0</v>
          </cell>
          <cell r="L521">
            <v>0</v>
          </cell>
          <cell r="N521">
            <v>0</v>
          </cell>
          <cell r="P521">
            <v>0</v>
          </cell>
          <cell r="R521">
            <v>0</v>
          </cell>
          <cell r="S521">
            <v>0.16000000000000003</v>
          </cell>
          <cell r="T521">
            <v>21416.000000000004</v>
          </cell>
          <cell r="U521">
            <v>0.48</v>
          </cell>
          <cell r="V521">
            <v>64248</v>
          </cell>
          <cell r="W521">
            <v>0.48000000000000009</v>
          </cell>
          <cell r="X521">
            <v>64248.000000000015</v>
          </cell>
          <cell r="Z521">
            <v>0</v>
          </cell>
        </row>
        <row r="522">
          <cell r="A522">
            <v>43</v>
          </cell>
          <cell r="B522" t="str">
            <v>Gipsum Board</v>
          </cell>
          <cell r="C522" t="str">
            <v>M2</v>
          </cell>
          <cell r="D522">
            <v>29000</v>
          </cell>
          <cell r="F522">
            <v>0</v>
          </cell>
          <cell r="H522">
            <v>0</v>
          </cell>
          <cell r="J522">
            <v>0</v>
          </cell>
          <cell r="K522">
            <v>0</v>
          </cell>
          <cell r="L522">
            <v>0</v>
          </cell>
          <cell r="N522">
            <v>0</v>
          </cell>
          <cell r="P522">
            <v>0</v>
          </cell>
          <cell r="R522">
            <v>0</v>
          </cell>
          <cell r="T522">
            <v>0</v>
          </cell>
          <cell r="V522">
            <v>0</v>
          </cell>
          <cell r="X522">
            <v>0</v>
          </cell>
          <cell r="Z522">
            <v>0</v>
          </cell>
        </row>
        <row r="523">
          <cell r="A523">
            <v>44</v>
          </cell>
          <cell r="B523" t="str">
            <v>List Gipsum</v>
          </cell>
          <cell r="C523" t="str">
            <v>M'</v>
          </cell>
          <cell r="D523">
            <v>17300</v>
          </cell>
          <cell r="F523">
            <v>0</v>
          </cell>
          <cell r="H523">
            <v>0</v>
          </cell>
          <cell r="J523">
            <v>0</v>
          </cell>
          <cell r="K523">
            <v>0</v>
          </cell>
          <cell r="L523">
            <v>0</v>
          </cell>
          <cell r="N523">
            <v>0</v>
          </cell>
          <cell r="P523">
            <v>0</v>
          </cell>
          <cell r="R523">
            <v>0</v>
          </cell>
          <cell r="T523">
            <v>0</v>
          </cell>
          <cell r="V523">
            <v>0</v>
          </cell>
          <cell r="X523">
            <v>0</v>
          </cell>
          <cell r="Z523">
            <v>0</v>
          </cell>
        </row>
        <row r="524">
          <cell r="A524">
            <v>45</v>
          </cell>
          <cell r="B524" t="str">
            <v>Sealent</v>
          </cell>
          <cell r="C524" t="str">
            <v>M'</v>
          </cell>
          <cell r="D524">
            <v>8400</v>
          </cell>
          <cell r="F524">
            <v>0</v>
          </cell>
          <cell r="H524">
            <v>0</v>
          </cell>
          <cell r="I524">
            <v>2.16</v>
          </cell>
          <cell r="J524">
            <v>18144</v>
          </cell>
          <cell r="K524">
            <v>0</v>
          </cell>
          <cell r="L524">
            <v>0</v>
          </cell>
          <cell r="M524">
            <v>10.479999999999999</v>
          </cell>
          <cell r="N524">
            <v>88031.999999999985</v>
          </cell>
          <cell r="O524">
            <v>8.8000000000000007</v>
          </cell>
          <cell r="P524">
            <v>73920</v>
          </cell>
          <cell r="Q524">
            <v>8.8000000000000007</v>
          </cell>
          <cell r="R524">
            <v>73920</v>
          </cell>
          <cell r="T524">
            <v>0</v>
          </cell>
          <cell r="V524">
            <v>0</v>
          </cell>
          <cell r="X524">
            <v>0</v>
          </cell>
          <cell r="Y524">
            <v>7.52</v>
          </cell>
          <cell r="Z524">
            <v>63168</v>
          </cell>
        </row>
        <row r="525">
          <cell r="A525">
            <v>46</v>
          </cell>
          <cell r="B525" t="str">
            <v>Benangan Kusen</v>
          </cell>
          <cell r="C525" t="str">
            <v>M'</v>
          </cell>
          <cell r="D525">
            <v>4296.0074999999997</v>
          </cell>
          <cell r="E525">
            <v>11.8</v>
          </cell>
          <cell r="F525">
            <v>50692.888500000001</v>
          </cell>
          <cell r="G525">
            <v>10.4</v>
          </cell>
          <cell r="H525">
            <v>44678.477999999996</v>
          </cell>
          <cell r="I525">
            <v>6.4</v>
          </cell>
          <cell r="J525">
            <v>27494.448</v>
          </cell>
          <cell r="K525">
            <v>5.7839999999999998</v>
          </cell>
          <cell r="L525">
            <v>24848.107379999998</v>
          </cell>
          <cell r="M525">
            <v>11.28</v>
          </cell>
          <cell r="N525">
            <v>48458.964599999992</v>
          </cell>
          <cell r="O525">
            <v>5.6</v>
          </cell>
          <cell r="P525">
            <v>24057.641999999996</v>
          </cell>
          <cell r="Q525">
            <v>5.6</v>
          </cell>
          <cell r="R525">
            <v>24057.641999999996</v>
          </cell>
          <cell r="S525">
            <v>3.2</v>
          </cell>
          <cell r="T525">
            <v>13747.224</v>
          </cell>
          <cell r="U525">
            <v>6.4</v>
          </cell>
          <cell r="V525">
            <v>27494.448</v>
          </cell>
          <cell r="W525">
            <v>9.6000000000000014</v>
          </cell>
          <cell r="X525">
            <v>41241.672000000006</v>
          </cell>
          <cell r="Y525">
            <v>7.52</v>
          </cell>
          <cell r="Z525">
            <v>32305.976399999996</v>
          </cell>
        </row>
        <row r="526">
          <cell r="A526">
            <v>47</v>
          </cell>
          <cell r="B526" t="str">
            <v xml:space="preserve">Cat Kayu </v>
          </cell>
          <cell r="C526" t="str">
            <v>M2</v>
          </cell>
          <cell r="D526">
            <v>19370.5</v>
          </cell>
          <cell r="E526">
            <v>9.0239999999999991</v>
          </cell>
          <cell r="F526">
            <v>174799.39199999999</v>
          </cell>
          <cell r="G526">
            <v>0.28559999999999997</v>
          </cell>
          <cell r="H526">
            <v>5532.2147999999997</v>
          </cell>
          <cell r="I526">
            <v>3.2</v>
          </cell>
          <cell r="J526">
            <v>61985.600000000006</v>
          </cell>
          <cell r="K526">
            <v>4.0991999999999997</v>
          </cell>
          <cell r="L526">
            <v>79403.553599999999</v>
          </cell>
          <cell r="N526">
            <v>0</v>
          </cell>
          <cell r="P526">
            <v>0</v>
          </cell>
          <cell r="R526">
            <v>0</v>
          </cell>
          <cell r="T526">
            <v>0</v>
          </cell>
          <cell r="V526">
            <v>0</v>
          </cell>
          <cell r="X526">
            <v>0</v>
          </cell>
          <cell r="Z526">
            <v>0</v>
          </cell>
        </row>
        <row r="527">
          <cell r="A527">
            <v>48</v>
          </cell>
          <cell r="B527" t="str">
            <v>Cat Besi</v>
          </cell>
          <cell r="C527" t="str">
            <v>M2</v>
          </cell>
          <cell r="D527">
            <v>13698</v>
          </cell>
          <cell r="E527">
            <v>7.2059399999999991</v>
          </cell>
          <cell r="F527">
            <v>98706.966119999983</v>
          </cell>
          <cell r="G527">
            <v>8.2644799999999989</v>
          </cell>
          <cell r="H527">
            <v>113206.84703999998</v>
          </cell>
          <cell r="J527">
            <v>0</v>
          </cell>
          <cell r="K527">
            <v>0</v>
          </cell>
          <cell r="L527">
            <v>0</v>
          </cell>
          <cell r="N527">
            <v>0</v>
          </cell>
          <cell r="P527">
            <v>0</v>
          </cell>
          <cell r="R527">
            <v>0</v>
          </cell>
          <cell r="T527">
            <v>0</v>
          </cell>
          <cell r="V527">
            <v>0</v>
          </cell>
          <cell r="X527">
            <v>0</v>
          </cell>
          <cell r="Z527">
            <v>0</v>
          </cell>
        </row>
        <row r="528">
          <cell r="A528">
            <v>49</v>
          </cell>
          <cell r="B528" t="str">
            <v>Cat Dinding</v>
          </cell>
          <cell r="C528" t="str">
            <v>M2</v>
          </cell>
          <cell r="D528">
            <v>9900</v>
          </cell>
          <cell r="F528">
            <v>0</v>
          </cell>
          <cell r="H528">
            <v>0</v>
          </cell>
          <cell r="J528">
            <v>0</v>
          </cell>
          <cell r="K528">
            <v>0</v>
          </cell>
          <cell r="L528">
            <v>0</v>
          </cell>
          <cell r="N528">
            <v>0</v>
          </cell>
          <cell r="P528">
            <v>0</v>
          </cell>
          <cell r="R528">
            <v>0</v>
          </cell>
          <cell r="S528">
            <v>0.32000000000000006</v>
          </cell>
          <cell r="T528">
            <v>3168.0000000000005</v>
          </cell>
          <cell r="U528">
            <v>0.96</v>
          </cell>
          <cell r="V528">
            <v>9504</v>
          </cell>
          <cell r="W528">
            <v>0.96000000000000019</v>
          </cell>
          <cell r="X528">
            <v>9504.0000000000018</v>
          </cell>
          <cell r="Z528">
            <v>0</v>
          </cell>
        </row>
        <row r="529">
          <cell r="A529">
            <v>50</v>
          </cell>
          <cell r="B529" t="str">
            <v>Plesteran Camprot</v>
          </cell>
          <cell r="C529" t="str">
            <v>M2</v>
          </cell>
          <cell r="D529">
            <v>14600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N529">
            <v>0</v>
          </cell>
          <cell r="P529">
            <v>0</v>
          </cell>
          <cell r="R529">
            <v>0</v>
          </cell>
          <cell r="T529">
            <v>0</v>
          </cell>
          <cell r="X529">
            <v>0</v>
          </cell>
          <cell r="Z529">
            <v>0</v>
          </cell>
        </row>
        <row r="531">
          <cell r="B531" t="str">
            <v>Jumlah Harga</v>
          </cell>
          <cell r="F531">
            <v>3739611.0586999999</v>
          </cell>
          <cell r="H531">
            <v>4721655.0178800011</v>
          </cell>
          <cell r="J531">
            <v>1172750.7280000001</v>
          </cell>
          <cell r="L531">
            <v>1690743.9109799999</v>
          </cell>
          <cell r="N531">
            <v>185582.16459999996</v>
          </cell>
          <cell r="P531">
            <v>121989.64199999999</v>
          </cell>
          <cell r="R531">
            <v>121989.64199999999</v>
          </cell>
          <cell r="T531">
            <v>38331.224000000002</v>
          </cell>
          <cell r="V531">
            <v>101246.448</v>
          </cell>
          <cell r="X531">
            <v>114993.67200000002</v>
          </cell>
          <cell r="Z531">
            <v>105078.7764</v>
          </cell>
        </row>
        <row r="535">
          <cell r="A535" t="str">
            <v>No.</v>
          </cell>
          <cell r="B535" t="str">
            <v>Item Pekerjaan</v>
          </cell>
          <cell r="C535" t="str">
            <v>Satuan</v>
          </cell>
          <cell r="D535" t="str">
            <v>Harga Satuan</v>
          </cell>
          <cell r="E535" t="str">
            <v>P1</v>
          </cell>
          <cell r="G535" t="str">
            <v>P2</v>
          </cell>
          <cell r="I535" t="str">
            <v>P3</v>
          </cell>
          <cell r="K535" t="str">
            <v>P3'</v>
          </cell>
          <cell r="M535" t="str">
            <v>J1</v>
          </cell>
          <cell r="O535" t="str">
            <v>J2</v>
          </cell>
          <cell r="Q535" t="str">
            <v>J3</v>
          </cell>
          <cell r="S535" t="str">
            <v>J4</v>
          </cell>
          <cell r="U535" t="str">
            <v>R1</v>
          </cell>
          <cell r="W535" t="str">
            <v>R3</v>
          </cell>
          <cell r="Y535" t="str">
            <v>J1</v>
          </cell>
          <cell r="AA535" t="str">
            <v>BV1</v>
          </cell>
        </row>
        <row r="536">
          <cell r="D536" t="str">
            <v>Rp.</v>
          </cell>
          <cell r="E536" t="str">
            <v>Vol.</v>
          </cell>
          <cell r="F536" t="str">
            <v>Jumlah Harga</v>
          </cell>
          <cell r="G536" t="str">
            <v>Vol.</v>
          </cell>
          <cell r="H536" t="str">
            <v>Jumlah Harga</v>
          </cell>
          <cell r="I536" t="str">
            <v>Vol.</v>
          </cell>
          <cell r="J536" t="str">
            <v>Jumlah Harga</v>
          </cell>
          <cell r="K536" t="str">
            <v>Vol.</v>
          </cell>
          <cell r="L536" t="str">
            <v>Jumlah Harga</v>
          </cell>
          <cell r="M536" t="str">
            <v>Vol.</v>
          </cell>
          <cell r="N536" t="str">
            <v>Jumlah Harga</v>
          </cell>
          <cell r="O536" t="str">
            <v>Vol.</v>
          </cell>
          <cell r="P536" t="str">
            <v>Jumlah Harga</v>
          </cell>
          <cell r="Q536" t="str">
            <v>Vol.</v>
          </cell>
          <cell r="R536" t="str">
            <v>Jumlah Harga</v>
          </cell>
          <cell r="S536" t="str">
            <v>Vol.</v>
          </cell>
          <cell r="T536" t="str">
            <v>Jumlah Harga</v>
          </cell>
          <cell r="U536" t="str">
            <v>Vol.</v>
          </cell>
          <cell r="V536" t="str">
            <v>Jumlah Harga</v>
          </cell>
          <cell r="W536" t="str">
            <v>Vol.</v>
          </cell>
          <cell r="X536" t="str">
            <v>Jumlah Harga</v>
          </cell>
          <cell r="Y536" t="str">
            <v>Vol.</v>
          </cell>
          <cell r="Z536" t="str">
            <v>Jumlah Harga</v>
          </cell>
          <cell r="AA536" t="str">
            <v>Vol.</v>
          </cell>
          <cell r="AB536" t="str">
            <v>Jumlah Harga</v>
          </cell>
        </row>
        <row r="537">
          <cell r="A537" t="str">
            <v>VIII.</v>
          </cell>
          <cell r="B537" t="str">
            <v>UNIT PERUMAHAN</v>
          </cell>
        </row>
        <row r="539">
          <cell r="A539">
            <v>1</v>
          </cell>
          <cell r="B539" t="str">
            <v>Kayu 6/12</v>
          </cell>
          <cell r="C539" t="str">
            <v>M3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N539">
            <v>0</v>
          </cell>
          <cell r="P539">
            <v>0</v>
          </cell>
          <cell r="R539">
            <v>0</v>
          </cell>
          <cell r="T539">
            <v>0</v>
          </cell>
          <cell r="V539">
            <v>0</v>
          </cell>
          <cell r="X539">
            <v>0</v>
          </cell>
          <cell r="Z539">
            <v>0</v>
          </cell>
          <cell r="AB539">
            <v>0</v>
          </cell>
        </row>
        <row r="540">
          <cell r="A540">
            <v>2</v>
          </cell>
          <cell r="B540" t="str">
            <v>Kayu Slimar 3/10</v>
          </cell>
          <cell r="C540" t="str">
            <v>M3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N540">
            <v>0</v>
          </cell>
          <cell r="P540">
            <v>0</v>
          </cell>
          <cell r="R540">
            <v>0</v>
          </cell>
          <cell r="T540">
            <v>0</v>
          </cell>
          <cell r="V540">
            <v>0</v>
          </cell>
          <cell r="X540">
            <v>0</v>
          </cell>
          <cell r="Z540">
            <v>0</v>
          </cell>
          <cell r="AB540">
            <v>0</v>
          </cell>
        </row>
        <row r="541">
          <cell r="A541">
            <v>3</v>
          </cell>
          <cell r="B541" t="str">
            <v>Kayu Slimar 3/15</v>
          </cell>
          <cell r="C541" t="str">
            <v>M3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N541">
            <v>0</v>
          </cell>
          <cell r="P541">
            <v>0</v>
          </cell>
          <cell r="R541">
            <v>0</v>
          </cell>
          <cell r="T541">
            <v>0</v>
          </cell>
          <cell r="V541">
            <v>0</v>
          </cell>
          <cell r="X541">
            <v>0</v>
          </cell>
          <cell r="Z541">
            <v>0</v>
          </cell>
          <cell r="AB541">
            <v>0</v>
          </cell>
        </row>
        <row r="542">
          <cell r="A542">
            <v>4</v>
          </cell>
          <cell r="B542" t="str">
            <v>Kayu Slimar 3/20</v>
          </cell>
          <cell r="C542" t="str">
            <v>M3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P542">
            <v>0</v>
          </cell>
          <cell r="R542">
            <v>0</v>
          </cell>
          <cell r="T542">
            <v>0</v>
          </cell>
          <cell r="V542">
            <v>0</v>
          </cell>
          <cell r="X542">
            <v>0</v>
          </cell>
          <cell r="Z542">
            <v>0</v>
          </cell>
          <cell r="AB542">
            <v>0</v>
          </cell>
        </row>
        <row r="543">
          <cell r="A543">
            <v>5</v>
          </cell>
          <cell r="B543" t="str">
            <v>Kayu 2/10</v>
          </cell>
          <cell r="C543" t="str">
            <v>M3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6.8</v>
          </cell>
          <cell r="N543">
            <v>0</v>
          </cell>
          <cell r="O543">
            <v>4.5600000000000005</v>
          </cell>
          <cell r="P543">
            <v>0</v>
          </cell>
          <cell r="Q543">
            <v>3.5199999999999996</v>
          </cell>
          <cell r="R543">
            <v>0</v>
          </cell>
          <cell r="S543">
            <v>5.0999999999999996</v>
          </cell>
          <cell r="T543">
            <v>0</v>
          </cell>
          <cell r="U543">
            <v>2</v>
          </cell>
          <cell r="V543">
            <v>0</v>
          </cell>
          <cell r="X543">
            <v>0</v>
          </cell>
          <cell r="Y543">
            <v>3.76</v>
          </cell>
          <cell r="Z543">
            <v>0</v>
          </cell>
          <cell r="AA543">
            <v>1.6</v>
          </cell>
          <cell r="AB543">
            <v>0</v>
          </cell>
        </row>
        <row r="544">
          <cell r="A544">
            <v>6</v>
          </cell>
          <cell r="B544" t="str">
            <v>Panil t = 3 cm</v>
          </cell>
          <cell r="C544" t="str">
            <v>M2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L544">
            <v>0</v>
          </cell>
          <cell r="N544">
            <v>0</v>
          </cell>
          <cell r="P544">
            <v>0</v>
          </cell>
          <cell r="R544">
            <v>0</v>
          </cell>
          <cell r="T544">
            <v>0</v>
          </cell>
          <cell r="V544">
            <v>0</v>
          </cell>
          <cell r="X544">
            <v>0</v>
          </cell>
          <cell r="Z544">
            <v>0</v>
          </cell>
          <cell r="AB544">
            <v>0</v>
          </cell>
        </row>
        <row r="545">
          <cell r="A545">
            <v>1</v>
          </cell>
          <cell r="B545" t="str">
            <v>Kusen Aluminium 5/10</v>
          </cell>
          <cell r="C545" t="str">
            <v>M'</v>
          </cell>
          <cell r="D545">
            <v>124948</v>
          </cell>
          <cell r="E545">
            <v>6.1999999999999993</v>
          </cell>
          <cell r="F545">
            <v>774677.59999999986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L545">
            <v>0</v>
          </cell>
          <cell r="N545">
            <v>0</v>
          </cell>
          <cell r="P545">
            <v>0</v>
          </cell>
          <cell r="R545">
            <v>0</v>
          </cell>
          <cell r="T545">
            <v>0</v>
          </cell>
          <cell r="V545">
            <v>0</v>
          </cell>
          <cell r="X545">
            <v>0</v>
          </cell>
          <cell r="Z545">
            <v>0</v>
          </cell>
          <cell r="AB545">
            <v>0</v>
          </cell>
        </row>
        <row r="546">
          <cell r="A546">
            <v>2</v>
          </cell>
          <cell r="B546" t="str">
            <v xml:space="preserve">Rangka Daun Jendela Alumunium </v>
          </cell>
          <cell r="C546" t="str">
            <v>M'</v>
          </cell>
          <cell r="D546">
            <v>124948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L546">
            <v>0</v>
          </cell>
          <cell r="M546">
            <v>4.16</v>
          </cell>
          <cell r="N546">
            <v>519783.67999999999</v>
          </cell>
          <cell r="O546">
            <v>4</v>
          </cell>
          <cell r="P546">
            <v>499792</v>
          </cell>
          <cell r="Q546">
            <v>3.12</v>
          </cell>
          <cell r="R546">
            <v>389837.76</v>
          </cell>
          <cell r="T546">
            <v>0</v>
          </cell>
          <cell r="V546">
            <v>0</v>
          </cell>
          <cell r="X546">
            <v>0</v>
          </cell>
          <cell r="Z546">
            <v>0</v>
          </cell>
          <cell r="AB546">
            <v>0</v>
          </cell>
        </row>
        <row r="547">
          <cell r="A547">
            <v>3</v>
          </cell>
          <cell r="B547" t="str">
            <v>Rangka Tiang Sirip Alumunium 1/1 Putih</v>
          </cell>
          <cell r="C547" t="str">
            <v>M'</v>
          </cell>
          <cell r="D547">
            <v>62474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L547">
            <v>0</v>
          </cell>
          <cell r="N547">
            <v>0</v>
          </cell>
          <cell r="P547">
            <v>0</v>
          </cell>
          <cell r="R547">
            <v>0</v>
          </cell>
          <cell r="T547">
            <v>0</v>
          </cell>
          <cell r="V547">
            <v>0</v>
          </cell>
          <cell r="X547">
            <v>0</v>
          </cell>
          <cell r="Z547">
            <v>0</v>
          </cell>
          <cell r="AB547">
            <v>0</v>
          </cell>
        </row>
        <row r="548">
          <cell r="A548">
            <v>4</v>
          </cell>
          <cell r="B548" t="str">
            <v>Pasang Shading Sirip Alumunium 0.2/10 +Rangka</v>
          </cell>
          <cell r="C548" t="str">
            <v>M2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N548">
            <v>0</v>
          </cell>
          <cell r="P548">
            <v>0</v>
          </cell>
          <cell r="R548">
            <v>0</v>
          </cell>
          <cell r="T548">
            <v>0</v>
          </cell>
          <cell r="V548">
            <v>0</v>
          </cell>
          <cell r="X548">
            <v>0</v>
          </cell>
          <cell r="Z548">
            <v>0</v>
          </cell>
          <cell r="AB548">
            <v>0</v>
          </cell>
        </row>
        <row r="549">
          <cell r="A549">
            <v>5</v>
          </cell>
          <cell r="B549" t="str">
            <v>Daun Pintu Panil Kamper</v>
          </cell>
          <cell r="C549" t="str">
            <v>bh</v>
          </cell>
          <cell r="D549">
            <v>550000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N549">
            <v>0</v>
          </cell>
          <cell r="P549">
            <v>0</v>
          </cell>
          <cell r="R549">
            <v>0</v>
          </cell>
          <cell r="T549">
            <v>0</v>
          </cell>
          <cell r="V549">
            <v>0</v>
          </cell>
          <cell r="X549">
            <v>0</v>
          </cell>
          <cell r="Z549">
            <v>0</v>
          </cell>
          <cell r="AB549">
            <v>0</v>
          </cell>
        </row>
        <row r="550">
          <cell r="A550">
            <v>6</v>
          </cell>
          <cell r="B550" t="str">
            <v>Plat besi t = 2 mm</v>
          </cell>
          <cell r="C550" t="str">
            <v>Kg</v>
          </cell>
          <cell r="D550">
            <v>0</v>
          </cell>
          <cell r="E550">
            <v>0</v>
          </cell>
          <cell r="F550">
            <v>0</v>
          </cell>
          <cell r="G550">
            <v>57.085200000000007</v>
          </cell>
          <cell r="H550">
            <v>0</v>
          </cell>
          <cell r="I550">
            <v>57.085200000000007</v>
          </cell>
          <cell r="J550">
            <v>0</v>
          </cell>
          <cell r="L550">
            <v>0</v>
          </cell>
          <cell r="N550">
            <v>0</v>
          </cell>
          <cell r="P550">
            <v>0</v>
          </cell>
          <cell r="R550">
            <v>0</v>
          </cell>
          <cell r="T550">
            <v>0</v>
          </cell>
          <cell r="V550">
            <v>0</v>
          </cell>
          <cell r="X550">
            <v>0</v>
          </cell>
          <cell r="Z550">
            <v>0</v>
          </cell>
          <cell r="AB550">
            <v>0</v>
          </cell>
        </row>
        <row r="551">
          <cell r="A551">
            <v>7</v>
          </cell>
          <cell r="B551" t="str">
            <v>C 40.40.2  (pesan khusus)</v>
          </cell>
          <cell r="C551" t="str">
            <v>Kg</v>
          </cell>
          <cell r="D551">
            <v>14122.3</v>
          </cell>
          <cell r="E551">
            <v>0</v>
          </cell>
          <cell r="F551">
            <v>0</v>
          </cell>
          <cell r="G551">
            <v>42.56</v>
          </cell>
          <cell r="H551">
            <v>601045.08799999999</v>
          </cell>
          <cell r="I551">
            <v>42.56</v>
          </cell>
          <cell r="J551">
            <v>601045.08799999999</v>
          </cell>
          <cell r="L551">
            <v>0</v>
          </cell>
          <cell r="N551">
            <v>0</v>
          </cell>
          <cell r="P551">
            <v>0</v>
          </cell>
          <cell r="R551">
            <v>0</v>
          </cell>
          <cell r="T551">
            <v>0</v>
          </cell>
          <cell r="V551">
            <v>0</v>
          </cell>
          <cell r="X551">
            <v>0</v>
          </cell>
          <cell r="Z551">
            <v>0</v>
          </cell>
          <cell r="AB551">
            <v>0</v>
          </cell>
        </row>
        <row r="552">
          <cell r="A552">
            <v>8</v>
          </cell>
          <cell r="B552" t="str">
            <v>Handle besi dia 16 mm</v>
          </cell>
          <cell r="C552" t="str">
            <v>Set</v>
          </cell>
          <cell r="D552">
            <v>129652.5</v>
          </cell>
          <cell r="E552">
            <v>0</v>
          </cell>
          <cell r="F552">
            <v>0</v>
          </cell>
          <cell r="G552">
            <v>1</v>
          </cell>
          <cell r="H552">
            <v>129652.5</v>
          </cell>
          <cell r="I552">
            <v>1</v>
          </cell>
          <cell r="J552">
            <v>129652.5</v>
          </cell>
          <cell r="L552">
            <v>0</v>
          </cell>
          <cell r="N552">
            <v>0</v>
          </cell>
          <cell r="P552">
            <v>0</v>
          </cell>
          <cell r="R552">
            <v>0</v>
          </cell>
          <cell r="T552">
            <v>0</v>
          </cell>
          <cell r="V552">
            <v>0</v>
          </cell>
          <cell r="X552">
            <v>0</v>
          </cell>
          <cell r="Z552">
            <v>0</v>
          </cell>
          <cell r="AB552">
            <v>0</v>
          </cell>
        </row>
        <row r="553">
          <cell r="A553">
            <v>9</v>
          </cell>
          <cell r="B553" t="str">
            <v>Hendle pintu Stainless</v>
          </cell>
          <cell r="C553" t="str">
            <v>Set</v>
          </cell>
          <cell r="D553">
            <v>261652.5</v>
          </cell>
          <cell r="E553">
            <v>2</v>
          </cell>
          <cell r="F553">
            <v>523305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N553">
            <v>0</v>
          </cell>
          <cell r="P553">
            <v>0</v>
          </cell>
          <cell r="R553">
            <v>0</v>
          </cell>
          <cell r="T553">
            <v>0</v>
          </cell>
          <cell r="V553">
            <v>0</v>
          </cell>
          <cell r="X553">
            <v>0</v>
          </cell>
          <cell r="Z553">
            <v>0</v>
          </cell>
          <cell r="AB553">
            <v>0</v>
          </cell>
        </row>
        <row r="554">
          <cell r="A554">
            <v>10</v>
          </cell>
          <cell r="B554" t="str">
            <v>Kunci Pintu Handle stainleess (dorma)</v>
          </cell>
          <cell r="C554" t="str">
            <v>Set</v>
          </cell>
          <cell r="D554">
            <v>650000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N554">
            <v>0</v>
          </cell>
          <cell r="P554">
            <v>0</v>
          </cell>
          <cell r="R554">
            <v>0</v>
          </cell>
          <cell r="T554">
            <v>0</v>
          </cell>
          <cell r="V554">
            <v>0</v>
          </cell>
          <cell r="X554">
            <v>0</v>
          </cell>
          <cell r="Z554">
            <v>0</v>
          </cell>
          <cell r="AB554">
            <v>0</v>
          </cell>
        </row>
        <row r="555">
          <cell r="A555">
            <v>11</v>
          </cell>
          <cell r="B555" t="str">
            <v>Kunci tanam Antik</v>
          </cell>
          <cell r="C555" t="str">
            <v>Set</v>
          </cell>
          <cell r="D555">
            <v>265000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N555">
            <v>0</v>
          </cell>
          <cell r="P555">
            <v>0</v>
          </cell>
          <cell r="R555">
            <v>0</v>
          </cell>
          <cell r="T555">
            <v>0</v>
          </cell>
          <cell r="V555">
            <v>0</v>
          </cell>
          <cell r="X555">
            <v>0</v>
          </cell>
          <cell r="Z555">
            <v>0</v>
          </cell>
          <cell r="AB555">
            <v>0</v>
          </cell>
        </row>
        <row r="556">
          <cell r="A556">
            <v>12</v>
          </cell>
          <cell r="B556" t="str">
            <v>Kunci tanam biasa</v>
          </cell>
          <cell r="C556" t="str">
            <v>Set</v>
          </cell>
          <cell r="D556">
            <v>168565</v>
          </cell>
          <cell r="E556">
            <v>0</v>
          </cell>
          <cell r="F556">
            <v>0</v>
          </cell>
          <cell r="G556">
            <v>1</v>
          </cell>
          <cell r="H556">
            <v>168565</v>
          </cell>
          <cell r="I556">
            <v>1</v>
          </cell>
          <cell r="J556">
            <v>168565</v>
          </cell>
          <cell r="K556">
            <v>1</v>
          </cell>
          <cell r="L556">
            <v>168565</v>
          </cell>
          <cell r="N556">
            <v>0</v>
          </cell>
          <cell r="P556">
            <v>0</v>
          </cell>
          <cell r="R556">
            <v>0</v>
          </cell>
          <cell r="T556">
            <v>0</v>
          </cell>
          <cell r="V556">
            <v>0</v>
          </cell>
          <cell r="X556">
            <v>0</v>
          </cell>
          <cell r="Z556">
            <v>0</v>
          </cell>
          <cell r="AB556">
            <v>0</v>
          </cell>
        </row>
        <row r="557">
          <cell r="A557">
            <v>13</v>
          </cell>
          <cell r="B557" t="str">
            <v>Kunci Silinder</v>
          </cell>
          <cell r="C557" t="str">
            <v>Set</v>
          </cell>
          <cell r="D557">
            <v>217900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N557">
            <v>0</v>
          </cell>
          <cell r="P557">
            <v>0</v>
          </cell>
          <cell r="R557">
            <v>0</v>
          </cell>
          <cell r="T557">
            <v>0</v>
          </cell>
          <cell r="V557">
            <v>0</v>
          </cell>
          <cell r="X557">
            <v>0</v>
          </cell>
          <cell r="Z557">
            <v>0</v>
          </cell>
          <cell r="AB557">
            <v>0</v>
          </cell>
        </row>
        <row r="558">
          <cell r="A558">
            <v>14</v>
          </cell>
          <cell r="B558" t="str">
            <v>Kunci Selot</v>
          </cell>
          <cell r="C558" t="str">
            <v>Set</v>
          </cell>
          <cell r="D558">
            <v>48300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N558">
            <v>0</v>
          </cell>
          <cell r="P558">
            <v>0</v>
          </cell>
          <cell r="R558">
            <v>0</v>
          </cell>
          <cell r="T558">
            <v>0</v>
          </cell>
          <cell r="V558">
            <v>0</v>
          </cell>
          <cell r="X558">
            <v>0</v>
          </cell>
          <cell r="Z558">
            <v>0</v>
          </cell>
          <cell r="AB558">
            <v>0</v>
          </cell>
        </row>
        <row r="559">
          <cell r="A559">
            <v>15</v>
          </cell>
          <cell r="B559" t="str">
            <v>Engsel jendela</v>
          </cell>
          <cell r="C559" t="str">
            <v>Bh</v>
          </cell>
          <cell r="D559">
            <v>16600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4</v>
          </cell>
          <cell r="N559">
            <v>66400</v>
          </cell>
          <cell r="O559">
            <v>2</v>
          </cell>
          <cell r="P559">
            <v>33200</v>
          </cell>
          <cell r="Q559">
            <v>2</v>
          </cell>
          <cell r="R559">
            <v>33200</v>
          </cell>
          <cell r="T559">
            <v>0</v>
          </cell>
          <cell r="V559">
            <v>0</v>
          </cell>
          <cell r="X559">
            <v>0</v>
          </cell>
          <cell r="Z559">
            <v>0</v>
          </cell>
          <cell r="AB559">
            <v>0</v>
          </cell>
        </row>
        <row r="560">
          <cell r="A560">
            <v>16</v>
          </cell>
          <cell r="B560" t="str">
            <v>Engsel pintu</v>
          </cell>
          <cell r="C560" t="str">
            <v>Bh</v>
          </cell>
          <cell r="D560">
            <v>44395.75</v>
          </cell>
          <cell r="E560">
            <v>4</v>
          </cell>
          <cell r="F560">
            <v>177583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P560">
            <v>0</v>
          </cell>
          <cell r="R560">
            <v>0</v>
          </cell>
          <cell r="T560">
            <v>0</v>
          </cell>
          <cell r="V560">
            <v>0</v>
          </cell>
          <cell r="X560">
            <v>0</v>
          </cell>
          <cell r="Z560">
            <v>0</v>
          </cell>
          <cell r="AB560">
            <v>0</v>
          </cell>
        </row>
        <row r="561">
          <cell r="A561">
            <v>17</v>
          </cell>
          <cell r="B561" t="str">
            <v>Engsel Pintu dari pipa besi dia 2 cm</v>
          </cell>
          <cell r="C561" t="str">
            <v>Bh</v>
          </cell>
          <cell r="D561">
            <v>66593.625</v>
          </cell>
          <cell r="E561">
            <v>0</v>
          </cell>
          <cell r="F561">
            <v>0</v>
          </cell>
          <cell r="G561">
            <v>2</v>
          </cell>
          <cell r="H561">
            <v>133187.25</v>
          </cell>
          <cell r="I561">
            <v>2</v>
          </cell>
          <cell r="J561">
            <v>133187.25</v>
          </cell>
          <cell r="L561">
            <v>0</v>
          </cell>
          <cell r="N561">
            <v>0</v>
          </cell>
          <cell r="P561">
            <v>0</v>
          </cell>
          <cell r="R561">
            <v>0</v>
          </cell>
          <cell r="T561">
            <v>0</v>
          </cell>
          <cell r="V561">
            <v>0</v>
          </cell>
          <cell r="X561">
            <v>0</v>
          </cell>
          <cell r="Z561">
            <v>0</v>
          </cell>
          <cell r="AB561">
            <v>0</v>
          </cell>
        </row>
        <row r="562">
          <cell r="A562">
            <v>18</v>
          </cell>
          <cell r="B562" t="str">
            <v>Kait/hak angin</v>
          </cell>
          <cell r="C562" t="str">
            <v>Set</v>
          </cell>
          <cell r="D562">
            <v>27000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2</v>
          </cell>
          <cell r="N562">
            <v>54000</v>
          </cell>
          <cell r="O562">
            <v>2</v>
          </cell>
          <cell r="P562">
            <v>54000</v>
          </cell>
          <cell r="Q562">
            <v>2</v>
          </cell>
          <cell r="R562">
            <v>54000</v>
          </cell>
          <cell r="T562">
            <v>0</v>
          </cell>
          <cell r="V562">
            <v>0</v>
          </cell>
          <cell r="X562">
            <v>0</v>
          </cell>
          <cell r="Z562">
            <v>0</v>
          </cell>
          <cell r="AB562">
            <v>0</v>
          </cell>
        </row>
        <row r="563">
          <cell r="A563">
            <v>19</v>
          </cell>
          <cell r="B563" t="str">
            <v>Grendel pintu kuningan</v>
          </cell>
          <cell r="C563" t="str">
            <v>Bh</v>
          </cell>
          <cell r="D563">
            <v>125000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L563">
            <v>0</v>
          </cell>
          <cell r="N563">
            <v>0</v>
          </cell>
          <cell r="P563">
            <v>0</v>
          </cell>
          <cell r="R563">
            <v>0</v>
          </cell>
          <cell r="T563">
            <v>0</v>
          </cell>
          <cell r="V563">
            <v>0</v>
          </cell>
          <cell r="X563">
            <v>0</v>
          </cell>
          <cell r="Z563">
            <v>0</v>
          </cell>
          <cell r="AB563">
            <v>0</v>
          </cell>
        </row>
        <row r="564">
          <cell r="A564">
            <v>20</v>
          </cell>
          <cell r="B564" t="str">
            <v xml:space="preserve">Grendel jendela </v>
          </cell>
          <cell r="C564" t="str">
            <v>Bh</v>
          </cell>
          <cell r="D564">
            <v>8100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L564">
            <v>0</v>
          </cell>
          <cell r="M564">
            <v>1</v>
          </cell>
          <cell r="N564">
            <v>8100</v>
          </cell>
          <cell r="O564">
            <v>1</v>
          </cell>
          <cell r="P564">
            <v>8100</v>
          </cell>
          <cell r="Q564">
            <v>1</v>
          </cell>
          <cell r="R564">
            <v>8100</v>
          </cell>
          <cell r="T564">
            <v>0</v>
          </cell>
          <cell r="V564">
            <v>0</v>
          </cell>
          <cell r="X564">
            <v>0</v>
          </cell>
          <cell r="Z564">
            <v>0</v>
          </cell>
          <cell r="AB564">
            <v>0</v>
          </cell>
        </row>
        <row r="565">
          <cell r="A565">
            <v>21</v>
          </cell>
          <cell r="B565" t="str">
            <v>Grendel pintu</v>
          </cell>
          <cell r="C565" t="str">
            <v>Bh</v>
          </cell>
          <cell r="D565">
            <v>14200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P565">
            <v>0</v>
          </cell>
          <cell r="R565">
            <v>0</v>
          </cell>
          <cell r="T565">
            <v>0</v>
          </cell>
          <cell r="V565">
            <v>0</v>
          </cell>
          <cell r="X565">
            <v>0</v>
          </cell>
          <cell r="Z565">
            <v>0</v>
          </cell>
          <cell r="AB565">
            <v>0</v>
          </cell>
        </row>
        <row r="566">
          <cell r="A566">
            <v>22</v>
          </cell>
          <cell r="B566" t="str">
            <v>Stripting Knip</v>
          </cell>
          <cell r="C566" t="str">
            <v>Set</v>
          </cell>
          <cell r="D566">
            <v>13700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N566">
            <v>0</v>
          </cell>
          <cell r="P566">
            <v>0</v>
          </cell>
          <cell r="R566">
            <v>0</v>
          </cell>
          <cell r="T566">
            <v>0</v>
          </cell>
          <cell r="V566">
            <v>0</v>
          </cell>
          <cell r="X566">
            <v>0</v>
          </cell>
          <cell r="Z566">
            <v>0</v>
          </cell>
          <cell r="AB566">
            <v>0</v>
          </cell>
        </row>
        <row r="567">
          <cell r="A567">
            <v>23</v>
          </cell>
          <cell r="B567" t="str">
            <v>Door Closer</v>
          </cell>
          <cell r="C567" t="str">
            <v>Set</v>
          </cell>
          <cell r="D567">
            <v>260800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P567">
            <v>0</v>
          </cell>
          <cell r="R567">
            <v>0</v>
          </cell>
          <cell r="T567">
            <v>0</v>
          </cell>
          <cell r="V567">
            <v>0</v>
          </cell>
          <cell r="X567">
            <v>0</v>
          </cell>
          <cell r="Z567">
            <v>0</v>
          </cell>
          <cell r="AB567">
            <v>0</v>
          </cell>
        </row>
        <row r="568">
          <cell r="A568">
            <v>24</v>
          </cell>
          <cell r="B568" t="str">
            <v>Door Holder</v>
          </cell>
          <cell r="C568" t="str">
            <v>Set</v>
          </cell>
          <cell r="D568">
            <v>500000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N568">
            <v>0</v>
          </cell>
          <cell r="P568">
            <v>0</v>
          </cell>
          <cell r="R568">
            <v>0</v>
          </cell>
          <cell r="T568">
            <v>0</v>
          </cell>
          <cell r="V568">
            <v>0</v>
          </cell>
          <cell r="X568">
            <v>0</v>
          </cell>
          <cell r="Z568">
            <v>0</v>
          </cell>
          <cell r="AB568">
            <v>0</v>
          </cell>
        </row>
        <row r="569">
          <cell r="A569">
            <v>25</v>
          </cell>
          <cell r="B569" t="str">
            <v>Door Stop</v>
          </cell>
          <cell r="C569" t="str">
            <v>Set</v>
          </cell>
          <cell r="D569">
            <v>32100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N569">
            <v>0</v>
          </cell>
          <cell r="P569">
            <v>0</v>
          </cell>
          <cell r="R569">
            <v>0</v>
          </cell>
          <cell r="T569">
            <v>0</v>
          </cell>
          <cell r="V569">
            <v>0</v>
          </cell>
          <cell r="X569">
            <v>0</v>
          </cell>
          <cell r="Z569">
            <v>0</v>
          </cell>
          <cell r="AB569">
            <v>0</v>
          </cell>
        </row>
        <row r="570">
          <cell r="A570">
            <v>26</v>
          </cell>
          <cell r="B570" t="str">
            <v>Kaca bening 5 mm</v>
          </cell>
          <cell r="C570" t="str">
            <v>M2</v>
          </cell>
          <cell r="D570">
            <v>66700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T570">
            <v>0</v>
          </cell>
          <cell r="V570">
            <v>0</v>
          </cell>
          <cell r="X570">
            <v>0</v>
          </cell>
          <cell r="Y570">
            <v>0.14400000000000002</v>
          </cell>
          <cell r="Z570">
            <v>9604.8000000000011</v>
          </cell>
          <cell r="AA570">
            <v>0.14400000000000002</v>
          </cell>
          <cell r="AB570">
            <v>0</v>
          </cell>
        </row>
        <row r="571">
          <cell r="A571">
            <v>27</v>
          </cell>
          <cell r="B571" t="str">
            <v>Kaca bening 10 mm</v>
          </cell>
          <cell r="C571" t="str">
            <v>M2</v>
          </cell>
          <cell r="D571">
            <v>280895.75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1.2854999999999999</v>
          </cell>
          <cell r="N571">
            <v>361091.48662499996</v>
          </cell>
          <cell r="O571">
            <v>0.58050000000000002</v>
          </cell>
          <cell r="P571">
            <v>163059.98287500002</v>
          </cell>
          <cell r="Q571">
            <v>0.31850000000000001</v>
          </cell>
          <cell r="R571">
            <v>89465.296375000005</v>
          </cell>
          <cell r="S571">
            <v>0.63549999999999995</v>
          </cell>
          <cell r="T571">
            <v>178509.24912499997</v>
          </cell>
          <cell r="V571">
            <v>0</v>
          </cell>
          <cell r="X571">
            <v>0</v>
          </cell>
          <cell r="Z571">
            <v>0</v>
          </cell>
          <cell r="AB571">
            <v>0</v>
          </cell>
        </row>
        <row r="572">
          <cell r="A572">
            <v>28</v>
          </cell>
          <cell r="B572" t="str">
            <v>Kaca Bening 12 mm</v>
          </cell>
          <cell r="C572" t="str">
            <v>M2</v>
          </cell>
          <cell r="D572">
            <v>403787.64062499994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N572">
            <v>0</v>
          </cell>
          <cell r="P572">
            <v>0</v>
          </cell>
          <cell r="R572">
            <v>0</v>
          </cell>
          <cell r="T572">
            <v>0</v>
          </cell>
          <cell r="V572">
            <v>0</v>
          </cell>
          <cell r="X572">
            <v>0</v>
          </cell>
          <cell r="Z572">
            <v>0</v>
          </cell>
          <cell r="AB572">
            <v>0</v>
          </cell>
        </row>
        <row r="573">
          <cell r="A573">
            <v>29</v>
          </cell>
          <cell r="B573" t="str">
            <v>Besi hollow 4/4</v>
          </cell>
          <cell r="C573" t="str">
            <v>M'</v>
          </cell>
          <cell r="D573">
            <v>48625.000000000051</v>
          </cell>
          <cell r="E573">
            <v>0</v>
          </cell>
          <cell r="F573">
            <v>0</v>
          </cell>
          <cell r="G573">
            <v>5.09</v>
          </cell>
          <cell r="H573">
            <v>247501.25000000026</v>
          </cell>
          <cell r="I573">
            <v>5.09</v>
          </cell>
          <cell r="J573">
            <v>247501.25000000026</v>
          </cell>
          <cell r="L573">
            <v>0</v>
          </cell>
          <cell r="N573">
            <v>0</v>
          </cell>
          <cell r="P573">
            <v>0</v>
          </cell>
          <cell r="R573">
            <v>0</v>
          </cell>
          <cell r="T573">
            <v>0</v>
          </cell>
          <cell r="V573">
            <v>0</v>
          </cell>
          <cell r="X573">
            <v>0</v>
          </cell>
          <cell r="Z573">
            <v>0</v>
          </cell>
          <cell r="AB573">
            <v>0</v>
          </cell>
        </row>
        <row r="574">
          <cell r="A574">
            <v>30</v>
          </cell>
          <cell r="B574" t="str">
            <v>Besi hollow 6/6</v>
          </cell>
          <cell r="C574" t="str">
            <v>M'</v>
          </cell>
          <cell r="D574">
            <v>74462.500000000058</v>
          </cell>
          <cell r="E574">
            <v>0</v>
          </cell>
          <cell r="F574">
            <v>0</v>
          </cell>
          <cell r="G574">
            <v>5.09</v>
          </cell>
          <cell r="H574">
            <v>379014.12500000029</v>
          </cell>
          <cell r="I574">
            <v>5.09</v>
          </cell>
          <cell r="J574">
            <v>379014.12500000029</v>
          </cell>
          <cell r="L574">
            <v>0</v>
          </cell>
          <cell r="N574">
            <v>0</v>
          </cell>
          <cell r="P574">
            <v>0</v>
          </cell>
          <cell r="R574">
            <v>0</v>
          </cell>
          <cell r="T574">
            <v>0</v>
          </cell>
          <cell r="V574">
            <v>0</v>
          </cell>
          <cell r="X574">
            <v>0</v>
          </cell>
          <cell r="Z574">
            <v>0</v>
          </cell>
          <cell r="AB574">
            <v>0</v>
          </cell>
        </row>
        <row r="575">
          <cell r="A575">
            <v>31</v>
          </cell>
          <cell r="B575" t="str">
            <v>Besi hollow 2.5/5</v>
          </cell>
          <cell r="C575" t="str">
            <v>Kg</v>
          </cell>
          <cell r="D575">
            <v>74462.500000000058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L575">
            <v>0</v>
          </cell>
          <cell r="N575">
            <v>0</v>
          </cell>
          <cell r="P575">
            <v>0</v>
          </cell>
          <cell r="R575">
            <v>0</v>
          </cell>
          <cell r="T575">
            <v>0</v>
          </cell>
          <cell r="V575">
            <v>0</v>
          </cell>
          <cell r="X575">
            <v>0</v>
          </cell>
          <cell r="Z575">
            <v>0</v>
          </cell>
          <cell r="AB575">
            <v>0</v>
          </cell>
        </row>
        <row r="576">
          <cell r="A576">
            <v>32</v>
          </cell>
          <cell r="B576" t="str">
            <v>Besi hollow 5/5</v>
          </cell>
          <cell r="C576" t="str">
            <v>Kg</v>
          </cell>
          <cell r="D576">
            <v>74462.500000000058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L576">
            <v>0</v>
          </cell>
          <cell r="N576">
            <v>0</v>
          </cell>
          <cell r="P576">
            <v>0</v>
          </cell>
          <cell r="R576">
            <v>0</v>
          </cell>
          <cell r="T576">
            <v>0</v>
          </cell>
          <cell r="V576">
            <v>0</v>
          </cell>
          <cell r="X576">
            <v>0</v>
          </cell>
          <cell r="Z576">
            <v>0</v>
          </cell>
          <cell r="AB576">
            <v>0</v>
          </cell>
        </row>
        <row r="577">
          <cell r="A577">
            <v>33</v>
          </cell>
          <cell r="B577" t="str">
            <v>Besi hollow 2/2</v>
          </cell>
          <cell r="C577" t="str">
            <v>Kg</v>
          </cell>
          <cell r="D577">
            <v>74462.500000000058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L577">
            <v>0</v>
          </cell>
          <cell r="N577">
            <v>0</v>
          </cell>
          <cell r="P577">
            <v>0</v>
          </cell>
          <cell r="R577">
            <v>0</v>
          </cell>
          <cell r="T577">
            <v>0</v>
          </cell>
          <cell r="V577">
            <v>0</v>
          </cell>
          <cell r="X577">
            <v>0</v>
          </cell>
          <cell r="Z577">
            <v>0</v>
          </cell>
          <cell r="AB577">
            <v>0</v>
          </cell>
        </row>
        <row r="578">
          <cell r="A578">
            <v>34</v>
          </cell>
          <cell r="B578" t="str">
            <v>Besi hollow 2/4</v>
          </cell>
          <cell r="C578" t="str">
            <v>Kg</v>
          </cell>
          <cell r="D578">
            <v>74462.500000000058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L578">
            <v>0</v>
          </cell>
          <cell r="N578">
            <v>0</v>
          </cell>
          <cell r="P578">
            <v>0</v>
          </cell>
          <cell r="R578">
            <v>0</v>
          </cell>
          <cell r="T578">
            <v>0</v>
          </cell>
          <cell r="V578">
            <v>0</v>
          </cell>
          <cell r="X578">
            <v>0</v>
          </cell>
          <cell r="Z578">
            <v>0</v>
          </cell>
          <cell r="AB578">
            <v>0</v>
          </cell>
        </row>
        <row r="579">
          <cell r="A579">
            <v>35</v>
          </cell>
          <cell r="B579" t="str">
            <v>Kaca Tempered 12 mm</v>
          </cell>
          <cell r="C579" t="str">
            <v>M2</v>
          </cell>
          <cell r="D579">
            <v>528395.75</v>
          </cell>
          <cell r="E579">
            <v>4.3049999999999997</v>
          </cell>
          <cell r="F579">
            <v>2274743.7037499999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L579">
            <v>0</v>
          </cell>
          <cell r="N579">
            <v>0</v>
          </cell>
          <cell r="P579">
            <v>0</v>
          </cell>
          <cell r="R579">
            <v>0</v>
          </cell>
          <cell r="T579">
            <v>0</v>
          </cell>
          <cell r="V579">
            <v>0</v>
          </cell>
          <cell r="X579">
            <v>0</v>
          </cell>
          <cell r="Z579">
            <v>0</v>
          </cell>
          <cell r="AB579">
            <v>0</v>
          </cell>
        </row>
        <row r="580">
          <cell r="A580">
            <v>36</v>
          </cell>
          <cell r="B580" t="str">
            <v>Glass Block</v>
          </cell>
          <cell r="C580" t="str">
            <v>Bh</v>
          </cell>
          <cell r="D580">
            <v>45000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L580">
            <v>0</v>
          </cell>
          <cell r="N580">
            <v>0</v>
          </cell>
          <cell r="P580">
            <v>0</v>
          </cell>
          <cell r="R580">
            <v>0</v>
          </cell>
          <cell r="T580">
            <v>0</v>
          </cell>
          <cell r="V580">
            <v>0</v>
          </cell>
          <cell r="X580">
            <v>0</v>
          </cell>
          <cell r="Z580">
            <v>0</v>
          </cell>
          <cell r="AB580">
            <v>0</v>
          </cell>
        </row>
        <row r="581">
          <cell r="A581">
            <v>37</v>
          </cell>
          <cell r="B581" t="str">
            <v>Kaca Es</v>
          </cell>
          <cell r="C581" t="str">
            <v>M2</v>
          </cell>
          <cell r="D581">
            <v>66700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P581">
            <v>0</v>
          </cell>
          <cell r="R581">
            <v>0</v>
          </cell>
          <cell r="T581">
            <v>0</v>
          </cell>
          <cell r="V581">
            <v>0</v>
          </cell>
          <cell r="X581">
            <v>0</v>
          </cell>
          <cell r="Z581">
            <v>0</v>
          </cell>
          <cell r="AA581">
            <v>0.2</v>
          </cell>
          <cell r="AB581">
            <v>13340</v>
          </cell>
        </row>
        <row r="582">
          <cell r="A582">
            <v>38</v>
          </cell>
          <cell r="B582" t="str">
            <v>Krepyak Kaca Nako + Kerangka</v>
          </cell>
          <cell r="C582" t="str">
            <v>M2</v>
          </cell>
          <cell r="D582">
            <v>81300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L582">
            <v>0</v>
          </cell>
          <cell r="N582">
            <v>0</v>
          </cell>
          <cell r="P582">
            <v>0</v>
          </cell>
          <cell r="R582">
            <v>0</v>
          </cell>
          <cell r="T582">
            <v>0</v>
          </cell>
          <cell r="V582">
            <v>0</v>
          </cell>
          <cell r="X582">
            <v>0</v>
          </cell>
          <cell r="Z582">
            <v>0</v>
          </cell>
          <cell r="AB582">
            <v>0</v>
          </cell>
        </row>
        <row r="583">
          <cell r="A583">
            <v>39</v>
          </cell>
          <cell r="B583" t="str">
            <v>Sticker Efek Kaca Es</v>
          </cell>
          <cell r="C583" t="str">
            <v>M2</v>
          </cell>
          <cell r="D583">
            <v>150000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L583">
            <v>0</v>
          </cell>
          <cell r="N583">
            <v>0</v>
          </cell>
          <cell r="P583">
            <v>0</v>
          </cell>
          <cell r="R583">
            <v>0</v>
          </cell>
          <cell r="T583">
            <v>0</v>
          </cell>
          <cell r="V583">
            <v>0</v>
          </cell>
          <cell r="X583">
            <v>0</v>
          </cell>
          <cell r="Z583">
            <v>0</v>
          </cell>
          <cell r="AB583">
            <v>0</v>
          </cell>
        </row>
        <row r="584">
          <cell r="A584">
            <v>40</v>
          </cell>
          <cell r="B584" t="str">
            <v>Rel Pintu Dorong</v>
          </cell>
          <cell r="C584" t="str">
            <v>M'</v>
          </cell>
          <cell r="D584">
            <v>275000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L584">
            <v>0</v>
          </cell>
          <cell r="N584">
            <v>0</v>
          </cell>
          <cell r="P584">
            <v>0</v>
          </cell>
          <cell r="R584">
            <v>0</v>
          </cell>
          <cell r="T584">
            <v>0</v>
          </cell>
          <cell r="V584">
            <v>0</v>
          </cell>
          <cell r="X584">
            <v>0</v>
          </cell>
          <cell r="Z584">
            <v>0</v>
          </cell>
          <cell r="AB584">
            <v>0</v>
          </cell>
        </row>
        <row r="585">
          <cell r="A585">
            <v>41</v>
          </cell>
          <cell r="B585" t="str">
            <v>Rolling Door</v>
          </cell>
          <cell r="C585" t="str">
            <v>M2</v>
          </cell>
          <cell r="D585">
            <v>358100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L585">
            <v>0</v>
          </cell>
          <cell r="N585">
            <v>0</v>
          </cell>
          <cell r="P585">
            <v>0</v>
          </cell>
          <cell r="R585">
            <v>0</v>
          </cell>
          <cell r="T585">
            <v>0</v>
          </cell>
          <cell r="V585">
            <v>0</v>
          </cell>
          <cell r="X585">
            <v>0</v>
          </cell>
          <cell r="Z585">
            <v>0</v>
          </cell>
          <cell r="AB585">
            <v>0</v>
          </cell>
        </row>
        <row r="586">
          <cell r="A586">
            <v>42</v>
          </cell>
          <cell r="B586" t="str">
            <v>Roster</v>
          </cell>
          <cell r="C586" t="str">
            <v>M2</v>
          </cell>
          <cell r="D586">
            <v>133850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L586">
            <v>0</v>
          </cell>
          <cell r="N586">
            <v>0</v>
          </cell>
          <cell r="P586">
            <v>0</v>
          </cell>
          <cell r="R586">
            <v>0</v>
          </cell>
          <cell r="T586">
            <v>0</v>
          </cell>
          <cell r="U586">
            <v>0.48</v>
          </cell>
          <cell r="V586">
            <v>64248</v>
          </cell>
          <cell r="W586">
            <v>0</v>
          </cell>
          <cell r="X586">
            <v>0</v>
          </cell>
          <cell r="Z586">
            <v>0</v>
          </cell>
          <cell r="AB586">
            <v>0</v>
          </cell>
        </row>
        <row r="587">
          <cell r="A587">
            <v>43</v>
          </cell>
          <cell r="B587" t="str">
            <v>Gipsum Board</v>
          </cell>
          <cell r="C587" t="str">
            <v>M2</v>
          </cell>
          <cell r="D587">
            <v>29000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L587">
            <v>0</v>
          </cell>
          <cell r="N587">
            <v>0</v>
          </cell>
          <cell r="P587">
            <v>0</v>
          </cell>
          <cell r="R587">
            <v>0</v>
          </cell>
          <cell r="T587">
            <v>0</v>
          </cell>
          <cell r="V587">
            <v>0</v>
          </cell>
          <cell r="X587">
            <v>0</v>
          </cell>
          <cell r="Z587">
            <v>0</v>
          </cell>
          <cell r="AB587">
            <v>0</v>
          </cell>
        </row>
        <row r="588">
          <cell r="A588">
            <v>44</v>
          </cell>
          <cell r="B588" t="str">
            <v>List Gipsum</v>
          </cell>
          <cell r="C588" t="str">
            <v>M'</v>
          </cell>
          <cell r="D588">
            <v>17300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L588">
            <v>0</v>
          </cell>
          <cell r="N588">
            <v>0</v>
          </cell>
          <cell r="P588">
            <v>0</v>
          </cell>
          <cell r="R588">
            <v>0</v>
          </cell>
          <cell r="T588">
            <v>0</v>
          </cell>
          <cell r="V588">
            <v>0</v>
          </cell>
          <cell r="X588">
            <v>0</v>
          </cell>
          <cell r="Z588">
            <v>0</v>
          </cell>
          <cell r="AB588">
            <v>0</v>
          </cell>
        </row>
        <row r="589">
          <cell r="A589">
            <v>45</v>
          </cell>
          <cell r="B589" t="str">
            <v>Sealent</v>
          </cell>
          <cell r="C589" t="str">
            <v>M'</v>
          </cell>
          <cell r="D589">
            <v>8400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15</v>
          </cell>
          <cell r="N589">
            <v>126000</v>
          </cell>
          <cell r="O589">
            <v>7.12</v>
          </cell>
          <cell r="P589">
            <v>59808</v>
          </cell>
          <cell r="Q589">
            <v>5.04</v>
          </cell>
          <cell r="R589">
            <v>42336</v>
          </cell>
          <cell r="S589">
            <v>9.44</v>
          </cell>
          <cell r="T589">
            <v>79296</v>
          </cell>
          <cell r="V589">
            <v>0</v>
          </cell>
          <cell r="X589">
            <v>0</v>
          </cell>
          <cell r="Y589">
            <v>7.52</v>
          </cell>
          <cell r="Z589">
            <v>63168</v>
          </cell>
          <cell r="AA589">
            <v>3.2</v>
          </cell>
          <cell r="AB589">
            <v>26880</v>
          </cell>
        </row>
        <row r="590">
          <cell r="A590">
            <v>46</v>
          </cell>
          <cell r="B590" t="str">
            <v>Benangan Kusen</v>
          </cell>
          <cell r="C590" t="str">
            <v>M'</v>
          </cell>
          <cell r="D590">
            <v>4296.0074999999997</v>
          </cell>
          <cell r="E590">
            <v>6.1999999999999993</v>
          </cell>
          <cell r="F590">
            <v>26635.246499999994</v>
          </cell>
          <cell r="G590">
            <v>5.5990000000000002</v>
          </cell>
          <cell r="H590">
            <v>24053.345992499999</v>
          </cell>
          <cell r="I590">
            <v>5.5990000000000002</v>
          </cell>
          <cell r="J590">
            <v>24053.345992499999</v>
          </cell>
          <cell r="K590">
            <v>5.5990000000000002</v>
          </cell>
          <cell r="L590">
            <v>24053.345992499999</v>
          </cell>
          <cell r="M590">
            <v>13.6</v>
          </cell>
          <cell r="N590">
            <v>58425.701999999997</v>
          </cell>
          <cell r="O590">
            <v>9.120000000000001</v>
          </cell>
          <cell r="P590">
            <v>39179.588400000001</v>
          </cell>
          <cell r="Q590">
            <v>7.0399999999999991</v>
          </cell>
          <cell r="R590">
            <v>30243.892799999994</v>
          </cell>
          <cell r="S590">
            <v>10.199999999999999</v>
          </cell>
          <cell r="T590">
            <v>43819.276499999993</v>
          </cell>
          <cell r="U590">
            <v>6.4</v>
          </cell>
          <cell r="V590">
            <v>27494.448</v>
          </cell>
          <cell r="W590">
            <v>30.599999999999998</v>
          </cell>
          <cell r="X590">
            <v>131457.82949999999</v>
          </cell>
          <cell r="Y590">
            <v>7.52</v>
          </cell>
          <cell r="Z590">
            <v>32305.976399999996</v>
          </cell>
          <cell r="AA590">
            <v>4</v>
          </cell>
          <cell r="AB590">
            <v>106540.98599999998</v>
          </cell>
        </row>
        <row r="591">
          <cell r="A591">
            <v>47</v>
          </cell>
          <cell r="B591" t="str">
            <v xml:space="preserve">Cat Kayu </v>
          </cell>
          <cell r="C591" t="str">
            <v>M2</v>
          </cell>
          <cell r="D591">
            <v>19370.5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P591">
            <v>0</v>
          </cell>
          <cell r="R591">
            <v>0</v>
          </cell>
          <cell r="T591">
            <v>0</v>
          </cell>
          <cell r="V591">
            <v>0</v>
          </cell>
          <cell r="X591">
            <v>0</v>
          </cell>
          <cell r="Z591">
            <v>0</v>
          </cell>
          <cell r="AB591">
            <v>0</v>
          </cell>
        </row>
        <row r="592">
          <cell r="A592">
            <v>48</v>
          </cell>
          <cell r="B592" t="str">
            <v>Cat Besi</v>
          </cell>
          <cell r="C592" t="str">
            <v>M2</v>
          </cell>
          <cell r="D592">
            <v>13698</v>
          </cell>
          <cell r="E592">
            <v>0</v>
          </cell>
          <cell r="F592">
            <v>0</v>
          </cell>
          <cell r="G592">
            <v>5.6445590696960588</v>
          </cell>
          <cell r="H592">
            <v>77319.170136696615</v>
          </cell>
          <cell r="I592">
            <v>5.6445590696960588</v>
          </cell>
          <cell r="J592">
            <v>77319.170136696615</v>
          </cell>
          <cell r="L592">
            <v>0</v>
          </cell>
          <cell r="N592">
            <v>0</v>
          </cell>
          <cell r="P592">
            <v>0</v>
          </cell>
          <cell r="R592">
            <v>0</v>
          </cell>
          <cell r="T592">
            <v>0</v>
          </cell>
          <cell r="V592">
            <v>0</v>
          </cell>
          <cell r="X592">
            <v>0</v>
          </cell>
          <cell r="Z592">
            <v>0</v>
          </cell>
          <cell r="AB592">
            <v>0</v>
          </cell>
        </row>
        <row r="593">
          <cell r="A593">
            <v>49</v>
          </cell>
          <cell r="B593" t="str">
            <v>Cat Dinding</v>
          </cell>
          <cell r="C593" t="str">
            <v>M2</v>
          </cell>
          <cell r="D593">
            <v>9900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L593">
            <v>0</v>
          </cell>
          <cell r="N593">
            <v>0</v>
          </cell>
          <cell r="P593">
            <v>0</v>
          </cell>
          <cell r="R593">
            <v>0</v>
          </cell>
          <cell r="T593">
            <v>0</v>
          </cell>
          <cell r="U593">
            <v>0.96</v>
          </cell>
          <cell r="V593">
            <v>9504</v>
          </cell>
          <cell r="W593">
            <v>0</v>
          </cell>
          <cell r="X593">
            <v>0</v>
          </cell>
          <cell r="Z593">
            <v>0</v>
          </cell>
          <cell r="AB593">
            <v>0</v>
          </cell>
        </row>
        <row r="594">
          <cell r="A594">
            <v>50</v>
          </cell>
          <cell r="B594" t="str">
            <v>Plesteran Camprot</v>
          </cell>
          <cell r="C594" t="str">
            <v>M2</v>
          </cell>
          <cell r="D594">
            <v>14600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L594">
            <v>0</v>
          </cell>
          <cell r="N594">
            <v>0</v>
          </cell>
          <cell r="P594">
            <v>0</v>
          </cell>
          <cell r="R594">
            <v>0</v>
          </cell>
          <cell r="T594">
            <v>0</v>
          </cell>
          <cell r="X594">
            <v>0</v>
          </cell>
          <cell r="Z594">
            <v>0</v>
          </cell>
          <cell r="AB594">
            <v>0</v>
          </cell>
        </row>
        <row r="596">
          <cell r="B596" t="str">
            <v>Jumlah Harga</v>
          </cell>
          <cell r="F596">
            <v>3776944.5502499999</v>
          </cell>
          <cell r="H596">
            <v>1760337.7291291971</v>
          </cell>
          <cell r="J596">
            <v>1760337.7291291971</v>
          </cell>
          <cell r="L596">
            <v>192618.34599249999</v>
          </cell>
          <cell r="N596">
            <v>1193800.8686249999</v>
          </cell>
          <cell r="P596">
            <v>857139.57127499999</v>
          </cell>
          <cell r="R596">
            <v>647182.94917500007</v>
          </cell>
          <cell r="T596">
            <v>301624.52562499995</v>
          </cell>
          <cell r="V596">
            <v>101246.448</v>
          </cell>
          <cell r="X596">
            <v>131457.82949999999</v>
          </cell>
          <cell r="Z596">
            <v>105078.7764</v>
          </cell>
          <cell r="AB596">
            <v>146760.98599999998</v>
          </cell>
        </row>
        <row r="599">
          <cell r="V599">
            <v>95200</v>
          </cell>
        </row>
        <row r="600">
          <cell r="A600" t="str">
            <v>No.</v>
          </cell>
          <cell r="B600" t="str">
            <v>Item Pekerjaan</v>
          </cell>
          <cell r="C600" t="str">
            <v>Satuan</v>
          </cell>
          <cell r="D600" t="str">
            <v>Harga Satuan</v>
          </cell>
          <cell r="E600" t="str">
            <v>P1</v>
          </cell>
          <cell r="G600" t="str">
            <v>P2</v>
          </cell>
          <cell r="I600" t="str">
            <v>J1</v>
          </cell>
          <cell r="K600" t="str">
            <v>J2</v>
          </cell>
          <cell r="M600" t="str">
            <v>J2'</v>
          </cell>
          <cell r="O600" t="str">
            <v>S1</v>
          </cell>
          <cell r="Q600" t="str">
            <v>Pintu Gebang</v>
          </cell>
        </row>
        <row r="601">
          <cell r="D601" t="str">
            <v>Rp.</v>
          </cell>
          <cell r="E601" t="str">
            <v>Vol.</v>
          </cell>
          <cell r="F601" t="str">
            <v>Jumlah Harga</v>
          </cell>
          <cell r="G601" t="str">
            <v>Vol.</v>
          </cell>
          <cell r="H601" t="str">
            <v>Jumlah Harga</v>
          </cell>
          <cell r="I601" t="str">
            <v>Vol.</v>
          </cell>
          <cell r="J601" t="str">
            <v>Jumlah Harga</v>
          </cell>
          <cell r="K601" t="str">
            <v>Vol.</v>
          </cell>
          <cell r="L601" t="str">
            <v>Jumlah Harga</v>
          </cell>
          <cell r="M601" t="str">
            <v>Vol.</v>
          </cell>
          <cell r="N601" t="str">
            <v>Jumlah Harga</v>
          </cell>
          <cell r="O601" t="str">
            <v>Vol.</v>
          </cell>
          <cell r="P601" t="str">
            <v>Jumlah Harga</v>
          </cell>
          <cell r="Q601" t="str">
            <v>Vol.</v>
          </cell>
          <cell r="R601" t="str">
            <v>Jumlah Harga</v>
          </cell>
        </row>
        <row r="602">
          <cell r="A602" t="str">
            <v>IX.</v>
          </cell>
          <cell r="B602" t="str">
            <v>UNIT GERBANG POS</v>
          </cell>
        </row>
        <row r="604">
          <cell r="A604">
            <v>1</v>
          </cell>
          <cell r="B604" t="str">
            <v>Kayu 6/12</v>
          </cell>
          <cell r="C604" t="str">
            <v>M3</v>
          </cell>
          <cell r="D604">
            <v>0</v>
          </cell>
          <cell r="E604">
            <v>1.2500000000000001E-2</v>
          </cell>
          <cell r="F604">
            <v>0</v>
          </cell>
          <cell r="G604">
            <v>3.6144000000000003E-2</v>
          </cell>
          <cell r="H604">
            <v>0</v>
          </cell>
          <cell r="J604">
            <v>0</v>
          </cell>
          <cell r="K604">
            <v>0</v>
          </cell>
          <cell r="L604">
            <v>0</v>
          </cell>
          <cell r="N604">
            <v>0</v>
          </cell>
          <cell r="P604">
            <v>0</v>
          </cell>
          <cell r="R604">
            <v>0</v>
          </cell>
        </row>
        <row r="605">
          <cell r="A605">
            <v>2</v>
          </cell>
          <cell r="B605" t="str">
            <v>Kayu Slimar 3/10</v>
          </cell>
          <cell r="C605" t="str">
            <v>M3</v>
          </cell>
          <cell r="D605">
            <v>0</v>
          </cell>
          <cell r="E605">
            <v>3.0000000000000005E-3</v>
          </cell>
          <cell r="F605">
            <v>0</v>
          </cell>
          <cell r="G605">
            <v>1.4159999999999999E-2</v>
          </cell>
          <cell r="H605">
            <v>0</v>
          </cell>
          <cell r="J605">
            <v>0</v>
          </cell>
          <cell r="K605">
            <v>0</v>
          </cell>
          <cell r="L605">
            <v>0</v>
          </cell>
          <cell r="N605">
            <v>0</v>
          </cell>
          <cell r="P605">
            <v>0</v>
          </cell>
          <cell r="R605">
            <v>0</v>
          </cell>
        </row>
        <row r="606">
          <cell r="A606">
            <v>3</v>
          </cell>
          <cell r="B606" t="str">
            <v>Kayu Slimar 3/15</v>
          </cell>
          <cell r="C606" t="str">
            <v>M3</v>
          </cell>
          <cell r="D606">
            <v>0</v>
          </cell>
          <cell r="E606">
            <v>2.2000000000000002</v>
          </cell>
          <cell r="F606">
            <v>0</v>
          </cell>
          <cell r="G606">
            <v>2.6999999999999997E-3</v>
          </cell>
          <cell r="H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P606">
            <v>0</v>
          </cell>
          <cell r="R606">
            <v>0</v>
          </cell>
        </row>
        <row r="607">
          <cell r="A607">
            <v>4</v>
          </cell>
          <cell r="B607" t="str">
            <v>Kayu Slimar 3/20</v>
          </cell>
          <cell r="C607" t="str">
            <v>M3</v>
          </cell>
          <cell r="D607">
            <v>0</v>
          </cell>
          <cell r="E607">
            <v>3</v>
          </cell>
          <cell r="F607">
            <v>0</v>
          </cell>
          <cell r="G607">
            <v>3.5999999999999999E-3</v>
          </cell>
          <cell r="H607">
            <v>0</v>
          </cell>
          <cell r="J607">
            <v>0</v>
          </cell>
          <cell r="K607">
            <v>0</v>
          </cell>
          <cell r="L607">
            <v>0</v>
          </cell>
          <cell r="N607">
            <v>0</v>
          </cell>
          <cell r="P607">
            <v>0</v>
          </cell>
          <cell r="R607">
            <v>0</v>
          </cell>
        </row>
        <row r="608">
          <cell r="A608">
            <v>5</v>
          </cell>
          <cell r="B608" t="str">
            <v>Kayu 2/10</v>
          </cell>
          <cell r="C608" t="str">
            <v>M3</v>
          </cell>
          <cell r="D608">
            <v>0</v>
          </cell>
          <cell r="E608">
            <v>9.3999999999999986</v>
          </cell>
          <cell r="F608">
            <v>0</v>
          </cell>
          <cell r="G608">
            <v>5.4000000000000012E-3</v>
          </cell>
          <cell r="H608">
            <v>0</v>
          </cell>
          <cell r="J608">
            <v>0</v>
          </cell>
          <cell r="L608">
            <v>0</v>
          </cell>
          <cell r="N608">
            <v>0</v>
          </cell>
          <cell r="P608">
            <v>0</v>
          </cell>
          <cell r="R608">
            <v>0</v>
          </cell>
        </row>
        <row r="609">
          <cell r="A609">
            <v>6</v>
          </cell>
          <cell r="B609" t="str">
            <v>Panil t = 3 cm</v>
          </cell>
          <cell r="C609" t="str">
            <v>M2</v>
          </cell>
          <cell r="D609">
            <v>0</v>
          </cell>
          <cell r="F609">
            <v>0</v>
          </cell>
          <cell r="G609">
            <v>0.49500000000000005</v>
          </cell>
          <cell r="H609">
            <v>0</v>
          </cell>
          <cell r="J609">
            <v>0</v>
          </cell>
          <cell r="L609">
            <v>0</v>
          </cell>
          <cell r="N609">
            <v>0</v>
          </cell>
          <cell r="P609">
            <v>0</v>
          </cell>
          <cell r="R609">
            <v>0</v>
          </cell>
        </row>
        <row r="610">
          <cell r="A610">
            <v>1</v>
          </cell>
          <cell r="B610" t="str">
            <v>Kusen Aluminium 5/10</v>
          </cell>
          <cell r="C610" t="str">
            <v>M'</v>
          </cell>
          <cell r="D610">
            <v>124948</v>
          </cell>
          <cell r="F610">
            <v>0</v>
          </cell>
          <cell r="G610">
            <v>5</v>
          </cell>
          <cell r="H610">
            <v>624740</v>
          </cell>
          <cell r="J610">
            <v>0</v>
          </cell>
          <cell r="L610">
            <v>0</v>
          </cell>
          <cell r="N610">
            <v>0</v>
          </cell>
          <cell r="P610">
            <v>0</v>
          </cell>
          <cell r="R610">
            <v>0</v>
          </cell>
        </row>
        <row r="611">
          <cell r="A611">
            <v>2</v>
          </cell>
          <cell r="B611" t="str">
            <v xml:space="preserve">Rangka Daun Jendela Alumunium </v>
          </cell>
          <cell r="C611" t="str">
            <v>M'</v>
          </cell>
          <cell r="D611">
            <v>124948</v>
          </cell>
          <cell r="F611">
            <v>0</v>
          </cell>
          <cell r="G611">
            <v>0</v>
          </cell>
          <cell r="H611">
            <v>0</v>
          </cell>
          <cell r="J611">
            <v>0</v>
          </cell>
          <cell r="L611">
            <v>0</v>
          </cell>
          <cell r="N611">
            <v>0</v>
          </cell>
          <cell r="P611">
            <v>0</v>
          </cell>
          <cell r="R611">
            <v>0</v>
          </cell>
        </row>
        <row r="612">
          <cell r="A612">
            <v>3</v>
          </cell>
          <cell r="B612" t="str">
            <v>Rangka Tiang Sirip Alumunium 1/1 Putih</v>
          </cell>
          <cell r="C612" t="str">
            <v>M'</v>
          </cell>
          <cell r="D612">
            <v>62474</v>
          </cell>
          <cell r="F612">
            <v>0</v>
          </cell>
          <cell r="G612">
            <v>0</v>
          </cell>
          <cell r="H612">
            <v>0</v>
          </cell>
          <cell r="J612">
            <v>0</v>
          </cell>
          <cell r="L612">
            <v>0</v>
          </cell>
          <cell r="N612">
            <v>0</v>
          </cell>
          <cell r="O612">
            <v>12.799999999999999</v>
          </cell>
          <cell r="P612">
            <v>799667.19999999995</v>
          </cell>
          <cell r="Q612">
            <v>12.799999999999999</v>
          </cell>
          <cell r="R612">
            <v>799667.19999999995</v>
          </cell>
        </row>
        <row r="613">
          <cell r="A613">
            <v>4</v>
          </cell>
          <cell r="B613" t="str">
            <v>Pasang Shading Sirip Alumunium 0.2/10 +Rangka</v>
          </cell>
          <cell r="C613" t="str">
            <v>M2</v>
          </cell>
          <cell r="D613">
            <v>0</v>
          </cell>
          <cell r="F613">
            <v>0</v>
          </cell>
          <cell r="G613">
            <v>0</v>
          </cell>
          <cell r="H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0.87</v>
          </cell>
          <cell r="P613">
            <v>0</v>
          </cell>
          <cell r="Q613">
            <v>0.87</v>
          </cell>
          <cell r="R613">
            <v>0</v>
          </cell>
        </row>
        <row r="614">
          <cell r="A614">
            <v>5</v>
          </cell>
          <cell r="B614" t="str">
            <v>Daun Pintu Panil Kamper</v>
          </cell>
          <cell r="C614" t="str">
            <v>bh</v>
          </cell>
          <cell r="D614">
            <v>550000</v>
          </cell>
          <cell r="E614">
            <v>2.1599999999999998E-2</v>
          </cell>
          <cell r="F614">
            <v>11879.999999999998</v>
          </cell>
          <cell r="G614">
            <v>1.2</v>
          </cell>
          <cell r="H614">
            <v>660000</v>
          </cell>
          <cell r="J614">
            <v>0</v>
          </cell>
          <cell r="L614">
            <v>0</v>
          </cell>
          <cell r="N614">
            <v>0</v>
          </cell>
          <cell r="P614">
            <v>0</v>
          </cell>
          <cell r="R614">
            <v>0</v>
          </cell>
        </row>
        <row r="615">
          <cell r="A615">
            <v>6</v>
          </cell>
          <cell r="B615" t="str">
            <v>Plat besi t = 2 mm</v>
          </cell>
          <cell r="C615" t="str">
            <v>Kg</v>
          </cell>
          <cell r="D615">
            <v>0</v>
          </cell>
          <cell r="F615">
            <v>0</v>
          </cell>
          <cell r="G615">
            <v>0</v>
          </cell>
          <cell r="H615">
            <v>0</v>
          </cell>
          <cell r="J615">
            <v>0</v>
          </cell>
          <cell r="L615">
            <v>0</v>
          </cell>
          <cell r="N615">
            <v>0</v>
          </cell>
          <cell r="P615">
            <v>0</v>
          </cell>
          <cell r="R615">
            <v>0</v>
          </cell>
        </row>
        <row r="616">
          <cell r="A616">
            <v>7</v>
          </cell>
          <cell r="B616" t="str">
            <v>C 40.40.2  (pesan khusus)</v>
          </cell>
          <cell r="C616" t="str">
            <v>Kg</v>
          </cell>
          <cell r="D616">
            <v>14122.3</v>
          </cell>
          <cell r="F616">
            <v>0</v>
          </cell>
          <cell r="G616">
            <v>0</v>
          </cell>
          <cell r="H616">
            <v>0</v>
          </cell>
          <cell r="J616">
            <v>0</v>
          </cell>
          <cell r="L616">
            <v>0</v>
          </cell>
          <cell r="N616">
            <v>0</v>
          </cell>
          <cell r="P616">
            <v>0</v>
          </cell>
          <cell r="R616">
            <v>0</v>
          </cell>
        </row>
        <row r="617">
          <cell r="A617">
            <v>8</v>
          </cell>
          <cell r="B617" t="str">
            <v>Handle besi dia 16 mm</v>
          </cell>
          <cell r="C617" t="str">
            <v>Set</v>
          </cell>
          <cell r="D617">
            <v>129652.5</v>
          </cell>
          <cell r="F617">
            <v>0</v>
          </cell>
          <cell r="G617">
            <v>0</v>
          </cell>
          <cell r="H617">
            <v>0</v>
          </cell>
          <cell r="J617">
            <v>0</v>
          </cell>
          <cell r="L617">
            <v>0</v>
          </cell>
          <cell r="N617">
            <v>0</v>
          </cell>
          <cell r="P617">
            <v>0</v>
          </cell>
          <cell r="R617">
            <v>0</v>
          </cell>
        </row>
        <row r="618">
          <cell r="A618">
            <v>9</v>
          </cell>
          <cell r="B618" t="str">
            <v>Hendle pintu Stainless</v>
          </cell>
          <cell r="C618" t="str">
            <v>Set</v>
          </cell>
          <cell r="D618">
            <v>261652.5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L618">
            <v>0</v>
          </cell>
          <cell r="N618">
            <v>0</v>
          </cell>
          <cell r="P618">
            <v>0</v>
          </cell>
          <cell r="R618">
            <v>0</v>
          </cell>
        </row>
        <row r="619">
          <cell r="A619">
            <v>10</v>
          </cell>
          <cell r="B619" t="str">
            <v>Kunci Pintu Handle stainleess (dorma)</v>
          </cell>
          <cell r="C619" t="str">
            <v>Set</v>
          </cell>
          <cell r="D619">
            <v>650000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L619">
            <v>0</v>
          </cell>
          <cell r="N619">
            <v>0</v>
          </cell>
          <cell r="P619">
            <v>0</v>
          </cell>
          <cell r="R619">
            <v>0</v>
          </cell>
        </row>
        <row r="620">
          <cell r="A620">
            <v>11</v>
          </cell>
          <cell r="B620" t="str">
            <v>Kunci tanam Antik</v>
          </cell>
          <cell r="C620" t="str">
            <v>Set</v>
          </cell>
          <cell r="D620">
            <v>265000</v>
          </cell>
          <cell r="F620">
            <v>0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N620">
            <v>0</v>
          </cell>
          <cell r="P620">
            <v>0</v>
          </cell>
          <cell r="Q620">
            <v>1</v>
          </cell>
          <cell r="R620">
            <v>265000</v>
          </cell>
        </row>
        <row r="621">
          <cell r="A621">
            <v>12</v>
          </cell>
          <cell r="B621" t="str">
            <v>Kunci tanam biasa</v>
          </cell>
          <cell r="C621" t="str">
            <v>Set</v>
          </cell>
          <cell r="D621">
            <v>168565</v>
          </cell>
          <cell r="F621">
            <v>0</v>
          </cell>
          <cell r="G621">
            <v>1</v>
          </cell>
          <cell r="H621">
            <v>168565</v>
          </cell>
          <cell r="J621">
            <v>0</v>
          </cell>
          <cell r="K621">
            <v>0</v>
          </cell>
          <cell r="L621">
            <v>0</v>
          </cell>
          <cell r="N621">
            <v>0</v>
          </cell>
          <cell r="P621">
            <v>0</v>
          </cell>
          <cell r="R621">
            <v>0</v>
          </cell>
        </row>
        <row r="622">
          <cell r="A622">
            <v>13</v>
          </cell>
          <cell r="B622" t="str">
            <v>Kunci Silinder</v>
          </cell>
          <cell r="C622" t="str">
            <v>Set</v>
          </cell>
          <cell r="D622">
            <v>217900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  <cell r="L622">
            <v>0</v>
          </cell>
          <cell r="N622">
            <v>0</v>
          </cell>
          <cell r="P622">
            <v>0</v>
          </cell>
          <cell r="R622">
            <v>0</v>
          </cell>
        </row>
        <row r="623">
          <cell r="A623">
            <v>14</v>
          </cell>
          <cell r="B623" t="str">
            <v>Kunci Selot</v>
          </cell>
          <cell r="C623" t="str">
            <v>Set</v>
          </cell>
          <cell r="D623">
            <v>48300</v>
          </cell>
          <cell r="E623">
            <v>1</v>
          </cell>
          <cell r="F623">
            <v>48300</v>
          </cell>
          <cell r="G623">
            <v>0</v>
          </cell>
          <cell r="H623">
            <v>0</v>
          </cell>
          <cell r="J623">
            <v>0</v>
          </cell>
          <cell r="L623">
            <v>0</v>
          </cell>
          <cell r="N623">
            <v>0</v>
          </cell>
          <cell r="P623">
            <v>0</v>
          </cell>
          <cell r="R623">
            <v>0</v>
          </cell>
        </row>
        <row r="624">
          <cell r="A624">
            <v>15</v>
          </cell>
          <cell r="B624" t="str">
            <v>Engsel jendela</v>
          </cell>
          <cell r="C624" t="str">
            <v>Bh</v>
          </cell>
          <cell r="D624">
            <v>16600</v>
          </cell>
          <cell r="E624">
            <v>2</v>
          </cell>
          <cell r="F624">
            <v>33200</v>
          </cell>
          <cell r="G624">
            <v>0</v>
          </cell>
          <cell r="H624">
            <v>0</v>
          </cell>
          <cell r="J624">
            <v>0</v>
          </cell>
          <cell r="K624">
            <v>0</v>
          </cell>
          <cell r="L624">
            <v>0</v>
          </cell>
          <cell r="N624">
            <v>0</v>
          </cell>
          <cell r="P624">
            <v>0</v>
          </cell>
          <cell r="R624">
            <v>0</v>
          </cell>
        </row>
        <row r="625">
          <cell r="A625">
            <v>16</v>
          </cell>
          <cell r="B625" t="str">
            <v>Engsel pintu</v>
          </cell>
          <cell r="C625" t="str">
            <v>Bh</v>
          </cell>
          <cell r="D625">
            <v>44395.75</v>
          </cell>
          <cell r="E625">
            <v>2</v>
          </cell>
          <cell r="F625">
            <v>88791.5</v>
          </cell>
          <cell r="G625">
            <v>3</v>
          </cell>
          <cell r="H625">
            <v>133187.25</v>
          </cell>
          <cell r="J625">
            <v>0</v>
          </cell>
          <cell r="L625">
            <v>0</v>
          </cell>
          <cell r="N625">
            <v>0</v>
          </cell>
          <cell r="P625">
            <v>0</v>
          </cell>
          <cell r="R625">
            <v>0</v>
          </cell>
        </row>
        <row r="626">
          <cell r="A626">
            <v>17</v>
          </cell>
          <cell r="B626" t="str">
            <v>Engsel Pintu dari pipa besi dia 2 cm</v>
          </cell>
          <cell r="C626" t="str">
            <v>Bh</v>
          </cell>
          <cell r="D626">
            <v>66593.625</v>
          </cell>
          <cell r="F626">
            <v>0</v>
          </cell>
          <cell r="G626">
            <v>0</v>
          </cell>
          <cell r="H626">
            <v>0</v>
          </cell>
          <cell r="J626">
            <v>0</v>
          </cell>
          <cell r="L626">
            <v>0</v>
          </cell>
          <cell r="N626">
            <v>0</v>
          </cell>
          <cell r="P626">
            <v>0</v>
          </cell>
          <cell r="R626">
            <v>0</v>
          </cell>
        </row>
        <row r="627">
          <cell r="A627">
            <v>18</v>
          </cell>
          <cell r="B627" t="str">
            <v>Kait/hak angin</v>
          </cell>
          <cell r="C627" t="str">
            <v>Set</v>
          </cell>
          <cell r="D627">
            <v>27000</v>
          </cell>
          <cell r="E627">
            <v>2</v>
          </cell>
          <cell r="F627">
            <v>54000</v>
          </cell>
          <cell r="G627">
            <v>0</v>
          </cell>
          <cell r="H627">
            <v>0</v>
          </cell>
          <cell r="J627">
            <v>0</v>
          </cell>
          <cell r="L627">
            <v>0</v>
          </cell>
          <cell r="N627">
            <v>0</v>
          </cell>
          <cell r="P627">
            <v>0</v>
          </cell>
          <cell r="R627">
            <v>0</v>
          </cell>
        </row>
        <row r="628">
          <cell r="A628">
            <v>19</v>
          </cell>
          <cell r="B628" t="str">
            <v>Grendel pintu kuningan</v>
          </cell>
          <cell r="C628" t="str">
            <v>Bh</v>
          </cell>
          <cell r="D628">
            <v>125000</v>
          </cell>
          <cell r="F628">
            <v>0</v>
          </cell>
          <cell r="G628">
            <v>0</v>
          </cell>
          <cell r="H628">
            <v>0</v>
          </cell>
          <cell r="J628">
            <v>0</v>
          </cell>
          <cell r="L628">
            <v>0</v>
          </cell>
          <cell r="N628">
            <v>0</v>
          </cell>
          <cell r="P628">
            <v>0</v>
          </cell>
          <cell r="R628">
            <v>0</v>
          </cell>
        </row>
        <row r="629">
          <cell r="A629">
            <v>20</v>
          </cell>
          <cell r="B629" t="str">
            <v xml:space="preserve">Grendel jendela </v>
          </cell>
          <cell r="C629" t="str">
            <v>Bh</v>
          </cell>
          <cell r="D629">
            <v>8100</v>
          </cell>
          <cell r="F629">
            <v>0</v>
          </cell>
          <cell r="G629">
            <v>0</v>
          </cell>
          <cell r="H629">
            <v>0</v>
          </cell>
          <cell r="J629">
            <v>0</v>
          </cell>
          <cell r="K629">
            <v>0</v>
          </cell>
          <cell r="L629">
            <v>0</v>
          </cell>
          <cell r="N629">
            <v>0</v>
          </cell>
          <cell r="P629">
            <v>0</v>
          </cell>
          <cell r="R629">
            <v>0</v>
          </cell>
        </row>
        <row r="630">
          <cell r="A630">
            <v>21</v>
          </cell>
          <cell r="B630" t="str">
            <v>Grendel pintu</v>
          </cell>
          <cell r="C630" t="str">
            <v>Bh</v>
          </cell>
          <cell r="D630">
            <v>14200</v>
          </cell>
          <cell r="E630">
            <v>1</v>
          </cell>
          <cell r="F630">
            <v>14200</v>
          </cell>
          <cell r="G630">
            <v>0</v>
          </cell>
          <cell r="H630">
            <v>0</v>
          </cell>
          <cell r="J630">
            <v>0</v>
          </cell>
          <cell r="L630">
            <v>0</v>
          </cell>
          <cell r="N630">
            <v>0</v>
          </cell>
          <cell r="P630">
            <v>0</v>
          </cell>
          <cell r="R630">
            <v>0</v>
          </cell>
        </row>
        <row r="631">
          <cell r="A631">
            <v>22</v>
          </cell>
          <cell r="B631" t="str">
            <v>Stripting Knip</v>
          </cell>
          <cell r="C631" t="str">
            <v>Set</v>
          </cell>
          <cell r="D631">
            <v>13700</v>
          </cell>
          <cell r="F631">
            <v>0</v>
          </cell>
          <cell r="G631">
            <v>0</v>
          </cell>
          <cell r="H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P631">
            <v>0</v>
          </cell>
          <cell r="R631">
            <v>0</v>
          </cell>
        </row>
        <row r="632">
          <cell r="A632">
            <v>23</v>
          </cell>
          <cell r="B632" t="str">
            <v>Door Closer</v>
          </cell>
          <cell r="C632" t="str">
            <v>Set</v>
          </cell>
          <cell r="D632">
            <v>260800</v>
          </cell>
          <cell r="E632">
            <v>1</v>
          </cell>
          <cell r="F632">
            <v>260800</v>
          </cell>
          <cell r="G632">
            <v>0</v>
          </cell>
          <cell r="H632">
            <v>0</v>
          </cell>
          <cell r="J632">
            <v>0</v>
          </cell>
          <cell r="L632">
            <v>0</v>
          </cell>
          <cell r="N632">
            <v>0</v>
          </cell>
          <cell r="P632">
            <v>0</v>
          </cell>
          <cell r="R632">
            <v>0</v>
          </cell>
        </row>
        <row r="633">
          <cell r="A633">
            <v>24</v>
          </cell>
          <cell r="B633" t="str">
            <v>Door Holder</v>
          </cell>
          <cell r="C633" t="str">
            <v>Set</v>
          </cell>
          <cell r="D633">
            <v>500000</v>
          </cell>
          <cell r="F633">
            <v>0</v>
          </cell>
          <cell r="G633">
            <v>0</v>
          </cell>
          <cell r="H633">
            <v>0</v>
          </cell>
          <cell r="J633">
            <v>0</v>
          </cell>
          <cell r="K633">
            <v>0</v>
          </cell>
          <cell r="L633">
            <v>0</v>
          </cell>
          <cell r="N633">
            <v>0</v>
          </cell>
          <cell r="P633">
            <v>0</v>
          </cell>
          <cell r="R633">
            <v>0</v>
          </cell>
        </row>
        <row r="634">
          <cell r="A634">
            <v>25</v>
          </cell>
          <cell r="B634" t="str">
            <v>Door Stop</v>
          </cell>
          <cell r="C634" t="str">
            <v>Set</v>
          </cell>
          <cell r="D634">
            <v>32100</v>
          </cell>
          <cell r="E634">
            <v>1</v>
          </cell>
          <cell r="F634">
            <v>32100</v>
          </cell>
          <cell r="G634">
            <v>0</v>
          </cell>
          <cell r="H634">
            <v>0</v>
          </cell>
          <cell r="J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>
            <v>26</v>
          </cell>
          <cell r="B635" t="str">
            <v>Kaca bening 5 mm</v>
          </cell>
          <cell r="C635" t="str">
            <v>M2</v>
          </cell>
          <cell r="D635">
            <v>66700</v>
          </cell>
          <cell r="E635">
            <v>5.0399999999999993E-2</v>
          </cell>
          <cell r="F635">
            <v>3361.6799999999994</v>
          </cell>
          <cell r="G635">
            <v>0</v>
          </cell>
          <cell r="H635">
            <v>0</v>
          </cell>
          <cell r="J635">
            <v>0</v>
          </cell>
          <cell r="L635">
            <v>0</v>
          </cell>
          <cell r="N635">
            <v>0</v>
          </cell>
          <cell r="P635">
            <v>0</v>
          </cell>
          <cell r="R635">
            <v>0</v>
          </cell>
        </row>
        <row r="636">
          <cell r="A636">
            <v>27</v>
          </cell>
          <cell r="B636" t="str">
            <v>Kaca bening 10 mm</v>
          </cell>
          <cell r="C636" t="str">
            <v>M2</v>
          </cell>
          <cell r="D636">
            <v>280895.75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0.89999999999999991</v>
          </cell>
          <cell r="L636">
            <v>252806.17499999999</v>
          </cell>
          <cell r="M636">
            <v>0.89999999999999991</v>
          </cell>
          <cell r="N636">
            <v>252806.17499999999</v>
          </cell>
          <cell r="P636">
            <v>0</v>
          </cell>
          <cell r="R636">
            <v>0</v>
          </cell>
        </row>
        <row r="637">
          <cell r="A637">
            <v>28</v>
          </cell>
          <cell r="B637" t="str">
            <v>Kaca Bening 12 mm</v>
          </cell>
          <cell r="C637" t="str">
            <v>M2</v>
          </cell>
          <cell r="D637">
            <v>403787.64062499994</v>
          </cell>
          <cell r="F637">
            <v>0</v>
          </cell>
          <cell r="G637">
            <v>0</v>
          </cell>
          <cell r="H637">
            <v>0</v>
          </cell>
          <cell r="I637">
            <v>1.3</v>
          </cell>
          <cell r="J637">
            <v>524923.93281249993</v>
          </cell>
          <cell r="L637">
            <v>0</v>
          </cell>
          <cell r="N637">
            <v>0</v>
          </cell>
          <cell r="P637">
            <v>0</v>
          </cell>
          <cell r="R637">
            <v>0</v>
          </cell>
        </row>
        <row r="638">
          <cell r="A638">
            <v>29</v>
          </cell>
          <cell r="B638" t="str">
            <v>Besi hollow 4/4</v>
          </cell>
          <cell r="C638" t="str">
            <v>M'</v>
          </cell>
          <cell r="D638">
            <v>48625.000000000051</v>
          </cell>
          <cell r="F638">
            <v>0</v>
          </cell>
          <cell r="G638">
            <v>0</v>
          </cell>
          <cell r="H638">
            <v>0</v>
          </cell>
          <cell r="J638">
            <v>0</v>
          </cell>
          <cell r="L638">
            <v>0</v>
          </cell>
          <cell r="N638">
            <v>0</v>
          </cell>
          <cell r="P638">
            <v>0</v>
          </cell>
          <cell r="R638">
            <v>0</v>
          </cell>
        </row>
        <row r="639">
          <cell r="A639">
            <v>30</v>
          </cell>
          <cell r="B639" t="str">
            <v>Besi hollow 6/6</v>
          </cell>
          <cell r="C639" t="str">
            <v>M'</v>
          </cell>
          <cell r="D639">
            <v>74462.500000000058</v>
          </cell>
          <cell r="F639">
            <v>0</v>
          </cell>
          <cell r="G639">
            <v>0</v>
          </cell>
          <cell r="H639">
            <v>0</v>
          </cell>
          <cell r="J639">
            <v>0</v>
          </cell>
          <cell r="L639">
            <v>0</v>
          </cell>
          <cell r="N639">
            <v>0</v>
          </cell>
          <cell r="P639">
            <v>0</v>
          </cell>
          <cell r="R639">
            <v>0</v>
          </cell>
        </row>
        <row r="640">
          <cell r="A640">
            <v>31</v>
          </cell>
          <cell r="B640" t="str">
            <v>Besi hollow 2.5/5</v>
          </cell>
          <cell r="C640" t="str">
            <v>Kg</v>
          </cell>
          <cell r="D640">
            <v>74462.500000000058</v>
          </cell>
          <cell r="F640">
            <v>0</v>
          </cell>
          <cell r="G640">
            <v>0</v>
          </cell>
          <cell r="H640">
            <v>0</v>
          </cell>
          <cell r="J640">
            <v>0</v>
          </cell>
          <cell r="L640">
            <v>0</v>
          </cell>
          <cell r="N640">
            <v>0</v>
          </cell>
          <cell r="P640">
            <v>0</v>
          </cell>
          <cell r="R640">
            <v>0</v>
          </cell>
        </row>
        <row r="641">
          <cell r="A641">
            <v>32</v>
          </cell>
          <cell r="B641" t="str">
            <v>Besi hollow 5/5</v>
          </cell>
          <cell r="C641" t="str">
            <v>Kg</v>
          </cell>
          <cell r="D641">
            <v>74462.500000000058</v>
          </cell>
          <cell r="F641">
            <v>0</v>
          </cell>
          <cell r="G641">
            <v>0</v>
          </cell>
          <cell r="H641">
            <v>0</v>
          </cell>
          <cell r="J641">
            <v>0</v>
          </cell>
          <cell r="L641">
            <v>0</v>
          </cell>
          <cell r="N641">
            <v>0</v>
          </cell>
          <cell r="P641">
            <v>0</v>
          </cell>
          <cell r="R641">
            <v>0</v>
          </cell>
        </row>
        <row r="642">
          <cell r="A642">
            <v>33</v>
          </cell>
          <cell r="B642" t="str">
            <v>Besi hollow 2/2</v>
          </cell>
          <cell r="C642" t="str">
            <v>Kg</v>
          </cell>
          <cell r="D642">
            <v>74462.500000000058</v>
          </cell>
          <cell r="F642">
            <v>0</v>
          </cell>
          <cell r="G642">
            <v>0</v>
          </cell>
          <cell r="H642">
            <v>0</v>
          </cell>
          <cell r="J642">
            <v>0</v>
          </cell>
          <cell r="L642">
            <v>0</v>
          </cell>
          <cell r="N642">
            <v>0</v>
          </cell>
          <cell r="P642">
            <v>0</v>
          </cell>
          <cell r="R642">
            <v>0</v>
          </cell>
        </row>
        <row r="643">
          <cell r="A643">
            <v>34</v>
          </cell>
          <cell r="B643" t="str">
            <v>Besi hollow 2/4</v>
          </cell>
          <cell r="C643" t="str">
            <v>Kg</v>
          </cell>
          <cell r="D643">
            <v>74462.500000000058</v>
          </cell>
          <cell r="F643">
            <v>0</v>
          </cell>
          <cell r="G643">
            <v>0</v>
          </cell>
          <cell r="H643">
            <v>0</v>
          </cell>
          <cell r="J643">
            <v>0</v>
          </cell>
          <cell r="L643">
            <v>0</v>
          </cell>
          <cell r="N643">
            <v>0</v>
          </cell>
          <cell r="P643">
            <v>0</v>
          </cell>
          <cell r="R643">
            <v>0</v>
          </cell>
        </row>
        <row r="644">
          <cell r="A644">
            <v>35</v>
          </cell>
          <cell r="B644" t="str">
            <v>Kaca Tempered 12 mm</v>
          </cell>
          <cell r="C644" t="str">
            <v>M2</v>
          </cell>
          <cell r="D644">
            <v>528395.75</v>
          </cell>
          <cell r="F644">
            <v>0</v>
          </cell>
          <cell r="G644">
            <v>0</v>
          </cell>
          <cell r="H644">
            <v>0</v>
          </cell>
          <cell r="J644">
            <v>0</v>
          </cell>
          <cell r="L644">
            <v>0</v>
          </cell>
          <cell r="N644">
            <v>0</v>
          </cell>
          <cell r="P644">
            <v>0</v>
          </cell>
          <cell r="R644">
            <v>0</v>
          </cell>
        </row>
        <row r="645">
          <cell r="A645">
            <v>36</v>
          </cell>
          <cell r="B645" t="str">
            <v>Glass Block</v>
          </cell>
          <cell r="C645" t="str">
            <v>Bh</v>
          </cell>
          <cell r="D645">
            <v>45000</v>
          </cell>
          <cell r="F645">
            <v>0</v>
          </cell>
          <cell r="G645">
            <v>0</v>
          </cell>
          <cell r="H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P645">
            <v>0</v>
          </cell>
          <cell r="R645">
            <v>0</v>
          </cell>
        </row>
        <row r="646">
          <cell r="A646">
            <v>37</v>
          </cell>
          <cell r="B646" t="str">
            <v>Kaca Es</v>
          </cell>
          <cell r="C646" t="str">
            <v>M2</v>
          </cell>
          <cell r="D646">
            <v>66700</v>
          </cell>
          <cell r="F646">
            <v>0</v>
          </cell>
          <cell r="G646">
            <v>0</v>
          </cell>
          <cell r="H646">
            <v>0</v>
          </cell>
          <cell r="J646">
            <v>0</v>
          </cell>
          <cell r="L646">
            <v>0</v>
          </cell>
          <cell r="N646">
            <v>0</v>
          </cell>
          <cell r="P646">
            <v>0</v>
          </cell>
          <cell r="R646">
            <v>0</v>
          </cell>
        </row>
        <row r="647">
          <cell r="A647">
            <v>38</v>
          </cell>
          <cell r="B647" t="str">
            <v>Krepyak Kaca Nako + Kerangka</v>
          </cell>
          <cell r="C647" t="str">
            <v>M2</v>
          </cell>
          <cell r="D647">
            <v>81300</v>
          </cell>
          <cell r="F647">
            <v>0</v>
          </cell>
          <cell r="G647">
            <v>0</v>
          </cell>
          <cell r="H647">
            <v>0</v>
          </cell>
          <cell r="J647">
            <v>0</v>
          </cell>
          <cell r="L647">
            <v>0</v>
          </cell>
          <cell r="N647">
            <v>0</v>
          </cell>
          <cell r="P647">
            <v>0</v>
          </cell>
          <cell r="R647">
            <v>0</v>
          </cell>
        </row>
        <row r="648">
          <cell r="A648">
            <v>39</v>
          </cell>
          <cell r="B648" t="str">
            <v>Sticker Efek Kaca Es</v>
          </cell>
          <cell r="C648" t="str">
            <v>M2</v>
          </cell>
          <cell r="D648">
            <v>150000</v>
          </cell>
          <cell r="F648">
            <v>0</v>
          </cell>
          <cell r="G648">
            <v>0</v>
          </cell>
          <cell r="H648">
            <v>0</v>
          </cell>
          <cell r="J648">
            <v>0</v>
          </cell>
          <cell r="L648">
            <v>0</v>
          </cell>
          <cell r="N648">
            <v>0</v>
          </cell>
          <cell r="P648">
            <v>0</v>
          </cell>
          <cell r="R648">
            <v>0</v>
          </cell>
        </row>
        <row r="649">
          <cell r="A649">
            <v>40</v>
          </cell>
          <cell r="B649" t="str">
            <v>Rel Pintu Dorong</v>
          </cell>
          <cell r="C649" t="str">
            <v>M'</v>
          </cell>
          <cell r="D649">
            <v>275000</v>
          </cell>
          <cell r="F649">
            <v>0</v>
          </cell>
          <cell r="G649">
            <v>0</v>
          </cell>
          <cell r="H649">
            <v>0</v>
          </cell>
          <cell r="J649">
            <v>0</v>
          </cell>
          <cell r="L649">
            <v>0</v>
          </cell>
          <cell r="N649">
            <v>0</v>
          </cell>
          <cell r="P649">
            <v>0</v>
          </cell>
          <cell r="Q649">
            <v>7.36</v>
          </cell>
          <cell r="R649">
            <v>2024000</v>
          </cell>
        </row>
        <row r="650">
          <cell r="A650">
            <v>41</v>
          </cell>
          <cell r="B650" t="str">
            <v>Rolling Door</v>
          </cell>
          <cell r="C650" t="str">
            <v>M2</v>
          </cell>
          <cell r="D650">
            <v>358100</v>
          </cell>
          <cell r="F650">
            <v>0</v>
          </cell>
          <cell r="G650">
            <v>0</v>
          </cell>
          <cell r="H650">
            <v>0</v>
          </cell>
          <cell r="J650">
            <v>0</v>
          </cell>
          <cell r="L650">
            <v>0</v>
          </cell>
          <cell r="N650">
            <v>0</v>
          </cell>
          <cell r="P650">
            <v>0</v>
          </cell>
          <cell r="R650">
            <v>0</v>
          </cell>
        </row>
        <row r="651">
          <cell r="A651">
            <v>42</v>
          </cell>
          <cell r="B651" t="str">
            <v>Roster</v>
          </cell>
          <cell r="C651" t="str">
            <v>M2</v>
          </cell>
          <cell r="D651">
            <v>133850</v>
          </cell>
          <cell r="F651">
            <v>0</v>
          </cell>
          <cell r="G651">
            <v>0</v>
          </cell>
          <cell r="H651">
            <v>0</v>
          </cell>
          <cell r="J651">
            <v>0</v>
          </cell>
          <cell r="L651">
            <v>0</v>
          </cell>
          <cell r="N651">
            <v>0</v>
          </cell>
          <cell r="P651">
            <v>0</v>
          </cell>
          <cell r="R651">
            <v>0</v>
          </cell>
        </row>
        <row r="652">
          <cell r="A652">
            <v>43</v>
          </cell>
          <cell r="B652" t="str">
            <v>Gipsum Board</v>
          </cell>
          <cell r="C652" t="str">
            <v>M2</v>
          </cell>
          <cell r="D652">
            <v>29000</v>
          </cell>
          <cell r="F652">
            <v>0</v>
          </cell>
          <cell r="G652">
            <v>0</v>
          </cell>
          <cell r="H652">
            <v>0</v>
          </cell>
          <cell r="J652">
            <v>0</v>
          </cell>
          <cell r="L652">
            <v>0</v>
          </cell>
          <cell r="N652">
            <v>0</v>
          </cell>
          <cell r="P652">
            <v>0</v>
          </cell>
          <cell r="R652">
            <v>0</v>
          </cell>
        </row>
        <row r="653">
          <cell r="A653">
            <v>44</v>
          </cell>
          <cell r="B653" t="str">
            <v>List Gipsum</v>
          </cell>
          <cell r="C653" t="str">
            <v>M'</v>
          </cell>
          <cell r="D653">
            <v>17300</v>
          </cell>
          <cell r="F653">
            <v>0</v>
          </cell>
          <cell r="G653">
            <v>0</v>
          </cell>
          <cell r="H653">
            <v>0</v>
          </cell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P653">
            <v>0</v>
          </cell>
          <cell r="R653">
            <v>0</v>
          </cell>
        </row>
        <row r="654">
          <cell r="A654">
            <v>45</v>
          </cell>
          <cell r="B654" t="str">
            <v>Sealent</v>
          </cell>
          <cell r="C654" t="str">
            <v>M'</v>
          </cell>
          <cell r="D654">
            <v>8400</v>
          </cell>
          <cell r="E654">
            <v>4.32</v>
          </cell>
          <cell r="F654">
            <v>36288</v>
          </cell>
          <cell r="G654">
            <v>0</v>
          </cell>
          <cell r="H654">
            <v>0</v>
          </cell>
          <cell r="I654">
            <v>10.6</v>
          </cell>
          <cell r="J654">
            <v>89040</v>
          </cell>
          <cell r="K654">
            <v>8.4</v>
          </cell>
          <cell r="L654">
            <v>70560</v>
          </cell>
          <cell r="M654">
            <v>8.4</v>
          </cell>
          <cell r="N654">
            <v>70560</v>
          </cell>
          <cell r="P654">
            <v>0</v>
          </cell>
          <cell r="R654">
            <v>0</v>
          </cell>
        </row>
        <row r="655">
          <cell r="A655">
            <v>46</v>
          </cell>
          <cell r="B655" t="str">
            <v>Benangan Kusen</v>
          </cell>
          <cell r="C655" t="str">
            <v>M'</v>
          </cell>
          <cell r="D655">
            <v>4296.0074999999997</v>
          </cell>
          <cell r="E655">
            <v>11.7</v>
          </cell>
          <cell r="F655">
            <v>50263.287749999996</v>
          </cell>
          <cell r="G655">
            <v>5.7839999999999998</v>
          </cell>
          <cell r="H655">
            <v>24848.107379999998</v>
          </cell>
          <cell r="I655">
            <v>21.2</v>
          </cell>
          <cell r="J655">
            <v>91075.358999999997</v>
          </cell>
          <cell r="K655">
            <v>16.8</v>
          </cell>
          <cell r="L655">
            <v>72172.925999999992</v>
          </cell>
          <cell r="M655">
            <v>16.8</v>
          </cell>
          <cell r="N655">
            <v>72172.925999999992</v>
          </cell>
          <cell r="P655">
            <v>0</v>
          </cell>
          <cell r="R655">
            <v>0</v>
          </cell>
        </row>
        <row r="656">
          <cell r="A656">
            <v>47</v>
          </cell>
          <cell r="B656" t="str">
            <v xml:space="preserve">Cat Kayu </v>
          </cell>
          <cell r="C656" t="str">
            <v>M2</v>
          </cell>
          <cell r="D656">
            <v>19370.5</v>
          </cell>
          <cell r="E656">
            <v>3</v>
          </cell>
          <cell r="F656">
            <v>58111.5</v>
          </cell>
          <cell r="G656">
            <v>4.0991999999999997</v>
          </cell>
          <cell r="H656">
            <v>79403.553599999999</v>
          </cell>
          <cell r="J656">
            <v>0</v>
          </cell>
          <cell r="L656">
            <v>0</v>
          </cell>
          <cell r="N656">
            <v>0</v>
          </cell>
          <cell r="P656">
            <v>0</v>
          </cell>
          <cell r="R656">
            <v>0</v>
          </cell>
        </row>
        <row r="657">
          <cell r="A657">
            <v>48</v>
          </cell>
          <cell r="B657" t="str">
            <v>Cat Besi</v>
          </cell>
          <cell r="C657" t="str">
            <v>M2</v>
          </cell>
          <cell r="D657">
            <v>13698</v>
          </cell>
          <cell r="F657">
            <v>0</v>
          </cell>
          <cell r="G657">
            <v>0</v>
          </cell>
          <cell r="H657">
            <v>0</v>
          </cell>
          <cell r="J657">
            <v>0</v>
          </cell>
          <cell r="L657">
            <v>0</v>
          </cell>
          <cell r="N657">
            <v>0</v>
          </cell>
          <cell r="O657">
            <v>5.12</v>
          </cell>
          <cell r="P657">
            <v>70133.759999999995</v>
          </cell>
          <cell r="Q657">
            <v>5.12</v>
          </cell>
          <cell r="R657">
            <v>70133.759999999995</v>
          </cell>
        </row>
        <row r="658">
          <cell r="A658">
            <v>49</v>
          </cell>
          <cell r="B658" t="str">
            <v>Cat Dinding</v>
          </cell>
          <cell r="C658" t="str">
            <v>M2</v>
          </cell>
          <cell r="D658">
            <v>9900</v>
          </cell>
          <cell r="F658">
            <v>0</v>
          </cell>
          <cell r="G658">
            <v>0</v>
          </cell>
          <cell r="H658">
            <v>0</v>
          </cell>
          <cell r="J658">
            <v>0</v>
          </cell>
          <cell r="L658">
            <v>0</v>
          </cell>
          <cell r="N658">
            <v>0</v>
          </cell>
          <cell r="P658">
            <v>0</v>
          </cell>
          <cell r="R658">
            <v>0</v>
          </cell>
        </row>
        <row r="659">
          <cell r="A659">
            <v>50</v>
          </cell>
          <cell r="B659" t="str">
            <v>Rel Jendela Geser</v>
          </cell>
          <cell r="C659" t="str">
            <v>M'</v>
          </cell>
          <cell r="D659">
            <v>275000</v>
          </cell>
          <cell r="F659">
            <v>0</v>
          </cell>
          <cell r="J659">
            <v>0</v>
          </cell>
          <cell r="L659">
            <v>0</v>
          </cell>
          <cell r="N659">
            <v>0</v>
          </cell>
          <cell r="P659">
            <v>0</v>
          </cell>
          <cell r="R659">
            <v>0</v>
          </cell>
        </row>
        <row r="661">
          <cell r="B661" t="str">
            <v>Jumlah Harga</v>
          </cell>
          <cell r="F661">
            <v>691295.96775000007</v>
          </cell>
          <cell r="H661">
            <v>1690743.9109799999</v>
          </cell>
          <cell r="J661">
            <v>705039.29181249999</v>
          </cell>
          <cell r="L661">
            <v>395539.10099999997</v>
          </cell>
          <cell r="N661">
            <v>395539.10099999997</v>
          </cell>
          <cell r="P661">
            <v>869800.95999999996</v>
          </cell>
          <cell r="R661">
            <v>3158800.96</v>
          </cell>
        </row>
        <row r="665">
          <cell r="A665" t="str">
            <v>No.</v>
          </cell>
          <cell r="B665" t="str">
            <v>Item Pekerjaan</v>
          </cell>
          <cell r="C665" t="str">
            <v>Satuan</v>
          </cell>
          <cell r="D665" t="str">
            <v>Harga Satuan</v>
          </cell>
          <cell r="E665" t="str">
            <v>P1</v>
          </cell>
          <cell r="G665" t="str">
            <v>P2</v>
          </cell>
          <cell r="I665" t="str">
            <v>P2'</v>
          </cell>
          <cell r="K665" t="str">
            <v>P3</v>
          </cell>
          <cell r="M665" t="str">
            <v>P3'</v>
          </cell>
          <cell r="O665" t="str">
            <v>P4</v>
          </cell>
          <cell r="Q665" t="str">
            <v>J1</v>
          </cell>
          <cell r="S665" t="str">
            <v>J2</v>
          </cell>
          <cell r="U665" t="str">
            <v>J3</v>
          </cell>
          <cell r="W665" t="str">
            <v>BV1</v>
          </cell>
          <cell r="Y665" t="str">
            <v>BV2</v>
          </cell>
          <cell r="AA665" t="str">
            <v>ROLLING DOOR</v>
          </cell>
        </row>
        <row r="666">
          <cell r="D666" t="str">
            <v>Rp.</v>
          </cell>
          <cell r="E666" t="str">
            <v>Vol.</v>
          </cell>
          <cell r="F666" t="str">
            <v>Jumlah Harga</v>
          </cell>
          <cell r="G666" t="str">
            <v>Vol.</v>
          </cell>
          <cell r="H666" t="str">
            <v>Jumlah Harga</v>
          </cell>
          <cell r="I666" t="str">
            <v>Vol.</v>
          </cell>
          <cell r="J666" t="str">
            <v>Jumlah Harga</v>
          </cell>
          <cell r="K666" t="str">
            <v>Vol.</v>
          </cell>
          <cell r="L666" t="str">
            <v>Jumlah Harga</v>
          </cell>
          <cell r="M666" t="str">
            <v>Vol.</v>
          </cell>
          <cell r="N666" t="str">
            <v>Jumlah Harga</v>
          </cell>
          <cell r="O666" t="str">
            <v>Vol.</v>
          </cell>
          <cell r="P666" t="str">
            <v>Jumlah Harga</v>
          </cell>
          <cell r="Q666" t="str">
            <v>Vol.</v>
          </cell>
          <cell r="R666" t="str">
            <v>Jumlah Harga</v>
          </cell>
          <cell r="S666" t="str">
            <v>Vol.</v>
          </cell>
          <cell r="T666" t="str">
            <v>Jumlah Harga</v>
          </cell>
          <cell r="U666" t="str">
            <v>Vol.</v>
          </cell>
          <cell r="V666" t="str">
            <v>Jumlah Harga</v>
          </cell>
          <cell r="W666" t="str">
            <v>Vol.</v>
          </cell>
          <cell r="X666" t="str">
            <v>Jumlah Harga</v>
          </cell>
          <cell r="Y666" t="str">
            <v>Vol.</v>
          </cell>
          <cell r="Z666" t="str">
            <v>Jumlah Harga</v>
          </cell>
          <cell r="AA666" t="str">
            <v>Vol.</v>
          </cell>
          <cell r="AB666" t="str">
            <v>Jumlah Harga</v>
          </cell>
        </row>
        <row r="667">
          <cell r="A667" t="str">
            <v>X.</v>
          </cell>
          <cell r="B667" t="str">
            <v>UNIT KOLAM RENANG</v>
          </cell>
        </row>
        <row r="669">
          <cell r="A669">
            <v>1</v>
          </cell>
          <cell r="B669" t="str">
            <v>Kayu 6/12</v>
          </cell>
          <cell r="C669" t="str">
            <v>M3</v>
          </cell>
          <cell r="D669">
            <v>0</v>
          </cell>
          <cell r="E669">
            <v>2.3120000000000002E-2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3.6144000000000003E-2</v>
          </cell>
          <cell r="L669">
            <v>0</v>
          </cell>
          <cell r="M669">
            <v>3.6144000000000003E-2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T669">
            <v>0</v>
          </cell>
          <cell r="U669">
            <v>0</v>
          </cell>
          <cell r="V669">
            <v>0</v>
          </cell>
          <cell r="X669">
            <v>0</v>
          </cell>
          <cell r="Z669">
            <v>0</v>
          </cell>
          <cell r="AB669">
            <v>0</v>
          </cell>
        </row>
        <row r="670">
          <cell r="A670">
            <v>2</v>
          </cell>
          <cell r="B670" t="str">
            <v>Kayu Slimar 3/10</v>
          </cell>
          <cell r="C670" t="str">
            <v>M3</v>
          </cell>
          <cell r="D670">
            <v>0</v>
          </cell>
          <cell r="E670">
            <v>6.4000000000000012E-3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1.4159999999999999E-2</v>
          </cell>
          <cell r="L670">
            <v>0</v>
          </cell>
          <cell r="M670">
            <v>1.4159999999999999E-2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T670">
            <v>0</v>
          </cell>
          <cell r="U670">
            <v>0</v>
          </cell>
          <cell r="V670">
            <v>0</v>
          </cell>
          <cell r="X670">
            <v>0</v>
          </cell>
          <cell r="Z670">
            <v>0</v>
          </cell>
          <cell r="AB670">
            <v>0</v>
          </cell>
        </row>
        <row r="671">
          <cell r="A671">
            <v>3</v>
          </cell>
          <cell r="B671" t="str">
            <v>Kayu Slimar 3/15</v>
          </cell>
          <cell r="C671" t="str">
            <v>M3</v>
          </cell>
          <cell r="D671">
            <v>0</v>
          </cell>
          <cell r="E671">
            <v>14.399999999999999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2.6999999999999997E-3</v>
          </cell>
          <cell r="L671">
            <v>0</v>
          </cell>
          <cell r="M671">
            <v>2.6999999999999997E-3</v>
          </cell>
          <cell r="N671">
            <v>0</v>
          </cell>
          <cell r="O671">
            <v>0</v>
          </cell>
          <cell r="P671">
            <v>0</v>
          </cell>
          <cell r="R671">
            <v>0</v>
          </cell>
          <cell r="T671">
            <v>0</v>
          </cell>
          <cell r="U671">
            <v>0</v>
          </cell>
          <cell r="V671">
            <v>0</v>
          </cell>
          <cell r="X671">
            <v>0</v>
          </cell>
          <cell r="Z671">
            <v>0</v>
          </cell>
          <cell r="AB671">
            <v>0</v>
          </cell>
        </row>
        <row r="672">
          <cell r="A672">
            <v>4</v>
          </cell>
          <cell r="B672" t="str">
            <v>Kayu Slimar 3/20</v>
          </cell>
          <cell r="C672" t="str">
            <v>M3</v>
          </cell>
          <cell r="D672">
            <v>0</v>
          </cell>
          <cell r="E672">
            <v>6.6879999999999997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3.5999999999999999E-3</v>
          </cell>
          <cell r="L672">
            <v>0</v>
          </cell>
          <cell r="M672">
            <v>3.5999999999999999E-3</v>
          </cell>
          <cell r="N672">
            <v>0</v>
          </cell>
          <cell r="O672">
            <v>0</v>
          </cell>
          <cell r="P672">
            <v>0</v>
          </cell>
          <cell r="R672">
            <v>0</v>
          </cell>
          <cell r="T672">
            <v>0</v>
          </cell>
          <cell r="U672">
            <v>0</v>
          </cell>
          <cell r="V672">
            <v>0</v>
          </cell>
          <cell r="X672">
            <v>0</v>
          </cell>
          <cell r="Z672">
            <v>0</v>
          </cell>
          <cell r="AB672">
            <v>0</v>
          </cell>
        </row>
        <row r="673">
          <cell r="A673">
            <v>5</v>
          </cell>
          <cell r="B673" t="str">
            <v>Kayu 2/10</v>
          </cell>
          <cell r="C673" t="str">
            <v>M3</v>
          </cell>
          <cell r="D673">
            <v>0</v>
          </cell>
          <cell r="E673">
            <v>6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5.4000000000000012E-3</v>
          </cell>
          <cell r="L673">
            <v>0</v>
          </cell>
          <cell r="M673">
            <v>5.4000000000000012E-3</v>
          </cell>
          <cell r="N673">
            <v>0</v>
          </cell>
          <cell r="O673">
            <v>0</v>
          </cell>
          <cell r="P673">
            <v>0</v>
          </cell>
          <cell r="Q673">
            <v>10.25</v>
          </cell>
          <cell r="R673">
            <v>0</v>
          </cell>
          <cell r="S673">
            <v>3.4999999999999996</v>
          </cell>
          <cell r="T673">
            <v>0</v>
          </cell>
          <cell r="U673">
            <v>5.9</v>
          </cell>
          <cell r="V673">
            <v>0</v>
          </cell>
          <cell r="W673">
            <v>2</v>
          </cell>
          <cell r="X673">
            <v>0</v>
          </cell>
          <cell r="Y673">
            <v>2</v>
          </cell>
          <cell r="Z673">
            <v>0</v>
          </cell>
          <cell r="AB673">
            <v>0</v>
          </cell>
        </row>
        <row r="674">
          <cell r="A674">
            <v>6</v>
          </cell>
          <cell r="B674" t="str">
            <v>Panil t = 3 cm</v>
          </cell>
          <cell r="C674" t="str">
            <v>M2</v>
          </cell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0.49500000000000005</v>
          </cell>
          <cell r="L674">
            <v>0</v>
          </cell>
          <cell r="M674">
            <v>0.49500000000000005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T674">
            <v>0</v>
          </cell>
          <cell r="U674">
            <v>0</v>
          </cell>
          <cell r="V674">
            <v>0</v>
          </cell>
          <cell r="X674">
            <v>0</v>
          </cell>
          <cell r="Z674">
            <v>0</v>
          </cell>
          <cell r="AB674">
            <v>0</v>
          </cell>
        </row>
        <row r="675">
          <cell r="A675">
            <v>1</v>
          </cell>
          <cell r="B675" t="str">
            <v>Kusen Aluminium 5/10</v>
          </cell>
          <cell r="C675" t="str">
            <v>M'</v>
          </cell>
          <cell r="D675">
            <v>124948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5</v>
          </cell>
          <cell r="L675">
            <v>624740</v>
          </cell>
          <cell r="M675">
            <v>5</v>
          </cell>
          <cell r="N675">
            <v>624740</v>
          </cell>
          <cell r="O675">
            <v>6.1999999999999993</v>
          </cell>
          <cell r="P675">
            <v>774677.59999999986</v>
          </cell>
          <cell r="R675">
            <v>0</v>
          </cell>
          <cell r="T675">
            <v>0</v>
          </cell>
          <cell r="U675">
            <v>0</v>
          </cell>
          <cell r="V675">
            <v>0</v>
          </cell>
          <cell r="X675">
            <v>0</v>
          </cell>
          <cell r="Z675">
            <v>0</v>
          </cell>
          <cell r="AB675">
            <v>0</v>
          </cell>
        </row>
        <row r="676">
          <cell r="A676">
            <v>2</v>
          </cell>
          <cell r="B676" t="str">
            <v xml:space="preserve">Rangka Daun Jendela Alumunium </v>
          </cell>
          <cell r="C676" t="str">
            <v>M'</v>
          </cell>
          <cell r="D676">
            <v>124948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7</v>
          </cell>
          <cell r="R676">
            <v>874636</v>
          </cell>
          <cell r="S676">
            <v>3.0999999999999996</v>
          </cell>
          <cell r="T676">
            <v>387338.79999999993</v>
          </cell>
          <cell r="U676">
            <v>0</v>
          </cell>
          <cell r="V676">
            <v>0</v>
          </cell>
          <cell r="X676">
            <v>0</v>
          </cell>
          <cell r="Z676">
            <v>0</v>
          </cell>
          <cell r="AB676">
            <v>0</v>
          </cell>
        </row>
        <row r="677">
          <cell r="A677">
            <v>3</v>
          </cell>
          <cell r="B677" t="str">
            <v>Rangka Tiang Sirip Alumunium 1/1 Putih</v>
          </cell>
          <cell r="C677" t="str">
            <v>M'</v>
          </cell>
          <cell r="D677">
            <v>62474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2.6</v>
          </cell>
          <cell r="R677">
            <v>162432.4</v>
          </cell>
          <cell r="T677">
            <v>0</v>
          </cell>
          <cell r="U677">
            <v>1.85</v>
          </cell>
          <cell r="V677">
            <v>115576.90000000001</v>
          </cell>
          <cell r="X677">
            <v>0</v>
          </cell>
          <cell r="Z677">
            <v>0</v>
          </cell>
          <cell r="AB677">
            <v>0</v>
          </cell>
        </row>
        <row r="678">
          <cell r="A678">
            <v>4</v>
          </cell>
          <cell r="B678" t="str">
            <v>Pasang Shading Sirip Alumunium 0.2/10 +Rangka</v>
          </cell>
          <cell r="C678" t="str">
            <v>M2</v>
          </cell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0.26250000000000001</v>
          </cell>
          <cell r="R678">
            <v>0</v>
          </cell>
          <cell r="T678">
            <v>0</v>
          </cell>
          <cell r="U678">
            <v>0.14499999999999999</v>
          </cell>
          <cell r="V678">
            <v>0</v>
          </cell>
          <cell r="X678">
            <v>0</v>
          </cell>
          <cell r="Z678">
            <v>0</v>
          </cell>
          <cell r="AB678">
            <v>0</v>
          </cell>
        </row>
        <row r="679">
          <cell r="A679">
            <v>5</v>
          </cell>
          <cell r="B679" t="str">
            <v>Daun Pintu Panil Kamper</v>
          </cell>
          <cell r="C679" t="str">
            <v>bh</v>
          </cell>
          <cell r="D679">
            <v>550000</v>
          </cell>
          <cell r="E679">
            <v>0.19440000000000002</v>
          </cell>
          <cell r="F679">
            <v>106920.00000000001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1.2</v>
          </cell>
          <cell r="L679">
            <v>660000</v>
          </cell>
          <cell r="M679">
            <v>1.2</v>
          </cell>
          <cell r="N679">
            <v>660000</v>
          </cell>
          <cell r="O679">
            <v>0.16056000000000001</v>
          </cell>
          <cell r="P679">
            <v>88308</v>
          </cell>
          <cell r="R679">
            <v>0</v>
          </cell>
          <cell r="T679">
            <v>0</v>
          </cell>
          <cell r="U679">
            <v>0</v>
          </cell>
          <cell r="V679">
            <v>0</v>
          </cell>
          <cell r="X679">
            <v>0</v>
          </cell>
          <cell r="Z679">
            <v>0</v>
          </cell>
          <cell r="AB679">
            <v>0</v>
          </cell>
        </row>
        <row r="680">
          <cell r="A680">
            <v>6</v>
          </cell>
          <cell r="B680" t="str">
            <v>Plat besi t = 2 mm</v>
          </cell>
          <cell r="C680" t="str">
            <v>Kg</v>
          </cell>
          <cell r="D680">
            <v>0</v>
          </cell>
          <cell r="F680">
            <v>0</v>
          </cell>
          <cell r="G680">
            <v>57.085200000000007</v>
          </cell>
          <cell r="H680">
            <v>0</v>
          </cell>
          <cell r="I680">
            <v>57.085200000000007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P680">
            <v>0</v>
          </cell>
          <cell r="R680">
            <v>0</v>
          </cell>
          <cell r="T680">
            <v>0</v>
          </cell>
          <cell r="U680">
            <v>0</v>
          </cell>
          <cell r="V680">
            <v>0</v>
          </cell>
          <cell r="X680">
            <v>0</v>
          </cell>
          <cell r="Z680">
            <v>0</v>
          </cell>
          <cell r="AB680">
            <v>0</v>
          </cell>
        </row>
        <row r="681">
          <cell r="A681">
            <v>7</v>
          </cell>
          <cell r="B681" t="str">
            <v>C 40.40.2  (pesan khusus)</v>
          </cell>
          <cell r="C681" t="str">
            <v>Kg</v>
          </cell>
          <cell r="D681">
            <v>14122.3</v>
          </cell>
          <cell r="F681">
            <v>0</v>
          </cell>
          <cell r="G681">
            <v>42.56</v>
          </cell>
          <cell r="H681">
            <v>601045.08799999999</v>
          </cell>
          <cell r="I681">
            <v>42.56</v>
          </cell>
          <cell r="J681">
            <v>601045.08799999999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P681">
            <v>0</v>
          </cell>
          <cell r="R681">
            <v>0</v>
          </cell>
          <cell r="T681">
            <v>0</v>
          </cell>
          <cell r="U681">
            <v>0</v>
          </cell>
          <cell r="V681">
            <v>0</v>
          </cell>
          <cell r="X681">
            <v>0</v>
          </cell>
          <cell r="Z681">
            <v>0</v>
          </cell>
          <cell r="AB681">
            <v>0</v>
          </cell>
        </row>
        <row r="682">
          <cell r="A682">
            <v>8</v>
          </cell>
          <cell r="B682" t="str">
            <v>Handle besi dia 16 mm</v>
          </cell>
          <cell r="C682" t="str">
            <v>Set</v>
          </cell>
          <cell r="D682">
            <v>129652.5</v>
          </cell>
          <cell r="F682">
            <v>0</v>
          </cell>
          <cell r="G682">
            <v>1</v>
          </cell>
          <cell r="H682">
            <v>129652.5</v>
          </cell>
          <cell r="I682">
            <v>1</v>
          </cell>
          <cell r="J682">
            <v>129652.5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P682">
            <v>0</v>
          </cell>
          <cell r="R682">
            <v>0</v>
          </cell>
          <cell r="T682">
            <v>0</v>
          </cell>
          <cell r="U682">
            <v>0</v>
          </cell>
          <cell r="V682">
            <v>0</v>
          </cell>
          <cell r="X682">
            <v>0</v>
          </cell>
          <cell r="Z682">
            <v>0</v>
          </cell>
          <cell r="AB682">
            <v>0</v>
          </cell>
        </row>
        <row r="683">
          <cell r="A683">
            <v>9</v>
          </cell>
          <cell r="B683" t="str">
            <v>Hendle pintu Stainless</v>
          </cell>
          <cell r="C683" t="str">
            <v>Set</v>
          </cell>
          <cell r="D683">
            <v>261652.5</v>
          </cell>
          <cell r="E683">
            <v>2</v>
          </cell>
          <cell r="F683">
            <v>523305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P683">
            <v>0</v>
          </cell>
          <cell r="R683">
            <v>0</v>
          </cell>
          <cell r="T683">
            <v>0</v>
          </cell>
          <cell r="U683">
            <v>0</v>
          </cell>
          <cell r="V683">
            <v>0</v>
          </cell>
          <cell r="X683">
            <v>0</v>
          </cell>
          <cell r="Z683">
            <v>0</v>
          </cell>
          <cell r="AB683">
            <v>0</v>
          </cell>
        </row>
        <row r="684">
          <cell r="A684">
            <v>10</v>
          </cell>
          <cell r="B684" t="str">
            <v>Kunci Pintu Handle stainleess (dorma)</v>
          </cell>
          <cell r="C684" t="str">
            <v>Set</v>
          </cell>
          <cell r="D684">
            <v>650000</v>
          </cell>
          <cell r="E684">
            <v>2</v>
          </cell>
          <cell r="F684">
            <v>1300000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P684">
            <v>0</v>
          </cell>
          <cell r="R684">
            <v>0</v>
          </cell>
          <cell r="T684">
            <v>0</v>
          </cell>
          <cell r="U684">
            <v>0</v>
          </cell>
          <cell r="V684">
            <v>0</v>
          </cell>
          <cell r="X684">
            <v>0</v>
          </cell>
          <cell r="Z684">
            <v>0</v>
          </cell>
          <cell r="AB684">
            <v>0</v>
          </cell>
        </row>
        <row r="685">
          <cell r="A685">
            <v>11</v>
          </cell>
          <cell r="B685" t="str">
            <v>Kunci tanam Antik</v>
          </cell>
          <cell r="C685" t="str">
            <v>Set</v>
          </cell>
          <cell r="D685">
            <v>265000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P685">
            <v>0</v>
          </cell>
          <cell r="R685">
            <v>0</v>
          </cell>
          <cell r="T685">
            <v>0</v>
          </cell>
          <cell r="U685">
            <v>0</v>
          </cell>
          <cell r="V685">
            <v>0</v>
          </cell>
          <cell r="X685">
            <v>0</v>
          </cell>
          <cell r="Z685">
            <v>0</v>
          </cell>
          <cell r="AB685">
            <v>0</v>
          </cell>
        </row>
        <row r="686">
          <cell r="A686">
            <v>12</v>
          </cell>
          <cell r="B686" t="str">
            <v>Kunci tanam biasa</v>
          </cell>
          <cell r="C686" t="str">
            <v>Set</v>
          </cell>
          <cell r="D686">
            <v>168565</v>
          </cell>
          <cell r="E686">
            <v>2</v>
          </cell>
          <cell r="F686">
            <v>337130</v>
          </cell>
          <cell r="G686">
            <v>1</v>
          </cell>
          <cell r="H686">
            <v>168565</v>
          </cell>
          <cell r="I686">
            <v>1</v>
          </cell>
          <cell r="J686">
            <v>168565</v>
          </cell>
          <cell r="K686">
            <v>1</v>
          </cell>
          <cell r="L686">
            <v>168565</v>
          </cell>
          <cell r="M686">
            <v>1</v>
          </cell>
          <cell r="N686">
            <v>168565</v>
          </cell>
          <cell r="O686">
            <v>2</v>
          </cell>
          <cell r="P686">
            <v>337130</v>
          </cell>
          <cell r="R686">
            <v>0</v>
          </cell>
          <cell r="T686">
            <v>0</v>
          </cell>
          <cell r="U686">
            <v>0</v>
          </cell>
          <cell r="V686">
            <v>0</v>
          </cell>
          <cell r="X686">
            <v>0</v>
          </cell>
          <cell r="Z686">
            <v>0</v>
          </cell>
          <cell r="AA686">
            <v>2</v>
          </cell>
          <cell r="AB686">
            <v>337130</v>
          </cell>
        </row>
        <row r="687">
          <cell r="A687">
            <v>13</v>
          </cell>
          <cell r="B687" t="str">
            <v>Kunci Silinder</v>
          </cell>
          <cell r="C687" t="str">
            <v>Set</v>
          </cell>
          <cell r="D687">
            <v>217900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  <cell r="R687">
            <v>0</v>
          </cell>
          <cell r="T687">
            <v>0</v>
          </cell>
          <cell r="U687">
            <v>0</v>
          </cell>
          <cell r="V687">
            <v>0</v>
          </cell>
          <cell r="X687">
            <v>0</v>
          </cell>
          <cell r="Z687">
            <v>0</v>
          </cell>
          <cell r="AB687">
            <v>0</v>
          </cell>
        </row>
        <row r="688">
          <cell r="A688">
            <v>14</v>
          </cell>
          <cell r="B688" t="str">
            <v>Kunci Selot</v>
          </cell>
          <cell r="C688" t="str">
            <v>Set</v>
          </cell>
          <cell r="D688">
            <v>48300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</v>
          </cell>
          <cell r="P688">
            <v>48300</v>
          </cell>
          <cell r="R688">
            <v>0</v>
          </cell>
          <cell r="T688">
            <v>0</v>
          </cell>
          <cell r="U688">
            <v>0</v>
          </cell>
          <cell r="V688">
            <v>0</v>
          </cell>
          <cell r="X688">
            <v>0</v>
          </cell>
          <cell r="Z688">
            <v>0</v>
          </cell>
          <cell r="AB688">
            <v>0</v>
          </cell>
        </row>
        <row r="689">
          <cell r="A689">
            <v>15</v>
          </cell>
          <cell r="B689" t="str">
            <v>Engsel jendela</v>
          </cell>
          <cell r="C689" t="str">
            <v>Bh</v>
          </cell>
          <cell r="D689">
            <v>16600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  <cell r="Q689">
            <v>6</v>
          </cell>
          <cell r="R689">
            <v>99600</v>
          </cell>
          <cell r="S689">
            <v>2</v>
          </cell>
          <cell r="T689">
            <v>33200</v>
          </cell>
          <cell r="U689">
            <v>0</v>
          </cell>
          <cell r="V689">
            <v>0</v>
          </cell>
          <cell r="X689">
            <v>0</v>
          </cell>
          <cell r="Z689">
            <v>0</v>
          </cell>
          <cell r="AB689">
            <v>0</v>
          </cell>
        </row>
        <row r="690">
          <cell r="A690">
            <v>16</v>
          </cell>
          <cell r="B690" t="str">
            <v>Engsel pintu</v>
          </cell>
          <cell r="C690" t="str">
            <v>Bh</v>
          </cell>
          <cell r="D690">
            <v>44395.75</v>
          </cell>
          <cell r="E690">
            <v>4</v>
          </cell>
          <cell r="F690">
            <v>177583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3</v>
          </cell>
          <cell r="L690">
            <v>133187.25</v>
          </cell>
          <cell r="M690">
            <v>3</v>
          </cell>
          <cell r="N690">
            <v>133187.25</v>
          </cell>
          <cell r="O690">
            <v>4</v>
          </cell>
          <cell r="P690">
            <v>177583</v>
          </cell>
          <cell r="R690">
            <v>0</v>
          </cell>
          <cell r="T690">
            <v>0</v>
          </cell>
          <cell r="U690">
            <v>0</v>
          </cell>
          <cell r="V690">
            <v>0</v>
          </cell>
          <cell r="X690">
            <v>0</v>
          </cell>
          <cell r="Z690">
            <v>0</v>
          </cell>
          <cell r="AB690">
            <v>0</v>
          </cell>
        </row>
        <row r="691">
          <cell r="A691">
            <v>17</v>
          </cell>
          <cell r="B691" t="str">
            <v>Engsel Pintu dari pipa besi dia 2 cm</v>
          </cell>
          <cell r="C691" t="str">
            <v>Bh</v>
          </cell>
          <cell r="D691">
            <v>66593.625</v>
          </cell>
          <cell r="F691">
            <v>0</v>
          </cell>
          <cell r="G691">
            <v>2</v>
          </cell>
          <cell r="H691">
            <v>133187.25</v>
          </cell>
          <cell r="I691">
            <v>2</v>
          </cell>
          <cell r="J691">
            <v>133187.25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  <cell r="R691">
            <v>0</v>
          </cell>
          <cell r="T691">
            <v>0</v>
          </cell>
          <cell r="U691">
            <v>0</v>
          </cell>
          <cell r="V691">
            <v>0</v>
          </cell>
          <cell r="X691">
            <v>0</v>
          </cell>
          <cell r="Z691">
            <v>0</v>
          </cell>
          <cell r="AB691">
            <v>0</v>
          </cell>
        </row>
        <row r="692">
          <cell r="A692">
            <v>18</v>
          </cell>
          <cell r="B692" t="str">
            <v>Kait/hak angin</v>
          </cell>
          <cell r="C692" t="str">
            <v>Set</v>
          </cell>
          <cell r="D692">
            <v>27000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  <cell r="Q692">
            <v>6</v>
          </cell>
          <cell r="R692">
            <v>162000</v>
          </cell>
          <cell r="S692">
            <v>2</v>
          </cell>
          <cell r="T692">
            <v>54000</v>
          </cell>
          <cell r="U692">
            <v>0</v>
          </cell>
          <cell r="V692">
            <v>0</v>
          </cell>
          <cell r="X692">
            <v>0</v>
          </cell>
          <cell r="Z692">
            <v>0</v>
          </cell>
          <cell r="AB692">
            <v>0</v>
          </cell>
        </row>
        <row r="693">
          <cell r="A693">
            <v>19</v>
          </cell>
          <cell r="B693" t="str">
            <v>Grendel pintu kuningan</v>
          </cell>
          <cell r="C693" t="str">
            <v>Bh</v>
          </cell>
          <cell r="D693">
            <v>125000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  <cell r="R693">
            <v>0</v>
          </cell>
          <cell r="T693">
            <v>0</v>
          </cell>
          <cell r="U693">
            <v>0</v>
          </cell>
          <cell r="V693">
            <v>0</v>
          </cell>
          <cell r="X693">
            <v>0</v>
          </cell>
          <cell r="Z693">
            <v>0</v>
          </cell>
          <cell r="AB693">
            <v>0</v>
          </cell>
        </row>
        <row r="694">
          <cell r="A694">
            <v>20</v>
          </cell>
          <cell r="B694" t="str">
            <v xml:space="preserve">Grendel jendela </v>
          </cell>
          <cell r="C694" t="str">
            <v>Bh</v>
          </cell>
          <cell r="D694">
            <v>8100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  <cell r="R694">
            <v>0</v>
          </cell>
          <cell r="T694">
            <v>0</v>
          </cell>
          <cell r="U694">
            <v>0</v>
          </cell>
          <cell r="V694">
            <v>0</v>
          </cell>
          <cell r="X694">
            <v>0</v>
          </cell>
          <cell r="Z694">
            <v>0</v>
          </cell>
          <cell r="AB694">
            <v>0</v>
          </cell>
        </row>
        <row r="695">
          <cell r="A695">
            <v>21</v>
          </cell>
          <cell r="B695" t="str">
            <v>Grendel pintu</v>
          </cell>
          <cell r="C695" t="str">
            <v>Bh</v>
          </cell>
          <cell r="D695">
            <v>14200</v>
          </cell>
          <cell r="E695">
            <v>2</v>
          </cell>
          <cell r="F695">
            <v>28400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2</v>
          </cell>
          <cell r="P695">
            <v>28400</v>
          </cell>
          <cell r="Q695">
            <v>3</v>
          </cell>
          <cell r="R695">
            <v>42600</v>
          </cell>
          <cell r="S695">
            <v>1</v>
          </cell>
          <cell r="T695">
            <v>14200</v>
          </cell>
          <cell r="U695">
            <v>0</v>
          </cell>
          <cell r="V695">
            <v>0</v>
          </cell>
          <cell r="X695">
            <v>0</v>
          </cell>
          <cell r="Z695">
            <v>0</v>
          </cell>
          <cell r="AB695">
            <v>0</v>
          </cell>
        </row>
        <row r="696">
          <cell r="A696">
            <v>22</v>
          </cell>
          <cell r="B696" t="str">
            <v>Stripting Knip</v>
          </cell>
          <cell r="C696" t="str">
            <v>Set</v>
          </cell>
          <cell r="D696">
            <v>13700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  <cell r="R696">
            <v>0</v>
          </cell>
          <cell r="T696">
            <v>0</v>
          </cell>
          <cell r="U696">
            <v>0</v>
          </cell>
          <cell r="V696">
            <v>0</v>
          </cell>
          <cell r="X696">
            <v>0</v>
          </cell>
          <cell r="Z696">
            <v>0</v>
          </cell>
          <cell r="AB696">
            <v>0</v>
          </cell>
        </row>
        <row r="697">
          <cell r="A697">
            <v>23</v>
          </cell>
          <cell r="B697" t="str">
            <v>Door Closer</v>
          </cell>
          <cell r="C697" t="str">
            <v>Set</v>
          </cell>
          <cell r="D697">
            <v>260800</v>
          </cell>
          <cell r="E697">
            <v>2</v>
          </cell>
          <cell r="F697">
            <v>521600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2</v>
          </cell>
          <cell r="P697">
            <v>521600</v>
          </cell>
          <cell r="R697">
            <v>0</v>
          </cell>
          <cell r="T697">
            <v>0</v>
          </cell>
          <cell r="U697">
            <v>0</v>
          </cell>
          <cell r="V697">
            <v>0</v>
          </cell>
          <cell r="X697">
            <v>0</v>
          </cell>
          <cell r="Z697">
            <v>0</v>
          </cell>
          <cell r="AB697">
            <v>0</v>
          </cell>
        </row>
        <row r="698">
          <cell r="A698">
            <v>24</v>
          </cell>
          <cell r="B698" t="str">
            <v>Door Holder</v>
          </cell>
          <cell r="C698" t="str">
            <v>Set</v>
          </cell>
          <cell r="D698">
            <v>500000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  <cell r="R698">
            <v>0</v>
          </cell>
          <cell r="T698">
            <v>0</v>
          </cell>
          <cell r="U698">
            <v>0</v>
          </cell>
          <cell r="V698">
            <v>0</v>
          </cell>
          <cell r="X698">
            <v>0</v>
          </cell>
          <cell r="Z698">
            <v>0</v>
          </cell>
          <cell r="AB698">
            <v>0</v>
          </cell>
        </row>
        <row r="699">
          <cell r="A699">
            <v>25</v>
          </cell>
          <cell r="B699" t="str">
            <v>Door Stop</v>
          </cell>
          <cell r="C699" t="str">
            <v>Set</v>
          </cell>
          <cell r="D699">
            <v>32100</v>
          </cell>
          <cell r="E699">
            <v>2</v>
          </cell>
          <cell r="F699">
            <v>64200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2</v>
          </cell>
          <cell r="P699">
            <v>64200</v>
          </cell>
          <cell r="R699">
            <v>0</v>
          </cell>
          <cell r="T699">
            <v>0</v>
          </cell>
          <cell r="U699">
            <v>0</v>
          </cell>
          <cell r="V699">
            <v>0</v>
          </cell>
          <cell r="X699">
            <v>0</v>
          </cell>
          <cell r="Z699">
            <v>0</v>
          </cell>
          <cell r="AB699">
            <v>0</v>
          </cell>
        </row>
        <row r="700">
          <cell r="A700">
            <v>26</v>
          </cell>
          <cell r="B700" t="str">
            <v>Kaca bening 5 mm</v>
          </cell>
          <cell r="C700" t="str">
            <v>M2</v>
          </cell>
          <cell r="D700">
            <v>66700</v>
          </cell>
          <cell r="E700">
            <v>0.12719999999999998</v>
          </cell>
          <cell r="F700">
            <v>8484.239999999998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7.6799999999999993E-2</v>
          </cell>
          <cell r="P700">
            <v>5122.5599999999995</v>
          </cell>
          <cell r="Q700">
            <v>0.25919999999999999</v>
          </cell>
          <cell r="R700">
            <v>17288.64</v>
          </cell>
          <cell r="S700">
            <v>0.3276</v>
          </cell>
          <cell r="T700">
            <v>21850.920000000002</v>
          </cell>
          <cell r="U700">
            <v>0</v>
          </cell>
          <cell r="V700">
            <v>0</v>
          </cell>
          <cell r="X700">
            <v>0</v>
          </cell>
          <cell r="Y700">
            <v>0.2</v>
          </cell>
          <cell r="Z700">
            <v>13340</v>
          </cell>
          <cell r="AB700">
            <v>0</v>
          </cell>
        </row>
        <row r="701">
          <cell r="A701">
            <v>27</v>
          </cell>
          <cell r="B701" t="str">
            <v>Kaca bening 10 mm</v>
          </cell>
          <cell r="C701" t="str">
            <v>M2</v>
          </cell>
          <cell r="D701">
            <v>280895.75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  <cell r="Q701">
            <v>1.1235000000000002</v>
          </cell>
          <cell r="R701">
            <v>315586.37512500002</v>
          </cell>
          <cell r="T701">
            <v>0</v>
          </cell>
          <cell r="U701">
            <v>0.57999999999999996</v>
          </cell>
          <cell r="V701">
            <v>162919.53499999997</v>
          </cell>
          <cell r="X701">
            <v>0</v>
          </cell>
          <cell r="Z701">
            <v>0</v>
          </cell>
          <cell r="AB701">
            <v>0</v>
          </cell>
        </row>
        <row r="702">
          <cell r="A702">
            <v>28</v>
          </cell>
          <cell r="B702" t="str">
            <v>Kaca Bening 12 mm</v>
          </cell>
          <cell r="C702" t="str">
            <v>M2</v>
          </cell>
          <cell r="D702">
            <v>403787.64062499994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  <cell r="R702">
            <v>0</v>
          </cell>
          <cell r="T702">
            <v>0</v>
          </cell>
          <cell r="U702">
            <v>0</v>
          </cell>
          <cell r="V702">
            <v>0</v>
          </cell>
          <cell r="X702">
            <v>0</v>
          </cell>
          <cell r="Z702">
            <v>0</v>
          </cell>
          <cell r="AB702">
            <v>0</v>
          </cell>
        </row>
        <row r="703">
          <cell r="A703">
            <v>29</v>
          </cell>
          <cell r="B703" t="str">
            <v>Besi hollow 4/4</v>
          </cell>
          <cell r="C703" t="str">
            <v>M'</v>
          </cell>
          <cell r="D703">
            <v>48625.000000000051</v>
          </cell>
          <cell r="F703">
            <v>0</v>
          </cell>
          <cell r="G703">
            <v>5.09</v>
          </cell>
          <cell r="H703">
            <v>247501.25000000026</v>
          </cell>
          <cell r="I703">
            <v>5.09</v>
          </cell>
          <cell r="J703">
            <v>247501.25000000026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  <cell r="R703">
            <v>0</v>
          </cell>
          <cell r="T703">
            <v>0</v>
          </cell>
          <cell r="U703">
            <v>0</v>
          </cell>
          <cell r="V703">
            <v>0</v>
          </cell>
          <cell r="X703">
            <v>0</v>
          </cell>
          <cell r="Z703">
            <v>0</v>
          </cell>
          <cell r="AB703">
            <v>0</v>
          </cell>
        </row>
        <row r="704">
          <cell r="A704">
            <v>30</v>
          </cell>
          <cell r="B704" t="str">
            <v>Besi hollow 6/6</v>
          </cell>
          <cell r="C704" t="str">
            <v>M'</v>
          </cell>
          <cell r="D704">
            <v>74462.500000000058</v>
          </cell>
          <cell r="F704">
            <v>0</v>
          </cell>
          <cell r="G704">
            <v>5.09</v>
          </cell>
          <cell r="H704">
            <v>379014.12500000029</v>
          </cell>
          <cell r="I704">
            <v>5.09</v>
          </cell>
          <cell r="J704">
            <v>379014.12500000029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P704">
            <v>0</v>
          </cell>
          <cell r="R704">
            <v>0</v>
          </cell>
          <cell r="T704">
            <v>0</v>
          </cell>
          <cell r="U704">
            <v>0</v>
          </cell>
          <cell r="V704">
            <v>0</v>
          </cell>
          <cell r="X704">
            <v>0</v>
          </cell>
          <cell r="Z704">
            <v>0</v>
          </cell>
          <cell r="AB704">
            <v>0</v>
          </cell>
        </row>
        <row r="705">
          <cell r="A705">
            <v>31</v>
          </cell>
          <cell r="B705" t="str">
            <v>Besi hollow 2.5/5</v>
          </cell>
          <cell r="C705" t="str">
            <v>Kg</v>
          </cell>
          <cell r="D705">
            <v>74462.500000000058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P705">
            <v>0</v>
          </cell>
          <cell r="R705">
            <v>0</v>
          </cell>
          <cell r="T705">
            <v>0</v>
          </cell>
          <cell r="U705">
            <v>0</v>
          </cell>
          <cell r="V705">
            <v>0</v>
          </cell>
          <cell r="X705">
            <v>0</v>
          </cell>
          <cell r="Z705">
            <v>0</v>
          </cell>
          <cell r="AB705">
            <v>0</v>
          </cell>
        </row>
        <row r="706">
          <cell r="A706">
            <v>32</v>
          </cell>
          <cell r="B706" t="str">
            <v>Besi hollow 5/5</v>
          </cell>
          <cell r="C706" t="str">
            <v>Kg</v>
          </cell>
          <cell r="D706">
            <v>74462.500000000058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  <cell r="R706">
            <v>0</v>
          </cell>
          <cell r="T706">
            <v>0</v>
          </cell>
          <cell r="U706">
            <v>0</v>
          </cell>
          <cell r="V706">
            <v>0</v>
          </cell>
          <cell r="X706">
            <v>0</v>
          </cell>
          <cell r="Z706">
            <v>0</v>
          </cell>
          <cell r="AB706">
            <v>0</v>
          </cell>
        </row>
        <row r="707">
          <cell r="A707">
            <v>33</v>
          </cell>
          <cell r="B707" t="str">
            <v>Besi hollow 2/2</v>
          </cell>
          <cell r="C707" t="str">
            <v>Kg</v>
          </cell>
          <cell r="D707">
            <v>74462.500000000058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  <cell r="R707">
            <v>0</v>
          </cell>
          <cell r="T707">
            <v>0</v>
          </cell>
          <cell r="U707">
            <v>0</v>
          </cell>
          <cell r="V707">
            <v>0</v>
          </cell>
          <cell r="X707">
            <v>0</v>
          </cell>
          <cell r="Z707">
            <v>0</v>
          </cell>
          <cell r="AB707">
            <v>0</v>
          </cell>
        </row>
        <row r="708">
          <cell r="A708">
            <v>34</v>
          </cell>
          <cell r="B708" t="str">
            <v>Besi hollow 2/4</v>
          </cell>
          <cell r="C708" t="str">
            <v>Kg</v>
          </cell>
          <cell r="D708">
            <v>74462.500000000058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  <cell r="R708">
            <v>0</v>
          </cell>
          <cell r="T708">
            <v>0</v>
          </cell>
          <cell r="U708">
            <v>0</v>
          </cell>
          <cell r="V708">
            <v>0</v>
          </cell>
          <cell r="X708">
            <v>0</v>
          </cell>
          <cell r="Z708">
            <v>0</v>
          </cell>
          <cell r="AB708">
            <v>0</v>
          </cell>
        </row>
        <row r="709">
          <cell r="A709">
            <v>35</v>
          </cell>
          <cell r="B709" t="str">
            <v>Kaca Tempered 12 mm</v>
          </cell>
          <cell r="C709" t="str">
            <v>M2</v>
          </cell>
          <cell r="D709">
            <v>528395.75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  <cell r="R709">
            <v>0</v>
          </cell>
          <cell r="T709">
            <v>0</v>
          </cell>
          <cell r="U709">
            <v>0</v>
          </cell>
          <cell r="V709">
            <v>0</v>
          </cell>
          <cell r="X709">
            <v>0</v>
          </cell>
          <cell r="Z709">
            <v>0</v>
          </cell>
          <cell r="AB709">
            <v>0</v>
          </cell>
        </row>
        <row r="710">
          <cell r="A710">
            <v>36</v>
          </cell>
          <cell r="B710" t="str">
            <v>Glass Block</v>
          </cell>
          <cell r="C710" t="str">
            <v>Bh</v>
          </cell>
          <cell r="D710">
            <v>45000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P710">
            <v>0</v>
          </cell>
          <cell r="R710">
            <v>0</v>
          </cell>
          <cell r="T710">
            <v>0</v>
          </cell>
          <cell r="U710">
            <v>0</v>
          </cell>
          <cell r="V710">
            <v>0</v>
          </cell>
          <cell r="X710">
            <v>0</v>
          </cell>
          <cell r="Z710">
            <v>0</v>
          </cell>
          <cell r="AB710">
            <v>0</v>
          </cell>
        </row>
        <row r="711">
          <cell r="A711">
            <v>37</v>
          </cell>
          <cell r="B711" t="str">
            <v>Kaca Es</v>
          </cell>
          <cell r="C711" t="str">
            <v>M2</v>
          </cell>
          <cell r="D711">
            <v>66700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P711">
            <v>0</v>
          </cell>
          <cell r="R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0.24</v>
          </cell>
          <cell r="X711">
            <v>16008</v>
          </cell>
          <cell r="Y711">
            <v>0.24</v>
          </cell>
          <cell r="Z711">
            <v>16008</v>
          </cell>
          <cell r="AB711">
            <v>0</v>
          </cell>
        </row>
        <row r="712">
          <cell r="A712">
            <v>38</v>
          </cell>
          <cell r="B712" t="str">
            <v>Krepyak Kaca Nako + Kerangka</v>
          </cell>
          <cell r="C712" t="str">
            <v>M2</v>
          </cell>
          <cell r="D712">
            <v>81300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P712">
            <v>0</v>
          </cell>
          <cell r="R712">
            <v>0</v>
          </cell>
          <cell r="T712">
            <v>0</v>
          </cell>
          <cell r="U712">
            <v>0</v>
          </cell>
          <cell r="V712">
            <v>0</v>
          </cell>
          <cell r="X712">
            <v>0</v>
          </cell>
          <cell r="Z712">
            <v>0</v>
          </cell>
          <cell r="AB712">
            <v>0</v>
          </cell>
        </row>
        <row r="713">
          <cell r="A713">
            <v>39</v>
          </cell>
          <cell r="B713" t="str">
            <v>Sticker Efek Kaca Es</v>
          </cell>
          <cell r="C713" t="str">
            <v>M2</v>
          </cell>
          <cell r="D713">
            <v>150000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P713">
            <v>0</v>
          </cell>
          <cell r="R713">
            <v>0</v>
          </cell>
          <cell r="T713">
            <v>0</v>
          </cell>
          <cell r="U713">
            <v>0</v>
          </cell>
          <cell r="V713">
            <v>0</v>
          </cell>
          <cell r="X713">
            <v>0</v>
          </cell>
          <cell r="Z713">
            <v>0</v>
          </cell>
          <cell r="AB713">
            <v>0</v>
          </cell>
        </row>
        <row r="714">
          <cell r="A714">
            <v>40</v>
          </cell>
          <cell r="B714" t="str">
            <v>Rel Pintu Dorong</v>
          </cell>
          <cell r="C714" t="str">
            <v>M'</v>
          </cell>
          <cell r="D714">
            <v>275000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P714">
            <v>0</v>
          </cell>
          <cell r="R714">
            <v>0</v>
          </cell>
          <cell r="T714">
            <v>0</v>
          </cell>
          <cell r="U714">
            <v>0</v>
          </cell>
          <cell r="V714">
            <v>0</v>
          </cell>
          <cell r="X714">
            <v>0</v>
          </cell>
          <cell r="Z714">
            <v>0</v>
          </cell>
          <cell r="AB714">
            <v>0</v>
          </cell>
        </row>
        <row r="715">
          <cell r="A715">
            <v>41</v>
          </cell>
          <cell r="B715" t="str">
            <v>Rolling Door</v>
          </cell>
          <cell r="C715" t="str">
            <v>M2</v>
          </cell>
          <cell r="D715">
            <v>358100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P715">
            <v>0</v>
          </cell>
          <cell r="R715">
            <v>0</v>
          </cell>
          <cell r="T715">
            <v>0</v>
          </cell>
          <cell r="U715">
            <v>0</v>
          </cell>
          <cell r="V715">
            <v>0</v>
          </cell>
          <cell r="X715">
            <v>0</v>
          </cell>
          <cell r="Z715">
            <v>0</v>
          </cell>
          <cell r="AA715">
            <v>7.789600000000001</v>
          </cell>
          <cell r="AB715">
            <v>2789455.7600000002</v>
          </cell>
        </row>
        <row r="716">
          <cell r="A716">
            <v>42</v>
          </cell>
          <cell r="B716" t="str">
            <v>Roster</v>
          </cell>
          <cell r="C716" t="str">
            <v>M2</v>
          </cell>
          <cell r="D716">
            <v>133850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P716">
            <v>0</v>
          </cell>
          <cell r="R716">
            <v>0</v>
          </cell>
          <cell r="T716">
            <v>0</v>
          </cell>
          <cell r="U716">
            <v>0</v>
          </cell>
          <cell r="V716">
            <v>0</v>
          </cell>
          <cell r="X716">
            <v>0</v>
          </cell>
          <cell r="Z716">
            <v>0</v>
          </cell>
          <cell r="AB716">
            <v>0</v>
          </cell>
        </row>
        <row r="717">
          <cell r="A717">
            <v>43</v>
          </cell>
          <cell r="B717" t="str">
            <v>Gipsum Board</v>
          </cell>
          <cell r="C717" t="str">
            <v>M2</v>
          </cell>
          <cell r="D717">
            <v>29000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P717">
            <v>0</v>
          </cell>
          <cell r="R717">
            <v>0</v>
          </cell>
          <cell r="T717">
            <v>0</v>
          </cell>
          <cell r="U717">
            <v>0</v>
          </cell>
          <cell r="V717">
            <v>0</v>
          </cell>
          <cell r="X717">
            <v>0</v>
          </cell>
          <cell r="Z717">
            <v>0</v>
          </cell>
          <cell r="AB717">
            <v>0</v>
          </cell>
        </row>
        <row r="718">
          <cell r="A718">
            <v>44</v>
          </cell>
          <cell r="B718" t="str">
            <v>List Gipsum</v>
          </cell>
          <cell r="C718" t="str">
            <v>M'</v>
          </cell>
          <cell r="D718">
            <v>17300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P718">
            <v>0</v>
          </cell>
          <cell r="R718">
            <v>0</v>
          </cell>
          <cell r="T718">
            <v>0</v>
          </cell>
          <cell r="U718">
            <v>0</v>
          </cell>
          <cell r="V718">
            <v>0</v>
          </cell>
          <cell r="X718">
            <v>0</v>
          </cell>
          <cell r="Z718">
            <v>0</v>
          </cell>
          <cell r="AB718">
            <v>0</v>
          </cell>
        </row>
        <row r="719">
          <cell r="A719">
            <v>45</v>
          </cell>
          <cell r="B719" t="str">
            <v>Sealent</v>
          </cell>
          <cell r="C719" t="str">
            <v>M'</v>
          </cell>
          <cell r="D719">
            <v>8400</v>
          </cell>
          <cell r="E719">
            <v>5.68</v>
          </cell>
          <cell r="F719">
            <v>47712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1.76</v>
          </cell>
          <cell r="P719">
            <v>14784</v>
          </cell>
          <cell r="Q719">
            <v>18.04</v>
          </cell>
          <cell r="R719">
            <v>151536</v>
          </cell>
          <cell r="S719">
            <v>5.08</v>
          </cell>
          <cell r="T719">
            <v>42672</v>
          </cell>
          <cell r="U719">
            <v>3.05</v>
          </cell>
          <cell r="V719">
            <v>25620</v>
          </cell>
          <cell r="W719">
            <v>6.4</v>
          </cell>
          <cell r="X719">
            <v>53760</v>
          </cell>
          <cell r="Y719">
            <v>6.4</v>
          </cell>
          <cell r="Z719">
            <v>53760</v>
          </cell>
          <cell r="AA719">
            <v>23.12</v>
          </cell>
          <cell r="AB719">
            <v>194208</v>
          </cell>
        </row>
        <row r="720">
          <cell r="A720">
            <v>46</v>
          </cell>
          <cell r="B720" t="str">
            <v>Benangan Kusen</v>
          </cell>
          <cell r="C720" t="str">
            <v>M'</v>
          </cell>
          <cell r="D720">
            <v>4296.0074999999997</v>
          </cell>
          <cell r="E720">
            <v>11.76</v>
          </cell>
          <cell r="F720">
            <v>50521.048199999997</v>
          </cell>
          <cell r="G720">
            <v>5.5990000000000002</v>
          </cell>
          <cell r="H720">
            <v>24053.345992499999</v>
          </cell>
          <cell r="I720">
            <v>5.5990000000000002</v>
          </cell>
          <cell r="J720">
            <v>24053.345992499999</v>
          </cell>
          <cell r="K720">
            <v>5.7839999999999998</v>
          </cell>
          <cell r="L720">
            <v>24848.107379999998</v>
          </cell>
          <cell r="M720">
            <v>5.7839999999999998</v>
          </cell>
          <cell r="N720">
            <v>24848.107379999998</v>
          </cell>
          <cell r="O720">
            <v>0</v>
          </cell>
          <cell r="P720">
            <v>0</v>
          </cell>
          <cell r="Q720">
            <v>13.6</v>
          </cell>
          <cell r="R720">
            <v>58425.701999999997</v>
          </cell>
          <cell r="S720">
            <v>6.9999999999999991</v>
          </cell>
          <cell r="T720">
            <v>30072.052499999994</v>
          </cell>
          <cell r="U720">
            <v>8.5</v>
          </cell>
          <cell r="V720">
            <v>36516.063750000001</v>
          </cell>
          <cell r="W720">
            <v>4</v>
          </cell>
          <cell r="X720">
            <v>17184.03</v>
          </cell>
          <cell r="Y720">
            <v>4</v>
          </cell>
          <cell r="Z720">
            <v>17184.03</v>
          </cell>
          <cell r="AB720">
            <v>0</v>
          </cell>
        </row>
        <row r="721">
          <cell r="A721">
            <v>47</v>
          </cell>
          <cell r="B721" t="str">
            <v xml:space="preserve">Cat Kayu </v>
          </cell>
          <cell r="C721" t="str">
            <v>M2</v>
          </cell>
          <cell r="D721">
            <v>19370.5</v>
          </cell>
          <cell r="E721">
            <v>6.6879999999999997</v>
          </cell>
          <cell r="F721">
            <v>129549.90399999999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4.0991999999999997</v>
          </cell>
          <cell r="L721">
            <v>79403.553599999999</v>
          </cell>
          <cell r="M721">
            <v>4.0991999999999997</v>
          </cell>
          <cell r="N721">
            <v>79403.553599999999</v>
          </cell>
          <cell r="O721">
            <v>0</v>
          </cell>
          <cell r="P721">
            <v>0</v>
          </cell>
          <cell r="R721">
            <v>0</v>
          </cell>
          <cell r="T721">
            <v>0</v>
          </cell>
          <cell r="U721">
            <v>0</v>
          </cell>
          <cell r="V721">
            <v>0</v>
          </cell>
          <cell r="X721">
            <v>0</v>
          </cell>
          <cell r="Z721">
            <v>0</v>
          </cell>
          <cell r="AB721">
            <v>0</v>
          </cell>
        </row>
        <row r="722">
          <cell r="A722">
            <v>48</v>
          </cell>
          <cell r="B722" t="str">
            <v>Cat Besi</v>
          </cell>
          <cell r="C722" t="str">
            <v>M2</v>
          </cell>
          <cell r="D722">
            <v>13698</v>
          </cell>
          <cell r="F722">
            <v>0</v>
          </cell>
          <cell r="G722">
            <v>5.6445590696960588</v>
          </cell>
          <cell r="H722">
            <v>77319.170136696615</v>
          </cell>
          <cell r="I722">
            <v>5.6445590696960588</v>
          </cell>
          <cell r="J722">
            <v>77319.170136696615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T722">
            <v>0</v>
          </cell>
          <cell r="U722">
            <v>0</v>
          </cell>
          <cell r="V722">
            <v>0</v>
          </cell>
          <cell r="X722">
            <v>0</v>
          </cell>
          <cell r="Z722">
            <v>0</v>
          </cell>
          <cell r="AB722">
            <v>0</v>
          </cell>
        </row>
        <row r="723">
          <cell r="A723">
            <v>49</v>
          </cell>
          <cell r="B723" t="str">
            <v>Cat Dinding</v>
          </cell>
          <cell r="C723" t="str">
            <v>M2</v>
          </cell>
          <cell r="D723">
            <v>9900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R723">
            <v>0</v>
          </cell>
          <cell r="T723">
            <v>0</v>
          </cell>
          <cell r="U723">
            <v>0</v>
          </cell>
          <cell r="V723">
            <v>0</v>
          </cell>
          <cell r="X723">
            <v>0</v>
          </cell>
          <cell r="Z723">
            <v>0</v>
          </cell>
          <cell r="AB723">
            <v>0</v>
          </cell>
        </row>
        <row r="724">
          <cell r="A724">
            <v>50</v>
          </cell>
          <cell r="B724" t="str">
            <v>Rel Jendela Geser</v>
          </cell>
          <cell r="C724" t="str">
            <v>M'</v>
          </cell>
          <cell r="D724">
            <v>275000</v>
          </cell>
          <cell r="F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P724">
            <v>0</v>
          </cell>
          <cell r="R724">
            <v>0</v>
          </cell>
          <cell r="T724">
            <v>0</v>
          </cell>
          <cell r="U724">
            <v>0</v>
          </cell>
          <cell r="V724">
            <v>0</v>
          </cell>
          <cell r="X724">
            <v>0</v>
          </cell>
          <cell r="Z724">
            <v>0</v>
          </cell>
          <cell r="AB724">
            <v>0</v>
          </cell>
        </row>
        <row r="726">
          <cell r="B726" t="str">
            <v>Jumlah Harga</v>
          </cell>
          <cell r="F726">
            <v>3295405.1922000004</v>
          </cell>
          <cell r="H726">
            <v>1760337.7291291971</v>
          </cell>
          <cell r="J726">
            <v>1760337.7291291971</v>
          </cell>
          <cell r="L726">
            <v>1690743.9109799999</v>
          </cell>
          <cell r="N726">
            <v>1690743.9109799999</v>
          </cell>
          <cell r="P726">
            <v>2060105.16</v>
          </cell>
          <cell r="R726">
            <v>1884105.1171249999</v>
          </cell>
          <cell r="T726">
            <v>583333.77249999996</v>
          </cell>
          <cell r="V726">
            <v>340632.49875000003</v>
          </cell>
          <cell r="X726">
            <v>86952.03</v>
          </cell>
          <cell r="Z726">
            <v>100292.03</v>
          </cell>
          <cell r="AB726">
            <v>3320793.7600000002</v>
          </cell>
        </row>
        <row r="730">
          <cell r="A730" t="str">
            <v>No.</v>
          </cell>
          <cell r="B730" t="str">
            <v>Item Pekerjaan</v>
          </cell>
          <cell r="C730" t="str">
            <v>Satuan</v>
          </cell>
          <cell r="D730" t="str">
            <v>Harga Satuan</v>
          </cell>
          <cell r="E730" t="str">
            <v>P1</v>
          </cell>
          <cell r="G730" t="str">
            <v>P2</v>
          </cell>
          <cell r="I730" t="str">
            <v>P2'</v>
          </cell>
          <cell r="K730" t="str">
            <v>P3</v>
          </cell>
          <cell r="M730" t="str">
            <v>P3'</v>
          </cell>
          <cell r="O730" t="str">
            <v>J1</v>
          </cell>
          <cell r="Q730" t="str">
            <v>BV1</v>
          </cell>
        </row>
        <row r="731">
          <cell r="D731" t="str">
            <v>Rp.</v>
          </cell>
          <cell r="E731" t="str">
            <v>Vol.</v>
          </cell>
          <cell r="F731" t="str">
            <v>Jumlah Harga</v>
          </cell>
          <cell r="G731" t="str">
            <v>Vol.</v>
          </cell>
          <cell r="H731" t="str">
            <v>Jumlah Harga</v>
          </cell>
          <cell r="I731" t="str">
            <v>Vol.</v>
          </cell>
          <cell r="J731" t="str">
            <v>Jumlah Harga</v>
          </cell>
          <cell r="K731" t="str">
            <v>Vol.</v>
          </cell>
          <cell r="L731" t="str">
            <v>Jumlah Harga</v>
          </cell>
          <cell r="M731" t="str">
            <v>Vol.</v>
          </cell>
          <cell r="N731" t="str">
            <v>Jumlah Harga</v>
          </cell>
          <cell r="O731" t="str">
            <v>Vol.</v>
          </cell>
          <cell r="P731" t="str">
            <v>Jumlah Harga</v>
          </cell>
          <cell r="Q731" t="str">
            <v>Vol.</v>
          </cell>
          <cell r="R731" t="str">
            <v>Jumlah Harga</v>
          </cell>
        </row>
        <row r="732">
          <cell r="A732" t="str">
            <v>X.</v>
          </cell>
          <cell r="B732" t="str">
            <v>UNIT LAP. TENIS (OUT DOOR)</v>
          </cell>
        </row>
        <row r="734">
          <cell r="A734">
            <v>1</v>
          </cell>
          <cell r="B734" t="str">
            <v>Kayu 6/12</v>
          </cell>
          <cell r="C734" t="str">
            <v>M3</v>
          </cell>
          <cell r="D734">
            <v>0</v>
          </cell>
          <cell r="E734">
            <v>2.3120000000000002E-2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3.6144000000000003E-2</v>
          </cell>
          <cell r="L734">
            <v>0</v>
          </cell>
          <cell r="M734">
            <v>3.6144000000000003E-2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>
            <v>2</v>
          </cell>
          <cell r="B735" t="str">
            <v>Kayu Slimar 3/10</v>
          </cell>
          <cell r="C735" t="str">
            <v>M3</v>
          </cell>
          <cell r="D735">
            <v>0</v>
          </cell>
          <cell r="E735">
            <v>6.4000000000000012E-3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1.4159999999999999E-2</v>
          </cell>
          <cell r="L735">
            <v>0</v>
          </cell>
          <cell r="M735">
            <v>1.4159999999999999E-2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>
            <v>3</v>
          </cell>
          <cell r="B736" t="str">
            <v>Kayu Slimar 3/15</v>
          </cell>
          <cell r="C736" t="str">
            <v>M3</v>
          </cell>
          <cell r="D736">
            <v>0</v>
          </cell>
          <cell r="E736">
            <v>14.399999999999999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2.6999999999999997E-3</v>
          </cell>
          <cell r="L736">
            <v>0</v>
          </cell>
          <cell r="M736">
            <v>2.6999999999999997E-3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>
            <v>4</v>
          </cell>
          <cell r="B737" t="str">
            <v>Kayu Slimar 3/20</v>
          </cell>
          <cell r="C737" t="str">
            <v>M3</v>
          </cell>
          <cell r="D737">
            <v>0</v>
          </cell>
          <cell r="E737">
            <v>6.6879999999999997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3.5999999999999999E-3</v>
          </cell>
          <cell r="L737">
            <v>0</v>
          </cell>
          <cell r="M737">
            <v>3.5999999999999999E-3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A738">
            <v>5</v>
          </cell>
          <cell r="B738" t="str">
            <v>Kayu 2/10</v>
          </cell>
          <cell r="C738" t="str">
            <v>M3</v>
          </cell>
          <cell r="D738">
            <v>0</v>
          </cell>
          <cell r="E738">
            <v>6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5.4000000000000012E-3</v>
          </cell>
          <cell r="L738">
            <v>0</v>
          </cell>
          <cell r="M738">
            <v>5.4000000000000012E-3</v>
          </cell>
          <cell r="N738">
            <v>0</v>
          </cell>
          <cell r="O738">
            <v>10.25</v>
          </cell>
          <cell r="P738">
            <v>0</v>
          </cell>
          <cell r="Q738">
            <v>2</v>
          </cell>
          <cell r="R738">
            <v>0</v>
          </cell>
        </row>
        <row r="739">
          <cell r="A739">
            <v>6</v>
          </cell>
          <cell r="B739" t="str">
            <v>Panil t = 3 cm</v>
          </cell>
          <cell r="C739" t="str">
            <v>M2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0.49500000000000005</v>
          </cell>
          <cell r="L739">
            <v>0</v>
          </cell>
          <cell r="M739">
            <v>0.49500000000000005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>
            <v>1</v>
          </cell>
          <cell r="B740" t="str">
            <v>Kusen Aluminium 5/10</v>
          </cell>
          <cell r="C740" t="str">
            <v>M'</v>
          </cell>
          <cell r="D740">
            <v>124948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5</v>
          </cell>
          <cell r="L740">
            <v>624740</v>
          </cell>
          <cell r="M740">
            <v>5</v>
          </cell>
          <cell r="N740">
            <v>624740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A741">
            <v>2</v>
          </cell>
          <cell r="B741" t="str">
            <v xml:space="preserve">Rangka Daun Jendela Alumunium </v>
          </cell>
          <cell r="C741" t="str">
            <v>M'</v>
          </cell>
          <cell r="D741">
            <v>124948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</v>
          </cell>
          <cell r="P741">
            <v>874636</v>
          </cell>
          <cell r="Q741">
            <v>0</v>
          </cell>
          <cell r="R741">
            <v>0</v>
          </cell>
        </row>
        <row r="742">
          <cell r="A742">
            <v>3</v>
          </cell>
          <cell r="B742" t="str">
            <v>Rangka Tiang Sirip Alumunium 1/1 Putih</v>
          </cell>
          <cell r="C742" t="str">
            <v>M'</v>
          </cell>
          <cell r="D742">
            <v>62474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2.6</v>
          </cell>
          <cell r="P742">
            <v>162432.4</v>
          </cell>
          <cell r="Q742">
            <v>0</v>
          </cell>
          <cell r="R742">
            <v>0</v>
          </cell>
        </row>
        <row r="743">
          <cell r="A743">
            <v>4</v>
          </cell>
          <cell r="B743" t="str">
            <v>Pasang Shading Sirip Alumunium 0.2/10 +Rangka</v>
          </cell>
          <cell r="C743" t="str">
            <v>M2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0.26250000000000001</v>
          </cell>
          <cell r="P743">
            <v>0</v>
          </cell>
          <cell r="Q743">
            <v>0</v>
          </cell>
          <cell r="R743">
            <v>0</v>
          </cell>
        </row>
        <row r="744">
          <cell r="A744">
            <v>5</v>
          </cell>
          <cell r="B744" t="str">
            <v>Daun Pintu Panil Kamper</v>
          </cell>
          <cell r="C744" t="str">
            <v>bh</v>
          </cell>
          <cell r="D744">
            <v>550000</v>
          </cell>
          <cell r="E744">
            <v>0.19440000000000002</v>
          </cell>
          <cell r="F744">
            <v>106920.00000000001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1.2</v>
          </cell>
          <cell r="L744">
            <v>660000</v>
          </cell>
          <cell r="M744">
            <v>1.2</v>
          </cell>
          <cell r="N744">
            <v>660000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>
            <v>6</v>
          </cell>
          <cell r="B745" t="str">
            <v>Plat besi t = 2 mm</v>
          </cell>
          <cell r="C745" t="str">
            <v>Kg</v>
          </cell>
          <cell r="D745">
            <v>0</v>
          </cell>
          <cell r="E745">
            <v>0</v>
          </cell>
          <cell r="F745">
            <v>0</v>
          </cell>
          <cell r="G745">
            <v>57.085200000000007</v>
          </cell>
          <cell r="H745">
            <v>0</v>
          </cell>
          <cell r="I745">
            <v>57.085200000000007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>
            <v>7</v>
          </cell>
          <cell r="B746" t="str">
            <v>C 40.40.2  (pesan khusus)</v>
          </cell>
          <cell r="C746" t="str">
            <v>Kg</v>
          </cell>
          <cell r="D746">
            <v>14122.3</v>
          </cell>
          <cell r="E746">
            <v>0</v>
          </cell>
          <cell r="F746">
            <v>0</v>
          </cell>
          <cell r="G746">
            <v>42.56</v>
          </cell>
          <cell r="H746">
            <v>601045.08799999999</v>
          </cell>
          <cell r="I746">
            <v>42.56</v>
          </cell>
          <cell r="J746">
            <v>601045.08799999999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>
            <v>8</v>
          </cell>
          <cell r="B747" t="str">
            <v>Handle besi dia 16 mm</v>
          </cell>
          <cell r="C747" t="str">
            <v>Set</v>
          </cell>
          <cell r="D747">
            <v>129652.5</v>
          </cell>
          <cell r="E747">
            <v>0</v>
          </cell>
          <cell r="F747">
            <v>0</v>
          </cell>
          <cell r="G747">
            <v>1</v>
          </cell>
          <cell r="H747">
            <v>129652.5</v>
          </cell>
          <cell r="I747">
            <v>1</v>
          </cell>
          <cell r="J747">
            <v>129652.5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A748">
            <v>9</v>
          </cell>
          <cell r="B748" t="str">
            <v>Hendle pintu Stainless</v>
          </cell>
          <cell r="C748" t="str">
            <v>Set</v>
          </cell>
          <cell r="D748">
            <v>261652.5</v>
          </cell>
          <cell r="E748">
            <v>2</v>
          </cell>
          <cell r="F748">
            <v>523305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A749">
            <v>10</v>
          </cell>
          <cell r="B749" t="str">
            <v>Kunci Pintu Handle stainleess (dorma)</v>
          </cell>
          <cell r="C749" t="str">
            <v>Set</v>
          </cell>
          <cell r="D749">
            <v>650000</v>
          </cell>
          <cell r="E749">
            <v>2</v>
          </cell>
          <cell r="F749">
            <v>1300000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A750">
            <v>11</v>
          </cell>
          <cell r="B750" t="str">
            <v>Kunci tanam Antik</v>
          </cell>
          <cell r="C750" t="str">
            <v>Set</v>
          </cell>
          <cell r="D750">
            <v>265000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A751">
            <v>12</v>
          </cell>
          <cell r="B751" t="str">
            <v>Kunci tanam biasa</v>
          </cell>
          <cell r="C751" t="str">
            <v>Set</v>
          </cell>
          <cell r="D751">
            <v>168565</v>
          </cell>
          <cell r="E751">
            <v>2</v>
          </cell>
          <cell r="F751">
            <v>337130</v>
          </cell>
          <cell r="G751">
            <v>1</v>
          </cell>
          <cell r="H751">
            <v>168565</v>
          </cell>
          <cell r="I751">
            <v>1</v>
          </cell>
          <cell r="J751">
            <v>168565</v>
          </cell>
          <cell r="K751">
            <v>1</v>
          </cell>
          <cell r="L751">
            <v>168565</v>
          </cell>
          <cell r="M751">
            <v>1</v>
          </cell>
          <cell r="N751">
            <v>168565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A752">
            <v>13</v>
          </cell>
          <cell r="B752" t="str">
            <v>Kunci Silinder</v>
          </cell>
          <cell r="C752" t="str">
            <v>Set</v>
          </cell>
          <cell r="D752">
            <v>217900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A753">
            <v>14</v>
          </cell>
          <cell r="B753" t="str">
            <v>Kunci Selot</v>
          </cell>
          <cell r="C753" t="str">
            <v>Set</v>
          </cell>
          <cell r="D753">
            <v>48300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>
            <v>15</v>
          </cell>
          <cell r="B754" t="str">
            <v>Engsel jendela</v>
          </cell>
          <cell r="C754" t="str">
            <v>Bh</v>
          </cell>
          <cell r="D754">
            <v>16600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6</v>
          </cell>
          <cell r="P754">
            <v>99600</v>
          </cell>
          <cell r="Q754">
            <v>0</v>
          </cell>
          <cell r="R754">
            <v>0</v>
          </cell>
        </row>
        <row r="755">
          <cell r="A755">
            <v>16</v>
          </cell>
          <cell r="B755" t="str">
            <v>Engsel pintu</v>
          </cell>
          <cell r="C755" t="str">
            <v>Bh</v>
          </cell>
          <cell r="D755">
            <v>44395.75</v>
          </cell>
          <cell r="E755">
            <v>4</v>
          </cell>
          <cell r="F755">
            <v>177583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3</v>
          </cell>
          <cell r="L755">
            <v>133187.25</v>
          </cell>
          <cell r="M755">
            <v>3</v>
          </cell>
          <cell r="N755">
            <v>133187.25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A756">
            <v>17</v>
          </cell>
          <cell r="B756" t="str">
            <v>Engsel Pintu dari pipa besi dia 2 cm</v>
          </cell>
          <cell r="C756" t="str">
            <v>Bh</v>
          </cell>
          <cell r="D756">
            <v>66593.625</v>
          </cell>
          <cell r="E756">
            <v>0</v>
          </cell>
          <cell r="F756">
            <v>0</v>
          </cell>
          <cell r="G756">
            <v>2</v>
          </cell>
          <cell r="H756">
            <v>133187.25</v>
          </cell>
          <cell r="I756">
            <v>2</v>
          </cell>
          <cell r="J756">
            <v>133187.25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A757">
            <v>18</v>
          </cell>
          <cell r="B757" t="str">
            <v>Kait/hak angin</v>
          </cell>
          <cell r="C757" t="str">
            <v>Set</v>
          </cell>
          <cell r="D757">
            <v>27000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6</v>
          </cell>
          <cell r="P757">
            <v>162000</v>
          </cell>
          <cell r="Q757">
            <v>0</v>
          </cell>
          <cell r="R757">
            <v>0</v>
          </cell>
        </row>
        <row r="758">
          <cell r="A758">
            <v>19</v>
          </cell>
          <cell r="B758" t="str">
            <v>Grendel pintu kuningan</v>
          </cell>
          <cell r="C758" t="str">
            <v>Bh</v>
          </cell>
          <cell r="D758">
            <v>125000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A759">
            <v>20</v>
          </cell>
          <cell r="B759" t="str">
            <v xml:space="preserve">Grendel jendela </v>
          </cell>
          <cell r="C759" t="str">
            <v>Bh</v>
          </cell>
          <cell r="D759">
            <v>8100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>
            <v>21</v>
          </cell>
          <cell r="B760" t="str">
            <v>Grendel pintu</v>
          </cell>
          <cell r="C760" t="str">
            <v>Bh</v>
          </cell>
          <cell r="D760">
            <v>14200</v>
          </cell>
          <cell r="E760">
            <v>2</v>
          </cell>
          <cell r="F760">
            <v>28400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3</v>
          </cell>
          <cell r="P760">
            <v>42600</v>
          </cell>
          <cell r="Q760">
            <v>0</v>
          </cell>
          <cell r="R760">
            <v>0</v>
          </cell>
        </row>
        <row r="761">
          <cell r="A761">
            <v>22</v>
          </cell>
          <cell r="B761" t="str">
            <v>Stripting Knip</v>
          </cell>
          <cell r="C761" t="str">
            <v>Set</v>
          </cell>
          <cell r="D761">
            <v>13700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>
            <v>23</v>
          </cell>
          <cell r="B762" t="str">
            <v>Door Closer</v>
          </cell>
          <cell r="C762" t="str">
            <v>Set</v>
          </cell>
          <cell r="D762">
            <v>260800</v>
          </cell>
          <cell r="E762">
            <v>2</v>
          </cell>
          <cell r="F762">
            <v>521600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>
            <v>24</v>
          </cell>
          <cell r="B763" t="str">
            <v>Door Holder</v>
          </cell>
          <cell r="C763" t="str">
            <v>Set</v>
          </cell>
          <cell r="D763">
            <v>500000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A764">
            <v>25</v>
          </cell>
          <cell r="B764" t="str">
            <v>Door Stop</v>
          </cell>
          <cell r="C764" t="str">
            <v>Set</v>
          </cell>
          <cell r="D764">
            <v>32100</v>
          </cell>
          <cell r="E764">
            <v>2</v>
          </cell>
          <cell r="F764">
            <v>64200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>
            <v>26</v>
          </cell>
          <cell r="B765" t="str">
            <v>Kaca bening 5 mm</v>
          </cell>
          <cell r="C765" t="str">
            <v>M2</v>
          </cell>
          <cell r="D765">
            <v>66700</v>
          </cell>
          <cell r="E765">
            <v>0.12719999999999998</v>
          </cell>
          <cell r="F765">
            <v>8484.239999999998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0.25919999999999999</v>
          </cell>
          <cell r="P765">
            <v>17288.64</v>
          </cell>
          <cell r="Q765">
            <v>0</v>
          </cell>
          <cell r="R765">
            <v>0</v>
          </cell>
        </row>
        <row r="766">
          <cell r="A766">
            <v>27</v>
          </cell>
          <cell r="B766" t="str">
            <v>Kaca bening 10 mm</v>
          </cell>
          <cell r="C766" t="str">
            <v>M2</v>
          </cell>
          <cell r="D766">
            <v>280895.75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1.1235000000000002</v>
          </cell>
          <cell r="P766">
            <v>315586.37512500002</v>
          </cell>
          <cell r="Q766">
            <v>0</v>
          </cell>
          <cell r="R766">
            <v>0</v>
          </cell>
        </row>
        <row r="767">
          <cell r="A767">
            <v>28</v>
          </cell>
          <cell r="B767" t="str">
            <v>Kaca Bening 12 mm</v>
          </cell>
          <cell r="C767" t="str">
            <v>M2</v>
          </cell>
          <cell r="D767">
            <v>403787.64062499994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>
            <v>29</v>
          </cell>
          <cell r="B768" t="str">
            <v>Besi hollow 4/4</v>
          </cell>
          <cell r="C768" t="str">
            <v>M'</v>
          </cell>
          <cell r="D768">
            <v>48625.000000000051</v>
          </cell>
          <cell r="E768">
            <v>0</v>
          </cell>
          <cell r="F768">
            <v>0</v>
          </cell>
          <cell r="G768">
            <v>5.09</v>
          </cell>
          <cell r="H768">
            <v>247501.25000000026</v>
          </cell>
          <cell r="I768">
            <v>5.09</v>
          </cell>
          <cell r="J768">
            <v>247501.25000000026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A769">
            <v>30</v>
          </cell>
          <cell r="B769" t="str">
            <v>Besi hollow 6/6</v>
          </cell>
          <cell r="C769" t="str">
            <v>M'</v>
          </cell>
          <cell r="D769">
            <v>74462.500000000058</v>
          </cell>
          <cell r="E769">
            <v>0</v>
          </cell>
          <cell r="F769">
            <v>0</v>
          </cell>
          <cell r="G769">
            <v>5.09</v>
          </cell>
          <cell r="H769">
            <v>379014.12500000029</v>
          </cell>
          <cell r="I769">
            <v>5.09</v>
          </cell>
          <cell r="J769">
            <v>379014.12500000029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>
            <v>31</v>
          </cell>
          <cell r="B770" t="str">
            <v>Besi hollow 2.5/5</v>
          </cell>
          <cell r="C770" t="str">
            <v>Kg</v>
          </cell>
          <cell r="D770">
            <v>74462.500000000058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>
            <v>32</v>
          </cell>
          <cell r="B771" t="str">
            <v>Besi hollow 5/5</v>
          </cell>
          <cell r="C771" t="str">
            <v>Kg</v>
          </cell>
          <cell r="D771">
            <v>74462.500000000058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>
            <v>33</v>
          </cell>
          <cell r="B772" t="str">
            <v>Besi hollow 2/2</v>
          </cell>
          <cell r="C772" t="str">
            <v>Kg</v>
          </cell>
          <cell r="D772">
            <v>74462.500000000058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>
            <v>34</v>
          </cell>
          <cell r="B773" t="str">
            <v>Besi hollow 2/4</v>
          </cell>
          <cell r="C773" t="str">
            <v>Kg</v>
          </cell>
          <cell r="D773">
            <v>74462.500000000058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>
            <v>35</v>
          </cell>
          <cell r="B774" t="str">
            <v>Kaca Tempered 12 mm</v>
          </cell>
          <cell r="C774" t="str">
            <v>M2</v>
          </cell>
          <cell r="D774">
            <v>528395.75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>
            <v>36</v>
          </cell>
          <cell r="B775" t="str">
            <v>Glass Block</v>
          </cell>
          <cell r="C775" t="str">
            <v>Bh</v>
          </cell>
          <cell r="D775">
            <v>45000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>
            <v>37</v>
          </cell>
          <cell r="B776" t="str">
            <v>Kaca Es</v>
          </cell>
          <cell r="C776" t="str">
            <v>M2</v>
          </cell>
          <cell r="D776">
            <v>66700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0.24</v>
          </cell>
          <cell r="R776">
            <v>16008</v>
          </cell>
        </row>
        <row r="777">
          <cell r="A777">
            <v>38</v>
          </cell>
          <cell r="B777" t="str">
            <v>Krepyak Kaca Nako + Kerangka</v>
          </cell>
          <cell r="C777" t="str">
            <v>M2</v>
          </cell>
          <cell r="D777">
            <v>81300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>
            <v>39</v>
          </cell>
          <cell r="B778" t="str">
            <v>Sticker Efek Kaca Es</v>
          </cell>
          <cell r="C778" t="str">
            <v>M2</v>
          </cell>
          <cell r="D778">
            <v>150000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>
            <v>40</v>
          </cell>
          <cell r="B779" t="str">
            <v>Rel Pintu Dorong</v>
          </cell>
          <cell r="C779" t="str">
            <v>M'</v>
          </cell>
          <cell r="D779">
            <v>275000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>
            <v>41</v>
          </cell>
          <cell r="B780" t="str">
            <v>Rolling Door</v>
          </cell>
          <cell r="C780" t="str">
            <v>M2</v>
          </cell>
          <cell r="D780">
            <v>358100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A781">
            <v>42</v>
          </cell>
          <cell r="B781" t="str">
            <v>Roster</v>
          </cell>
          <cell r="C781" t="str">
            <v>M2</v>
          </cell>
          <cell r="D781">
            <v>133850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</row>
        <row r="782">
          <cell r="A782">
            <v>43</v>
          </cell>
          <cell r="B782" t="str">
            <v>Gipsum Board</v>
          </cell>
          <cell r="C782" t="str">
            <v>M2</v>
          </cell>
          <cell r="D782">
            <v>29000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>
            <v>44</v>
          </cell>
          <cell r="B783" t="str">
            <v>List Gipsum</v>
          </cell>
          <cell r="C783" t="str">
            <v>M'</v>
          </cell>
          <cell r="D783">
            <v>17300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</row>
        <row r="784">
          <cell r="A784">
            <v>45</v>
          </cell>
          <cell r="B784" t="str">
            <v>Sealent</v>
          </cell>
          <cell r="C784" t="str">
            <v>M'</v>
          </cell>
          <cell r="D784">
            <v>8400</v>
          </cell>
          <cell r="E784">
            <v>5.68</v>
          </cell>
          <cell r="F784">
            <v>47712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18.04</v>
          </cell>
          <cell r="P784">
            <v>151536</v>
          </cell>
          <cell r="Q784">
            <v>6.4</v>
          </cell>
          <cell r="R784">
            <v>53760</v>
          </cell>
        </row>
        <row r="785">
          <cell r="A785">
            <v>46</v>
          </cell>
          <cell r="B785" t="str">
            <v>Benangan Kusen</v>
          </cell>
          <cell r="C785" t="str">
            <v>M'</v>
          </cell>
          <cell r="D785">
            <v>4296.0074999999997</v>
          </cell>
          <cell r="E785">
            <v>11.76</v>
          </cell>
          <cell r="F785">
            <v>50521.048199999997</v>
          </cell>
          <cell r="G785">
            <v>5.5990000000000002</v>
          </cell>
          <cell r="H785">
            <v>24053.345992499999</v>
          </cell>
          <cell r="I785">
            <v>5.5990000000000002</v>
          </cell>
          <cell r="J785">
            <v>24053.345992499999</v>
          </cell>
          <cell r="K785">
            <v>5.7839999999999998</v>
          </cell>
          <cell r="L785">
            <v>24848.107379999998</v>
          </cell>
          <cell r="M785">
            <v>5.7839999999999998</v>
          </cell>
          <cell r="N785">
            <v>24848.107379999998</v>
          </cell>
          <cell r="O785">
            <v>13.6</v>
          </cell>
          <cell r="P785">
            <v>58425.701999999997</v>
          </cell>
          <cell r="Q785">
            <v>4</v>
          </cell>
          <cell r="R785">
            <v>17184.03</v>
          </cell>
        </row>
        <row r="786">
          <cell r="A786">
            <v>47</v>
          </cell>
          <cell r="B786" t="str">
            <v xml:space="preserve">Cat Kayu </v>
          </cell>
          <cell r="C786" t="str">
            <v>M2</v>
          </cell>
          <cell r="D786">
            <v>19370.5</v>
          </cell>
          <cell r="E786">
            <v>6.6879999999999997</v>
          </cell>
          <cell r="F786">
            <v>129549.90399999999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4.0991999999999997</v>
          </cell>
          <cell r="L786">
            <v>79403.553599999999</v>
          </cell>
          <cell r="M786">
            <v>4.0991999999999997</v>
          </cell>
          <cell r="N786">
            <v>79403.553599999999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>
            <v>48</v>
          </cell>
          <cell r="B787" t="str">
            <v>Cat Besi</v>
          </cell>
          <cell r="C787" t="str">
            <v>M2</v>
          </cell>
          <cell r="D787">
            <v>13698</v>
          </cell>
          <cell r="E787">
            <v>0</v>
          </cell>
          <cell r="F787">
            <v>0</v>
          </cell>
          <cell r="G787">
            <v>5.6445590696960588</v>
          </cell>
          <cell r="H787">
            <v>77319.170136696615</v>
          </cell>
          <cell r="I787">
            <v>5.6445590696960588</v>
          </cell>
          <cell r="J787">
            <v>77319.170136696615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>
            <v>49</v>
          </cell>
          <cell r="B788" t="str">
            <v>Cat Dinding</v>
          </cell>
          <cell r="C788" t="str">
            <v>M2</v>
          </cell>
          <cell r="D788">
            <v>9900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A789">
            <v>50</v>
          </cell>
          <cell r="B789" t="str">
            <v>Rel Jendela Geser</v>
          </cell>
          <cell r="C789" t="str">
            <v>M'</v>
          </cell>
          <cell r="D789">
            <v>275000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R789">
            <v>0</v>
          </cell>
        </row>
        <row r="791">
          <cell r="B791" t="str">
            <v>Jumlah Harga</v>
          </cell>
          <cell r="F791">
            <v>3295405.1922000004</v>
          </cell>
          <cell r="H791">
            <v>1760337.7291291971</v>
          </cell>
          <cell r="J791">
            <v>1760337.7291291971</v>
          </cell>
          <cell r="L791">
            <v>1690743.9109799999</v>
          </cell>
          <cell r="N791">
            <v>1690743.9109799999</v>
          </cell>
          <cell r="P791">
            <v>1884105.1171249999</v>
          </cell>
          <cell r="R791">
            <v>86952.03</v>
          </cell>
        </row>
        <row r="794">
          <cell r="A794" t="str">
            <v>ANALIS ROSTER (DALAM M2)</v>
          </cell>
        </row>
        <row r="795">
          <cell r="A795" t="str">
            <v>No.</v>
          </cell>
          <cell r="B795" t="str">
            <v>Item Pekerjaan</v>
          </cell>
          <cell r="C795" t="str">
            <v>Satuan</v>
          </cell>
          <cell r="D795" t="str">
            <v>Harga Satuan</v>
          </cell>
          <cell r="E795" t="str">
            <v>P1</v>
          </cell>
        </row>
        <row r="796">
          <cell r="D796" t="str">
            <v>Rp.</v>
          </cell>
          <cell r="E796" t="str">
            <v>Vol.</v>
          </cell>
          <cell r="F796" t="str">
            <v>Jumlah Harga</v>
          </cell>
        </row>
        <row r="797">
          <cell r="A797" t="str">
            <v>XI.</v>
          </cell>
          <cell r="B797" t="str">
            <v>ANALIS ROSTER (DALAM M2)</v>
          </cell>
        </row>
        <row r="799">
          <cell r="A799">
            <v>1</v>
          </cell>
          <cell r="B799" t="str">
            <v>Roster</v>
          </cell>
          <cell r="C799" t="str">
            <v>M2</v>
          </cell>
          <cell r="D799">
            <v>133850</v>
          </cell>
          <cell r="E799">
            <v>1</v>
          </cell>
          <cell r="F799">
            <v>133850</v>
          </cell>
        </row>
        <row r="800">
          <cell r="A800">
            <v>2</v>
          </cell>
          <cell r="B800" t="str">
            <v>Benangan Kusen</v>
          </cell>
          <cell r="C800" t="str">
            <v>M'</v>
          </cell>
          <cell r="D800">
            <v>4296.0074999999997</v>
          </cell>
          <cell r="E800">
            <v>8</v>
          </cell>
          <cell r="F800">
            <v>34368.06</v>
          </cell>
        </row>
        <row r="801">
          <cell r="A801">
            <v>3</v>
          </cell>
          <cell r="B801" t="str">
            <v>Cat Dinding</v>
          </cell>
          <cell r="C801" t="str">
            <v>M2</v>
          </cell>
          <cell r="D801">
            <v>9900</v>
          </cell>
          <cell r="E801">
            <v>2</v>
          </cell>
          <cell r="F801">
            <v>19800</v>
          </cell>
        </row>
        <row r="803">
          <cell r="B803" t="str">
            <v>Jumlah Harga</v>
          </cell>
          <cell r="F803">
            <v>188018.06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NS-C1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total"/>
      <sheetName val="service"/>
      <sheetName val="bale"/>
      <sheetName val="spa"/>
      <sheetName val="towel"/>
      <sheetName val="atap"/>
      <sheetName val="pres-suite"/>
      <sheetName val="suite"/>
      <sheetName val="vil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</sheetNames>
    <sheetDataSet>
      <sheetData sheetId="0" refreshError="1"/>
      <sheetData sheetId="1" refreshError="1">
        <row r="13">
          <cell r="G13" t="str">
            <v>Ah</v>
          </cell>
          <cell r="I13" t="str">
            <v>%</v>
          </cell>
        </row>
        <row r="14">
          <cell r="G14" t="str">
            <v>Ak</v>
          </cell>
          <cell r="I14" t="str">
            <v>%</v>
          </cell>
        </row>
        <row r="15">
          <cell r="G15" t="str">
            <v>H</v>
          </cell>
          <cell r="I15" t="str">
            <v>%</v>
          </cell>
        </row>
        <row r="16">
          <cell r="G16" t="str">
            <v>K</v>
          </cell>
          <cell r="I16" t="str">
            <v>%</v>
          </cell>
        </row>
        <row r="17">
          <cell r="G17" t="str">
            <v>D1</v>
          </cell>
          <cell r="I17" t="str">
            <v>Ton/M3</v>
          </cell>
        </row>
        <row r="18">
          <cell r="G18" t="str">
            <v>D2</v>
          </cell>
          <cell r="I18" t="str">
            <v>Ton/M3</v>
          </cell>
        </row>
        <row r="19">
          <cell r="G19" t="str">
            <v>D3</v>
          </cell>
          <cell r="I19" t="str">
            <v>Ton/M3</v>
          </cell>
        </row>
        <row r="20">
          <cell r="G20" t="str">
            <v>Rp1</v>
          </cell>
          <cell r="I20" t="str">
            <v>Rp./M3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  <sheetName val="Agregat Halus &amp; Kasar"/>
      <sheetName val="H.Satuan"/>
      <sheetName val="BHN 07"/>
      <sheetName val="SNI 07"/>
      <sheetName val="UPAH 07"/>
      <sheetName val="MADC"/>
      <sheetName val="Analisa HSP"/>
      <sheetName val="Bill_2"/>
      <sheetName val="FINISHING"/>
      <sheetName val="HB "/>
      <sheetName val="ANALISA"/>
      <sheetName val="vill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H_Satuan1"/>
      <sheetName val="Jam_Alat"/>
      <sheetName val="Vol_Lining"/>
      <sheetName val="Vol_K_225"/>
      <sheetName val="Analisa &amp; Upah"/>
      <sheetName val="Economic Assumptions"/>
      <sheetName val="SORT"/>
      <sheetName val="EE-PROP"/>
      <sheetName val="harsat"/>
      <sheetName val="AHSbj"/>
      <sheetName val="HARGA ALAT"/>
      <sheetName val="villa"/>
      <sheetName val="Anl"/>
      <sheetName val="slab"/>
      <sheetName val="Daf Harga"/>
      <sheetName val="An_ Harga"/>
      <sheetName val="D.BOARD LAMA"/>
      <sheetName val="Urai _Resap pengikat"/>
      <sheetName val="ESCON"/>
      <sheetName val="Bill 5 Summary"/>
      <sheetName val="I-ME"/>
      <sheetName val="FORM X COST"/>
      <sheetName val="Bank"/>
      <sheetName val="Bunga"/>
      <sheetName val="BAHAN"/>
      <sheetName val="Mark-up"/>
      <sheetName val="BQ-IABK"/>
      <sheetName val="Marshal"/>
      <sheetName val="MON_OH"/>
      <sheetName val="struktur tdk dipakai"/>
      <sheetName val="Hrg Bhn"/>
      <sheetName val="RAB Arsitek"/>
      <sheetName val="analisa"/>
      <sheetName val="MAP"/>
      <sheetName val="Agregat Halus &amp; Kasar"/>
      <sheetName val="Bill_Qua"/>
      <sheetName val="Har_mat"/>
      <sheetName val="BQ ME"/>
      <sheetName val="Bill 2 Summary"/>
      <sheetName val="Analisa Harga"/>
      <sheetName val="351BQMCN"/>
      <sheetName val="Upah &amp; Bahan"/>
      <sheetName val="data"/>
      <sheetName val="MAPDC"/>
      <sheetName val="ALUMUNIUM"/>
      <sheetName val="anal"/>
      <sheetName val="Daf 1"/>
      <sheetName val="HSD"/>
      <sheetName val="data Masjid Ksrn"/>
      <sheetName val="RAB Interior"/>
      <sheetName val="BAU"/>
      <sheetName val="FINISHING"/>
      <sheetName val="ANHSSat"/>
      <sheetName val="Summary"/>
      <sheetName val="SCHEDULE"/>
      <sheetName val="Database"/>
      <sheetName val="basic"/>
      <sheetName val="B.T"/>
      <sheetName val="Bill 4 Summary"/>
      <sheetName val="Cover"/>
      <sheetName val="harga bahan"/>
      <sheetName val="harga upah"/>
      <sheetName val="Unit Rate"/>
      <sheetName val="F 3-8"/>
      <sheetName val="Harsat Upah"/>
      <sheetName val="Harsat Pekerjaan"/>
      <sheetName val="Hardas"/>
      <sheetName val="alm"/>
      <sheetName val="Dashboard"/>
      <sheetName val="bilangan"/>
      <sheetName val="Data Ktr Bupati Tapsel"/>
      <sheetName val="Anl.Sipil"/>
      <sheetName val="Analisa SNI"/>
      <sheetName val="BQ"/>
      <sheetName val="hsp-STR-ARS"/>
      <sheetName val="ANHAR"/>
      <sheetName val="D.1.7"/>
      <sheetName val="D.1.5"/>
      <sheetName val="D.2.3"/>
      <sheetName val="D.2.2"/>
      <sheetName val="sub"/>
      <sheetName val="Analisa Upah &amp; Bahan Plum"/>
      <sheetName val="Als Struk"/>
      <sheetName val="Utilitas"/>
      <sheetName val="har-sat"/>
      <sheetName val="Bill 2.4."/>
      <sheetName val="HB "/>
      <sheetName val="DHS"/>
      <sheetName val="BQ "/>
      <sheetName val="daf-3(OK)"/>
      <sheetName val="daf-7(OK)"/>
      <sheetName val="Bangunan Utama"/>
      <sheetName val="Bill 2_4_"/>
      <sheetName val="Daftar Harga"/>
      <sheetName val="Daftar Upah"/>
      <sheetName val="ANALISA GRS TENGAH"/>
      <sheetName val="Cover Daf-2"/>
      <sheetName val="Analisa Gabungan"/>
      <sheetName val="A"/>
      <sheetName val="Div2"/>
      <sheetName val="As"/>
      <sheetName val="Mob"/>
      <sheetName val="HARGA MATERIAL"/>
      <sheetName val="Cash Flow bulanan"/>
      <sheetName val="Material"/>
      <sheetName val="DAF-BAHAN"/>
      <sheetName val="DAF-UPAH"/>
      <sheetName val="HARSAT BAHAN"/>
      <sheetName val="Bill 3 Summary"/>
      <sheetName val="KET"/>
      <sheetName val="Subkon"/>
      <sheetName val="Equip"/>
      <sheetName val="61004"/>
      <sheetName val="Sat Bahan"/>
      <sheetName val="Sat Alat"/>
      <sheetName val="Sat Upah"/>
      <sheetName val="BQ-E20-02(Rp)"/>
      <sheetName val="K725"/>
      <sheetName val="L4"/>
      <sheetName val="K33H"/>
      <sheetName val="K621"/>
      <sheetName val="K819"/>
      <sheetName val="K331"/>
      <sheetName val="ALAT"/>
      <sheetName val="ref"/>
      <sheetName val="Sheet1"/>
      <sheetName val="PRD 01-7"/>
      <sheetName val="PRD 01-8"/>
      <sheetName val="PRD 01-11"/>
      <sheetName val="DCost-4"/>
      <sheetName val="PRD 01-10"/>
      <sheetName val=" Harsat Baru"/>
      <sheetName val="Rab Struktur"/>
      <sheetName val="UPAH"/>
      <sheetName val="perhitungan indeks"/>
      <sheetName val="Analisa _ Upah"/>
      <sheetName val="AC_C"/>
      <sheetName val="GD 14"/>
      <sheetName val="Input"/>
      <sheetName val="DETAIL"/>
      <sheetName val="BOW"/>
      <sheetName val="BOQ1"/>
      <sheetName val="SITE-E"/>
      <sheetName val="Bill of Qty"/>
      <sheetName val="Bill rekap"/>
      <sheetName val="Analisa HSP"/>
      <sheetName val="Perhitungan Besi"/>
      <sheetName val="4"/>
      <sheetName val="DAF-2"/>
      <sheetName val="rab-str.Adm"/>
      <sheetName val="Upah dan Bahan"/>
      <sheetName val="AC"/>
      <sheetName val="Perhit.Alat"/>
      <sheetName val="Fins-Beng&amp;Fas"/>
      <sheetName val="Kabel"/>
      <sheetName val="5-Digit"/>
      <sheetName val="3.Mob"/>
      <sheetName val="ANALISA PEK.UMUM"/>
      <sheetName val="I-KAMAR"/>
      <sheetName val="RAP"/>
      <sheetName val="Pipa 200"/>
      <sheetName val="Daft.Kuantitas"/>
      <sheetName val="SEX"/>
      <sheetName val="extern"/>
      <sheetName val="9-1차이내역"/>
      <sheetName val="TE TS FA LAN MATV"/>
      <sheetName val="BAG-2"/>
      <sheetName val="CH"/>
      <sheetName val="AKUN"/>
      <sheetName val="HL"/>
      <sheetName val="BHN"/>
      <sheetName val="MASTER"/>
      <sheetName val="Sis Hidrol"/>
      <sheetName val="Brk Dwn Sipil"/>
      <sheetName val="Pipa 10 mm"/>
      <sheetName val="Pipa 8 mm"/>
      <sheetName val="Pipa Fiber"/>
      <sheetName val="Pipa PE"/>
      <sheetName val="Rekap Tot"/>
      <sheetName val="ANALISA ALAT BERAT"/>
      <sheetName val="Ana"/>
      <sheetName val="DAF_1"/>
      <sheetName val="HARGA DASAR"/>
      <sheetName val="REKAP ANALISA SESUAI PU"/>
      <sheetName val="ANALISA STRUKTUR "/>
      <sheetName val="REKAP ANALISA TO PRINT"/>
      <sheetName val="RL-01"/>
      <sheetName val="SPEC"/>
      <sheetName val="Analisa 2"/>
      <sheetName val="TP ALAT"/>
      <sheetName val="#REF!"/>
      <sheetName val="arab"/>
      <sheetName val="Fill this out first..."/>
      <sheetName val="TOT_RAP"/>
      <sheetName val="Harga Satuan"/>
      <sheetName val="hs_str"/>
      <sheetName val="UBA"/>
      <sheetName val="Schedulle(S-curve)Break"/>
      <sheetName val="BIALANG"/>
      <sheetName val="MENU"/>
      <sheetName val="Rupa2"/>
      <sheetName val="N-AC"/>
      <sheetName val="MADC"/>
      <sheetName val="RPP01 6"/>
      <sheetName val="pricelist"/>
      <sheetName val="Rekap Anal"/>
      <sheetName val="HrgUpahBahan"/>
      <sheetName val="Analisa Quarry"/>
      <sheetName val="Peralatan"/>
      <sheetName val="Informasi"/>
      <sheetName val="boq"/>
      <sheetName val="black_out"/>
      <sheetName val="610.07A"/>
      <sheetName val="BasicPrice"/>
      <sheetName val="H_Satuan2"/>
      <sheetName val="Jam_Alat1"/>
      <sheetName val="Vol_Lining1"/>
      <sheetName val="Vol_K_2251"/>
      <sheetName val="HARDAS PERKIM 2"/>
      <sheetName val="B.as"/>
      <sheetName val="penawaran baja"/>
      <sheetName val="Pos 4-1"/>
      <sheetName val="O&amp;O-Alat"/>
      <sheetName val="ANAL2"/>
      <sheetName val="dil"/>
      <sheetName val="dild"/>
      <sheetName val="dti"/>
      <sheetName val="H-SATUAN"/>
      <sheetName val="PRY01-1"/>
      <sheetName val="PRY02"/>
      <sheetName val="STRUKTUR-1"/>
      <sheetName val="BILL 1"/>
      <sheetName val="Analisa Harga Satuan"/>
      <sheetName val="Hit Vol Str Jambi"/>
      <sheetName val="Harga Satuan (T.P.)"/>
      <sheetName val="Analisa HSP (T.P.)"/>
      <sheetName val="Rekap Direct Cost"/>
      <sheetName val="Analisa 021"/>
      <sheetName val="II.1 STR GED A"/>
      <sheetName val="kontribusi"/>
      <sheetName val="likuiditas"/>
      <sheetName val="Manajerial"/>
      <sheetName val="revenue"/>
      <sheetName val="progres sub unv"/>
      <sheetName val="rework"/>
      <sheetName val="CCO"/>
      <sheetName val="MB_SOFTCOST_DETAIL"/>
      <sheetName val="SOFTCOST_R2"/>
      <sheetName val="HARDCOST"/>
      <sheetName val="MB_GENERAL"/>
      <sheetName val="MAPP"/>
      <sheetName val="4-MVAC"/>
      <sheetName val="HargaSat"/>
      <sheetName val="bhn,upah,alat"/>
      <sheetName val="Ans Kom Precast"/>
      <sheetName val="UPAH BAHAN ARST"/>
      <sheetName val="6106"/>
      <sheetName val="met bab3"/>
      <sheetName val="anal bab8"/>
      <sheetName val="RAB_DURI"/>
      <sheetName val="Alat &amp; Bahan"/>
      <sheetName val="Hrg Bhn (2)"/>
      <sheetName val="REKAP A BESAR"/>
      <sheetName val="R A B"/>
      <sheetName val="D.BOARD"/>
      <sheetName val="hsp_STR_ARS"/>
      <sheetName val="ANS STR"/>
      <sheetName val="HARGA BAHAN UPAH"/>
      <sheetName val="PANELKAST"/>
      <sheetName val=" R A B"/>
      <sheetName val="Harga"/>
      <sheetName val="RESUME"/>
      <sheetName val="BILL OF QUANTITY"/>
      <sheetName val="BAG_2"/>
      <sheetName val="billed"/>
      <sheetName val="COST TOGO"/>
      <sheetName val="report"/>
      <sheetName val="antisipasi"/>
      <sheetName val="Manpower"/>
      <sheetName val="Equipt,Tools&amp;Cons"/>
      <sheetName val="STRUKTUR"/>
      <sheetName val="ARSITEKTUR"/>
      <sheetName val="대비표"/>
      <sheetName val="Unit"/>
      <sheetName val="Mat.Elk"/>
      <sheetName val="Mat.Mek"/>
      <sheetName val="AHS Isolasi"/>
      <sheetName val="ahsAC"/>
      <sheetName val="Duct"/>
      <sheetName val="AHS"/>
      <sheetName val="OHD"/>
      <sheetName val="An_pdkg"/>
      <sheetName val="RAB ME"/>
      <sheetName val="sheet 2"/>
      <sheetName val="hrg-dsr"/>
      <sheetName val="daf harga (reil)"/>
      <sheetName val=" Biaya alat jam (reil)"/>
      <sheetName val="Anal-Grout!Back!Water"/>
      <sheetName val=" Biaya alat jam"/>
      <sheetName val="AHSP"/>
      <sheetName val="ANPRO"/>
      <sheetName val="Sum"/>
      <sheetName val="L_O&amp;O"/>
      <sheetName val="TJ1Q47"/>
      <sheetName val="Sch"/>
      <sheetName val="HDS"/>
      <sheetName val="Sheet15"/>
      <sheetName val="DAPRO"/>
      <sheetName val="BL"/>
      <sheetName val="SBDY"/>
      <sheetName val="DB"/>
      <sheetName val="WAYANG"/>
      <sheetName val="an-satuan"/>
      <sheetName val="RAB"/>
      <sheetName val="An Struktur"/>
      <sheetName val="Unit Rate (2)"/>
      <sheetName val="B_T"/>
      <sheetName val="Bill_5_Summary"/>
      <sheetName val="Hrg_Bhn"/>
      <sheetName val="RAB_Arsitek"/>
      <sheetName val="Analisa_&amp;_Upah"/>
      <sheetName val="D_BOARD_LAMA"/>
      <sheetName val="BQ_ME"/>
      <sheetName val="struktur_tdk_dipakai"/>
      <sheetName val="FORM_X_COST"/>
      <sheetName val="Bill_2_Summary"/>
      <sheetName val="Analisa_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H.Satuan"/>
      <sheetName val="SITE_E"/>
      <sheetName val="Civil Costs"/>
      <sheetName val="Piperate"/>
      <sheetName val="LOADDAT"/>
      <sheetName val="BILL"/>
      <sheetName val="DAF-2"/>
      <sheetName val="Fill this out first..."/>
      <sheetName val="BOQ"/>
      <sheetName val="Unit Rate"/>
      <sheetName val="부하계산서"/>
      <sheetName val="Sheet"/>
      <sheetName val="slab"/>
      <sheetName val="Analisa"/>
      <sheetName val="FORM X COST"/>
      <sheetName val="EST. SERVICEHEATEXCHANGER-ATD"/>
      <sheetName val="Cover Daf-2"/>
      <sheetName val="Hardas"/>
      <sheetName val="MAPDC"/>
      <sheetName val="Teq.an"/>
      <sheetName val="Teq.an.ccrt"/>
      <sheetName val="Teq.an.Stone"/>
      <sheetName val="An.Earth"/>
      <sheetName val="An.Ls 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Clm"/>
      <sheetName val="Balok Slab"/>
      <sheetName val="ESCO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ﾃｨｰﾁﾝｸﾞ"/>
      <sheetName val="Data"/>
      <sheetName val="New MADC"/>
      <sheetName val="Fill this out first___"/>
      <sheetName val="struktur tdk dipakai"/>
      <sheetName val="4"/>
      <sheetName val="An-Alat"/>
      <sheetName val="Rekap"/>
      <sheetName val="harsat"/>
      <sheetName val="BAG-III"/>
      <sheetName val="HRG BHN"/>
      <sheetName val="Foundation"/>
      <sheetName val="Elektrikal"/>
      <sheetName val="SEX"/>
      <sheetName val="villa"/>
      <sheetName val="CONSUMABLE"/>
      <sheetName val="I-KAMAR"/>
      <sheetName val="BAG_III"/>
      <sheetName val="Daftar berat"/>
      <sheetName val="Analisa _ Upah"/>
      <sheetName val="RAP"/>
      <sheetName val="Breakdown Architecture"/>
      <sheetName val="Breakdown Structure"/>
      <sheetName val="Harga ME "/>
      <sheetName val="profit_Const1"/>
      <sheetName val="FORM_X_COST1"/>
      <sheetName val="H_Satuan1"/>
      <sheetName val="Fill_this_out_first___1"/>
      <sheetName val="EST__SERVICEHEATEXCHANGER-ATD1"/>
      <sheetName val="Cover_Daf-21"/>
      <sheetName val="Civil_Costs1"/>
      <sheetName val="BAHAN"/>
      <sheetName val="equipment"/>
      <sheetName val="Arc Analysis"/>
      <sheetName val="An Str"/>
      <sheetName val="Bhn"/>
      <sheetName val="Pile"/>
      <sheetName val="TB"/>
      <sheetName val="GB"/>
      <sheetName val="Ring Balok"/>
      <sheetName val="Pipe"/>
      <sheetName val="daf_3_OK_"/>
      <sheetName val="daf_7_OK_"/>
      <sheetName val="BQ-IABK"/>
      <sheetName val="Fins-Beng&amp;Fas"/>
      <sheetName val="JAN2002"/>
      <sheetName val="Bill sipil"/>
      <sheetName val="FINISHING"/>
      <sheetName val="STRUKTUR"/>
      <sheetName val="Analisa _Baku"/>
      <sheetName val="BQNSC"/>
      <sheetName val="Rekap Direct Cost"/>
      <sheetName val="DAFTAR HARGA"/>
      <sheetName val="harsat_str"/>
      <sheetName val="Koef"/>
      <sheetName val="ALEK"/>
      <sheetName val="price"/>
      <sheetName val="Sag1"/>
      <sheetName val="Analisa &amp; Upah"/>
      <sheetName val="ch"/>
      <sheetName val="A"/>
      <sheetName val="ARSITEKTUR"/>
      <sheetName val="Material&amp;Alat"/>
      <sheetName val="DB"/>
      <sheetName val="REF.ONLY"/>
      <sheetName val="Penunjang"/>
      <sheetName val="BQ"/>
      <sheetName val="AN-ME"/>
      <sheetName val="BQ ME"/>
      <sheetName val="data RSUD KIS"/>
      <sheetName val="Bahan-Upah"/>
      <sheetName val="BAU"/>
      <sheetName val="HSD"/>
      <sheetName val="SCHEDULE"/>
      <sheetName val="Database"/>
      <sheetName val="BQ Stdr"/>
      <sheetName val="inp.data"/>
      <sheetName val="AP-2_Ars"/>
      <sheetName val="MPH_Ars"/>
      <sheetName val="PKP_Ars"/>
      <sheetName val="PLN_Ars"/>
      <sheetName val="Tower_Ars"/>
      <sheetName val="Str-AP2"/>
      <sheetName val="Str-MPH"/>
      <sheetName val="Str-PKP"/>
      <sheetName val="Str-PLN"/>
      <sheetName val="Str-TWR"/>
      <sheetName val="ANALIS"/>
      <sheetName val="Pendahuluan"/>
      <sheetName val="Currency Rate"/>
      <sheetName val="Index"/>
      <sheetName val="E_TRIKAL"/>
      <sheetName val="E_TRONIK"/>
      <sheetName val="MEK"/>
      <sheetName val="ANAL_HPS"/>
      <sheetName val="Rekap1"/>
      <sheetName val="ARSITEK"/>
      <sheetName val="AHS ME "/>
      <sheetName val="ARS"/>
      <sheetName val="REKAP TOT"/>
      <sheetName val="ARS ADM"/>
      <sheetName val="csdim"/>
      <sheetName val="cdsload"/>
      <sheetName val="chsload"/>
      <sheetName val="Code 02"/>
      <sheetName val="Code 03"/>
      <sheetName val="Code 04"/>
      <sheetName val="Code 05"/>
      <sheetName val="Code 06"/>
      <sheetName val="Code 07"/>
      <sheetName val="Code 09"/>
      <sheetName val="CLAMP"/>
      <sheetName val="cvsload"/>
      <sheetName val="COA-17"/>
      <sheetName val="C-18"/>
      <sheetName val="AHSbj"/>
      <sheetName val="A+Supl."/>
      <sheetName val="7"/>
    </sheetNames>
    <sheetDataSet>
      <sheetData sheetId="0" refreshError="1"/>
      <sheetData sheetId="1"/>
      <sheetData sheetId="2" refreshError="1"/>
      <sheetData sheetId="3" refreshError="1"/>
      <sheetData sheetId="4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R1">
            <v>1.1032381499999999</v>
          </cell>
        </row>
      </sheetData>
      <sheetData sheetId="23">
        <row r="1">
          <cell r="R1">
            <v>1.1032381499999999</v>
          </cell>
        </row>
      </sheetData>
      <sheetData sheetId="24">
        <row r="1">
          <cell r="R1">
            <v>1.1032381499999999</v>
          </cell>
        </row>
      </sheetData>
      <sheetData sheetId="25">
        <row r="1">
          <cell r="R1">
            <v>1.1032381499999999</v>
          </cell>
        </row>
      </sheetData>
      <sheetData sheetId="26">
        <row r="1">
          <cell r="R1">
            <v>1.1032381499999999</v>
          </cell>
        </row>
      </sheetData>
      <sheetData sheetId="27">
        <row r="1">
          <cell r="R1">
            <v>1.1032381499999999</v>
          </cell>
        </row>
      </sheetData>
      <sheetData sheetId="28">
        <row r="1">
          <cell r="R1">
            <v>1.1032381499999999</v>
          </cell>
        </row>
      </sheetData>
      <sheetData sheetId="29">
        <row r="1">
          <cell r="R1">
            <v>1.1032381499999999</v>
          </cell>
        </row>
      </sheetData>
      <sheetData sheetId="30">
        <row r="1">
          <cell r="R1">
            <v>1.1032381499999999</v>
          </cell>
        </row>
      </sheetData>
      <sheetData sheetId="31">
        <row r="1">
          <cell r="R1">
            <v>1.1032381499999999</v>
          </cell>
        </row>
      </sheetData>
      <sheetData sheetId="32">
        <row r="1">
          <cell r="R1">
            <v>1.1032381499999999</v>
          </cell>
        </row>
      </sheetData>
      <sheetData sheetId="33">
        <row r="1">
          <cell r="R1">
            <v>1.1032381499999999</v>
          </cell>
        </row>
      </sheetData>
      <sheetData sheetId="34">
        <row r="1">
          <cell r="R1">
            <v>1.1032381499999999</v>
          </cell>
        </row>
      </sheetData>
      <sheetData sheetId="35">
        <row r="1">
          <cell r="R1">
            <v>1.1032381499999999</v>
          </cell>
        </row>
      </sheetData>
      <sheetData sheetId="36">
        <row r="1">
          <cell r="R1">
            <v>1.1032381499999999</v>
          </cell>
        </row>
      </sheetData>
      <sheetData sheetId="37">
        <row r="1">
          <cell r="R1">
            <v>1.1032381499999999</v>
          </cell>
        </row>
      </sheetData>
      <sheetData sheetId="38">
        <row r="1">
          <cell r="R1">
            <v>1.1032381499999999</v>
          </cell>
        </row>
      </sheetData>
      <sheetData sheetId="39">
        <row r="1">
          <cell r="R1">
            <v>1.1032381499999999</v>
          </cell>
        </row>
      </sheetData>
      <sheetData sheetId="40">
        <row r="1">
          <cell r="R1">
            <v>1.1032381499999999</v>
          </cell>
        </row>
      </sheetData>
      <sheetData sheetId="41">
        <row r="1">
          <cell r="R1">
            <v>1.1032381499999999</v>
          </cell>
        </row>
      </sheetData>
      <sheetData sheetId="42">
        <row r="1">
          <cell r="R1">
            <v>1.1032381499999999</v>
          </cell>
        </row>
      </sheetData>
      <sheetData sheetId="43">
        <row r="1">
          <cell r="R1">
            <v>1.1032381499999999</v>
          </cell>
        </row>
      </sheetData>
      <sheetData sheetId="44">
        <row r="1">
          <cell r="R1">
            <v>1.1032381499999999</v>
          </cell>
        </row>
      </sheetData>
      <sheetData sheetId="45">
        <row r="1">
          <cell r="R1">
            <v>1.1032381499999999</v>
          </cell>
        </row>
      </sheetData>
      <sheetData sheetId="46">
        <row r="1">
          <cell r="R1">
            <v>1.1032381499999999</v>
          </cell>
        </row>
      </sheetData>
      <sheetData sheetId="47">
        <row r="1">
          <cell r="R1">
            <v>1.1032381499999999</v>
          </cell>
        </row>
      </sheetData>
      <sheetData sheetId="48">
        <row r="1">
          <cell r="R1">
            <v>1.1032381499999999</v>
          </cell>
        </row>
      </sheetData>
      <sheetData sheetId="49">
        <row r="1">
          <cell r="R1">
            <v>1.1032381499999999</v>
          </cell>
        </row>
      </sheetData>
      <sheetData sheetId="50">
        <row r="1">
          <cell r="R1">
            <v>1.1032381499999999</v>
          </cell>
        </row>
      </sheetData>
      <sheetData sheetId="51">
        <row r="1">
          <cell r="R1">
            <v>1.1032381499999999</v>
          </cell>
        </row>
      </sheetData>
      <sheetData sheetId="52">
        <row r="1">
          <cell r="R1">
            <v>1.1032381499999999</v>
          </cell>
        </row>
      </sheetData>
      <sheetData sheetId="53">
        <row r="1">
          <cell r="R1">
            <v>1.1032381499999999</v>
          </cell>
        </row>
      </sheetData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">
          <cell r="R1">
            <v>1.1032381499999999</v>
          </cell>
        </row>
      </sheetData>
      <sheetData sheetId="70">
        <row r="1">
          <cell r="R1">
            <v>1.1032381499999999</v>
          </cell>
        </row>
      </sheetData>
      <sheetData sheetId="71"/>
      <sheetData sheetId="72"/>
      <sheetData sheetId="73"/>
      <sheetData sheetId="74">
        <row r="1">
          <cell r="R1">
            <v>1.1032381499999999</v>
          </cell>
        </row>
      </sheetData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</sheetNames>
    <sheetDataSet>
      <sheetData sheetId="0">
        <row r="11">
          <cell r="H11">
            <v>1</v>
          </cell>
          <cell r="I11">
            <v>2</v>
          </cell>
          <cell r="J11">
            <v>3</v>
          </cell>
          <cell r="K11">
            <v>4</v>
          </cell>
          <cell r="L11">
            <v>5</v>
          </cell>
          <cell r="M11">
            <v>6</v>
          </cell>
          <cell r="N11">
            <v>7</v>
          </cell>
          <cell r="O11">
            <v>8</v>
          </cell>
          <cell r="P11">
            <v>9</v>
          </cell>
          <cell r="Q11">
            <v>10</v>
          </cell>
          <cell r="R11">
            <v>11</v>
          </cell>
          <cell r="S11">
            <v>12</v>
          </cell>
          <cell r="T11">
            <v>13</v>
          </cell>
          <cell r="U11">
            <v>14</v>
          </cell>
          <cell r="V11">
            <v>15</v>
          </cell>
          <cell r="W11">
            <v>16</v>
          </cell>
          <cell r="X11">
            <v>17</v>
          </cell>
          <cell r="Y11">
            <v>18</v>
          </cell>
          <cell r="Z11">
            <v>19</v>
          </cell>
          <cell r="AA11">
            <v>20</v>
          </cell>
          <cell r="AB11">
            <v>21</v>
          </cell>
          <cell r="AC11">
            <v>22</v>
          </cell>
          <cell r="AD11">
            <v>23</v>
          </cell>
          <cell r="AE11">
            <v>24</v>
          </cell>
          <cell r="AF11">
            <v>25</v>
          </cell>
          <cell r="AG11">
            <v>26</v>
          </cell>
          <cell r="AH11">
            <v>27</v>
          </cell>
          <cell r="AI11">
            <v>28</v>
          </cell>
          <cell r="AJ11">
            <v>29</v>
          </cell>
          <cell r="AK11">
            <v>30</v>
          </cell>
          <cell r="AL11">
            <v>31</v>
          </cell>
          <cell r="AM11">
            <v>32</v>
          </cell>
          <cell r="AN11">
            <v>33</v>
          </cell>
          <cell r="AO11">
            <v>34</v>
          </cell>
          <cell r="AP11">
            <v>35</v>
          </cell>
          <cell r="AQ11">
            <v>36</v>
          </cell>
          <cell r="AR11">
            <v>37</v>
          </cell>
          <cell r="AS11">
            <v>38</v>
          </cell>
        </row>
        <row r="47">
          <cell r="H47">
            <v>8.5400000000000004E-2</v>
          </cell>
          <cell r="I47">
            <v>0.17080000000000001</v>
          </cell>
          <cell r="J47">
            <v>0.29161666666666669</v>
          </cell>
          <cell r="K47">
            <v>0.41243333333333337</v>
          </cell>
          <cell r="L47">
            <v>0.53325</v>
          </cell>
          <cell r="M47">
            <v>3.4087750000000003</v>
          </cell>
          <cell r="N47">
            <v>6.1989000000000001</v>
          </cell>
          <cell r="O47">
            <v>9.2624624999999998</v>
          </cell>
          <cell r="P47">
            <v>12.433824999999999</v>
          </cell>
          <cell r="Q47">
            <v>15.6051875</v>
          </cell>
          <cell r="R47">
            <v>18.77655</v>
          </cell>
          <cell r="S47">
            <v>22.434126785714287</v>
          </cell>
          <cell r="T47">
            <v>26.885703571428571</v>
          </cell>
          <cell r="U47">
            <v>31.450994642857143</v>
          </cell>
          <cell r="V47">
            <v>36.261669047619051</v>
          </cell>
          <cell r="W47">
            <v>41.367893452380954</v>
          </cell>
          <cell r="X47">
            <v>46.474117857142858</v>
          </cell>
          <cell r="Y47">
            <v>51.580342261904761</v>
          </cell>
          <cell r="Z47">
            <v>56.613233333333334</v>
          </cell>
          <cell r="AA47">
            <v>61.646124404761906</v>
          </cell>
          <cell r="AB47">
            <v>66.679015476190472</v>
          </cell>
          <cell r="AC47">
            <v>71.690406547619048</v>
          </cell>
          <cell r="AD47">
            <v>76.701797619047625</v>
          </cell>
          <cell r="AE47">
            <v>81.439751190476201</v>
          </cell>
          <cell r="AF47">
            <v>85.176238095238105</v>
          </cell>
          <cell r="AG47">
            <v>88.426510714285726</v>
          </cell>
          <cell r="AH47">
            <v>91.676783333333347</v>
          </cell>
          <cell r="AI47">
            <v>94.834841666666676</v>
          </cell>
          <cell r="AJ47">
            <v>97.885100000000008</v>
          </cell>
          <cell r="AK47">
            <v>98.180650000000014</v>
          </cell>
          <cell r="AL47">
            <v>98.47620000000002</v>
          </cell>
          <cell r="AM47">
            <v>98.771750000000026</v>
          </cell>
          <cell r="AN47">
            <v>99.067300000000031</v>
          </cell>
          <cell r="AO47">
            <v>99.362850000000037</v>
          </cell>
          <cell r="AP47">
            <v>99.743800000000036</v>
          </cell>
          <cell r="AQ47">
            <v>99.829200000000043</v>
          </cell>
          <cell r="AR47">
            <v>99.91460000000005</v>
          </cell>
          <cell r="AS47">
            <v>100.00000000000006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Agregat Halus &amp; Kasar"/>
      <sheetName val="HRG BHN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Data"/>
      <sheetName val="Kr tengahDiva"/>
      <sheetName val="FA"/>
      <sheetName val="Analisa HS"/>
      <sheetName val="Man Power"/>
      <sheetName val="DAPRO"/>
      <sheetName val="BL"/>
      <sheetName val="L3 An H Sat Mob"/>
      <sheetName val="SITE-E"/>
      <sheetName val="LO"/>
      <sheetName val="LOADDAT"/>
      <sheetName val="GASATAGG.XLS"/>
      <sheetName val="Informasi"/>
      <sheetName val="EXTERNAL WORK"/>
      <sheetName val="Isolasi Luar Dalam"/>
      <sheetName val="Isolasi Luar"/>
      <sheetName val="ANAL.BOW"/>
      <sheetName val="Break_down"/>
      <sheetName val="Equipment"/>
      <sheetName val="Subkon"/>
      <sheetName val="B - Norelec"/>
      <sheetName val="upahbahan"/>
      <sheetName val="rab me (by owner) "/>
      <sheetName val="BQ (by owner)"/>
      <sheetName val="rab me (fisik)"/>
      <sheetName val="rekap mekanikal"/>
      <sheetName val="BASEMENT"/>
      <sheetName val="Anls"/>
      <sheetName val="Analisa _ Upah"/>
      <sheetName val="Markup"/>
      <sheetName val="BAG_2"/>
      <sheetName val="Analisa &amp; Upah"/>
      <sheetName val="Pipe"/>
      <sheetName val="M_12 _2_"/>
      <sheetName val="REKAP"/>
      <sheetName val="Material"/>
      <sheetName val="Upah"/>
      <sheetName val="basic"/>
      <sheetName val="pricing"/>
      <sheetName val="ANAL. ME"/>
      <sheetName val="Cover"/>
      <sheetName val="BW analisa cika 2005"/>
      <sheetName val="01A- RAB"/>
      <sheetName val="L_Mechanical"/>
      <sheetName val="villa"/>
      <sheetName val="ANAL_BOW"/>
      <sheetName val="BAG-2"/>
      <sheetName val="BTL-Persiapan"/>
      <sheetName val="BTL-Bau"/>
      <sheetName val="BTL-alat"/>
      <sheetName val="BTL-Rupa"/>
      <sheetName val="M&amp;E R"/>
      <sheetName val="RAB PERSIAPAN "/>
      <sheetName val="AHSP"/>
      <sheetName val="Scedule(S-Curve)"/>
      <sheetName val="Fin-Bengkel"/>
      <sheetName val="Fin-Showroom"/>
      <sheetName val="Hal_Pagar"/>
      <sheetName val="Str-Bengkel"/>
      <sheetName val="Str-Showroom"/>
      <sheetName val="WT-LIST"/>
      <sheetName val="G_SUMMARY"/>
      <sheetName val="RAB_HREZ"/>
      <sheetName val="ANAL_HREZ"/>
      <sheetName val="REKAP_ARSITEKTUR."/>
      <sheetName val="RAB.ADMINISTRASI PUSAT (1)"/>
      <sheetName val="bahan"/>
      <sheetName val="EQ_an"/>
      <sheetName val="GFA-20-N"/>
      <sheetName val="L-Mechanical"/>
      <sheetName val="ESCON"/>
      <sheetName val="KET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Bill No 2.1 Cold Water System"/>
      <sheetName val="Civil Works"/>
      <sheetName val="analysis"/>
      <sheetName val="NS GD.UTAMA"/>
      <sheetName val="BANGUNAN PENUNJANG"/>
      <sheetName val="har-sat"/>
      <sheetName val="STD Lanjutan"/>
      <sheetName val="NS Lanjutan"/>
      <sheetName val="BoQ C4"/>
      <sheetName val="Fill this out first___"/>
      <sheetName val="5-Peralatan"/>
      <sheetName val="hardas"/>
      <sheetName val="harga"/>
      <sheetName val="ANALISA"/>
      <sheetName val="BHN"/>
      <sheetName val="LISTRIK"/>
      <sheetName val="F ALARM"/>
      <sheetName val="alat,bahan,sub"/>
      <sheetName val="AC-C"/>
      <sheetName val="A"/>
      <sheetName val="Fill this out first..."/>
      <sheetName val="BOQ KSN"/>
      <sheetName val="Persiapan"/>
      <sheetName val="1.B"/>
      <sheetName val="Sat Upah"/>
      <sheetName val="HS Alat"/>
      <sheetName val="HS Upah"/>
      <sheetName val="HS Sub-Kon"/>
      <sheetName val="Anal"/>
      <sheetName val="Analisa ME (2)"/>
      <sheetName val="sheet 2"/>
      <sheetName val="RAB ME"/>
      <sheetName val="Harga Satuan"/>
      <sheetName val="eq_data"/>
      <sheetName val="HB "/>
      <sheetName val="RKP PLUMBING"/>
      <sheetName val="ANALISA 1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D &amp; W sizes"/>
      <sheetName val="U_rate"/>
      <sheetName val="Art"/>
      <sheetName val="CPAoC"/>
      <sheetName val="Eng_Hrs"/>
      <sheetName val="EE-PROP"/>
      <sheetName val="Bill of Qty MEP"/>
      <sheetName val="I-KAMAR"/>
      <sheetName val="coeff"/>
      <sheetName val="Cable 150kV Ref."/>
      <sheetName val="ALAT"/>
      <sheetName val="MAIN EQUIP AC"/>
      <sheetName val="AHS-E"/>
      <sheetName val="BQ-ME"/>
      <sheetName val="Rekap Prelim"/>
      <sheetName val="D _ W sizes"/>
      <sheetName val="DAFTAR HARGA"/>
      <sheetName val="Dasboard"/>
      <sheetName val="H_Upah"/>
      <sheetName val="H-Upah"/>
      <sheetName val="Fin_Bengkel"/>
      <sheetName val="Fin_Showroom"/>
      <sheetName val="Str_Bengkel"/>
      <sheetName val="Str_Showroom"/>
      <sheetName val="Rate"/>
      <sheetName val="Mat.Mek"/>
      <sheetName val="Div2"/>
      <sheetName val="MAP-1"/>
      <sheetName val="HARSAT"/>
      <sheetName val="Pos 4-1"/>
      <sheetName val="HSD"/>
      <sheetName val="Boq"/>
      <sheetName val="bill qty"/>
      <sheetName val="meth hsl nego"/>
      <sheetName val="ANALIS.1"/>
      <sheetName val="DUTCH CONE"/>
      <sheetName val="slab"/>
      <sheetName val="Daf_ No_ _ 4_2"/>
      <sheetName val="BASIC-PRICE"/>
      <sheetName val="anal_alat"/>
      <sheetName val="Unit Rate"/>
      <sheetName val="BQ Stdr R-1"/>
      <sheetName val="BQ Arsit"/>
      <sheetName val="An HarSatPek"/>
      <sheetName val="Sat Bah &amp; Up"/>
      <sheetName val="Transfer Pump"/>
      <sheetName val="MAPDC"/>
      <sheetName val="Data Ktr Bupati Tapsel"/>
      <sheetName val="BAU"/>
      <sheetName val="MADC"/>
      <sheetName val="bilangan"/>
      <sheetName val="Hsat1"/>
      <sheetName val="New MADC"/>
      <sheetName val="351BQMCN"/>
      <sheetName val="FAK"/>
      <sheetName val="JADWAL"/>
      <sheetName val="ana_str"/>
      <sheetName val="RAW MATERIALS "/>
      <sheetName val="COST-PERSON-J.O."/>
      <sheetName val="RENTAL1"/>
      <sheetName val="DPENSIUN"/>
      <sheetName val="CBL"/>
      <sheetName val="Valve"/>
      <sheetName val="Sanitair+Drain"/>
      <sheetName val="Flange"/>
      <sheetName val="Pipa (2)"/>
      <sheetName val="Lamp BAP"/>
      <sheetName val="EQ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공정양식"/>
      <sheetName val="Rekap Direct Cost"/>
      <sheetName val="Urai _ Guide Post"/>
      <sheetName val="Met_Pas Batu"/>
      <sheetName val="Urai_Galian Tanah"/>
      <sheetName val="Met_ Minor"/>
      <sheetName val="Rates"/>
      <sheetName val="hs"/>
      <sheetName val="Project_P"/>
      <sheetName val="2.NSB."/>
      <sheetName val="2.SB"/>
      <sheetName val="pinjen"/>
      <sheetName val="M.ITEM"/>
      <sheetName val="BHN.Ars"/>
      <sheetName val="7.NS.H"/>
      <sheetName val="BOI-me"/>
      <sheetName val="MUA"/>
      <sheetName val="BQ struktur"/>
      <sheetName val="AHS"/>
      <sheetName val="HARGA ALAT"/>
      <sheetName val="UMUM"/>
      <sheetName val="ETAB 1"/>
      <sheetName val="Analisa Pusaka Jaya"/>
      <sheetName val="DAF-2"/>
      <sheetName val="Perm. Test"/>
      <sheetName val="name"/>
      <sheetName val="bahan+upah"/>
      <sheetName val="NS GD.UGD"/>
      <sheetName val="STD GD.UGD"/>
      <sheetName val="R.A.B."/>
      <sheetName val="2_Plumbing"/>
      <sheetName val="3_FF"/>
      <sheetName val="Material&amp;Upah"/>
      <sheetName val="Piping"/>
      <sheetName val="AHS str"/>
      <sheetName val="REKAP TOTAL"/>
      <sheetName val="Daf 1"/>
      <sheetName val="NP"/>
      <sheetName val="J"/>
      <sheetName val="AHSbj"/>
      <sheetName val="analisa_gedung"/>
      <sheetName val="4-Basic Price"/>
      <sheetName val="HSD_Alat"/>
      <sheetName val="DKH"/>
      <sheetName val="kki"/>
      <sheetName val="fin pro centers"/>
      <sheetName val="SUMMARY"/>
      <sheetName val="LATIH1"/>
      <sheetName val="Data2"/>
      <sheetName val="Peralatan"/>
      <sheetName val="REKAP ARSITEKTUR"/>
      <sheetName val="anal_hs"/>
      <sheetName val="OVERHEAD"/>
      <sheetName val="rincian per proyek"/>
      <sheetName val="Analis"/>
      <sheetName val="RAB"/>
      <sheetName val="Lead Schedule"/>
      <sheetName val="Terbilang"/>
      <sheetName val="FINISHING"/>
      <sheetName val="Sheet1"/>
      <sheetName val="Rkp"/>
      <sheetName val="EMS"/>
      <sheetName val="Daftar Upah,Bhn,&amp; alat"/>
      <sheetName val="Anal Koef"/>
      <sheetName val="Rekap Biaya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REK"/>
      <sheetName val="GH Quantity"/>
      <sheetName val="MASTER"/>
      <sheetName val="KAN. LOKAL"/>
      <sheetName val="SUMBER"/>
      <sheetName val="Terbilang sertifikat"/>
      <sheetName val="Market"/>
      <sheetName val="Bill 5 Summary"/>
      <sheetName val="BasicPrice"/>
      <sheetName val="Koefisien"/>
      <sheetName val="ANALISA HARGA SATUAN"/>
      <sheetName val="D.1.2_LT- 1 ~ Atap"/>
      <sheetName val="database-emp"/>
      <sheetName val="BQ"/>
      <sheetName val="BOOQ"/>
      <sheetName val="ENC.14"/>
      <sheetName val="Bill_Qua"/>
      <sheetName val="Report detil kondisi"/>
      <sheetName val="MAP"/>
      <sheetName val="ISIAN"/>
      <sheetName val="DIV1"/>
      <sheetName val="An_Basic"/>
      <sheetName val="UshDeb00"/>
      <sheetName val="Up&amp;Bhn "/>
      <sheetName val="PRICE-COMP"/>
      <sheetName val="Data Sei Belutu"/>
      <sheetName val="610.6"/>
      <sheetName val="610.5"/>
      <sheetName val="Data Sinabung"/>
      <sheetName val="Kuantitas"/>
      <sheetName val="daftar_harga"/>
      <sheetName val="Upah dan bahan"/>
      <sheetName val="analisa "/>
      <sheetName val="Estimate"/>
      <sheetName val="소업1교"/>
      <sheetName val="AN Panel"/>
      <sheetName val="NS"/>
      <sheetName val="AnalisaKantor"/>
      <sheetName val="SDM"/>
      <sheetName val="Bill Of Quantity"/>
      <sheetName val="BGN PENUNJANG"/>
      <sheetName val="5-ALAT(1)"/>
      <sheetName val="????"/>
      <sheetName val="AC LOAD"/>
      <sheetName val="QSS"/>
      <sheetName val="Rincian"/>
      <sheetName val="komponen"/>
      <sheetName val="M"/>
      <sheetName val="BoQA"/>
      <sheetName val="REKAP ME"/>
      <sheetName val="Dashboard"/>
      <sheetName val="alm"/>
      <sheetName val="SELISIH HARGA"/>
      <sheetName val="Input monthly capex"/>
      <sheetName val="UPH,BHN,ALT"/>
      <sheetName val="SOP"/>
      <sheetName val="대비표"/>
      <sheetName val="bill_qty"/>
      <sheetName val="meth_hsl_nego"/>
      <sheetName val="AN_Panel"/>
      <sheetName val="HS_Alat"/>
      <sheetName val="HS_Upah"/>
      <sheetName val="HS_Sub-Kon"/>
      <sheetName val="ALEK"/>
      <sheetName val="Sat~Bahu"/>
      <sheetName val="RAB_STR"/>
      <sheetName val="Hrg_Bahan"/>
      <sheetName val="Mat.Elk"/>
      <sheetName val="AHS Isolasi"/>
      <sheetName val="Ref"/>
      <sheetName val="OHD"/>
      <sheetName val="List Plant"/>
      <sheetName val="SAP"/>
      <sheetName val="KH Bahagia"/>
      <sheetName val="PB_B_"/>
      <sheetName val="Analisa 2"/>
      <sheetName val="AKUN"/>
      <sheetName val="Bq Ars"/>
      <sheetName val="KONTRAK INDUK BULANAN"/>
      <sheetName val="own"/>
      <sheetName val="H. Dasar"/>
      <sheetName val="Sat Alat"/>
      <sheetName val="PDMP"/>
      <sheetName val="PCE"/>
      <sheetName val="PRODUK"/>
      <sheetName val="TOOL-ME"/>
      <sheetName val="Bill 4 Summary"/>
      <sheetName val="CH"/>
      <sheetName val="#REF"/>
      <sheetName val="bidang"/>
      <sheetName val="____"/>
      <sheetName val="GASATAGG_XLS"/>
      <sheetName val="EXTERNAL_WORK"/>
      <sheetName val="rab_me_(by_owner)_"/>
      <sheetName val="BQ_(by_owner)"/>
      <sheetName val="rab_me_(fisik)"/>
      <sheetName val="ANAL TEKNIK"/>
      <sheetName val="Monitor"/>
      <sheetName val="bhn FINAL"/>
      <sheetName val="PC"/>
      <sheetName val="MEP"/>
      <sheetName val="D_S_UPAH"/>
    </sheetNames>
    <sheetDataSet>
      <sheetData sheetId="0">
        <row r="106">
          <cell r="C106" t="str">
            <v>Hour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I107">
            <v>4250</v>
          </cell>
          <cell r="J107">
            <v>850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G110">
            <v>22800</v>
          </cell>
          <cell r="H110">
            <v>5700</v>
          </cell>
          <cell r="I110">
            <v>0</v>
          </cell>
          <cell r="K110">
            <v>100000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K112">
            <v>1000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G114">
            <v>28500</v>
          </cell>
          <cell r="H114">
            <v>5700</v>
          </cell>
          <cell r="K114">
            <v>130000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G115">
            <v>28500</v>
          </cell>
          <cell r="H115">
            <v>5700</v>
          </cell>
          <cell r="K115">
            <v>130000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G117">
            <v>15200</v>
          </cell>
          <cell r="H117">
            <v>4300</v>
          </cell>
          <cell r="J117">
            <v>1000</v>
          </cell>
          <cell r="K117">
            <v>60000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G118">
            <v>15200</v>
          </cell>
          <cell r="H118">
            <v>0</v>
          </cell>
          <cell r="J118">
            <v>1000</v>
          </cell>
          <cell r="K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>
        <row r="106">
          <cell r="C106" t="str">
            <v>Hour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06">
          <cell r="C106" t="str">
            <v>Hour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MAPDC"/>
      <sheetName val="data"/>
      <sheetName val="Rekap"/>
      <sheetName val="input"/>
      <sheetName val="GLP-DISCOUNT"/>
      <sheetName val="GLP 2001"/>
      <sheetName val="SAT"/>
      <sheetName val="Cover"/>
      <sheetName val="harsat"/>
      <sheetName val="BAHAN"/>
      <sheetName val="Analisa &amp; Upah"/>
      <sheetName val="AN. TAMPL"/>
      <sheetName val="Material"/>
      <sheetName val="EE-PROP"/>
      <sheetName val="K"/>
      <sheetName val="Bill Of Quantity"/>
      <sheetName val="HB "/>
      <sheetName val="NS GD.UGD"/>
      <sheetName val="STD GD.UGD"/>
      <sheetName val="rab me (by owner) "/>
      <sheetName val="BQ (by owner)"/>
      <sheetName val="rab me (fisik)"/>
      <sheetName val="NP (4)"/>
      <sheetName val="DIV7-BM"/>
      <sheetName val="Analisa ME"/>
      <sheetName val="harga bahan"/>
      <sheetName val="MAIN BQ"/>
      <sheetName val="Harsat BHN AR,M"/>
      <sheetName val="bhn-upah"/>
      <sheetName val="AC"/>
      <sheetName val="FP"/>
      <sheetName val="PLB"/>
      <sheetName val="DAF_1"/>
      <sheetName val="DRUP (ASLI)"/>
      <sheetName val="DAF-1"/>
      <sheetName val="BQ.AC.FAN"/>
      <sheetName val="SITE-E"/>
      <sheetName val="ANAL"/>
      <sheetName val="LISTRIK"/>
      <sheetName val="Upah+Bahan"/>
      <sheetName val="NS GD.UTAMA"/>
      <sheetName val="Analisa 2"/>
      <sheetName val="DAF-5"/>
      <sheetName val="HRG BHN"/>
      <sheetName val="iTEM hARSAT"/>
      <sheetName val="DAF_4"/>
      <sheetName val="villa"/>
      <sheetName val="DRUP _ASLI_"/>
      <sheetName val="Stden center"/>
      <sheetName val="Sheet1"/>
      <sheetName val="01A- RAB"/>
      <sheetName val="Anl.+"/>
      <sheetName val="112-885"/>
      <sheetName val="AHS"/>
      <sheetName val="boq"/>
      <sheetName val="BL"/>
      <sheetName val="BasicPrice"/>
      <sheetName val="index"/>
      <sheetName val="Analisa"/>
      <sheetName val="Man_Power_Const"/>
      <sheetName val="Analis Kusen 1 ESKALASI"/>
      <sheetName val="ANALISA-A"/>
      <sheetName val="Panel,feeder,elek"/>
      <sheetName val="Student"/>
      <sheetName val="H_Satuan1"/>
      <sheetName val="mob__dem"/>
      <sheetName val="pek__tanah"/>
      <sheetName val="k__batu_kali"/>
      <sheetName val="rab - persiapan &amp; lantai-1"/>
      <sheetName val="PC"/>
      <sheetName val="Balok"/>
      <sheetName val="STR"/>
      <sheetName val="div3"/>
      <sheetName val="HS"/>
      <sheetName val="Concrete"/>
      <sheetName val="BAG-2"/>
      <sheetName val="3-DIV5"/>
      <sheetName val="box culvert"/>
      <sheetName val="HSD"/>
      <sheetName val="data RSUD KIS"/>
      <sheetName val="Bahan-Upah"/>
      <sheetName val="BAU"/>
      <sheetName val="FLAF&amp;PARTSI"/>
      <sheetName val="ahs3"/>
      <sheetName val="EXTERNAL WORK"/>
      <sheetName val="RAB AR&amp;STR"/>
      <sheetName val="escon"/>
      <sheetName val="NP (2)"/>
      <sheetName val="cargo"/>
      <sheetName val="Analisa Satuan"/>
      <sheetName val="SEX"/>
      <sheetName val="Upah"/>
      <sheetName val="TOEC"/>
      <sheetName val="Fill this out first..."/>
      <sheetName val="ELEC STIS"/>
      <sheetName val="RKP PLUMBING"/>
      <sheetName val="Supl.X"/>
      <sheetName val="analis"/>
      <sheetName val="DAFTAR HARGA"/>
      <sheetName val="REK"/>
      <sheetName val="Bag-9Add"/>
      <sheetName val="Bag-1"/>
      <sheetName val="Fin_Bengkel"/>
      <sheetName val="Fin_Showroom"/>
      <sheetName val="Hal_Pagar"/>
      <sheetName val="Str_Bengkel"/>
      <sheetName val="Str_Showroom"/>
      <sheetName val="L_Mechanical"/>
      <sheetName val="Ahs.2"/>
      <sheetName val="Ahs.1"/>
      <sheetName val="Analisa Harga Satuan"/>
      <sheetName val="BASEMENT"/>
      <sheetName val="Anls"/>
      <sheetName val="Div10"/>
      <sheetName val="Price_List"/>
      <sheetName val="Dasboard"/>
      <sheetName val="H-Upah"/>
      <sheetName val="Data Upah"/>
      <sheetName val="AHS - Sipil"/>
      <sheetName val="Mall"/>
      <sheetName val="Elektrikal"/>
      <sheetName val="Daftar berat"/>
      <sheetName val="Fin-Bengkel"/>
      <sheetName val="Fin-Showroom"/>
      <sheetName val="Str-Bengkel"/>
      <sheetName val="Str-Showroom"/>
      <sheetName val="pricelist"/>
      <sheetName val="1.B"/>
      <sheetName val="REQDELTA"/>
      <sheetName val="Costos"/>
      <sheetName val="finalisasi"/>
      <sheetName val="Met_Pas Batu"/>
      <sheetName val="Met_ Minor"/>
      <sheetName val="공정양식"/>
      <sheetName val="QSS"/>
      <sheetName val="NP"/>
      <sheetName val="@UpahBahan"/>
      <sheetName val="Isolasi Luar Dalam"/>
      <sheetName val="Isolasi Luar"/>
      <sheetName val="ANLS_ BETON R. KELAS"/>
      <sheetName val="기준"/>
      <sheetName val="BGN PENUNJANG"/>
      <sheetName val="Anls teknis"/>
      <sheetName val="PRICE LIST"/>
      <sheetName val="Unit"/>
      <sheetName val="."/>
      <sheetName val="%"/>
      <sheetName val="KR Luar"/>
      <sheetName val="REF.ONLY"/>
      <sheetName val="SUM"/>
      <sheetName val="meth hsl nego"/>
      <sheetName val="SALURAN"/>
      <sheetName val="ahs1"/>
      <sheetName val="Mekanikal"/>
      <sheetName val="Satpek"/>
      <sheetName val="G_SUMMARY"/>
      <sheetName val="TSS"/>
      <sheetName val="DC-akses bandara"/>
      <sheetName val="AC_C"/>
      <sheetName val="BASIC"/>
      <sheetName val="_x0000_0_x0000_1_x0000_0_x0000_0_x0000_0_x0000_1_x0000__x0000_6_x0000_0_x0000_¯耀㣋_x0000__x0000__x0000__x0000__x0000__x0001__x0000__x0000_耀ÿ"/>
      <sheetName val="Plint_List"/>
      <sheetName val="Luar"/>
      <sheetName val="Pintu Jendela"/>
      <sheetName val="Markup"/>
      <sheetName val="NP (3)"/>
      <sheetName val="rekap mekanikal"/>
      <sheetName val="3-DIV3"/>
      <sheetName val="3-DIV2"/>
      <sheetName val="Faktor"/>
      <sheetName val="UPH,BHN,ALT"/>
      <sheetName val="div-2"/>
      <sheetName val="MAP"/>
      <sheetName val="RKP"/>
      <sheetName val="Analisa BOW"/>
      <sheetName val="Group"/>
      <sheetName val="ahs_utama"/>
      <sheetName val="arp-3a"/>
      <sheetName val="gabungan (2)"/>
      <sheetName val="FAK"/>
      <sheetName val="Analisa_ME"/>
      <sheetName val="harga_bahan"/>
      <sheetName val="rab_me_(by_owner)_"/>
      <sheetName val="BQ_(by_owner)"/>
      <sheetName val="rab_me_(fisik)"/>
      <sheetName val="Analisa_&amp;_Upah"/>
      <sheetName val="AN__TAMPL"/>
      <sheetName val="01A-_RAB"/>
      <sheetName val="REMUNERASISTANDAR"/>
      <sheetName val="TABEL-DETASIR"/>
      <sheetName val="A"/>
      <sheetName val="GFA-20-N"/>
      <sheetName val="TBL_BANTU"/>
      <sheetName val="Bill of Qty MEP"/>
      <sheetName val="anaUTama"/>
      <sheetName val="Galian batu"/>
      <sheetName val="Form A"/>
      <sheetName val="GalianAlatBerat"/>
      <sheetName val="Haulling"/>
      <sheetName val="KONTRAK INDUK BULANAN"/>
      <sheetName val="RKP. TOTAL"/>
      <sheetName val="B.as"/>
      <sheetName val="RAB"/>
      <sheetName val="3-DIV4"/>
      <sheetName val="H_Satuan2"/>
      <sheetName val="mob__dem1"/>
      <sheetName val="pek__tanah1"/>
      <sheetName val="k__batu_kali1"/>
      <sheetName val="NS_GD_UGD"/>
      <sheetName val="STD_GD_UGD"/>
      <sheetName val="NP_(4)"/>
      <sheetName val="Bill_Of_Quantity"/>
      <sheetName val="HB_"/>
      <sheetName val="MAIN_BQ"/>
      <sheetName val="Harsat_BHN_AR,M"/>
      <sheetName val="NS_GD_UTAMA"/>
      <sheetName val="Analisa_2"/>
      <sheetName val="BQ_AC_FAN"/>
      <sheetName val="DRUP_(ASLI)"/>
      <sheetName val="HRG_BHN"/>
      <sheetName val="iTEM_hARSAT"/>
      <sheetName val="Analisa RAP"/>
      <sheetName val="Alat"/>
      <sheetName val="Alat B"/>
      <sheetName val="Bahan B"/>
      <sheetName val="RAP"/>
      <sheetName val="Sub"/>
      <sheetName val="Telusur"/>
      <sheetName val="Upah B"/>
      <sheetName val="Analisa RAB"/>
      <sheetName val="5-Peralatan"/>
      <sheetName val="FORMESTIMASI"/>
      <sheetName val="dasar"/>
      <sheetName val="Tata Udara"/>
      <sheetName val="Plumbing"/>
      <sheetName val="HRG BAHAN &amp; UPAH okk"/>
      <sheetName val="Analis Kusen okk"/>
      <sheetName val="Terbilang"/>
      <sheetName val="L-Mechanical"/>
      <sheetName val="Harga"/>
      <sheetName val="DAF_3.1"/>
      <sheetName val="DAF_3.11"/>
      <sheetName val="_x0000_0_x0000_1_x0000_0_x0000_0_x0000_0_x0000_1_x0000__x0000_6_x0000_0_x0000_¯??_x0000__x0000__x0000__x0000__x0000__x0001__x0000__x0000_?ÿ"/>
      <sheetName val="_x0000_¯??_x0000__x0000__x0000__x0000__x0000__x0001__x0000__x0000_?ÿ?_x0000_?English_x0000_ENW_x0000_en"/>
      <sheetName val="ANALISA PEK.UMUM"/>
      <sheetName val="?0?1?0?0?0?1??6?0?¯耀㣋?????_x0001_??耀ÿ"/>
      <sheetName val="DIVI3"/>
      <sheetName val="Bill 5 Summary"/>
      <sheetName val="Bill 4 Summary"/>
      <sheetName val="NP-7"/>
      <sheetName val="HSLAIN-LAIN"/>
      <sheetName val="UNIT PRICE"/>
      <sheetName val="Investment Valuation"/>
      <sheetName val="Cabling Data&amp;Power"/>
      <sheetName val="HB_1"/>
      <sheetName val="H_Satuan3"/>
      <sheetName val="mob__dem2"/>
      <sheetName val="pek__tanah2"/>
      <sheetName val="k__batu_kali2"/>
      <sheetName val="HB_2"/>
      <sheetName val="gtrinh"/>
      <sheetName val="Rincigaji"/>
      <sheetName val="Prod 15-5"/>
      <sheetName val="MARK UP"/>
      <sheetName val="isian"/>
      <sheetName val="bukan PNS"/>
      <sheetName val="_x005f_x0000_0_x005f_x0000_1_x005f_x0000_0_x005f_x0000_"/>
      <sheetName val="gajiDasar"/>
      <sheetName val="PROD_03_1"/>
      <sheetName val="RINCIAN"/>
      <sheetName val="설계조건"/>
      <sheetName val="단면검토"/>
      <sheetName val="Surat"/>
      <sheetName val="GE-1-2"/>
      <sheetName val="Data2"/>
      <sheetName val="5.Anhas"/>
      <sheetName val="Blk-Mnl lt.3-lt.atap"/>
      <sheetName val="Klm-Mnl"/>
      <sheetName val="Daf 1"/>
      <sheetName val="Analisa Upah &amp; Bahan Plum"/>
      <sheetName val="Telephone"/>
      <sheetName val="Rek_ELEKT"/>
      <sheetName val="Bill_2"/>
      <sheetName val="an tek NP"/>
      <sheetName val="1"/>
      <sheetName val="Teknis"/>
      <sheetName val="BQ. AC"/>
      <sheetName val="rincian per proyek"/>
      <sheetName val="A+Supl."/>
      <sheetName val="PL"/>
      <sheetName val="rek ME"/>
      <sheetName val="Input monthly capex"/>
      <sheetName val="경비2내역"/>
      <sheetName val=""/>
      <sheetName val="Analisa Harga"/>
      <sheetName val="SIMPRO(AGST)"/>
      <sheetName val="_0_1_0_0_0_1__6_0_¯耀㣋______x0001___耀ÿ"/>
      <sheetName val="Monitor"/>
      <sheetName val="DRUP__ASLI_"/>
      <sheetName val="Stden_center"/>
      <sheetName val="BHN-UPH-ALT"/>
      <sheetName val="_x0000_0_x0000_1_x0000_0_x0000_"/>
      <sheetName val="F ALARM"/>
      <sheetName val="TT04"/>
      <sheetName val="gvl"/>
      <sheetName val="Agregat Halus &amp; Kasar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82">
          <cell r="CF82" t="str">
            <v>Royalties Aggregate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H.Satuan"/>
      <sheetName val="GLP-DISCOUNT"/>
      <sheetName val="GLP 2001"/>
      <sheetName val="EE-PROP"/>
      <sheetName val="rab me (by owner) "/>
      <sheetName val="BQ (by owner)"/>
      <sheetName val="rab me (fisik)"/>
      <sheetName val="Bill Of Quantity"/>
      <sheetName val="PC"/>
      <sheetName val="Balok"/>
      <sheetName val="부하계산서"/>
      <sheetName val="finalisasi"/>
      <sheetName val="K"/>
      <sheetName val="L-Mechanical"/>
      <sheetName val="Upah+Bahan"/>
      <sheetName val="GB"/>
      <sheetName val="HB "/>
      <sheetName val="ANALISA"/>
      <sheetName val="SITE-E"/>
      <sheetName val="Infrastruktur"/>
      <sheetName val="Persiapan"/>
      <sheetName val="AC"/>
      <sheetName val="Mekanikal"/>
      <sheetName val="01A- RAB"/>
      <sheetName val="G_SUMMARY"/>
      <sheetName val="ANALISA PEK.UMUM"/>
      <sheetName val="BAHAN"/>
      <sheetName val="DAF-1"/>
      <sheetName val="Pro(E)_"/>
      <sheetName val="MAKER_(E)"/>
      <sheetName val="H_Satuan"/>
      <sheetName val="STR"/>
      <sheetName val="KODE REK"/>
      <sheetName val="Man_Power_Const"/>
      <sheetName val="ANLS 2009"/>
      <sheetName val="Harga Bahan &amp; Upah "/>
      <sheetName val="analisa pagar"/>
      <sheetName val="rab - persiapan &amp; lantai-1"/>
      <sheetName val="RATE&amp;FCTR"/>
      <sheetName val="harsat"/>
      <sheetName val="Factors"/>
      <sheetName val="Panel,feeder,elek"/>
      <sheetName val="5.1.ELEKTRIKAL-ELEKTRONIK"/>
      <sheetName val="ahs"/>
      <sheetName val="metode"/>
      <sheetName val="BAG-2"/>
      <sheetName val="Bill of Qty MEP"/>
      <sheetName val="PL-Office"/>
      <sheetName val="BoQ STR"/>
      <sheetName val="Finishing (2)"/>
      <sheetName val="AN_Kusen"/>
      <sheetName val="BQ_ARS"/>
      <sheetName val="Finishing"/>
      <sheetName val="DAF_2"/>
      <sheetName val="Fin-Bengkel"/>
      <sheetName val="Fin-Showroom"/>
      <sheetName val="Hal_Pagar"/>
      <sheetName val="Str-Bengkel"/>
      <sheetName val="Str-Showroom"/>
      <sheetName val="ｺﾝY条件BD"/>
      <sheetName val="Anl.+"/>
      <sheetName val="112-885"/>
      <sheetName val="Plambing"/>
      <sheetName val="BQ Arsitektur"/>
      <sheetName val="ANALISA-A"/>
      <sheetName val="NS GD.UTAMA"/>
      <sheetName val="anal"/>
      <sheetName val="DAF_3.1"/>
      <sheetName val="DAF_3.11"/>
      <sheetName val="Bill_Of_Quantity"/>
      <sheetName val="rab_me_(by_owner)_"/>
      <sheetName val="BQ_(by_owner)"/>
      <sheetName val="rab_me_(fisik)"/>
      <sheetName val="GLP_2001"/>
      <sheetName val="Anl_+"/>
      <sheetName val="PileCap"/>
      <sheetName val="Tie Beam GN"/>
      <sheetName val="Tangga GN"/>
      <sheetName val="Bronjong_Geoteks"/>
      <sheetName val="GE_1_2"/>
      <sheetName val="DAF-5"/>
      <sheetName val="FLAF&amp;PARTSI"/>
      <sheetName val="REF.ONLY"/>
      <sheetName val="FORM X COST"/>
      <sheetName val="SAT"/>
      <sheetName val="Analis Kusen 1 ESKALASI"/>
      <sheetName val="Isolasi Luar Dalam"/>
      <sheetName val="Isolasi Luar"/>
      <sheetName val="HRG BHN"/>
      <sheetName val="struktur"/>
      <sheetName val="Roofing2"/>
      <sheetName val="ELEC STIS"/>
      <sheetName val="Analisa ME"/>
      <sheetName val="NP (4)"/>
      <sheetName val="Transfer Pump"/>
      <sheetName val="KK"/>
      <sheetName val="附表4-辅助工程"/>
      <sheetName val="附表4-公用工程项目"/>
      <sheetName val="附表2"/>
      <sheetName val="A"/>
      <sheetName val="HSD"/>
      <sheetName val="TOEC"/>
      <sheetName val="anal_hs"/>
      <sheetName val="rekap"/>
      <sheetName val="Master 1.0"/>
      <sheetName val="boq"/>
      <sheetName val="HS Alat"/>
      <sheetName val="RAB AR&amp;STR"/>
      <sheetName val="Har Sat"/>
      <sheetName val="ahs_utama"/>
      <sheetName val="NP"/>
      <sheetName val="L3 An H Sat Mob"/>
      <sheetName val="DRUP (ASLI)"/>
      <sheetName val="Analisa Upah &amp; Bahan Plum"/>
      <sheetName val="NAME"/>
      <sheetName val="villa"/>
      <sheetName val="MAP"/>
      <sheetName val="Material"/>
    </sheetNames>
    <sheetDataSet>
      <sheetData sheetId="0">
        <row r="7">
          <cell r="P7" t="str">
            <v xml:space="preserve">B U D G E T A R Y </v>
          </cell>
        </row>
      </sheetData>
      <sheetData sheetId="1">
        <row r="7">
          <cell r="P7" t="str">
            <v xml:space="preserve">B U D G E T A R Y </v>
          </cell>
        </row>
      </sheetData>
      <sheetData sheetId="2">
        <row r="7">
          <cell r="P7" t="str">
            <v xml:space="preserve">B U D G E T A R Y </v>
          </cell>
        </row>
      </sheetData>
      <sheetData sheetId="3"/>
      <sheetData sheetId="4"/>
      <sheetData sheetId="5"/>
      <sheetData sheetId="6"/>
      <sheetData sheetId="7">
        <row r="7">
          <cell r="P7" t="str">
            <v xml:space="preserve">B U D G E T A R Y </v>
          </cell>
        </row>
      </sheetData>
      <sheetData sheetId="8">
        <row r="7">
          <cell r="P7" t="str">
            <v xml:space="preserve">B U D G E T A R Y </v>
          </cell>
        </row>
      </sheetData>
      <sheetData sheetId="9">
        <row r="7">
          <cell r="P7" t="str">
            <v xml:space="preserve">B U D G E T A R Y </v>
          </cell>
        </row>
      </sheetData>
      <sheetData sheetId="10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1.0"/>
      <sheetName val="Master 1.0 (2)"/>
      <sheetName val="Master Sch 1.0-sro2.Adari diske"/>
      <sheetName val="LO"/>
      <sheetName val="SEX"/>
      <sheetName val="HB "/>
      <sheetName val="Cash Flow bulanan"/>
      <sheetName val="Master_1_0"/>
      <sheetName val="Master_1_0_(2)"/>
      <sheetName val="Master_Sch_1_0-sro2_Adari_diske"/>
      <sheetName val="Cover"/>
      <sheetName val="H.Satuan"/>
      <sheetName val="Analisa"/>
      <sheetName val="Bill of Qty MEP"/>
      <sheetName val="Up &amp; bhn"/>
      <sheetName val="BAG-2"/>
      <sheetName val="HRG BHN"/>
      <sheetName val="Rate"/>
      <sheetName val="Analis Kusen 1 ESKALASI"/>
      <sheetName val="SITE-E"/>
      <sheetName val="REF.ONLY"/>
      <sheetName val="Vibro_Roller"/>
      <sheetName val="Material"/>
      <sheetName val="STR"/>
      <sheetName val="RKP PLUMBING"/>
      <sheetName val="Rekapitulasi"/>
      <sheetName val="FLAF&amp;PARTSI"/>
      <sheetName val="Girder-30"/>
      <sheetName val="01A- RAB"/>
      <sheetName val="Anl.+"/>
      <sheetName val="112-885"/>
      <sheetName val="NP (4)"/>
      <sheetName val="Ereksi-Girder-16"/>
      <sheetName val="ANALISA 1"/>
      <sheetName val="hardas"/>
      <sheetName val="Har-sat"/>
      <sheetName val="ctTBA"/>
      <sheetName val="SAT"/>
      <sheetName val="LOADDAT"/>
      <sheetName val="analisa harga satuan"/>
      <sheetName val="PROG"/>
      <sheetName val="BIAYA 07"/>
      <sheetName val="DET 08"/>
      <sheetName val="CF-hot"/>
      <sheetName val="Harga Satuan"/>
      <sheetName val="DONGIA"/>
      <sheetName val="BQ"/>
      <sheetName val="DRUP (ASLI)"/>
      <sheetName val="01A_ RAB"/>
      <sheetName val="Bab13"/>
      <sheetName val="struktur tdk dipakai"/>
      <sheetName val="Analisa Upah &amp; Bahan Plum"/>
      <sheetName val="Bahan"/>
      <sheetName val="SELISIH HARGA"/>
      <sheetName val="gvl"/>
      <sheetName val="Upah"/>
      <sheetName val="Sheet1"/>
      <sheetName val="REKAP"/>
      <sheetName val="DATA"/>
      <sheetName val="GD B"/>
      <sheetName val="GD C"/>
      <sheetName val="GD D"/>
      <sheetName val="GD E"/>
      <sheetName val="GD F"/>
      <sheetName val="GD G"/>
      <sheetName val="GD N"/>
      <sheetName val="PH"/>
      <sheetName val="PURA"/>
      <sheetName val="GD A"/>
      <sheetName val="HLM"/>
      <sheetName val="FAK"/>
      <sheetName val="RAB-ME"/>
      <sheetName val="villa"/>
      <sheetName val="rab - persiapan &amp; lantai-1"/>
      <sheetName val="NAME"/>
      <sheetName val="Estimate"/>
      <sheetName val="G1"/>
      <sheetName val="Agregat Halus &amp; Kasar"/>
      <sheetName val="Master_1_01"/>
      <sheetName val="Master_1_0_(2)1"/>
      <sheetName val="Master_Sch_1_0-sro2_Adari_disk1"/>
      <sheetName val="Bill_of_Qty_MEP"/>
      <sheetName val="HB_"/>
      <sheetName val="Cash_Flow_bulanan"/>
      <sheetName val="H_Satuan"/>
      <sheetName val="Up_&amp;_bhn"/>
      <sheetName val="HRG_BHN"/>
      <sheetName val="REF_ONLY"/>
      <sheetName val="Alat"/>
      <sheetName val="Sub"/>
      <sheetName val="MARK UP"/>
      <sheetName val="NS GD.UGD"/>
      <sheetName val="STD GD.UG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Master 1.0"/>
      <sheetName val="Rp"/>
      <sheetName val="Potongan"/>
      <sheetName val="BPM"/>
      <sheetName val="H_Satuan1"/>
      <sheetName val="REKAP_1_SECTION"/>
      <sheetName val="DIREC_COST"/>
      <sheetName val="form_besi"/>
      <sheetName val="REKAP_STRUCTURE"/>
      <sheetName val="lamp. 12"/>
      <sheetName val="ANALISA GRS TENGAH"/>
      <sheetName val="HPP"/>
      <sheetName val="HSD"/>
      <sheetName val="Indirect Cost"/>
      <sheetName val="SERVICES FEE"/>
      <sheetName val="Foundation"/>
      <sheetName val="Analisa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GRAND REKAP"/>
      <sheetName val="RAB"/>
      <sheetName val="D4"/>
      <sheetName val="D6"/>
      <sheetName val="D7"/>
      <sheetName val="D8"/>
      <sheetName val="Pipe"/>
      <sheetName val="Material"/>
      <sheetName val="4"/>
      <sheetName val="A-11 Steel Str (2)"/>
      <sheetName val="H-BHN"/>
      <sheetName val="unit rate-b3"/>
      <sheetName val="IPL_SCHEDULE"/>
      <sheetName val="SEX"/>
      <sheetName val="Analisa Upah &amp; Bahan Plum"/>
      <sheetName val="Bill of Qty MEP"/>
      <sheetName val="J"/>
      <sheetName val="Elektrikal"/>
      <sheetName val="단중표"/>
      <sheetName val="Mobilisasi"/>
      <sheetName val="HSTANAH.XLS"/>
      <sheetName val="351BQMCN"/>
      <sheetName val="FORM X COST"/>
      <sheetName val="AHS"/>
      <sheetName val="BAHAN &amp; UPAH"/>
      <sheetName val="BQ ARS"/>
      <sheetName val="Harsat"/>
      <sheetName val="ANAL2"/>
      <sheetName val="I-KAMAR"/>
      <sheetName val="EK"/>
      <sheetName val="Analisa &amp; Upah"/>
      <sheetName val="Koefisien"/>
      <sheetName val="BID_PRC"/>
      <sheetName val="PRC_COMP"/>
      <sheetName val="REQDELTA"/>
      <sheetName val="Bahan"/>
      <sheetName val="tknk"/>
      <sheetName val="ch"/>
      <sheetName val="induk1"/>
      <sheetName val="Summary"/>
      <sheetName val="Hrg"/>
      <sheetName val="PLUMBING 2"/>
      <sheetName val="daftar Upah"/>
      <sheetName val="rekap.c"/>
      <sheetName val="Pos 4-1"/>
      <sheetName val="Harga "/>
      <sheetName val="vol. ARS"/>
      <sheetName val="anl"/>
      <sheetName val="kusen"/>
      <sheetName val="TOTAL SPK"/>
      <sheetName val="upah"/>
      <sheetName val="Cash2"/>
      <sheetName val="Data"/>
      <sheetName val="Hargamat"/>
      <sheetName val="basic_price"/>
      <sheetName val="HSTANAH"/>
      <sheetName val="HSBETON"/>
      <sheetName val="Analisa 2"/>
      <sheetName val="HARGA MATERIAL"/>
      <sheetName val="HS"/>
      <sheetName val="Analisa Harga Satuan"/>
      <sheetName val="INDEKS"/>
      <sheetName val="villa"/>
      <sheetName val="ELEVATED SLAB"/>
      <sheetName val="coeff"/>
      <sheetName val="rab me (by owner) "/>
      <sheetName val="BQ (by owner)"/>
      <sheetName val="rab me (fisik)"/>
      <sheetName val="an el"/>
      <sheetName val="Memb Schd"/>
      <sheetName val="BQ"/>
      <sheetName val="JUDUL"/>
      <sheetName val="rek det 1-3"/>
      <sheetName val="Cover"/>
      <sheetName val="Du_lieu"/>
      <sheetName val="satuan_pek_ars"/>
      <sheetName val="Harga satuan"/>
      <sheetName val="Instalasi"/>
      <sheetName val="D-1"/>
      <sheetName val="Basement Estimate"/>
      <sheetName val="HARGA ME"/>
      <sheetName val="CV"/>
      <sheetName val="JABATAN"/>
      <sheetName val="Analisa Upah _ Bahan Plum"/>
      <sheetName val="bhn "/>
      <sheetName val="Supply Agrmnt"/>
      <sheetName val="AC_C"/>
      <sheetName val="Bengkel_str"/>
      <sheetName val="Bengkel_fin"/>
      <sheetName val="Pagar_hal"/>
      <sheetName val="Fasilitas"/>
      <sheetName val="As"/>
      <sheetName val="Estimate"/>
      <sheetName val="01A- RAB"/>
      <sheetName val="HB "/>
      <sheetName val="Hrg_Sat"/>
      <sheetName val="daftar harga"/>
      <sheetName val="struktur"/>
      <sheetName val="ESCON"/>
      <sheetName val="HB0703"/>
      <sheetName val="crewlist S"/>
      <sheetName val="prog-mgu"/>
      <sheetName val="APP-9"/>
      <sheetName val="Informasi"/>
      <sheetName val="MAP"/>
      <sheetName val="POS-4.1"/>
      <sheetName val="Rekap Dc"/>
      <sheetName val="Rekap"/>
      <sheetName val="PHU 05"/>
      <sheetName val="Harga Bahan"/>
      <sheetName val="ISBL-CIV"/>
      <sheetName val="Upah Bahan"/>
      <sheetName val="A"/>
      <sheetName val="koef"/>
      <sheetName val="Progres"/>
      <sheetName val="Currency Rate"/>
      <sheetName val="DAF-1"/>
      <sheetName val="Testing"/>
      <sheetName val="BM"/>
      <sheetName val="Pt"/>
      <sheetName val="Analisa RAB"/>
      <sheetName val="metode"/>
      <sheetName val="Daf 1"/>
      <sheetName val="gaji"/>
      <sheetName val="Sheet1"/>
      <sheetName val="Harga ME "/>
      <sheetName val="Rkp"/>
      <sheetName val="I_KAMAR"/>
      <sheetName val="ANGGARAN"/>
      <sheetName val="grafik"/>
      <sheetName val="Tabel_Bantu"/>
      <sheetName val="Sheet6"/>
      <sheetName val="RAB_HREZ"/>
      <sheetName val="ANAL_HREZ"/>
      <sheetName val="Rekap-SD"/>
      <sheetName val="FORM 3A"/>
      <sheetName val="Master_1_0"/>
      <sheetName val="Perhitungan RAB"/>
      <sheetName val="Scedule"/>
      <sheetName val="UMUM"/>
      <sheetName val="pemasaran2013"/>
      <sheetName val="3. KONTRAK(stu)"/>
      <sheetName val="HIDRO"/>
      <sheetName val="tb"/>
      <sheetName val="REF.ONLY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AC"/>
      <sheetName val="HRG BHN"/>
      <sheetName val="Sub"/>
      <sheetName val="harga2014"/>
      <sheetName val="Agregat Halus &amp; Kasar"/>
      <sheetName val="MAP-2"/>
      <sheetName val="hsat-SD"/>
      <sheetName val="an-satuan"/>
      <sheetName val="PAKET 1"/>
      <sheetName val="HARSAT-lhn"/>
      <sheetName val="Peralatan"/>
      <sheetName val="anal pipa"/>
      <sheetName val="Harsat Upah"/>
      <sheetName val="3-DIV5"/>
      <sheetName val="RAB RIIL kayu"/>
      <sheetName val="Unit Rate Indirect"/>
      <sheetName val="KP1590_E"/>
      <sheetName val="bukan PNS"/>
      <sheetName val="i-j. Pengalaman"/>
      <sheetName val="NM"/>
      <sheetName val="LIFT DOM"/>
      <sheetName val="dboard( asli)"/>
      <sheetName val="RAB STR JETTY &amp; F.PENUNJANG"/>
      <sheetName val="NAME"/>
      <sheetName val="B-P"/>
      <sheetName val="Mon Upah"/>
      <sheetName val="BAHAN-2"/>
      <sheetName val="Time Schedule"/>
      <sheetName val="Anls"/>
      <sheetName val="Hrg-Das"/>
      <sheetName val="Anal-1"/>
      <sheetName val="DAF-2"/>
      <sheetName val="Fill this out first___"/>
      <sheetName val="DKH"/>
      <sheetName val="Sit1"/>
      <sheetName val="AnalisaSIPIL RIIL RAP"/>
      <sheetName val="SUB TOTAL___"/>
      <sheetName val="HSA &amp; PAB"/>
      <sheetName val="Harga Upah "/>
      <sheetName val="PENAWARAN"/>
      <sheetName val="JUML-SDM"/>
      <sheetName val="BE-02"/>
      <sheetName val="TOEVOER"/>
      <sheetName val="A Paint Jotun Penguard"/>
      <sheetName val="BOQ ori"/>
      <sheetName val="dia-in"/>
      <sheetName val="2. Informasi"/>
      <sheetName val="bhn-upah"/>
      <sheetName val="Ur_Pil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X"/>
      <sheetName val="2-AHSP"/>
      <sheetName val="Analisa Tekhnis"/>
      <sheetName val="Uraian Teknis"/>
      <sheetName val="HASAT DASAR"/>
      <sheetName val="SBDY Jemb Tayan"/>
      <sheetName val="Terbilang"/>
      <sheetName val="견적기준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 of work"/>
      <sheetName val="Rekap"/>
      <sheetName val="BQ interior"/>
      <sheetName val="BQ ME"/>
      <sheetName val="BQ R&amp;S"/>
      <sheetName val="lampiran 1"/>
      <sheetName val="Lampiran 2"/>
      <sheetName val="Prelim"/>
      <sheetName val="Anal. baja"/>
      <sheetName val="M'trl Baja"/>
      <sheetName val="HARGA MATERIAL"/>
      <sheetName val="UPAH KERJA"/>
      <sheetName val="FINISHING"/>
      <sheetName val="STRUKTUR"/>
      <sheetName val="EXTERNAL"/>
      <sheetName val="Paint"/>
      <sheetName val="Door"/>
      <sheetName val="HARGA"/>
      <sheetName val="H.Satuan"/>
      <sheetName val="7.1(3)"/>
      <sheetName val="Mobilisasi"/>
      <sheetName val="ana_str"/>
      <sheetName val="harsat"/>
      <sheetName val="HB"/>
      <sheetName val="Rekap Prelim"/>
      <sheetName val="41_9_36_3"/>
      <sheetName val="DIVI6"/>
      <sheetName val="DIV.2"/>
      <sheetName val="Rinci"/>
      <sheetName val="MAPDC"/>
      <sheetName val="PPN"/>
      <sheetName val="DATA"/>
      <sheetName val="Volume 1"/>
      <sheetName val="Price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2">
          <cell r="H32" t="str">
            <v>m³</v>
          </cell>
          <cell r="I32">
            <v>195000</v>
          </cell>
          <cell r="L32">
            <v>195000</v>
          </cell>
          <cell r="M32">
            <v>0</v>
          </cell>
          <cell r="O32">
            <v>195000</v>
          </cell>
          <cell r="P32">
            <v>0</v>
          </cell>
          <cell r="Q32">
            <v>36481</v>
          </cell>
          <cell r="S32" t="str">
            <v>PT Jaya Readymix</v>
          </cell>
        </row>
        <row r="33">
          <cell r="H33" t="str">
            <v>m³</v>
          </cell>
          <cell r="I33">
            <v>205000</v>
          </cell>
          <cell r="L33">
            <v>205000</v>
          </cell>
          <cell r="M33">
            <v>0</v>
          </cell>
          <cell r="O33">
            <v>205000</v>
          </cell>
          <cell r="P33">
            <v>0</v>
          </cell>
          <cell r="Q33">
            <v>36481</v>
          </cell>
          <cell r="S33" t="str">
            <v>PT Jaya Readymix</v>
          </cell>
        </row>
        <row r="34">
          <cell r="H34" t="str">
            <v>m³</v>
          </cell>
          <cell r="I34">
            <v>174000</v>
          </cell>
          <cell r="L34">
            <v>174000</v>
          </cell>
          <cell r="M34">
            <v>0</v>
          </cell>
          <cell r="O34">
            <v>174000</v>
          </cell>
          <cell r="P34">
            <v>0</v>
          </cell>
          <cell r="Q34">
            <v>36479</v>
          </cell>
          <cell r="S34" t="str">
            <v>PT Jaya Readymix</v>
          </cell>
        </row>
        <row r="35">
          <cell r="H35" t="str">
            <v>m³</v>
          </cell>
          <cell r="I35">
            <v>230000</v>
          </cell>
          <cell r="L35">
            <v>230000</v>
          </cell>
          <cell r="M35">
            <v>0</v>
          </cell>
          <cell r="O35">
            <v>230000</v>
          </cell>
          <cell r="P35">
            <v>0</v>
          </cell>
          <cell r="Q35">
            <v>36873</v>
          </cell>
          <cell r="S35" t="str">
            <v>PT Jaya Readymix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AT"/>
      <sheetName val="Lingkup Pekerjaan"/>
      <sheetName val="Rekap"/>
      <sheetName val="Pek.persiapan"/>
      <sheetName val="RAB"/>
      <sheetName val="Preliminary"/>
      <sheetName val="anal.baja"/>
      <sheetName val="m'trl baja"/>
      <sheetName val="HARGA MATERIAL"/>
      <sheetName val="UPAH KERJA"/>
      <sheetName val="STRUKTUR"/>
      <sheetName val="FINISHING"/>
      <sheetName val="EXTERNAL"/>
      <sheetName val="HB "/>
      <sheetName val="HARGA SAT"/>
      <sheetName val="MAPDC "/>
      <sheetName val="DB"/>
      <sheetName val="H.Satuan"/>
      <sheetName val="A"/>
      <sheetName val="BAHAN_STR"/>
      <sheetName val="HB"/>
      <sheetName val="Material"/>
      <sheetName val="Hrg_Sat"/>
      <sheetName val="Merak_Sum-FIX"/>
      <sheetName val="H.Upah"/>
      <sheetName val="WP"/>
      <sheetName val="Mobilisasi"/>
      <sheetName val="Hrg-sat"/>
      <sheetName val="An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>
        <row r="11">
          <cell r="A11">
            <v>3</v>
          </cell>
        </row>
        <row r="27">
          <cell r="E27" t="str">
            <v>K 150</v>
          </cell>
          <cell r="G27" t="str">
            <v>m³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T27" t="str">
            <v>( 1 September 1999 )</v>
          </cell>
        </row>
        <row r="28">
          <cell r="E28" t="str">
            <v>K 175</v>
          </cell>
          <cell r="G28" t="str">
            <v>m³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</row>
        <row r="29">
          <cell r="E29" t="str">
            <v>K 200</v>
          </cell>
          <cell r="G29" t="str">
            <v>m³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</row>
        <row r="30">
          <cell r="E30" t="str">
            <v>K 225</v>
          </cell>
          <cell r="G30" t="str">
            <v>m³</v>
          </cell>
          <cell r="H30">
            <v>215000</v>
          </cell>
          <cell r="K30">
            <v>215000</v>
          </cell>
          <cell r="L30">
            <v>0</v>
          </cell>
          <cell r="N30">
            <v>215000</v>
          </cell>
          <cell r="O30">
            <v>0</v>
          </cell>
          <cell r="R30" t="str">
            <v>PT Jaya Readymix  (8 Sept'2000)</v>
          </cell>
        </row>
        <row r="31">
          <cell r="E31" t="str">
            <v>K 250</v>
          </cell>
          <cell r="G31" t="str">
            <v>m³</v>
          </cell>
          <cell r="H31">
            <v>220000</v>
          </cell>
          <cell r="K31">
            <v>220000</v>
          </cell>
          <cell r="L31">
            <v>0</v>
          </cell>
          <cell r="N31">
            <v>220000</v>
          </cell>
          <cell r="O31">
            <v>0</v>
          </cell>
          <cell r="P31">
            <v>36717</v>
          </cell>
          <cell r="R31" t="str">
            <v>PT Jaya Readymix  (8 Sept'2000)</v>
          </cell>
        </row>
        <row r="32">
          <cell r="E32" t="str">
            <v>K 275</v>
          </cell>
          <cell r="G32" t="str">
            <v>m³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</row>
        <row r="33">
          <cell r="E33" t="str">
            <v>K 400</v>
          </cell>
          <cell r="G33" t="str">
            <v>m³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rekap A"/>
      <sheetName val="rekap b"/>
      <sheetName val="grand sum"/>
      <sheetName val="sampul"/>
      <sheetName val="pEMBATAS"/>
      <sheetName val="HARGA MATERIAL"/>
      <sheetName val="H.Satuan"/>
      <sheetName val="data"/>
      <sheetName val="BQ ARS"/>
      <sheetName val="AHSbj"/>
      <sheetName val="rekap_A"/>
      <sheetName val="rekap_b"/>
      <sheetName val="grand_sum"/>
      <sheetName val="HARGA_MATERIAL"/>
      <sheetName val="A-11 Steel Str"/>
      <sheetName val="A-03 Pile"/>
      <sheetName val="Rab"/>
      <sheetName val="REKAP_VOLUME"/>
      <sheetName val="har-sat"/>
      <sheetName val="SNI-17-3-09"/>
      <sheetName val="RKP.ANL"/>
      <sheetName val="PERSIAP"/>
      <sheetName val="Estimate"/>
      <sheetName val="str-Rab"/>
      <sheetName val="PAD-F"/>
      <sheetName val="Hargamaterial"/>
      <sheetName val="HarSat"/>
      <sheetName val="bahan"/>
      <sheetName val="REKAP_ARSITEKTUR."/>
      <sheetName val="AC-C"/>
      <sheetName val="Sheet"/>
      <sheetName val="UPAH"/>
      <sheetName val="DAF-1"/>
      <sheetName val="analisa"/>
      <sheetName val="Spec ME"/>
      <sheetName val="BQ (by owner)"/>
      <sheetName val="rab me (fisik)"/>
      <sheetName val="rab me (by owner) "/>
      <sheetName val="Rekap"/>
      <sheetName val="Rekap Direct Cost"/>
      <sheetName val="Paint Type B"/>
      <sheetName val="AnBayarUtama"/>
      <sheetName val="Analisa Tend"/>
      <sheetName val="pintu jendela"/>
      <sheetName val="ELEMENT SUM"/>
      <sheetName val="01A- RAB"/>
      <sheetName val="mek"/>
      <sheetName val="Material"/>
      <sheetName val="Pekerjaan "/>
      <sheetName val="9.2~PK"/>
      <sheetName val="Harga Satuan"/>
      <sheetName val="D4"/>
      <sheetName val="D6"/>
      <sheetName val="D7"/>
      <sheetName val="D8"/>
      <sheetName val="AC"/>
      <sheetName val="SEX"/>
      <sheetName val="LOADDAT"/>
      <sheetName val="Analisa Upah &amp; Bahan Plum"/>
      <sheetName val="Traf&amp;Genst"/>
      <sheetName val="villa"/>
      <sheetName val="HS Bhn"/>
      <sheetName val="rekap_A1"/>
      <sheetName val="rekap_b1"/>
      <sheetName val="grand_sum1"/>
      <sheetName val="HARGA_MATERIAL1"/>
      <sheetName val="BQ_ARS"/>
      <sheetName val="H_Satuan"/>
      <sheetName val="A-11_Steel_Str"/>
      <sheetName val="A-03_Pile"/>
      <sheetName val="LK-gate"/>
      <sheetName val="DRAFT KONSUMEN"/>
      <sheetName val="NP"/>
      <sheetName val="PERSIAPAN"/>
      <sheetName val="UTILITAS"/>
      <sheetName val="PileCap"/>
      <sheetName val="Balok L.1"/>
      <sheetName val="326BQSTC"/>
      <sheetName val="BQ-1A"/>
      <sheetName val="G_SUMMARY"/>
      <sheetName val="ARSITEKTUR"/>
      <sheetName val="Analisa 2"/>
      <sheetName val="Sal"/>
      <sheetName val="Embong-Malang"/>
      <sheetName val="Currency Rate"/>
      <sheetName val="Area Tabulation1"/>
      <sheetName val="Proj Data"/>
      <sheetName val="BQ-Str"/>
      <sheetName val="Ana"/>
      <sheetName val="D-1"/>
      <sheetName val="ahas-ins"/>
      <sheetName val="ESCON"/>
      <sheetName val="Balok L_1"/>
      <sheetName val="Master 1.0"/>
      <sheetName val="SUM TIANG PC"/>
      <sheetName val="16-AC-27JULI"/>
      <sheetName val="16_AC_27JULI"/>
      <sheetName val="Daf. No. - 4.2"/>
      <sheetName val="HB "/>
      <sheetName val="TOTAL Summary"/>
      <sheetName val="bill 5"/>
      <sheetName val="struktur tdk dipakai"/>
      <sheetName val="Merak_Sum-FIX"/>
      <sheetName val="Combine_Sum-FIX"/>
      <sheetName val="HDS"/>
      <sheetName val="Koefisien"/>
      <sheetName val="Tie Beam"/>
      <sheetName val="Blk Lt1-Lt. 3"/>
      <sheetName val="BOQ"/>
      <sheetName val="351BQMCN"/>
      <sheetName val="PileCap "/>
      <sheetName val="Blk B1"/>
      <sheetName val="I-KAMAR"/>
      <sheetName val="Hargamat"/>
      <sheetName val="An Struktur"/>
      <sheetName val="Unit Rate _2_"/>
      <sheetName val="sai"/>
      <sheetName val="hsd"/>
      <sheetName val="LATIH1"/>
      <sheetName val="Weight Bridge"/>
      <sheetName val="CATU DAYA LISTRIK PK"/>
      <sheetName val="PERALATAN &amp; KATUP2 PK"/>
      <sheetName val="PERALATAN UTAMA PK"/>
      <sheetName val="CATU DAYA LISTRIK PLB"/>
      <sheetName val="PERALATAN &amp; KATUP2 PLB"/>
      <sheetName val="PERALATAN UTAMA PLB"/>
      <sheetName val="PEMIPAAN PK"/>
      <sheetName val="PEMIPAAN PLB"/>
      <sheetName val="Analisa -Baku"/>
      <sheetName val="Rekap Prelim"/>
      <sheetName val="ALAT"/>
      <sheetName val="Anls"/>
      <sheetName val="DAF-2"/>
      <sheetName val="Daf-harga"/>
      <sheetName val="data bahan"/>
      <sheetName val="Sub.kon"/>
      <sheetName val="Analisa Teknik"/>
      <sheetName val="Material "/>
      <sheetName val="Upah borong"/>
      <sheetName val="Volume"/>
      <sheetName val="Analisa alat berat..."/>
      <sheetName val="Alat Berat"/>
      <sheetName val="Instal precast"/>
      <sheetName val="4-Basic Price"/>
      <sheetName val="Harga"/>
      <sheetName val="COST-PERSON-J.O."/>
      <sheetName val="RENTAL1"/>
      <sheetName val="CH"/>
      <sheetName val="Analisa Upah _ Bahan Plum"/>
      <sheetName val="GRAND TOTAL"/>
      <sheetName val="OUT"/>
      <sheetName val="BM"/>
      <sheetName val="Por"/>
      <sheetName val="BASEMENT"/>
      <sheetName val="A_ars"/>
      <sheetName val="D2.2"/>
      <sheetName val="Satuan Dasar"/>
      <sheetName val="EL(HT)"/>
      <sheetName val="PL(HT)"/>
      <sheetName val="An str"/>
      <sheetName val="LIST"/>
      <sheetName val="SELL-SUMM-COST"/>
      <sheetName val="Direct Cost Thp 2"/>
      <sheetName val="4"/>
      <sheetName val="TOTAL"/>
      <sheetName val="A-12"/>
      <sheetName val="Bill_1"/>
      <sheetName val="Daftar Harga 1"/>
      <sheetName val="BQ-TB-PKB"/>
      <sheetName val="Reff"/>
      <sheetName val="Harsat_El"/>
      <sheetName val="main summary"/>
      <sheetName val="Analisa &amp; Upah"/>
      <sheetName val="struktur"/>
      <sheetName val="ASPAL (14)"/>
      <sheetName val="Anal-SNI"/>
      <sheetName val="DAFTAR HARGA"/>
      <sheetName val="harga "/>
      <sheetName val="UPAH + ALAT"/>
      <sheetName val="RAP"/>
      <sheetName val="POL"/>
      <sheetName val="Rekap DBAK"/>
      <sheetName val="ME UMY"/>
      <sheetName val="HB"/>
      <sheetName val="ANAL KOEF"/>
      <sheetName val="BREAKER"/>
      <sheetName val="BILL"/>
      <sheetName val="dt"/>
      <sheetName val="Sumber Daya"/>
      <sheetName val="AN_TDR"/>
      <sheetName val="An-Pre "/>
      <sheetName val="Faktor"/>
      <sheetName val="Price"/>
      <sheetName val="Pipe"/>
      <sheetName val="Anal"/>
      <sheetName val="RAB-NEGO"/>
      <sheetName val="AN-ME"/>
      <sheetName val="AHS"/>
      <sheetName val="Pile"/>
      <sheetName val="TB"/>
      <sheetName val="Slab"/>
      <sheetName val="       BoQ        "/>
      <sheetName val="STR(CANCEL)"/>
      <sheetName val="Plumbing"/>
      <sheetName val="Management"/>
      <sheetName val="analis"/>
      <sheetName val="Analisa STR"/>
      <sheetName val="Kolom UT"/>
      <sheetName val="M.AR-KUAT"/>
      <sheetName val="I-ME"/>
      <sheetName val="Faktor Markup"/>
      <sheetName val="Data Markup"/>
      <sheetName val="M.Pekerjaan"/>
      <sheetName val="an. struktur"/>
      <sheetName val="Sheet2"/>
      <sheetName val="Analisa-Ars"/>
      <sheetName val="HSBU"/>
      <sheetName val="SAP"/>
      <sheetName val="PJ"/>
      <sheetName val="B - Norelec"/>
      <sheetName val="FINISHING"/>
      <sheetName val="analysis2"/>
      <sheetName val="basic price"/>
      <sheetName val="A+-"/>
      <sheetName val="Mobilisasi"/>
      <sheetName val="an mek"/>
      <sheetName val="ANAL-"/>
      <sheetName val="Perm. Test"/>
      <sheetName val="SUR-HARGA"/>
      <sheetName val="Material Master"/>
      <sheetName val="gvl"/>
      <sheetName val="Clm"/>
      <sheetName val="Ring Balok"/>
      <sheetName val="Piping"/>
      <sheetName val="Quantity"/>
      <sheetName val="2.10"/>
      <sheetName val="Dftr Barang"/>
      <sheetName val="BQ"/>
      <sheetName val="IPL_SCHEDULE"/>
      <sheetName val="Agregat Halus &amp; Kasar"/>
      <sheetName val="UPAH&amp;BHN"/>
      <sheetName val="ISIAN"/>
      <sheetName val="Cover"/>
      <sheetName val="RAB AR&amp;STR"/>
      <sheetName val="PAD_F"/>
      <sheetName val="daf_3_OK_"/>
      <sheetName val="daf-3(OK)"/>
      <sheetName val="daf-7(OK)"/>
      <sheetName val="daf_7_OK_"/>
      <sheetName val="bahan+Upah"/>
      <sheetName val="SITE-E"/>
      <sheetName val="BQ STR"/>
      <sheetName val="CV"/>
      <sheetName val="MUTASI"/>
      <sheetName val="영업소실적"/>
      <sheetName val="CF-hot"/>
      <sheetName val="DATABASE"/>
      <sheetName val="PRINT OUT"/>
      <sheetName val="FORM01"/>
      <sheetName val="ASat"/>
      <sheetName val="laroux"/>
      <sheetName val="Bhn"/>
      <sheetName val="D &amp; W sizes"/>
      <sheetName val="An H.Sat Pek.Ut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name"/>
      <sheetName val="T-BEAM"/>
      <sheetName val="Scedule(S-Curve)"/>
      <sheetName val="12. Analisa"/>
      <sheetName val="analisa_gedung"/>
      <sheetName val="NPK_Gresik"/>
      <sheetName val="POS 1234"/>
      <sheetName val="Unit Price"/>
      <sheetName val="Sales"/>
      <sheetName val="Har Sat"/>
      <sheetName val="Bahan Upah Alat"/>
      <sheetName val="HSBU ANA"/>
      <sheetName val="PRD 01-3"/>
      <sheetName val="Satuan"/>
      <sheetName val="Upah &amp; Bahan"/>
      <sheetName val="Uph&amp;bhn"/>
      <sheetName val="banding hrg"/>
      <sheetName val="AMD I"/>
      <sheetName val="SCHEDULE"/>
      <sheetName val="MAP"/>
      <sheetName val="UPH"/>
      <sheetName val="SPEK"/>
      <sheetName val="RAB 1"/>
      <sheetName val="DAF-4"/>
      <sheetName val="Indirects"/>
      <sheetName val="Norms"/>
      <sheetName val="EE-PROP"/>
      <sheetName val="DIV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</sheetNames>
    <sheetDataSet>
      <sheetData sheetId="0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"/>
      <sheetName val="KAFER"/>
      <sheetName val="REKAP"/>
      <sheetName val="URAIAN"/>
      <sheetName val="ASUMSI"/>
      <sheetName val="ANALISA"/>
      <sheetName val="Analisa Alat"/>
      <sheetName val="HARGA&amp;BAHAN"/>
      <sheetName val="Sheet1"/>
      <sheetName val="Sheet2"/>
      <sheetName val="Sheet3"/>
      <sheetName val="Agregat Halus &amp; Kasar"/>
      <sheetName val="A"/>
      <sheetName val="escon"/>
      <sheetName val="H.Satuan"/>
      <sheetName val="HARGA MATERIAL"/>
      <sheetName val="Rekap Direct Cost"/>
      <sheetName val="Hargamateria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Analisa 2"/>
      <sheetName val="Koefisien"/>
      <sheetName val="A"/>
      <sheetName val="Daftar Subkon"/>
      <sheetName val="Rekap Biaya"/>
      <sheetName val="Tataudara"/>
      <sheetName val="Data"/>
      <sheetName val="WF"/>
      <sheetName val="Plumbing"/>
      <sheetName val="D-3"/>
      <sheetName val="INDIR"/>
      <sheetName val="A(Rev.3)"/>
      <sheetName val="Price Biaya Cadangan"/>
      <sheetName val="BQ.Rekapitulasi  Akhir"/>
      <sheetName val="Rekap"/>
      <sheetName val="ANALISA"/>
      <sheetName val="DAF-1"/>
      <sheetName val="Agregat Halus &amp; Kasar"/>
      <sheetName val="ANALISA TENDER"/>
      <sheetName val="MEK"/>
      <sheetName val="AHSbj"/>
      <sheetName val="8LT 12"/>
      <sheetName val="SBDY"/>
      <sheetName val="DAPRO"/>
      <sheetName val="HARGA MATERIAL"/>
      <sheetName val="Supl.X"/>
      <sheetName val="ANA-C"/>
      <sheetName val="Cover Daf-2"/>
      <sheetName val="D4"/>
      <sheetName val="D6"/>
      <sheetName val="D7"/>
      <sheetName val="D8"/>
      <sheetName val="BQ ARS"/>
      <sheetName val="PAD_F"/>
      <sheetName val="Input Data"/>
      <sheetName val="MAP"/>
      <sheetName val="ALOKASI"/>
      <sheetName val="ENG-101"/>
      <sheetName val="Man Power"/>
      <sheetName val="Daftar Harga"/>
      <sheetName val="ALAT"/>
      <sheetName val="HarSat"/>
      <sheetName val="Mall"/>
      <sheetName val="Rekap Direct Cost"/>
      <sheetName val="AC"/>
      <sheetName val="Sumber Daya"/>
      <sheetName val="DESBT"/>
      <sheetName val="BOQ "/>
      <sheetName val="rekap ahs"/>
      <sheetName val="rekap-bialat"/>
      <sheetName val="BQ"/>
      <sheetName val="Sales"/>
      <sheetName val="Cover"/>
      <sheetName val="BQ-1A"/>
      <sheetName val="BOQ KSN"/>
      <sheetName val="Rkp"/>
      <sheetName val="A-12"/>
      <sheetName val="DC HOT MIX2"/>
      <sheetName val="BQ-Str"/>
      <sheetName val="Faktor"/>
      <sheetName val="Rekap-Bdg"/>
      <sheetName val="Daftar Upah"/>
      <sheetName val="Concrete"/>
      <sheetName val="ANALISA PEK.UMUM"/>
      <sheetName val="harga"/>
      <sheetName val="SEX"/>
      <sheetName val="RINCIAN SD."/>
      <sheetName val="BQ.Rekapitulasi Akhir"/>
      <sheetName val="000000"/>
      <sheetName val="플랜트 설치"/>
      <sheetName val="Fins_Beng_Fas"/>
      <sheetName val="Fins-Beng&amp;Fas"/>
      <sheetName val="Pag_hal_pos"/>
      <sheetName val="TOWN"/>
      <sheetName val="Rate"/>
      <sheetName val="TE TS FA LAN MATV"/>
      <sheetName val="HRG BHN"/>
      <sheetName val="SUB TOTAL___"/>
      <sheetName val="RAB"/>
      <sheetName val="Form-3.3"/>
      <sheetName val="CIVIL_1"/>
      <sheetName val="LS_Rutin"/>
      <sheetName val="H.DASAR"/>
      <sheetName val="PO-2"/>
      <sheetName val="rekap2"/>
      <sheetName val="112-885"/>
      <sheetName val="Material"/>
      <sheetName val="RKP-2"/>
      <sheetName val="Daft upah, bahan &amp;alat"/>
      <sheetName val="beton"/>
      <sheetName val="Embong-Malang"/>
      <sheetName val="II. TAHANAN UMUM"/>
      <sheetName val="ELEMENT SUM"/>
      <sheetName val="lokasari_el"/>
      <sheetName val="RKP-BOQ"/>
      <sheetName val="DW"/>
      <sheetName val="RANGKUM"/>
      <sheetName val="REF.ONLY"/>
      <sheetName val="RFP003D"/>
      <sheetName val="#REF"/>
      <sheetName val="Fill this out first___"/>
      <sheetName val="??? ??"/>
      <sheetName val="BQ_Rekapitulasi  Akhir"/>
      <sheetName val="BQ PL "/>
      <sheetName val="STR"/>
      <sheetName val="Upah"/>
      <sheetName val="Rkap Bya"/>
      <sheetName val="RAB.SEKRETARIAT (1)"/>
      <sheetName val="STR(CANCEL)"/>
      <sheetName val="CABLE BULK"/>
      <sheetName val="TOEC"/>
      <sheetName val="index"/>
      <sheetName val="An.PLB"/>
      <sheetName val="S_Suramadu"/>
      <sheetName val="PROGRESS"/>
      <sheetName val="Kuantitas &amp; Harga"/>
      <sheetName val="AUG02"/>
      <sheetName val="Markup"/>
      <sheetName val="Sumda1"/>
      <sheetName val="Hrg"/>
      <sheetName val="Sheet2"/>
      <sheetName val="A-ars"/>
      <sheetName val="URAIAN"/>
      <sheetName val="LS-Rutin"/>
      <sheetName val="Hargamat"/>
      <sheetName val="견적기준"/>
      <sheetName val="rincian per proyek"/>
      <sheetName val="boq"/>
      <sheetName val="H_Satuan_(2)"/>
      <sheetName val="H_Satuan1"/>
      <sheetName val="cold_mill"/>
      <sheetName val="Analisa_2"/>
      <sheetName val="BHN"/>
      <sheetName val="rekap index eskalasi"/>
      <sheetName val="tbl-ska"/>
      <sheetName val="AN-E"/>
      <sheetName val="perbandingan"/>
      <sheetName val="Basic P"/>
      <sheetName val="Harsat Bahan"/>
      <sheetName val="DAF-2"/>
      <sheetName val="Weight Bridge"/>
      <sheetName val="Kantor_Str_Ars_Tmbh"/>
      <sheetName val="TABEL"/>
      <sheetName val="UPAL"/>
      <sheetName val="AC-2"/>
      <sheetName val="Orgs Proy"/>
      <sheetName val="Dist_analys"/>
      <sheetName val="bahan "/>
      <sheetName val="prog-mgu"/>
      <sheetName val="AKP-01"/>
      <sheetName val="Harga S Dasar"/>
      <sheetName val="Rekap_Biaya"/>
      <sheetName val="PROD-MAT"/>
      <sheetName val="Daftar_Subkon"/>
      <sheetName val="Price_Biaya_Cadangan"/>
      <sheetName val="BQ_Rekapitulasi__Akhir"/>
      <sheetName val="Cover_Daf-2"/>
      <sheetName val="8LT_12"/>
      <sheetName val="SCH"/>
      <sheetName val="Part A + B"/>
      <sheetName val="Harga Satuan"/>
      <sheetName val="SAT-DAS"/>
      <sheetName val="Daft 2.1"/>
      <sheetName val="UNIT PRICE"/>
      <sheetName val="subkon"/>
      <sheetName val="supporting data"/>
      <sheetName val="Mandor"/>
      <sheetName val="Sat Bah _ Up"/>
      <sheetName val="Indirect"/>
      <sheetName val="Analisa ARS"/>
      <sheetName val="PAD-F"/>
      <sheetName val="Cover Daf_2"/>
      <sheetName val="Upah_Bahan"/>
      <sheetName val="gvl"/>
      <sheetName val="EE-PROP"/>
      <sheetName val="Price Persiapan dan Penunjang"/>
      <sheetName val="Vol. Mat SC"/>
      <sheetName val="Page 1"/>
      <sheetName val="str-Rab"/>
      <sheetName val="___ __"/>
      <sheetName val="TOTAL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  <sheetName val="Agregat Halus &amp; Kasar"/>
      <sheetName val="H.Satuan"/>
      <sheetName val="Str BT"/>
      <sheetName val="ANALISA"/>
      <sheetName val="Rincian Mingguan JO"/>
      <sheetName val="DashB"/>
      <sheetName val="Cover"/>
      <sheetName val="Pipe"/>
      <sheetName val="GEDUNG_A"/>
      <sheetName val="COST"/>
      <sheetName val="BQ"/>
      <sheetName val="Meto"/>
      <sheetName val="MU"/>
      <sheetName val="HRG BH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 Upah Beton , UPAH "/>
      <sheetName val="Material"/>
      <sheetName val="AnalisaSIPIL1"/>
      <sheetName val="BEST. BESI"/>
      <sheetName val="BEST. BEGESTING"/>
      <sheetName val="RAB"/>
      <sheetName val="ME"/>
      <sheetName val="PLUMBING"/>
      <sheetName val=" Bahan"/>
      <sheetName val="Upah"/>
      <sheetName val="Analisa LUMAJANG SNI"/>
      <sheetName val="Analisa SNI STANDART "/>
      <sheetName val="struktur tdk dipakai"/>
      <sheetName val="H.Satuan"/>
      <sheetName val="UnitR"/>
      <sheetName val="Estimate"/>
      <sheetName val="Analisa"/>
      <sheetName val="Str BT"/>
      <sheetName val="ganda"/>
      <sheetName val="12CGOU"/>
      <sheetName val="A"/>
      <sheetName val="LISTRIK"/>
      <sheetName val="38"/>
      <sheetName val="ANALISA railing"/>
      <sheetName val="Fill this out first___"/>
      <sheetName val="HRG BAHAN &amp; UPAH okk"/>
      <sheetName val="Analis Kusen okk"/>
      <sheetName val="DAF-1"/>
      <sheetName val="coeff"/>
      <sheetName val="Cover"/>
      <sheetName val="HARGA MATERIAL"/>
      <sheetName val="DIV2"/>
      <sheetName val="Rekapitulasi"/>
      <sheetName val="HRG BHN"/>
      <sheetName val="daftar harga"/>
      <sheetName val="elektrikal"/>
      <sheetName val="Master 1.0"/>
      <sheetName val="OwnEq"/>
    </sheetNames>
    <sheetDataSet>
      <sheetData sheetId="0">
        <row r="155">
          <cell r="B155" t="str">
            <v>Bahan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55">
          <cell r="B155" t="str">
            <v>Bahan</v>
          </cell>
        </row>
        <row r="3144">
          <cell r="C3144" t="str">
            <v>Paku Kancing 60x230</v>
          </cell>
          <cell r="G3144">
            <v>0</v>
          </cell>
        </row>
        <row r="3145">
          <cell r="B3145" t="str">
            <v xml:space="preserve">Tenaga </v>
          </cell>
          <cell r="G3145">
            <v>0</v>
          </cell>
        </row>
        <row r="3146">
          <cell r="C3146" t="str">
            <v>Pekerja</v>
          </cell>
          <cell r="E3146" t="str">
            <v xml:space="preserve">Oh </v>
          </cell>
          <cell r="G3146">
            <v>0</v>
          </cell>
        </row>
        <row r="3147">
          <cell r="C3147" t="str">
            <v xml:space="preserve">Tukang Batu </v>
          </cell>
          <cell r="D3147">
            <v>0.56999999999999995</v>
          </cell>
          <cell r="E3147" t="str">
            <v xml:space="preserve"> Oh </v>
          </cell>
          <cell r="G3147">
            <v>0</v>
          </cell>
        </row>
        <row r="3148">
          <cell r="C3148" t="str">
            <v>Kep. Tukang Batu</v>
          </cell>
          <cell r="D3148">
            <v>0.12</v>
          </cell>
          <cell r="E3148" t="str">
            <v xml:space="preserve"> Oh </v>
          </cell>
          <cell r="G3148">
            <v>0</v>
          </cell>
        </row>
        <row r="3149">
          <cell r="C3149" t="str">
            <v>Mandor</v>
          </cell>
          <cell r="E3149" t="str">
            <v xml:space="preserve"> Oh </v>
          </cell>
          <cell r="G3149">
            <v>0</v>
          </cell>
        </row>
        <row r="3150">
          <cell r="D3150">
            <v>0.14000000000000001</v>
          </cell>
          <cell r="G3150">
            <v>0</v>
          </cell>
        </row>
        <row r="3151">
          <cell r="B3151" t="str">
            <v>1 M2 Pas. Bubung Stel Gel ( 0.92 m )</v>
          </cell>
          <cell r="D3151">
            <v>6.7000000000000004E-2</v>
          </cell>
          <cell r="G3151">
            <v>0</v>
          </cell>
        </row>
        <row r="3152">
          <cell r="B3152" t="str">
            <v xml:space="preserve">Bahan </v>
          </cell>
          <cell r="D3152">
            <v>7.0000000000000001E-3</v>
          </cell>
          <cell r="G3152">
            <v>0</v>
          </cell>
        </row>
        <row r="3153">
          <cell r="C3153" t="str">
            <v xml:space="preserve">Bubung Stel Gelombang </v>
          </cell>
          <cell r="D3153">
            <v>7.0000000000000001E-3</v>
          </cell>
          <cell r="G3153">
            <v>0</v>
          </cell>
        </row>
        <row r="3154">
          <cell r="C3154" t="str">
            <v>Paku Sekerup 3,5"</v>
          </cell>
          <cell r="G3154">
            <v>0</v>
          </cell>
        </row>
        <row r="3155">
          <cell r="B3155" t="str">
            <v xml:space="preserve">Tenaga </v>
          </cell>
          <cell r="G3155">
            <v>0</v>
          </cell>
        </row>
        <row r="3156">
          <cell r="C3156" t="str">
            <v>Pekerja</v>
          </cell>
          <cell r="E3156" t="str">
            <v xml:space="preserve">Oh </v>
          </cell>
          <cell r="G3156">
            <v>0</v>
          </cell>
        </row>
        <row r="3157">
          <cell r="C3157" t="str">
            <v>Tukang Kayu</v>
          </cell>
          <cell r="D3157">
            <v>2.4</v>
          </cell>
          <cell r="E3157" t="str">
            <v xml:space="preserve"> Oh </v>
          </cell>
          <cell r="G3157">
            <v>0</v>
          </cell>
        </row>
        <row r="3158">
          <cell r="C3158" t="str">
            <v>Kep. Tukang Kayu</v>
          </cell>
          <cell r="D3158">
            <v>6</v>
          </cell>
          <cell r="E3158" t="str">
            <v xml:space="preserve"> Oh </v>
          </cell>
          <cell r="G3158">
            <v>0</v>
          </cell>
        </row>
        <row r="3159">
          <cell r="C3159" t="str">
            <v>Mandor</v>
          </cell>
          <cell r="E3159" t="str">
            <v xml:space="preserve"> Oh </v>
          </cell>
          <cell r="G3159">
            <v>0</v>
          </cell>
        </row>
        <row r="3160">
          <cell r="D3160">
            <v>8.4000000000000005E-2</v>
          </cell>
          <cell r="G3160">
            <v>0</v>
          </cell>
        </row>
        <row r="3161">
          <cell r="B3161" t="str">
            <v>1 M2 Pas. Nok Stel Gelombang ( 1.05 m )</v>
          </cell>
          <cell r="D3161">
            <v>0.125</v>
          </cell>
          <cell r="G3161">
            <v>0</v>
          </cell>
        </row>
        <row r="3162">
          <cell r="B3162" t="str">
            <v xml:space="preserve">Bahan </v>
          </cell>
          <cell r="D3162">
            <v>1.2999999999999999E-2</v>
          </cell>
          <cell r="G3162">
            <v>0</v>
          </cell>
        </row>
        <row r="3163">
          <cell r="C3163" t="str">
            <v xml:space="preserve">Nok Stel Gelombang </v>
          </cell>
          <cell r="D3163">
            <v>4.0000000000000001E-3</v>
          </cell>
          <cell r="G3163">
            <v>0</v>
          </cell>
        </row>
        <row r="3164">
          <cell r="C3164" t="str">
            <v>Paku Sekerup 3,5"</v>
          </cell>
          <cell r="G3164">
            <v>0</v>
          </cell>
        </row>
        <row r="3165">
          <cell r="B3165" t="str">
            <v xml:space="preserve">Tenaga </v>
          </cell>
          <cell r="G3165">
            <v>0</v>
          </cell>
        </row>
        <row r="3166">
          <cell r="C3166" t="str">
            <v>Pekerja</v>
          </cell>
          <cell r="E3166" t="str">
            <v xml:space="preserve">Oh </v>
          </cell>
          <cell r="G3166">
            <v>0</v>
          </cell>
        </row>
        <row r="3167">
          <cell r="C3167" t="str">
            <v>Tukang Kayu</v>
          </cell>
          <cell r="D3167">
            <v>2.1</v>
          </cell>
          <cell r="E3167" t="str">
            <v xml:space="preserve"> Oh </v>
          </cell>
          <cell r="G3167">
            <v>0</v>
          </cell>
        </row>
        <row r="3168">
          <cell r="C3168" t="str">
            <v>Kep. Tukang Kayu</v>
          </cell>
          <cell r="D3168">
            <v>6</v>
          </cell>
          <cell r="E3168" t="str">
            <v xml:space="preserve"> Oh </v>
          </cell>
          <cell r="G3168">
            <v>0</v>
          </cell>
        </row>
        <row r="3169">
          <cell r="C3169" t="str">
            <v>Mandor</v>
          </cell>
          <cell r="E3169" t="str">
            <v xml:space="preserve"> Oh </v>
          </cell>
          <cell r="G3169">
            <v>0</v>
          </cell>
        </row>
        <row r="3170">
          <cell r="D3170">
            <v>8.4000000000000005E-2</v>
          </cell>
          <cell r="G3170">
            <v>0</v>
          </cell>
        </row>
        <row r="3171">
          <cell r="B3171" t="str">
            <v>1 M2 Pas. Nok Stel Gelombang ( 1.08 m )</v>
          </cell>
          <cell r="D3171">
            <v>0.125</v>
          </cell>
          <cell r="G3171">
            <v>0</v>
          </cell>
        </row>
        <row r="3172">
          <cell r="D3172">
            <v>1.2999999999999999E-2</v>
          </cell>
          <cell r="G3172">
            <v>0</v>
          </cell>
        </row>
        <row r="3173">
          <cell r="B3173" t="str">
            <v xml:space="preserve">Bahan </v>
          </cell>
          <cell r="D3173">
            <v>4.0000000000000001E-3</v>
          </cell>
          <cell r="G3173">
            <v>0</v>
          </cell>
        </row>
        <row r="3174">
          <cell r="C3174" t="str">
            <v xml:space="preserve">Nok Stel Gelombang </v>
          </cell>
          <cell r="E3174" t="str">
            <v>lbr</v>
          </cell>
          <cell r="G3174">
            <v>0</v>
          </cell>
        </row>
        <row r="3175">
          <cell r="C3175" t="str">
            <v>Paku Sekerup 3,5"</v>
          </cell>
          <cell r="E3175" t="str">
            <v>bh</v>
          </cell>
          <cell r="G3175">
            <v>0</v>
          </cell>
        </row>
        <row r="3176">
          <cell r="B3176" t="str">
            <v xml:space="preserve">Tenaga </v>
          </cell>
          <cell r="G3176">
            <v>0</v>
          </cell>
        </row>
        <row r="3177">
          <cell r="C3177" t="str">
            <v>Pekerja</v>
          </cell>
          <cell r="E3177" t="str">
            <v xml:space="preserve">Oh </v>
          </cell>
          <cell r="G3177">
            <v>0</v>
          </cell>
        </row>
        <row r="3178">
          <cell r="C3178" t="str">
            <v>Tukang Kayu</v>
          </cell>
          <cell r="D3178">
            <v>2.0499999999999998</v>
          </cell>
          <cell r="E3178" t="str">
            <v xml:space="preserve"> Oh </v>
          </cell>
          <cell r="G3178">
            <v>0</v>
          </cell>
        </row>
        <row r="3179">
          <cell r="C3179" t="str">
            <v>Kep. Tukang Kayu</v>
          </cell>
          <cell r="D3179">
            <v>6</v>
          </cell>
          <cell r="E3179" t="str">
            <v xml:space="preserve"> Oh </v>
          </cell>
          <cell r="G3179">
            <v>0</v>
          </cell>
        </row>
        <row r="3180">
          <cell r="C3180" t="str">
            <v>Mandor</v>
          </cell>
          <cell r="E3180" t="str">
            <v xml:space="preserve"> Oh </v>
          </cell>
          <cell r="G3180">
            <v>0</v>
          </cell>
        </row>
        <row r="3181">
          <cell r="D3181">
            <v>8.4000000000000005E-2</v>
          </cell>
          <cell r="G3181">
            <v>0</v>
          </cell>
        </row>
        <row r="3182">
          <cell r="B3182" t="str">
            <v>1 M2 Pas. Nok Paten ( 0.92 m' )</v>
          </cell>
          <cell r="D3182">
            <v>0.125</v>
          </cell>
          <cell r="G3182">
            <v>0</v>
          </cell>
        </row>
        <row r="3183">
          <cell r="B3183" t="str">
            <v xml:space="preserve">Bahan </v>
          </cell>
          <cell r="D3183">
            <v>1.2999999999999999E-2</v>
          </cell>
          <cell r="G3183">
            <v>0</v>
          </cell>
        </row>
        <row r="3184">
          <cell r="C3184" t="str">
            <v>Nok Paten</v>
          </cell>
          <cell r="D3184">
            <v>4.0000000000000001E-3</v>
          </cell>
          <cell r="E3184" t="str">
            <v>lbr</v>
          </cell>
          <cell r="G3184">
            <v>0</v>
          </cell>
        </row>
        <row r="3185">
          <cell r="C3185" t="str">
            <v>Paku Sekerup 3,5"</v>
          </cell>
          <cell r="E3185" t="str">
            <v>bh</v>
          </cell>
          <cell r="G3185">
            <v>0</v>
          </cell>
        </row>
        <row r="3186">
          <cell r="B3186" t="str">
            <v xml:space="preserve">Tenaga </v>
          </cell>
          <cell r="G3186">
            <v>0</v>
          </cell>
        </row>
        <row r="3187">
          <cell r="C3187" t="str">
            <v>Pekerja</v>
          </cell>
          <cell r="E3187" t="str">
            <v xml:space="preserve">Oh </v>
          </cell>
          <cell r="G3187">
            <v>0</v>
          </cell>
        </row>
        <row r="3188">
          <cell r="C3188" t="str">
            <v>Tukang Kayu</v>
          </cell>
          <cell r="D3188">
            <v>2.4</v>
          </cell>
          <cell r="E3188" t="str">
            <v xml:space="preserve"> Oh </v>
          </cell>
          <cell r="G3188">
            <v>0</v>
          </cell>
        </row>
        <row r="3189">
          <cell r="C3189" t="str">
            <v>Kep. Tukang Kayu</v>
          </cell>
          <cell r="D3189">
            <v>6</v>
          </cell>
          <cell r="E3189" t="str">
            <v xml:space="preserve"> Oh </v>
          </cell>
          <cell r="G3189">
            <v>0</v>
          </cell>
        </row>
        <row r="3190">
          <cell r="C3190" t="str">
            <v>Mandor</v>
          </cell>
          <cell r="E3190" t="str">
            <v xml:space="preserve"> Oh </v>
          </cell>
          <cell r="G3190">
            <v>0</v>
          </cell>
        </row>
        <row r="3191">
          <cell r="D3191">
            <v>8.4000000000000005E-2</v>
          </cell>
          <cell r="G3191">
            <v>0</v>
          </cell>
        </row>
        <row r="3192">
          <cell r="B3192" t="str">
            <v>1 M2 Pas. Nok Paten ( 1.05 m' )</v>
          </cell>
          <cell r="D3192">
            <v>0.125</v>
          </cell>
          <cell r="G3192">
            <v>0</v>
          </cell>
        </row>
        <row r="3193">
          <cell r="B3193" t="str">
            <v xml:space="preserve">Bahan </v>
          </cell>
          <cell r="D3193">
            <v>1.2999999999999999E-2</v>
          </cell>
          <cell r="G3193">
            <v>0</v>
          </cell>
        </row>
        <row r="3194">
          <cell r="C3194" t="str">
            <v>Nok Paten</v>
          </cell>
          <cell r="D3194">
            <v>4.0000000000000001E-3</v>
          </cell>
          <cell r="E3194" t="str">
            <v>lbr</v>
          </cell>
          <cell r="G3194">
            <v>0</v>
          </cell>
        </row>
        <row r="3195">
          <cell r="C3195" t="str">
            <v>Paku Sekerup 3,5"</v>
          </cell>
          <cell r="E3195" t="str">
            <v>bh</v>
          </cell>
          <cell r="G3195">
            <v>0</v>
          </cell>
        </row>
        <row r="3196">
          <cell r="B3196" t="str">
            <v xml:space="preserve">Tenaga </v>
          </cell>
          <cell r="G3196">
            <v>0</v>
          </cell>
        </row>
        <row r="3197">
          <cell r="C3197" t="str">
            <v>Pekerja</v>
          </cell>
          <cell r="E3197" t="str">
            <v xml:space="preserve">Oh </v>
          </cell>
          <cell r="G3197">
            <v>0</v>
          </cell>
        </row>
        <row r="3198">
          <cell r="C3198" t="str">
            <v>Tukang Kayu</v>
          </cell>
          <cell r="D3198">
            <v>1.2</v>
          </cell>
          <cell r="E3198" t="str">
            <v xml:space="preserve"> Oh </v>
          </cell>
          <cell r="G3198">
            <v>0</v>
          </cell>
        </row>
        <row r="3199">
          <cell r="C3199" t="str">
            <v>Kep. Tukang Kayu</v>
          </cell>
          <cell r="D3199">
            <v>6</v>
          </cell>
          <cell r="E3199" t="str">
            <v xml:space="preserve"> Oh </v>
          </cell>
          <cell r="G3199">
            <v>0</v>
          </cell>
        </row>
        <row r="3200">
          <cell r="C3200" t="str">
            <v>Mandor</v>
          </cell>
          <cell r="E3200" t="str">
            <v xml:space="preserve"> Oh </v>
          </cell>
          <cell r="G3200">
            <v>0</v>
          </cell>
        </row>
        <row r="3201">
          <cell r="D3201">
            <v>8.4000000000000005E-2</v>
          </cell>
          <cell r="G3201">
            <v>0</v>
          </cell>
        </row>
        <row r="3202">
          <cell r="B3202" t="str">
            <v>1 M2 Pas. Nok Stel Rata ( 0.92 m )</v>
          </cell>
          <cell r="D3202">
            <v>0.125</v>
          </cell>
          <cell r="G3202">
            <v>0</v>
          </cell>
        </row>
        <row r="3203">
          <cell r="B3203" t="str">
            <v xml:space="preserve">Bahan </v>
          </cell>
          <cell r="D3203">
            <v>1.2999999999999999E-2</v>
          </cell>
          <cell r="G3203">
            <v>0</v>
          </cell>
        </row>
        <row r="3204">
          <cell r="C3204" t="str">
            <v>Nok Stel rata</v>
          </cell>
          <cell r="D3204">
            <v>4.0000000000000001E-3</v>
          </cell>
          <cell r="E3204" t="str">
            <v>lbr</v>
          </cell>
          <cell r="G3204">
            <v>0</v>
          </cell>
        </row>
        <row r="3205">
          <cell r="C3205" t="str">
            <v>Paku Sekerup 3,5"</v>
          </cell>
          <cell r="E3205" t="str">
            <v>bh</v>
          </cell>
          <cell r="G3205">
            <v>0</v>
          </cell>
        </row>
        <row r="3206">
          <cell r="B3206" t="str">
            <v xml:space="preserve">Tenaga </v>
          </cell>
          <cell r="G3206">
            <v>0</v>
          </cell>
        </row>
        <row r="3207">
          <cell r="C3207" t="str">
            <v>Pekerja</v>
          </cell>
          <cell r="E3207" t="str">
            <v xml:space="preserve">Oh </v>
          </cell>
          <cell r="G3207">
            <v>0</v>
          </cell>
        </row>
        <row r="3208">
          <cell r="C3208" t="str">
            <v>Tukang Kayu</v>
          </cell>
          <cell r="D3208">
            <v>1.1000000000000001</v>
          </cell>
          <cell r="E3208" t="str">
            <v xml:space="preserve"> Oh </v>
          </cell>
          <cell r="G3208">
            <v>0</v>
          </cell>
        </row>
        <row r="3209">
          <cell r="C3209" t="str">
            <v>Kep. Tukang Kayu</v>
          </cell>
          <cell r="D3209">
            <v>6</v>
          </cell>
          <cell r="E3209" t="str">
            <v xml:space="preserve"> Oh </v>
          </cell>
          <cell r="G3209">
            <v>0</v>
          </cell>
        </row>
        <row r="3210">
          <cell r="C3210" t="str">
            <v>Mandor</v>
          </cell>
          <cell r="E3210" t="str">
            <v xml:space="preserve"> Oh </v>
          </cell>
          <cell r="G3210">
            <v>0</v>
          </cell>
        </row>
        <row r="3211">
          <cell r="D3211">
            <v>8.4000000000000005E-2</v>
          </cell>
          <cell r="G3211">
            <v>0</v>
          </cell>
        </row>
        <row r="3212">
          <cell r="B3212" t="str">
            <v>1 M2 Pas. Nok Stel Rata ( 1.05 m )</v>
          </cell>
          <cell r="D3212">
            <v>0.125</v>
          </cell>
          <cell r="G3212">
            <v>0</v>
          </cell>
        </row>
        <row r="3213">
          <cell r="B3213" t="str">
            <v xml:space="preserve">Bahan </v>
          </cell>
          <cell r="D3213">
            <v>1.2999999999999999E-2</v>
          </cell>
          <cell r="G3213">
            <v>0</v>
          </cell>
        </row>
        <row r="3214">
          <cell r="C3214" t="str">
            <v>Nok Stel rata</v>
          </cell>
          <cell r="D3214">
            <v>4.0000000000000001E-3</v>
          </cell>
          <cell r="E3214" t="str">
            <v>lbr</v>
          </cell>
          <cell r="G3214">
            <v>0</v>
          </cell>
        </row>
        <row r="3215">
          <cell r="C3215" t="str">
            <v>Paku Sekerup 3,5"</v>
          </cell>
          <cell r="E3215" t="str">
            <v>bh</v>
          </cell>
          <cell r="G3215">
            <v>0</v>
          </cell>
        </row>
        <row r="3216">
          <cell r="B3216" t="str">
            <v xml:space="preserve">Tenaga </v>
          </cell>
          <cell r="G3216">
            <v>0</v>
          </cell>
        </row>
        <row r="3217">
          <cell r="C3217" t="str">
            <v>Pekerja</v>
          </cell>
          <cell r="E3217" t="str">
            <v xml:space="preserve">Oh </v>
          </cell>
          <cell r="G3217">
            <v>0</v>
          </cell>
        </row>
        <row r="3218">
          <cell r="C3218" t="str">
            <v>Tukang Kayu</v>
          </cell>
          <cell r="D3218">
            <v>1.1000000000000001</v>
          </cell>
          <cell r="E3218" t="str">
            <v xml:space="preserve"> Oh </v>
          </cell>
          <cell r="G3218">
            <v>0</v>
          </cell>
        </row>
        <row r="3219">
          <cell r="C3219" t="str">
            <v>Kep. Tukang Kayu</v>
          </cell>
          <cell r="D3219">
            <v>6</v>
          </cell>
          <cell r="E3219" t="str">
            <v xml:space="preserve"> Oh </v>
          </cell>
          <cell r="G3219">
            <v>0</v>
          </cell>
        </row>
        <row r="3220">
          <cell r="C3220" t="str">
            <v>Mandor</v>
          </cell>
          <cell r="E3220" t="str">
            <v xml:space="preserve"> Oh </v>
          </cell>
          <cell r="G3220">
            <v>0</v>
          </cell>
        </row>
        <row r="3221">
          <cell r="D3221">
            <v>8.4000000000000005E-2</v>
          </cell>
          <cell r="G3221">
            <v>0</v>
          </cell>
        </row>
        <row r="3222">
          <cell r="B3222" t="str">
            <v>1 M2 Pas.atap Genteng Beton</v>
          </cell>
          <cell r="D3222">
            <v>0.125</v>
          </cell>
          <cell r="G3222">
            <v>0</v>
          </cell>
        </row>
        <row r="3223">
          <cell r="B3223" t="str">
            <v xml:space="preserve">Bahan </v>
          </cell>
          <cell r="D3223">
            <v>1.2999999999999999E-2</v>
          </cell>
          <cell r="G3223">
            <v>0</v>
          </cell>
        </row>
        <row r="3224">
          <cell r="C3224" t="str">
            <v>Genteng Beton</v>
          </cell>
          <cell r="D3224">
            <v>4.0000000000000001E-3</v>
          </cell>
          <cell r="E3224" t="str">
            <v>lbr</v>
          </cell>
          <cell r="G3224">
            <v>0</v>
          </cell>
        </row>
        <row r="3225">
          <cell r="C3225" t="str">
            <v>Paku 2"-5"</v>
          </cell>
          <cell r="E3225" t="str">
            <v>kg</v>
          </cell>
          <cell r="G3225">
            <v>0</v>
          </cell>
        </row>
        <row r="3226">
          <cell r="B3226" t="str">
            <v xml:space="preserve">Tenaga </v>
          </cell>
          <cell r="G3226">
            <v>0</v>
          </cell>
        </row>
        <row r="3227">
          <cell r="C3227" t="str">
            <v>Pekerja</v>
          </cell>
          <cell r="E3227" t="str">
            <v xml:space="preserve">Oh </v>
          </cell>
          <cell r="G3227">
            <v>0</v>
          </cell>
        </row>
        <row r="3228">
          <cell r="C3228" t="str">
            <v>Tukang Kayu</v>
          </cell>
          <cell r="D3228">
            <v>11</v>
          </cell>
          <cell r="E3228" t="str">
            <v xml:space="preserve"> Oh </v>
          </cell>
          <cell r="G3228">
            <v>0</v>
          </cell>
        </row>
        <row r="3229">
          <cell r="C3229" t="str">
            <v>Kep. Tukang Kayu</v>
          </cell>
          <cell r="D3229">
            <v>0.03</v>
          </cell>
          <cell r="E3229" t="str">
            <v xml:space="preserve"> Oh </v>
          </cell>
          <cell r="G3229">
            <v>0</v>
          </cell>
        </row>
        <row r="3230">
          <cell r="C3230" t="str">
            <v>Mandor</v>
          </cell>
          <cell r="E3230" t="str">
            <v xml:space="preserve"> Oh </v>
          </cell>
          <cell r="G3230">
            <v>0</v>
          </cell>
        </row>
        <row r="3231">
          <cell r="D3231">
            <v>0.2</v>
          </cell>
          <cell r="G3231">
            <v>0</v>
          </cell>
        </row>
        <row r="3232">
          <cell r="B3232" t="str">
            <v>1 M2 Pas.atap Genteng aspal</v>
          </cell>
          <cell r="D3232">
            <v>0.1</v>
          </cell>
          <cell r="G3232">
            <v>0</v>
          </cell>
        </row>
        <row r="3233">
          <cell r="B3233" t="str">
            <v xml:space="preserve">Bahan </v>
          </cell>
          <cell r="D3233">
            <v>0.01</v>
          </cell>
          <cell r="G3233">
            <v>0</v>
          </cell>
        </row>
        <row r="3234">
          <cell r="C3234" t="str">
            <v>Genteng Aspal</v>
          </cell>
          <cell r="D3234">
            <v>0.01</v>
          </cell>
          <cell r="E3234" t="str">
            <v>lbr</v>
          </cell>
          <cell r="G3234">
            <v>0</v>
          </cell>
        </row>
        <row r="3235">
          <cell r="C3235" t="str">
            <v>Plywood 4" X 8" X 6 mm</v>
          </cell>
          <cell r="E3235" t="str">
            <v>lbr</v>
          </cell>
          <cell r="G3235">
            <v>0</v>
          </cell>
        </row>
        <row r="3236">
          <cell r="C3236" t="str">
            <v>Paku biasa 1/2" - 1"</v>
          </cell>
          <cell r="E3236" t="str">
            <v>kg</v>
          </cell>
          <cell r="G3236">
            <v>0</v>
          </cell>
        </row>
        <row r="3237">
          <cell r="C3237" t="str">
            <v>Plastic aerator</v>
          </cell>
          <cell r="E3237" t="str">
            <v>bh</v>
          </cell>
          <cell r="G3237">
            <v>0</v>
          </cell>
        </row>
        <row r="3238">
          <cell r="D3238">
            <v>6.9</v>
          </cell>
          <cell r="G3238">
            <v>0</v>
          </cell>
        </row>
        <row r="3239">
          <cell r="B3239" t="str">
            <v xml:space="preserve">Tenaga </v>
          </cell>
          <cell r="D3239">
            <v>0.35</v>
          </cell>
          <cell r="G3239">
            <v>0</v>
          </cell>
        </row>
        <row r="3240">
          <cell r="C3240" t="str">
            <v>Pekerja</v>
          </cell>
          <cell r="D3240">
            <v>0.03</v>
          </cell>
          <cell r="E3240" t="str">
            <v xml:space="preserve">Oh </v>
          </cell>
          <cell r="G3240">
            <v>0</v>
          </cell>
        </row>
        <row r="3241">
          <cell r="C3241" t="str">
            <v>Tukang Kayu</v>
          </cell>
          <cell r="D3241">
            <v>0.5</v>
          </cell>
          <cell r="E3241" t="str">
            <v xml:space="preserve"> Oh </v>
          </cell>
          <cell r="G3241">
            <v>0</v>
          </cell>
        </row>
        <row r="3242">
          <cell r="C3242" t="str">
            <v>Kep. Tukang Kayu</v>
          </cell>
          <cell r="E3242" t="str">
            <v xml:space="preserve"> Oh </v>
          </cell>
          <cell r="G3242">
            <v>0</v>
          </cell>
        </row>
        <row r="3243">
          <cell r="C3243" t="str">
            <v>Mandor</v>
          </cell>
          <cell r="E3243" t="str">
            <v xml:space="preserve"> Oh </v>
          </cell>
          <cell r="G3243">
            <v>0</v>
          </cell>
        </row>
        <row r="3244">
          <cell r="D3244">
            <v>0.2</v>
          </cell>
          <cell r="G3244">
            <v>0</v>
          </cell>
        </row>
        <row r="3245">
          <cell r="B3245" t="str">
            <v>1 M2 Pas. Atap genteng metal</v>
          </cell>
          <cell r="D3245">
            <v>0.3</v>
          </cell>
          <cell r="G3245">
            <v>0</v>
          </cell>
        </row>
        <row r="3246">
          <cell r="B3246" t="str">
            <v xml:space="preserve">Bahan </v>
          </cell>
          <cell r="D3246">
            <v>3.0000000000000001E-3</v>
          </cell>
          <cell r="G3246">
            <v>0</v>
          </cell>
        </row>
        <row r="3247">
          <cell r="C3247" t="str">
            <v>Genteng metal</v>
          </cell>
          <cell r="D3247">
            <v>0.01</v>
          </cell>
          <cell r="E3247" t="str">
            <v>lbr</v>
          </cell>
          <cell r="G3247">
            <v>0</v>
          </cell>
        </row>
        <row r="3248">
          <cell r="C3248" t="str">
            <v>Paku biasa 2" - 5"</v>
          </cell>
          <cell r="E3248" t="str">
            <v>kg</v>
          </cell>
          <cell r="G3248">
            <v>0</v>
          </cell>
        </row>
        <row r="3249">
          <cell r="B3249" t="str">
            <v xml:space="preserve">Tenaga </v>
          </cell>
          <cell r="G3249">
            <v>0</v>
          </cell>
        </row>
        <row r="3250">
          <cell r="C3250" t="str">
            <v>Pekerja</v>
          </cell>
          <cell r="E3250" t="str">
            <v xml:space="preserve">Oh </v>
          </cell>
          <cell r="G3250">
            <v>0</v>
          </cell>
        </row>
        <row r="3251">
          <cell r="C3251" t="str">
            <v>Tukang Kayu</v>
          </cell>
          <cell r="D3251">
            <v>1.02</v>
          </cell>
          <cell r="E3251" t="str">
            <v xml:space="preserve"> Oh </v>
          </cell>
          <cell r="G3251">
            <v>0</v>
          </cell>
        </row>
        <row r="3252">
          <cell r="C3252" t="str">
            <v>Kep. Tukang Kayu</v>
          </cell>
          <cell r="D3252">
            <v>0.2</v>
          </cell>
          <cell r="E3252" t="str">
            <v xml:space="preserve"> Oh </v>
          </cell>
          <cell r="G3252">
            <v>0</v>
          </cell>
        </row>
        <row r="3253">
          <cell r="C3253" t="str">
            <v>Mandor</v>
          </cell>
          <cell r="E3253" t="str">
            <v xml:space="preserve"> Oh </v>
          </cell>
          <cell r="G3253">
            <v>0</v>
          </cell>
        </row>
        <row r="3254">
          <cell r="D3254">
            <v>0.2</v>
          </cell>
          <cell r="G3254">
            <v>0</v>
          </cell>
        </row>
        <row r="3255">
          <cell r="B3255" t="str">
            <v>1 M2 Pas. Atap sirap</v>
          </cell>
          <cell r="D3255">
            <v>0.1</v>
          </cell>
          <cell r="G3255">
            <v>0</v>
          </cell>
        </row>
        <row r="3256">
          <cell r="B3256" t="str">
            <v xml:space="preserve">Bahan </v>
          </cell>
          <cell r="D3256">
            <v>0.01</v>
          </cell>
          <cell r="G3256">
            <v>0</v>
          </cell>
        </row>
        <row r="3257">
          <cell r="C3257" t="str">
            <v>Genteng Sirap</v>
          </cell>
          <cell r="D3257">
            <v>0.01</v>
          </cell>
          <cell r="E3257" t="str">
            <v>bh</v>
          </cell>
          <cell r="G3257">
            <v>0</v>
          </cell>
        </row>
        <row r="3258">
          <cell r="C3258" t="str">
            <v>Paku biasa 1/2" - 1"</v>
          </cell>
          <cell r="E3258" t="str">
            <v>kg</v>
          </cell>
          <cell r="G3258">
            <v>0</v>
          </cell>
        </row>
        <row r="3259">
          <cell r="B3259" t="str">
            <v xml:space="preserve">Tenaga </v>
          </cell>
          <cell r="G3259">
            <v>0</v>
          </cell>
        </row>
        <row r="3260">
          <cell r="C3260" t="str">
            <v>Pekerja</v>
          </cell>
          <cell r="E3260" t="str">
            <v xml:space="preserve">Oh </v>
          </cell>
          <cell r="G3260">
            <v>0</v>
          </cell>
        </row>
        <row r="3261">
          <cell r="C3261" t="str">
            <v>Tukang Kayu</v>
          </cell>
          <cell r="D3261">
            <v>60</v>
          </cell>
          <cell r="E3261" t="str">
            <v xml:space="preserve"> Oh </v>
          </cell>
          <cell r="G3261">
            <v>0</v>
          </cell>
        </row>
        <row r="3262">
          <cell r="C3262" t="str">
            <v>Kep. Tukang Kayu</v>
          </cell>
          <cell r="D3262">
            <v>0.2</v>
          </cell>
          <cell r="E3262" t="str">
            <v xml:space="preserve"> Oh </v>
          </cell>
          <cell r="G3262">
            <v>0</v>
          </cell>
        </row>
        <row r="3263">
          <cell r="C3263" t="str">
            <v>Mandor</v>
          </cell>
          <cell r="E3263" t="str">
            <v xml:space="preserve"> Oh </v>
          </cell>
          <cell r="G3263">
            <v>0</v>
          </cell>
        </row>
        <row r="3264">
          <cell r="D3264">
            <v>0.16600000000000001</v>
          </cell>
          <cell r="G3264">
            <v>0</v>
          </cell>
        </row>
        <row r="3265">
          <cell r="B3265" t="str">
            <v>1 M2 Pas. Atap sirap</v>
          </cell>
          <cell r="D3265">
            <v>0.25</v>
          </cell>
          <cell r="G3265">
            <v>0</v>
          </cell>
        </row>
        <row r="3266">
          <cell r="B3266" t="str">
            <v xml:space="preserve">Bahan </v>
          </cell>
          <cell r="D3266">
            <v>2.5000000000000001E-2</v>
          </cell>
          <cell r="G3266">
            <v>0</v>
          </cell>
        </row>
        <row r="3267">
          <cell r="C3267" t="str">
            <v>Genteng Sirap</v>
          </cell>
          <cell r="D3267">
            <v>8.0000000000000002E-3</v>
          </cell>
          <cell r="E3267" t="str">
            <v>bh</v>
          </cell>
          <cell r="G3267">
            <v>0</v>
          </cell>
        </row>
        <row r="3268">
          <cell r="C3268" t="str">
            <v>Paku biasa 1/2" - 1"</v>
          </cell>
          <cell r="E3268" t="str">
            <v>kg</v>
          </cell>
          <cell r="G3268">
            <v>0</v>
          </cell>
        </row>
        <row r="3269">
          <cell r="B3269" t="str">
            <v xml:space="preserve">Tenaga </v>
          </cell>
          <cell r="G3269">
            <v>0</v>
          </cell>
        </row>
        <row r="3270">
          <cell r="C3270" t="str">
            <v>Pekerja</v>
          </cell>
          <cell r="E3270" t="str">
            <v xml:space="preserve">Oh </v>
          </cell>
          <cell r="G3270">
            <v>0</v>
          </cell>
        </row>
        <row r="3271">
          <cell r="C3271" t="str">
            <v>Tukang Kayu</v>
          </cell>
          <cell r="D3271">
            <v>60</v>
          </cell>
          <cell r="E3271" t="str">
            <v xml:space="preserve"> Oh </v>
          </cell>
          <cell r="G3271">
            <v>0</v>
          </cell>
        </row>
        <row r="3272">
          <cell r="C3272" t="str">
            <v>Kep. Tukang Kayu</v>
          </cell>
          <cell r="D3272">
            <v>0.2</v>
          </cell>
          <cell r="E3272" t="str">
            <v xml:space="preserve"> Oh </v>
          </cell>
          <cell r="G3272">
            <v>0</v>
          </cell>
        </row>
        <row r="3273">
          <cell r="C3273" t="str">
            <v>Mandor</v>
          </cell>
          <cell r="E3273" t="str">
            <v xml:space="preserve"> Oh </v>
          </cell>
          <cell r="G3273">
            <v>0</v>
          </cell>
        </row>
        <row r="3274">
          <cell r="D3274">
            <v>0.16600000000000001</v>
          </cell>
          <cell r="G3274">
            <v>0</v>
          </cell>
        </row>
        <row r="3275">
          <cell r="B3275" t="str">
            <v>1 M2 Pas. Nok genteng beton</v>
          </cell>
          <cell r="D3275">
            <v>0.25</v>
          </cell>
          <cell r="G3275">
            <v>0</v>
          </cell>
        </row>
        <row r="3276">
          <cell r="B3276" t="str">
            <v xml:space="preserve">Bahan </v>
          </cell>
          <cell r="D3276">
            <v>2.5000000000000001E-2</v>
          </cell>
          <cell r="G3276">
            <v>0</v>
          </cell>
        </row>
        <row r="3277">
          <cell r="C3277" t="str">
            <v>Nok Genteng Beton</v>
          </cell>
          <cell r="D3277">
            <v>8.0000000000000002E-3</v>
          </cell>
          <cell r="E3277" t="str">
            <v>bh</v>
          </cell>
          <cell r="G3277">
            <v>0</v>
          </cell>
        </row>
        <row r="3278">
          <cell r="C3278" t="str">
            <v>Paku biasa 2" X 5"</v>
          </cell>
          <cell r="E3278" t="str">
            <v>kg</v>
          </cell>
          <cell r="G3278">
            <v>0</v>
          </cell>
        </row>
        <row r="3279">
          <cell r="C3279" t="str">
            <v>Semen Abu-abu</v>
          </cell>
          <cell r="E3279" t="str">
            <v>kg</v>
          </cell>
          <cell r="G3279">
            <v>0</v>
          </cell>
        </row>
        <row r="3280">
          <cell r="C3280" t="str">
            <v>Pasir Pasang</v>
          </cell>
          <cell r="E3280" t="str">
            <v>m3</v>
          </cell>
          <cell r="G3280">
            <v>0</v>
          </cell>
        </row>
        <row r="3281">
          <cell r="C3281" t="str">
            <v>Semen Warna</v>
          </cell>
          <cell r="D3281">
            <v>3.5</v>
          </cell>
          <cell r="E3281" t="str">
            <v>kg</v>
          </cell>
          <cell r="G3281">
            <v>0</v>
          </cell>
        </row>
        <row r="3282">
          <cell r="D3282">
            <v>0.05</v>
          </cell>
          <cell r="G3282">
            <v>0</v>
          </cell>
        </row>
        <row r="3283">
          <cell r="B3283" t="str">
            <v xml:space="preserve">Tenaga </v>
          </cell>
          <cell r="D3283">
            <v>10.8</v>
          </cell>
          <cell r="G3283">
            <v>0</v>
          </cell>
        </row>
        <row r="3284">
          <cell r="C3284" t="str">
            <v>Pekerja</v>
          </cell>
          <cell r="D3284">
            <v>3.2000000000000001E-2</v>
          </cell>
          <cell r="E3284" t="str">
            <v xml:space="preserve">Oh </v>
          </cell>
          <cell r="G3284">
            <v>0</v>
          </cell>
        </row>
        <row r="3285">
          <cell r="C3285" t="str">
            <v>Tukang Kayu</v>
          </cell>
          <cell r="D3285">
            <v>1</v>
          </cell>
          <cell r="E3285" t="str">
            <v xml:space="preserve"> Oh </v>
          </cell>
          <cell r="G3285">
            <v>0</v>
          </cell>
        </row>
        <row r="3286">
          <cell r="C3286" t="str">
            <v>Kep. Tukang Kayu</v>
          </cell>
          <cell r="E3286" t="str">
            <v xml:space="preserve"> Oh </v>
          </cell>
          <cell r="G3286">
            <v>0</v>
          </cell>
        </row>
        <row r="3287">
          <cell r="C3287" t="str">
            <v>Mandor</v>
          </cell>
          <cell r="E3287" t="str">
            <v xml:space="preserve"> Oh </v>
          </cell>
          <cell r="G3287">
            <v>0</v>
          </cell>
        </row>
        <row r="3288">
          <cell r="D3288">
            <v>0.4</v>
          </cell>
          <cell r="G3288">
            <v>0</v>
          </cell>
        </row>
        <row r="3289">
          <cell r="B3289" t="str">
            <v>1 M2 Pas. Nok genteng aspal</v>
          </cell>
          <cell r="D3289">
            <v>0.2</v>
          </cell>
          <cell r="G3289">
            <v>0</v>
          </cell>
        </row>
        <row r="3290">
          <cell r="B3290" t="str">
            <v xml:space="preserve">Bahan </v>
          </cell>
          <cell r="D3290">
            <v>0.02</v>
          </cell>
          <cell r="G3290">
            <v>0</v>
          </cell>
        </row>
        <row r="3291">
          <cell r="C3291" t="str">
            <v xml:space="preserve"> Genteng Aspal</v>
          </cell>
          <cell r="D3291">
            <v>0.02</v>
          </cell>
          <cell r="E3291" t="str">
            <v>bh</v>
          </cell>
          <cell r="G3291">
            <v>0</v>
          </cell>
        </row>
        <row r="3292">
          <cell r="C3292" t="str">
            <v>Paku biasa 1/2" - 1"</v>
          </cell>
          <cell r="E3292" t="str">
            <v>kg</v>
          </cell>
          <cell r="G3292">
            <v>0</v>
          </cell>
        </row>
        <row r="3293">
          <cell r="C3293" t="str">
            <v>Kayu borneo balok</v>
          </cell>
          <cell r="E3293" t="str">
            <v>m3</v>
          </cell>
          <cell r="G3293">
            <v>0</v>
          </cell>
        </row>
        <row r="3294">
          <cell r="G3294">
            <v>0</v>
          </cell>
        </row>
        <row r="3295">
          <cell r="B3295" t="str">
            <v xml:space="preserve">Tenaga </v>
          </cell>
          <cell r="D3295">
            <v>2</v>
          </cell>
          <cell r="G3295">
            <v>0</v>
          </cell>
        </row>
        <row r="3296">
          <cell r="C3296" t="str">
            <v>Pekerja</v>
          </cell>
          <cell r="D3296">
            <v>0.05</v>
          </cell>
          <cell r="E3296" t="str">
            <v xml:space="preserve">Oh </v>
          </cell>
          <cell r="G3296">
            <v>0</v>
          </cell>
        </row>
        <row r="3297">
          <cell r="C3297" t="str">
            <v>Tukang Kayu</v>
          </cell>
          <cell r="D3297">
            <v>3.5000000000000001E-3</v>
          </cell>
          <cell r="E3297" t="str">
            <v xml:space="preserve"> Oh </v>
          </cell>
          <cell r="G3297">
            <v>0</v>
          </cell>
        </row>
        <row r="3298">
          <cell r="C3298" t="str">
            <v>Kep. Tukang Kayu</v>
          </cell>
          <cell r="E3298" t="str">
            <v xml:space="preserve"> Oh </v>
          </cell>
          <cell r="G3298">
            <v>0</v>
          </cell>
        </row>
        <row r="3299">
          <cell r="C3299" t="str">
            <v>Mandor</v>
          </cell>
          <cell r="E3299" t="str">
            <v xml:space="preserve"> Oh </v>
          </cell>
          <cell r="G3299">
            <v>0</v>
          </cell>
        </row>
        <row r="3300">
          <cell r="D3300">
            <v>0.125</v>
          </cell>
          <cell r="G3300">
            <v>0</v>
          </cell>
        </row>
        <row r="3301">
          <cell r="B3301" t="str">
            <v xml:space="preserve">1 m' Pasang nok genteng metal </v>
          </cell>
          <cell r="D3301">
            <v>0.25</v>
          </cell>
          <cell r="G3301">
            <v>0</v>
          </cell>
        </row>
        <row r="3302">
          <cell r="B3302" t="str">
            <v xml:space="preserve">Bahan </v>
          </cell>
          <cell r="D3302">
            <v>2.5000000000000001E-2</v>
          </cell>
          <cell r="G3302">
            <v>0</v>
          </cell>
        </row>
        <row r="3303">
          <cell r="C3303" t="str">
            <v>Genteng decra bond</v>
          </cell>
          <cell r="D3303">
            <v>6.0000000000000001E-3</v>
          </cell>
          <cell r="E3303" t="str">
            <v>bh</v>
          </cell>
          <cell r="G3303">
            <v>0</v>
          </cell>
        </row>
        <row r="3304">
          <cell r="C3304" t="str">
            <v>Paku biasa 1/2" - 1"</v>
          </cell>
          <cell r="E3304" t="str">
            <v>kg</v>
          </cell>
          <cell r="G3304">
            <v>0</v>
          </cell>
        </row>
        <row r="3305">
          <cell r="B3305" t="str">
            <v xml:space="preserve">Tenaga </v>
          </cell>
          <cell r="G3305">
            <v>0</v>
          </cell>
        </row>
        <row r="3306">
          <cell r="C3306" t="str">
            <v xml:space="preserve">Pekerja </v>
          </cell>
          <cell r="E3306" t="str">
            <v xml:space="preserve">Oh </v>
          </cell>
          <cell r="G3306">
            <v>0</v>
          </cell>
        </row>
        <row r="3307">
          <cell r="C3307" t="str">
            <v xml:space="preserve">Tukang kayu </v>
          </cell>
          <cell r="D3307">
            <v>1.1000000000000001</v>
          </cell>
          <cell r="E3307" t="str">
            <v xml:space="preserve"> Oh </v>
          </cell>
          <cell r="G3307">
            <v>0</v>
          </cell>
        </row>
        <row r="3308">
          <cell r="C3308" t="str">
            <v xml:space="preserve">Kepala tukang </v>
          </cell>
          <cell r="D3308">
            <v>0.05</v>
          </cell>
          <cell r="E3308" t="str">
            <v xml:space="preserve"> Oh </v>
          </cell>
          <cell r="G3308">
            <v>0</v>
          </cell>
        </row>
        <row r="3309">
          <cell r="C3309" t="str">
            <v xml:space="preserve">Mandor </v>
          </cell>
          <cell r="E3309" t="str">
            <v xml:space="preserve"> Oh </v>
          </cell>
          <cell r="G3309">
            <v>0</v>
          </cell>
        </row>
        <row r="3310">
          <cell r="D3310">
            <v>0.25</v>
          </cell>
          <cell r="G3310">
            <v>0</v>
          </cell>
        </row>
        <row r="3311">
          <cell r="B3311" t="str">
            <v xml:space="preserve">1 m' Pasang nok sirap </v>
          </cell>
          <cell r="D3311">
            <v>0.15</v>
          </cell>
          <cell r="G3311">
            <v>0</v>
          </cell>
        </row>
        <row r="3312">
          <cell r="B3312" t="str">
            <v xml:space="preserve">Bahan </v>
          </cell>
          <cell r="D3312">
            <v>1.4999999999999999E-2</v>
          </cell>
          <cell r="G3312">
            <v>0</v>
          </cell>
        </row>
        <row r="3313">
          <cell r="C3313" t="str">
            <v>Seng plat 3" x 6" bjs 28</v>
          </cell>
          <cell r="D3313">
            <v>1.2999999999999999E-2</v>
          </cell>
          <cell r="E3313" t="str">
            <v>lbr</v>
          </cell>
          <cell r="G3313">
            <v>0</v>
          </cell>
        </row>
        <row r="3314">
          <cell r="C3314" t="str">
            <v>Paku biasa 1/2" - 1"</v>
          </cell>
          <cell r="E3314" t="str">
            <v>kg</v>
          </cell>
          <cell r="G3314">
            <v>0</v>
          </cell>
        </row>
        <row r="3315">
          <cell r="C3315" t="str">
            <v>Paku biasa 2" - 5"</v>
          </cell>
          <cell r="E3315" t="str">
            <v>kg</v>
          </cell>
          <cell r="G3315">
            <v>0</v>
          </cell>
        </row>
        <row r="3316">
          <cell r="C3316" t="str">
            <v>Kayu borneo papan tebal 3 cm</v>
          </cell>
          <cell r="E3316" t="str">
            <v>m3</v>
          </cell>
          <cell r="G3316">
            <v>0</v>
          </cell>
        </row>
        <row r="3317">
          <cell r="D3317">
            <v>0.4</v>
          </cell>
          <cell r="G3317">
            <v>0</v>
          </cell>
        </row>
        <row r="3318">
          <cell r="B3318" t="str">
            <v xml:space="preserve">Tenaga </v>
          </cell>
          <cell r="D3318">
            <v>0.06</v>
          </cell>
          <cell r="G3318">
            <v>0</v>
          </cell>
        </row>
        <row r="3319">
          <cell r="C3319" t="str">
            <v xml:space="preserve">Pekerja </v>
          </cell>
          <cell r="D3319">
            <v>0.05</v>
          </cell>
          <cell r="E3319" t="str">
            <v xml:space="preserve">Oh </v>
          </cell>
          <cell r="G3319">
            <v>0</v>
          </cell>
        </row>
        <row r="3320">
          <cell r="C3320" t="str">
            <v xml:space="preserve">Tukang kayu </v>
          </cell>
          <cell r="D3320">
            <v>4.0000000000000001E-3</v>
          </cell>
          <cell r="E3320" t="str">
            <v xml:space="preserve"> Oh </v>
          </cell>
          <cell r="G3320">
            <v>0</v>
          </cell>
        </row>
        <row r="3321">
          <cell r="C3321" t="str">
            <v xml:space="preserve">Kepala tukang </v>
          </cell>
          <cell r="E3321" t="str">
            <v xml:space="preserve"> Oh </v>
          </cell>
          <cell r="G3321">
            <v>0</v>
          </cell>
        </row>
        <row r="3322">
          <cell r="C3322" t="str">
            <v xml:space="preserve">Mandor </v>
          </cell>
          <cell r="E3322" t="str">
            <v xml:space="preserve"> Oh </v>
          </cell>
          <cell r="G3322">
            <v>0</v>
          </cell>
        </row>
        <row r="3323">
          <cell r="D3323">
            <v>0.125</v>
          </cell>
          <cell r="G3323">
            <v>0</v>
          </cell>
        </row>
        <row r="3324">
          <cell r="B3324" t="str">
            <v xml:space="preserve">1 m' Atap Seng Gelombang </v>
          </cell>
          <cell r="D3324">
            <v>0.25</v>
          </cell>
          <cell r="G3324">
            <v>0</v>
          </cell>
        </row>
        <row r="3325">
          <cell r="B3325" t="str">
            <v xml:space="preserve">Bahan </v>
          </cell>
          <cell r="D3325">
            <v>2.5000000000000001E-3</v>
          </cell>
          <cell r="G3325">
            <v>0</v>
          </cell>
        </row>
        <row r="3326">
          <cell r="C3326" t="str">
            <v>Seng Gelombang plat 3" x 6" bjs 28</v>
          </cell>
          <cell r="D3326">
            <v>6.0000000000000001E-3</v>
          </cell>
          <cell r="E3326" t="str">
            <v>lbr</v>
          </cell>
          <cell r="G3326">
            <v>0</v>
          </cell>
        </row>
        <row r="3327">
          <cell r="C3327" t="str">
            <v>Paku biasa 1/2" - 1"</v>
          </cell>
          <cell r="E3327" t="str">
            <v>kg</v>
          </cell>
          <cell r="G3327">
            <v>0</v>
          </cell>
        </row>
        <row r="3328">
          <cell r="G3328">
            <v>0</v>
          </cell>
        </row>
        <row r="3329">
          <cell r="B3329" t="str">
            <v xml:space="preserve">Tenaga </v>
          </cell>
          <cell r="G3329">
            <v>0</v>
          </cell>
        </row>
        <row r="3330">
          <cell r="C3330" t="str">
            <v xml:space="preserve">Pekerja </v>
          </cell>
          <cell r="D3330">
            <v>0.7</v>
          </cell>
          <cell r="E3330" t="str">
            <v xml:space="preserve">Oh </v>
          </cell>
          <cell r="G3330">
            <v>0</v>
          </cell>
        </row>
        <row r="3331">
          <cell r="C3331" t="str">
            <v xml:space="preserve">Tukang kayu </v>
          </cell>
          <cell r="D3331">
            <v>0.02</v>
          </cell>
          <cell r="E3331" t="str">
            <v xml:space="preserve"> Oh </v>
          </cell>
          <cell r="G3331">
            <v>0</v>
          </cell>
        </row>
        <row r="3332">
          <cell r="C3332" t="str">
            <v xml:space="preserve">Kepala tukang </v>
          </cell>
          <cell r="E3332" t="str">
            <v xml:space="preserve"> Oh </v>
          </cell>
          <cell r="G3332">
            <v>0</v>
          </cell>
        </row>
        <row r="3333">
          <cell r="C3333" t="str">
            <v xml:space="preserve">Mandor </v>
          </cell>
          <cell r="E3333" t="str">
            <v xml:space="preserve"> Oh </v>
          </cell>
          <cell r="G3333">
            <v>0</v>
          </cell>
        </row>
        <row r="3334">
          <cell r="D3334">
            <v>0.12</v>
          </cell>
          <cell r="G3334">
            <v>0</v>
          </cell>
        </row>
        <row r="3335">
          <cell r="B3335" t="str">
            <v xml:space="preserve">1 m' Pas. Atap Nok Seng  </v>
          </cell>
          <cell r="D3335">
            <v>0.06</v>
          </cell>
          <cell r="G3335">
            <v>0</v>
          </cell>
        </row>
        <row r="3336">
          <cell r="B3336" t="str">
            <v xml:space="preserve">Bahan </v>
          </cell>
          <cell r="D3336">
            <v>6.0000000000000001E-3</v>
          </cell>
          <cell r="G3336">
            <v>0</v>
          </cell>
        </row>
        <row r="3337">
          <cell r="C3337" t="str">
            <v>Seng  plat 3" x 6" bjls 28</v>
          </cell>
          <cell r="D3337">
            <v>6.0000000000000001E-3</v>
          </cell>
          <cell r="E3337" t="str">
            <v>lbr</v>
          </cell>
          <cell r="G3337">
            <v>0</v>
          </cell>
        </row>
        <row r="3338">
          <cell r="C3338" t="str">
            <v>Paku biasa 1/2" - 1"</v>
          </cell>
          <cell r="E3338" t="str">
            <v>kg</v>
          </cell>
          <cell r="G3338">
            <v>0</v>
          </cell>
        </row>
        <row r="3339">
          <cell r="G3339">
            <v>0</v>
          </cell>
        </row>
        <row r="3340">
          <cell r="B3340" t="str">
            <v xml:space="preserve">Tenaga </v>
          </cell>
          <cell r="G3340">
            <v>0</v>
          </cell>
        </row>
        <row r="3341">
          <cell r="C3341" t="str">
            <v xml:space="preserve">Pekerja </v>
          </cell>
          <cell r="D3341">
            <v>0.3</v>
          </cell>
          <cell r="E3341" t="str">
            <v xml:space="preserve">Oh </v>
          </cell>
          <cell r="G3341">
            <v>0</v>
          </cell>
        </row>
        <row r="3342">
          <cell r="C3342" t="str">
            <v xml:space="preserve">Tukang kayu </v>
          </cell>
          <cell r="D3342">
            <v>0.04</v>
          </cell>
          <cell r="E3342" t="str">
            <v xml:space="preserve"> Oh </v>
          </cell>
          <cell r="G3342">
            <v>0</v>
          </cell>
        </row>
        <row r="3343">
          <cell r="C3343" t="str">
            <v xml:space="preserve">Kepala tukang </v>
          </cell>
          <cell r="E3343" t="str">
            <v xml:space="preserve"> Oh </v>
          </cell>
          <cell r="G3343">
            <v>0</v>
          </cell>
        </row>
        <row r="3344">
          <cell r="C3344" t="str">
            <v xml:space="preserve">Mandor </v>
          </cell>
          <cell r="E3344" t="str">
            <v xml:space="preserve"> Oh </v>
          </cell>
          <cell r="G3344">
            <v>0</v>
          </cell>
        </row>
        <row r="3345">
          <cell r="D3345">
            <v>0.15</v>
          </cell>
          <cell r="G3345">
            <v>0</v>
          </cell>
        </row>
        <row r="3346">
          <cell r="B3346" t="str">
            <v xml:space="preserve">1 m' Pas. Atap Aluminium  </v>
          </cell>
          <cell r="D3346">
            <v>7.0000000000000007E-2</v>
          </cell>
          <cell r="G3346">
            <v>0</v>
          </cell>
        </row>
        <row r="3347">
          <cell r="B3347" t="str">
            <v xml:space="preserve">Bahan </v>
          </cell>
          <cell r="D3347">
            <v>8.0000000000000002E-3</v>
          </cell>
          <cell r="G3347">
            <v>0</v>
          </cell>
        </row>
        <row r="3348">
          <cell r="C3348" t="str">
            <v>Atap aluminium  Gelombang TB 0,55</v>
          </cell>
          <cell r="D3348">
            <v>6.0000000000000001E-3</v>
          </cell>
          <cell r="E3348" t="str">
            <v>lbr</v>
          </cell>
          <cell r="G3348">
            <v>0</v>
          </cell>
        </row>
        <row r="3349">
          <cell r="C3349" t="str">
            <v>Paku hak panjang 15 cm</v>
          </cell>
          <cell r="E3349" t="str">
            <v>kg</v>
          </cell>
          <cell r="G3349">
            <v>0</v>
          </cell>
        </row>
        <row r="3350">
          <cell r="G3350">
            <v>0</v>
          </cell>
        </row>
        <row r="3351">
          <cell r="B3351" t="str">
            <v xml:space="preserve">Tenaga </v>
          </cell>
          <cell r="G3351">
            <v>0</v>
          </cell>
        </row>
        <row r="3352">
          <cell r="C3352" t="str">
            <v xml:space="preserve">Pekerja </v>
          </cell>
          <cell r="D3352">
            <v>1.05</v>
          </cell>
          <cell r="E3352" t="str">
            <v xml:space="preserve">Oh </v>
          </cell>
          <cell r="G3352">
            <v>0</v>
          </cell>
        </row>
        <row r="3353">
          <cell r="C3353" t="str">
            <v xml:space="preserve">Tukang kayu </v>
          </cell>
          <cell r="D3353">
            <v>0.02</v>
          </cell>
          <cell r="E3353" t="str">
            <v xml:space="preserve"> Oh </v>
          </cell>
          <cell r="G3353">
            <v>0</v>
          </cell>
        </row>
        <row r="3354">
          <cell r="C3354" t="str">
            <v xml:space="preserve">Kepala tukang </v>
          </cell>
          <cell r="E3354" t="str">
            <v xml:space="preserve"> Oh </v>
          </cell>
          <cell r="G3354">
            <v>0</v>
          </cell>
        </row>
        <row r="3355">
          <cell r="C3355" t="str">
            <v xml:space="preserve">Mandor </v>
          </cell>
          <cell r="E3355" t="str">
            <v xml:space="preserve"> Oh </v>
          </cell>
          <cell r="G3355">
            <v>0</v>
          </cell>
        </row>
        <row r="3356">
          <cell r="D3356">
            <v>0.15</v>
          </cell>
          <cell r="G3356">
            <v>0</v>
          </cell>
        </row>
        <row r="3357">
          <cell r="B3357" t="str">
            <v xml:space="preserve">1 m' Pas.nok  Aluminium  </v>
          </cell>
          <cell r="D3357">
            <v>0.75</v>
          </cell>
          <cell r="G3357">
            <v>0</v>
          </cell>
        </row>
        <row r="3358">
          <cell r="B3358" t="str">
            <v xml:space="preserve">Bahan </v>
          </cell>
          <cell r="D3358">
            <v>8.0000000000000002E-3</v>
          </cell>
          <cell r="G3358">
            <v>0</v>
          </cell>
        </row>
        <row r="3359">
          <cell r="C3359" t="str">
            <v xml:space="preserve"> Nok Standrant 40 cm,18 SWG 22</v>
          </cell>
          <cell r="D3359">
            <v>6.0000000000000001E-3</v>
          </cell>
          <cell r="E3359" t="str">
            <v>lbr</v>
          </cell>
          <cell r="G3359">
            <v>0</v>
          </cell>
        </row>
        <row r="3360">
          <cell r="C3360" t="str">
            <v>Paku hak panjang 15 cm</v>
          </cell>
          <cell r="E3360" t="str">
            <v>kg</v>
          </cell>
          <cell r="G3360">
            <v>0</v>
          </cell>
        </row>
        <row r="3361">
          <cell r="G3361">
            <v>0</v>
          </cell>
        </row>
        <row r="3362">
          <cell r="B3362" t="str">
            <v xml:space="preserve">Tenaga </v>
          </cell>
          <cell r="G3362">
            <v>0</v>
          </cell>
        </row>
        <row r="3363">
          <cell r="C3363" t="str">
            <v xml:space="preserve">Pekerja </v>
          </cell>
          <cell r="D3363">
            <v>1.2</v>
          </cell>
          <cell r="E3363" t="str">
            <v xml:space="preserve">Oh </v>
          </cell>
          <cell r="G3363">
            <v>0</v>
          </cell>
        </row>
        <row r="3364">
          <cell r="C3364" t="str">
            <v xml:space="preserve">Tukang kayu </v>
          </cell>
          <cell r="D3364">
            <v>0.04</v>
          </cell>
          <cell r="E3364" t="str">
            <v xml:space="preserve"> Oh </v>
          </cell>
          <cell r="G3364">
            <v>0</v>
          </cell>
        </row>
        <row r="3365">
          <cell r="C3365" t="str">
            <v xml:space="preserve">Kepala tukang </v>
          </cell>
          <cell r="E3365" t="str">
            <v xml:space="preserve"> Oh </v>
          </cell>
          <cell r="G3365">
            <v>0</v>
          </cell>
        </row>
        <row r="3366">
          <cell r="C3366" t="str">
            <v xml:space="preserve">Mandor </v>
          </cell>
          <cell r="E3366" t="str">
            <v xml:space="preserve"> Oh </v>
          </cell>
          <cell r="G3366">
            <v>0</v>
          </cell>
        </row>
        <row r="3367">
          <cell r="D3367">
            <v>0.1</v>
          </cell>
          <cell r="G3367">
            <v>0</v>
          </cell>
        </row>
        <row r="3368">
          <cell r="B3368" t="str">
            <v xml:space="preserve">1 m' Pas.  Aluminium foil / sisalation </v>
          </cell>
          <cell r="D3368">
            <v>1</v>
          </cell>
          <cell r="G3368">
            <v>0</v>
          </cell>
        </row>
        <row r="3369">
          <cell r="B3369" t="str">
            <v xml:space="preserve">Bahan </v>
          </cell>
          <cell r="D3369">
            <v>0.01</v>
          </cell>
          <cell r="G3369">
            <v>0</v>
          </cell>
        </row>
        <row r="3370">
          <cell r="C3370" t="str">
            <v xml:space="preserve"> sisalation / aluminium foil</v>
          </cell>
          <cell r="D3370">
            <v>0.01</v>
          </cell>
          <cell r="E3370" t="str">
            <v>m2</v>
          </cell>
          <cell r="G3370">
            <v>0</v>
          </cell>
        </row>
        <row r="3371">
          <cell r="G3371">
            <v>0</v>
          </cell>
        </row>
        <row r="3372">
          <cell r="B3372" t="str">
            <v xml:space="preserve">Tenaga </v>
          </cell>
          <cell r="G3372">
            <v>0</v>
          </cell>
        </row>
        <row r="3373">
          <cell r="C3373" t="str">
            <v xml:space="preserve">Pekerja </v>
          </cell>
          <cell r="E3373" t="str">
            <v xml:space="preserve">Oh </v>
          </cell>
          <cell r="G3373">
            <v>0</v>
          </cell>
        </row>
        <row r="3374">
          <cell r="C3374" t="str">
            <v xml:space="preserve">Tukang kayu </v>
          </cell>
          <cell r="D3374">
            <v>1.05</v>
          </cell>
          <cell r="E3374" t="str">
            <v xml:space="preserve"> Oh </v>
          </cell>
          <cell r="G3374">
            <v>0</v>
          </cell>
        </row>
        <row r="3375">
          <cell r="C3375" t="str">
            <v xml:space="preserve">Kepala tukang </v>
          </cell>
          <cell r="E3375" t="str">
            <v xml:space="preserve"> Oh </v>
          </cell>
          <cell r="G3375">
            <v>0</v>
          </cell>
        </row>
        <row r="3376">
          <cell r="C3376" t="str">
            <v xml:space="preserve">Mandor </v>
          </cell>
          <cell r="E3376" t="str">
            <v xml:space="preserve"> Oh </v>
          </cell>
          <cell r="G3376">
            <v>0</v>
          </cell>
        </row>
        <row r="3377">
          <cell r="D3377">
            <v>0.15</v>
          </cell>
          <cell r="G3377">
            <v>0</v>
          </cell>
        </row>
        <row r="3378">
          <cell r="B3378" t="str">
            <v xml:space="preserve">Analisa Biaya Kontruksi Pekerjaan </v>
          </cell>
          <cell r="D3378">
            <v>0.05</v>
          </cell>
          <cell r="G3378">
            <v>0</v>
          </cell>
        </row>
        <row r="3379">
          <cell r="B3379" t="str">
            <v>Langit- langit</v>
          </cell>
          <cell r="D3379">
            <v>5.0000000000000001E-3</v>
          </cell>
          <cell r="G3379">
            <v>0</v>
          </cell>
        </row>
        <row r="3380">
          <cell r="B3380" t="str">
            <v xml:space="preserve">1 m2 langit langit asbes (1,00 X 1,00)M, </v>
          </cell>
          <cell r="D3380">
            <v>8.0000000000000002E-3</v>
          </cell>
          <cell r="G3380">
            <v>0</v>
          </cell>
        </row>
        <row r="3381">
          <cell r="B3381" t="str">
            <v>Tebal 6 mm</v>
          </cell>
          <cell r="G3381">
            <v>0</v>
          </cell>
        </row>
        <row r="3382">
          <cell r="B3382" t="str">
            <v xml:space="preserve">Bahan </v>
          </cell>
          <cell r="G3382">
            <v>0</v>
          </cell>
        </row>
        <row r="3383">
          <cell r="C3383" t="str">
            <v>Plat Asbes tebal 6 mm</v>
          </cell>
          <cell r="E3383" t="str">
            <v>lbr</v>
          </cell>
          <cell r="G3383">
            <v>0</v>
          </cell>
        </row>
        <row r="3384">
          <cell r="C3384" t="str">
            <v xml:space="preserve">Paku </v>
          </cell>
          <cell r="E3384" t="str">
            <v>kg</v>
          </cell>
          <cell r="G3384">
            <v>0</v>
          </cell>
        </row>
        <row r="3385">
          <cell r="G3385">
            <v>0</v>
          </cell>
        </row>
        <row r="3386">
          <cell r="B3386" t="str">
            <v xml:space="preserve">Tenaga </v>
          </cell>
          <cell r="G3386">
            <v>0</v>
          </cell>
        </row>
        <row r="3387">
          <cell r="C3387" t="str">
            <v xml:space="preserve">Pekerja </v>
          </cell>
          <cell r="D3387">
            <v>1.1000000000000001</v>
          </cell>
          <cell r="E3387" t="str">
            <v xml:space="preserve">Oh </v>
          </cell>
          <cell r="G3387">
            <v>0</v>
          </cell>
        </row>
        <row r="3388">
          <cell r="C3388" t="str">
            <v xml:space="preserve">Tukang kayu </v>
          </cell>
          <cell r="D3388">
            <v>0.01</v>
          </cell>
          <cell r="E3388" t="str">
            <v xml:space="preserve"> Oh </v>
          </cell>
          <cell r="G3388">
            <v>0</v>
          </cell>
        </row>
        <row r="3389">
          <cell r="C3389" t="str">
            <v xml:space="preserve">Kepala tukang </v>
          </cell>
          <cell r="E3389" t="str">
            <v xml:space="preserve"> Oh </v>
          </cell>
          <cell r="G3389">
            <v>0</v>
          </cell>
        </row>
        <row r="3390">
          <cell r="C3390" t="str">
            <v xml:space="preserve">Mandor </v>
          </cell>
          <cell r="E3390" t="str">
            <v xml:space="preserve"> Oh </v>
          </cell>
          <cell r="G3390">
            <v>0</v>
          </cell>
        </row>
        <row r="3391">
          <cell r="D3391">
            <v>0.03</v>
          </cell>
          <cell r="G3391">
            <v>0</v>
          </cell>
        </row>
        <row r="3392">
          <cell r="B3392" t="str">
            <v xml:space="preserve">1 m2 langit langit asbes (1,00 X 1,00)M, </v>
          </cell>
          <cell r="D3392">
            <v>7.0000000000000007E-2</v>
          </cell>
          <cell r="G3392">
            <v>0</v>
          </cell>
        </row>
        <row r="3393">
          <cell r="B3393" t="str">
            <v>Tebal 5 mm</v>
          </cell>
          <cell r="D3393">
            <v>7.0000000000000001E-3</v>
          </cell>
          <cell r="G3393">
            <v>0</v>
          </cell>
        </row>
        <row r="3394">
          <cell r="B3394" t="str">
            <v xml:space="preserve">Bahan </v>
          </cell>
          <cell r="D3394">
            <v>1.5E-3</v>
          </cell>
          <cell r="G3394">
            <v>0</v>
          </cell>
        </row>
        <row r="3395">
          <cell r="C3395" t="str">
            <v>Plat Asbes tebal 5 mm</v>
          </cell>
          <cell r="E3395" t="str">
            <v>lbr</v>
          </cell>
          <cell r="G3395">
            <v>0</v>
          </cell>
        </row>
        <row r="3396">
          <cell r="C3396" t="str">
            <v xml:space="preserve">Paku </v>
          </cell>
          <cell r="E3396" t="str">
            <v>kg</v>
          </cell>
          <cell r="G3396">
            <v>0</v>
          </cell>
        </row>
        <row r="3397">
          <cell r="G3397">
            <v>0</v>
          </cell>
        </row>
        <row r="3398">
          <cell r="B3398" t="str">
            <v xml:space="preserve">Tenaga </v>
          </cell>
          <cell r="G3398">
            <v>0</v>
          </cell>
        </row>
        <row r="3399">
          <cell r="C3399" t="str">
            <v xml:space="preserve">Pekerja </v>
          </cell>
          <cell r="D3399">
            <v>1.1000000000000001</v>
          </cell>
          <cell r="E3399" t="str">
            <v xml:space="preserve">Oh </v>
          </cell>
          <cell r="G3399">
            <v>0</v>
          </cell>
        </row>
        <row r="3400">
          <cell r="C3400" t="str">
            <v xml:space="preserve">Tukang kayu </v>
          </cell>
          <cell r="D3400">
            <v>0.01</v>
          </cell>
          <cell r="E3400" t="str">
            <v xml:space="preserve"> Oh </v>
          </cell>
          <cell r="G3400">
            <v>0</v>
          </cell>
        </row>
        <row r="3401">
          <cell r="C3401" t="str">
            <v xml:space="preserve">Kepala tukang </v>
          </cell>
          <cell r="E3401" t="str">
            <v xml:space="preserve"> Oh </v>
          </cell>
          <cell r="G3401">
            <v>0</v>
          </cell>
        </row>
        <row r="3402">
          <cell r="C3402" t="str">
            <v xml:space="preserve">Mandor </v>
          </cell>
          <cell r="E3402" t="str">
            <v xml:space="preserve"> Oh </v>
          </cell>
          <cell r="G3402">
            <v>0</v>
          </cell>
        </row>
        <row r="3403">
          <cell r="D3403">
            <v>0.03</v>
          </cell>
          <cell r="G3403">
            <v>0</v>
          </cell>
        </row>
        <row r="3404">
          <cell r="B3404" t="str">
            <v xml:space="preserve">1 m2 langit langit asbes (1,00 X 1,00)M, </v>
          </cell>
          <cell r="D3404">
            <v>7.0000000000000007E-2</v>
          </cell>
          <cell r="G3404">
            <v>0</v>
          </cell>
        </row>
        <row r="3405">
          <cell r="B3405" t="str">
            <v>Tebal 4 mm</v>
          </cell>
          <cell r="D3405">
            <v>7.0000000000000001E-3</v>
          </cell>
          <cell r="G3405">
            <v>0</v>
          </cell>
        </row>
        <row r="3406">
          <cell r="B3406" t="str">
            <v xml:space="preserve">Bahan </v>
          </cell>
          <cell r="D3406">
            <v>1.5E-3</v>
          </cell>
          <cell r="G3406">
            <v>0</v>
          </cell>
        </row>
        <row r="3407">
          <cell r="C3407" t="str">
            <v>Plat Asbes tebal 4 mm</v>
          </cell>
          <cell r="E3407" t="str">
            <v>lbr</v>
          </cell>
          <cell r="G3407">
            <v>0</v>
          </cell>
        </row>
        <row r="3408">
          <cell r="C3408" t="str">
            <v xml:space="preserve">Paku </v>
          </cell>
          <cell r="E3408" t="str">
            <v>kg</v>
          </cell>
          <cell r="G3408">
            <v>0</v>
          </cell>
        </row>
        <row r="3409">
          <cell r="G3409">
            <v>0</v>
          </cell>
        </row>
        <row r="3410">
          <cell r="B3410" t="str">
            <v xml:space="preserve">Tenaga </v>
          </cell>
          <cell r="G3410">
            <v>0</v>
          </cell>
        </row>
        <row r="3411">
          <cell r="C3411" t="str">
            <v xml:space="preserve">Pekerja </v>
          </cell>
          <cell r="D3411">
            <v>1.1000000000000001</v>
          </cell>
          <cell r="E3411" t="str">
            <v xml:space="preserve">Oh </v>
          </cell>
          <cell r="G3411">
            <v>0</v>
          </cell>
        </row>
        <row r="3412">
          <cell r="C3412" t="str">
            <v xml:space="preserve">Tukang kayu </v>
          </cell>
          <cell r="D3412">
            <v>0.01</v>
          </cell>
          <cell r="E3412" t="str">
            <v xml:space="preserve"> Oh </v>
          </cell>
          <cell r="G3412">
            <v>0</v>
          </cell>
        </row>
        <row r="3413">
          <cell r="C3413" t="str">
            <v xml:space="preserve">Kepala tukang </v>
          </cell>
          <cell r="E3413" t="str">
            <v xml:space="preserve"> Oh </v>
          </cell>
          <cell r="G3413">
            <v>0</v>
          </cell>
        </row>
        <row r="3414">
          <cell r="C3414" t="str">
            <v xml:space="preserve">Mandor </v>
          </cell>
          <cell r="E3414" t="str">
            <v xml:space="preserve"> Oh </v>
          </cell>
          <cell r="G3414">
            <v>0</v>
          </cell>
        </row>
        <row r="3415">
          <cell r="D3415">
            <v>0.03</v>
          </cell>
          <cell r="G3415">
            <v>0</v>
          </cell>
        </row>
        <row r="3416">
          <cell r="B3416" t="str">
            <v xml:space="preserve">1 m2 langit langit asbes (1,00 X 1,00)M, </v>
          </cell>
          <cell r="D3416">
            <v>7.0000000000000007E-2</v>
          </cell>
          <cell r="G3416">
            <v>0</v>
          </cell>
        </row>
        <row r="3417">
          <cell r="B3417" t="str">
            <v>Tebal 3.5 mm</v>
          </cell>
          <cell r="D3417">
            <v>7.0000000000000001E-3</v>
          </cell>
          <cell r="G3417">
            <v>0</v>
          </cell>
        </row>
        <row r="3418">
          <cell r="B3418" t="str">
            <v xml:space="preserve">Bahan </v>
          </cell>
          <cell r="D3418">
            <v>1.5E-3</v>
          </cell>
          <cell r="G3418">
            <v>0</v>
          </cell>
        </row>
        <row r="3419">
          <cell r="C3419" t="str">
            <v>Plat Asbes tebal 3.5 mm</v>
          </cell>
          <cell r="E3419" t="str">
            <v>lbr</v>
          </cell>
          <cell r="G3419">
            <v>0</v>
          </cell>
        </row>
        <row r="3420">
          <cell r="C3420" t="str">
            <v xml:space="preserve">Paku </v>
          </cell>
          <cell r="E3420" t="str">
            <v>kg</v>
          </cell>
          <cell r="G3420">
            <v>0</v>
          </cell>
        </row>
        <row r="3421">
          <cell r="G3421">
            <v>0</v>
          </cell>
        </row>
        <row r="3422">
          <cell r="B3422" t="str">
            <v xml:space="preserve">Tenaga </v>
          </cell>
          <cell r="G3422">
            <v>0</v>
          </cell>
        </row>
        <row r="3423">
          <cell r="C3423" t="str">
            <v xml:space="preserve">Pekerja </v>
          </cell>
          <cell r="D3423">
            <v>1.1000000000000001</v>
          </cell>
          <cell r="E3423" t="str">
            <v xml:space="preserve">Oh </v>
          </cell>
          <cell r="G3423">
            <v>0</v>
          </cell>
        </row>
        <row r="3424">
          <cell r="C3424" t="str">
            <v xml:space="preserve">Tukang kayu </v>
          </cell>
          <cell r="D3424">
            <v>0.01</v>
          </cell>
          <cell r="E3424" t="str">
            <v xml:space="preserve"> Oh </v>
          </cell>
          <cell r="G3424">
            <v>0</v>
          </cell>
        </row>
        <row r="3425">
          <cell r="C3425" t="str">
            <v xml:space="preserve">Kepala tukang </v>
          </cell>
          <cell r="E3425" t="str">
            <v xml:space="preserve"> Oh </v>
          </cell>
          <cell r="G3425">
            <v>0</v>
          </cell>
        </row>
        <row r="3426">
          <cell r="C3426" t="str">
            <v xml:space="preserve">Mandor </v>
          </cell>
          <cell r="E3426" t="str">
            <v xml:space="preserve"> Oh </v>
          </cell>
          <cell r="G3426">
            <v>0</v>
          </cell>
        </row>
        <row r="3427">
          <cell r="D3427">
            <v>0.03</v>
          </cell>
          <cell r="G3427">
            <v>0</v>
          </cell>
        </row>
        <row r="3428">
          <cell r="B3428" t="str">
            <v xml:space="preserve">1 m2 langit langit akustik (30 X 30)CM, </v>
          </cell>
          <cell r="D3428">
            <v>7.0000000000000007E-2</v>
          </cell>
          <cell r="G3428">
            <v>0</v>
          </cell>
        </row>
        <row r="3429">
          <cell r="B3429" t="str">
            <v xml:space="preserve">Bahan </v>
          </cell>
          <cell r="D3429">
            <v>7.0000000000000001E-3</v>
          </cell>
          <cell r="G3429">
            <v>0</v>
          </cell>
        </row>
        <row r="3430">
          <cell r="C3430" t="str">
            <v>Akustik ukuran 30 x 30 cm</v>
          </cell>
          <cell r="D3430">
            <v>1.5E-3</v>
          </cell>
          <cell r="E3430" t="str">
            <v>lbr</v>
          </cell>
          <cell r="G3430">
            <v>0</v>
          </cell>
        </row>
        <row r="3431">
          <cell r="C3431" t="str">
            <v xml:space="preserve">Paku </v>
          </cell>
          <cell r="E3431" t="str">
            <v>kg</v>
          </cell>
          <cell r="G3431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H.Satuan"/>
      <sheetName val="data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산근"/>
      <sheetName val="ALL"/>
      <sheetName val="Analisa"/>
      <sheetName val="HARGA MATERIAL"/>
      <sheetName val="PriceList"/>
      <sheetName val="Fill this out first..."/>
      <sheetName val="Fill this out first___"/>
      <sheetName val="DAF-2"/>
      <sheetName val="SBDY"/>
      <sheetName val="1"/>
      <sheetName val="RFP009"/>
      <sheetName val="KH-Q1,Q2,01"/>
      <sheetName val="Pt"/>
      <sheetName val="Cover"/>
      <sheetName val="FAKTOR"/>
      <sheetName val="struktur tdk dipakai"/>
      <sheetName val="Material"/>
      <sheetName val="HRG BAHAN &amp; UPAH okk"/>
      <sheetName val="Analis Kusen okk"/>
      <sheetName val="Pipe"/>
      <sheetName val="Cover Daf-2"/>
      <sheetName val="A"/>
      <sheetName val="H_Satuan"/>
      <sheetName val="Breakdown"/>
      <sheetName val="harsat"/>
      <sheetName val="HARGA BAHAN"/>
      <sheetName val="BAG-2"/>
      <sheetName val="DAF_2"/>
      <sheetName val="JAN"/>
      <sheetName val="Elektrikal"/>
      <sheetName val="product"/>
      <sheetName val="PLUMBING"/>
      <sheetName val="LO"/>
      <sheetName val="PEMBESIAN BALOK tukang (2)"/>
      <sheetName val="HSD"/>
      <sheetName val="BTL-Bau"/>
      <sheetName val="Management"/>
      <sheetName val="D _ W sizes"/>
      <sheetName val="AnalisaSIPIL RIIL RAP"/>
      <sheetName val="HRG BHN"/>
      <sheetName val="Har-sat-dasr"/>
      <sheetName val="BoQ"/>
      <sheetName val="BQ ARS"/>
      <sheetName val="Spec ME"/>
      <sheetName val="MASTER"/>
      <sheetName val="DAFTAR_8"/>
      <sheetName val="TOTAL"/>
      <sheetName val="DAFTAR 7"/>
      <sheetName val="Cal_Slab_Admin"/>
      <sheetName val="SITE-E"/>
      <sheetName val="Rekap Prelim"/>
      <sheetName val="name"/>
      <sheetName val="Ch"/>
      <sheetName val="DAF-1"/>
      <sheetName val="B - Norelec"/>
      <sheetName val="WI"/>
      <sheetName val="gvl"/>
      <sheetName val="ganda"/>
      <sheetName val="CCO"/>
      <sheetName val="Konfirm"/>
      <sheetName val="GEDUNG-A"/>
      <sheetName val="Perm. Test"/>
      <sheetName val="EQT-ESTN"/>
      <sheetName val="Back-Up"/>
      <sheetName val="IN OUT"/>
      <sheetName val="I_KAMAR"/>
      <sheetName val="Listrik"/>
      <sheetName val="Meth"/>
      <sheetName val="AN-E"/>
      <sheetName val="Man Power _ Comp"/>
      <sheetName val="概総括1"/>
      <sheetName val="Harsat Upah"/>
      <sheetName val="rab lt 2 bo"/>
      <sheetName val="A-11 Steel Str"/>
      <sheetName val="A-03 Pile"/>
      <sheetName val="Analisa RAP"/>
      <sheetName val="Jembatan I"/>
      <sheetName val="C. Analisa "/>
      <sheetName val="Rkp"/>
      <sheetName val="AN-ME"/>
      <sheetName val="Master 1.0"/>
      <sheetName val="Conn. Lib"/>
      <sheetName val="Currency"/>
      <sheetName val="MU"/>
      <sheetName val="AnalisaSIPIL RIIL"/>
      <sheetName val="TOWN"/>
      <sheetName val="NAMES"/>
      <sheetName val="Man Power &amp; Comp"/>
      <sheetName val="Up &amp; bhn"/>
      <sheetName val="표지"/>
      <sheetName val="Harga Bahan &amp; Upah "/>
      <sheetName val="COST"/>
      <sheetName val="Format Report-for analysis only"/>
      <sheetName val="XREF"/>
      <sheetName val="P-late"/>
      <sheetName val="HSATUAN"/>
      <sheetName val="UTILITAS"/>
      <sheetName val="S_Suramadu"/>
      <sheetName val="MAT'L LIST"/>
      <sheetName val="Ana. PU"/>
      <sheetName val="2. MVAC R1"/>
      <sheetName val="FINISHING"/>
      <sheetName val="INDEX"/>
      <sheetName val="Cover Daf_2"/>
      <sheetName val="MAP"/>
      <sheetName val="1.19"/>
      <sheetName val="BQ"/>
      <sheetName val="Analisa 2"/>
      <sheetName val="ANALISA railing"/>
      <sheetName val="2. BQ"/>
      <sheetName val="Posisi Biaya"/>
      <sheetName val="C_Flow"/>
      <sheetName val="BD Div-2 sd 7.6"/>
      <sheetName val="Cashflow"/>
      <sheetName val="BQ(RAB)_(2)1"/>
      <sheetName val="BQ(RAB)_(3)1"/>
      <sheetName val="adukan_1"/>
      <sheetName val="Analisa_Alat1"/>
      <sheetName val="Pas_batu1"/>
      <sheetName val="Alat_Kudus1"/>
      <sheetName val="Kap_Alat1"/>
      <sheetName val="H_Satuan1"/>
      <sheetName val="Analisa_SNI_STANDART_"/>
      <sheetName val="Fill_this_out_first___"/>
      <sheetName val="Fill_this_out_first___1"/>
      <sheetName val="HRG_BAHAN_&amp;_UPAH_okk"/>
      <sheetName val="Analis_Kusen_okk"/>
      <sheetName val="Cover_Daf-2"/>
      <sheetName val="BQ_ARS"/>
      <sheetName val="Spec_ME"/>
      <sheetName val="Str BT"/>
      <sheetName val="GRAND TOTAL"/>
      <sheetName val=" schedule AMD-2 Rev III"/>
      <sheetName val="UBA"/>
      <sheetName val="AHSbj"/>
      <sheetName val="sdm"/>
      <sheetName val="Volume 1"/>
      <sheetName val="Sumda1"/>
      <sheetName val="Harga Satuan"/>
      <sheetName val="Rekap_elban"/>
      <sheetName val="rekap mekanikal"/>
      <sheetName val="Agregat Halus &amp; Kasar"/>
      <sheetName val="MUTASI"/>
      <sheetName val="Off + Wh"/>
      <sheetName val="List Material"/>
      <sheetName val="RAB-2006-Total"/>
      <sheetName val="Koefisien"/>
      <sheetName val="DIV2"/>
      <sheetName val="9DHSDBU"/>
      <sheetName val="SCH"/>
      <sheetName val="Uraian Teknis"/>
      <sheetName val="MC_strp CoDa "/>
      <sheetName val="1. BQ"/>
      <sheetName val="Vibro_Roller"/>
      <sheetName val="rate"/>
      <sheetName val="unit price"/>
      <sheetName val="TABEL"/>
      <sheetName val="gal"/>
      <sheetName val="BasicPrice"/>
      <sheetName val="ana_str"/>
      <sheetName val="???1"/>
      <sheetName val="SEX"/>
      <sheetName val="FAK"/>
      <sheetName val="304-06"/>
      <sheetName val="01A- RAB"/>
      <sheetName val="3.1"/>
      <sheetName val="Fin Sum"/>
      <sheetName val="ES-PARK"/>
      <sheetName val="ES_PARK"/>
      <sheetName val="UPAHBAHAN"/>
      <sheetName val="Daftar Upah"/>
      <sheetName val="3.4-PIPE"/>
      <sheetName val="Analisa Upah &amp; Bahan Plum"/>
      <sheetName val="JPC Breakdown Price"/>
      <sheetName val="RAB.SEKRETARIAT (1)"/>
      <sheetName val="ANALISA-HST"/>
      <sheetName val="RAB"/>
      <sheetName val="Sumber Daya"/>
      <sheetName val="Kuantitas &amp; Harga"/>
      <sheetName val="Prices-600"/>
      <sheetName val="Galian batu"/>
      <sheetName val="Connections"/>
      <sheetName val="DWTables"/>
      <sheetName val="405BQBAK-ME 26 bakrie"/>
      <sheetName val="Kegiatan"/>
      <sheetName val="H. Satuan"/>
      <sheetName val="Harga Upah+Bahan"/>
      <sheetName val="B Q 2007"/>
      <sheetName val="Hrg"/>
      <sheetName val="REKAP TOTAL"/>
      <sheetName val="Kurva S (barch-bulanan-25)"/>
      <sheetName val="srtber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D32" t="str">
            <v>Gorong-gorong pipa beton bertulang diameter dalam</v>
          </cell>
          <cell r="F32" t="str">
            <v>m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D34" t="str">
            <v>Gorong-gorong pipa baja gelombang.</v>
          </cell>
          <cell r="F34" t="str">
            <v>ton</v>
          </cell>
          <cell r="I34">
            <v>0</v>
          </cell>
        </row>
        <row r="36">
          <cell r="B36" t="str">
            <v>2.3 (3)</v>
          </cell>
          <cell r="D36" t="str">
            <v>Saluran Beton Bertulang U  20 - 40 cm</v>
          </cell>
          <cell r="F36" t="str">
            <v>m</v>
          </cell>
          <cell r="H36" t="e">
            <v>#REF!</v>
          </cell>
          <cell r="I36" t="e">
            <v>#REF!</v>
          </cell>
        </row>
        <row r="38">
          <cell r="B38" t="str">
            <v>2.3 (4)</v>
          </cell>
          <cell r="D38" t="str">
            <v>Saluran Beton Bertulang U  40 - 60 cm</v>
          </cell>
          <cell r="F38" t="str">
            <v>m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D40" t="str">
            <v xml:space="preserve">Urugan Berongga Atau Material Penyaring </v>
          </cell>
          <cell r="F40" t="str">
            <v>m3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D42" t="str">
            <v>Pekerjaan drainase dibawah permukaan.</v>
          </cell>
          <cell r="F42" t="str">
            <v>m3</v>
          </cell>
          <cell r="I42">
            <v>0</v>
          </cell>
        </row>
        <row r="56">
          <cell r="B56" t="str">
            <v>3.1.(3a)</v>
          </cell>
          <cell r="D56" t="str">
            <v>Galian Kontruksi Kedalaman 0 - 2 m</v>
          </cell>
          <cell r="F56" t="str">
            <v>m3</v>
          </cell>
          <cell r="I56">
            <v>0</v>
          </cell>
        </row>
        <row r="58">
          <cell r="B58" t="str">
            <v>3.1.(3b)</v>
          </cell>
          <cell r="D58" t="str">
            <v>Galian Kontruksi Kedalaman 2 - 4 m</v>
          </cell>
          <cell r="F58" t="str">
            <v>m3</v>
          </cell>
          <cell r="I58">
            <v>0</v>
          </cell>
        </row>
        <row r="60">
          <cell r="B60" t="str">
            <v>3.1.(3c)</v>
          </cell>
          <cell r="D60" t="str">
            <v>Galian Kontruksi Kedalaman 4 - 6 m</v>
          </cell>
          <cell r="F60" t="str">
            <v>m3</v>
          </cell>
          <cell r="I60">
            <v>0</v>
          </cell>
        </row>
        <row r="62">
          <cell r="B62" t="str">
            <v>3.1.(4)</v>
          </cell>
          <cell r="D62" t="str">
            <v>Kisdam Pengering</v>
          </cell>
          <cell r="F62" t="str">
            <v>Ls</v>
          </cell>
          <cell r="I62">
            <v>0</v>
          </cell>
        </row>
        <row r="70">
          <cell r="B70" t="str">
            <v>3.4(1)</v>
          </cell>
          <cell r="D70" t="str">
            <v>Resapan pasir vertikal (diameter ....  cm)</v>
          </cell>
          <cell r="F70" t="str">
            <v>m</v>
          </cell>
          <cell r="I70">
            <v>0</v>
          </cell>
        </row>
        <row r="72">
          <cell r="B72" t="str">
            <v>3.4(2)</v>
          </cell>
          <cell r="D72" t="str">
            <v>Resapan pasir mendatar.</v>
          </cell>
          <cell r="F72" t="str">
            <v>m3</v>
          </cell>
          <cell r="I72">
            <v>0</v>
          </cell>
        </row>
        <row r="86">
          <cell r="B86" t="str">
            <v>4.2(5)</v>
          </cell>
          <cell r="D86" t="str">
            <v>Bahu jalan agregat batu kapur.</v>
          </cell>
          <cell r="F86" t="str">
            <v>m3</v>
          </cell>
          <cell r="I86">
            <v>0</v>
          </cell>
        </row>
        <row r="88">
          <cell r="B88" t="str">
            <v>4.2(6)</v>
          </cell>
          <cell r="D88" t="str">
            <v>Bahu jalan beton K . . . .</v>
          </cell>
          <cell r="F88" t="str">
            <v>m3</v>
          </cell>
          <cell r="I88">
            <v>0</v>
          </cell>
        </row>
        <row r="90">
          <cell r="B90" t="str">
            <v>4.2(7)</v>
          </cell>
          <cell r="D90" t="str">
            <v>Bahu jalan paving block K . . . .</v>
          </cell>
          <cell r="F90" t="str">
            <v>m2</v>
          </cell>
          <cell r="I90">
            <v>0</v>
          </cell>
        </row>
        <row r="104">
          <cell r="B104">
            <v>5.3</v>
          </cell>
          <cell r="D104" t="str">
            <v>Lapis pondasi agregat Cement Treated Base (CTB).</v>
          </cell>
          <cell r="F104" t="str">
            <v>m3</v>
          </cell>
          <cell r="I104">
            <v>0</v>
          </cell>
        </row>
        <row r="106">
          <cell r="B106" t="str">
            <v>5.4(1)</v>
          </cell>
          <cell r="D106" t="str">
            <v>Semen untuk lapis pondasi tanah semen.</v>
          </cell>
          <cell r="F106" t="str">
            <v>Ton</v>
          </cell>
          <cell r="I106">
            <v>0</v>
          </cell>
        </row>
        <row r="108">
          <cell r="B108" t="str">
            <v>5.4(2)</v>
          </cell>
          <cell r="D108" t="str">
            <v>Tanah untuk lapis pondasi tanah semen.</v>
          </cell>
          <cell r="F108" t="str">
            <v>m3</v>
          </cell>
          <cell r="I108">
            <v>0</v>
          </cell>
        </row>
        <row r="126">
          <cell r="B126" t="str">
            <v>6.3(1)</v>
          </cell>
          <cell r="D126" t="str">
            <v>Latasir (sand sheet).</v>
          </cell>
          <cell r="F126" t="str">
            <v>m2</v>
          </cell>
          <cell r="I126">
            <v>0</v>
          </cell>
        </row>
        <row r="142">
          <cell r="B142" t="str">
            <v>7.1 (1)</v>
          </cell>
          <cell r="D142" t="str">
            <v>Beton K-350</v>
          </cell>
          <cell r="F142" t="str">
            <v>m3</v>
          </cell>
          <cell r="I142">
            <v>0</v>
          </cell>
        </row>
        <row r="144">
          <cell r="B144" t="str">
            <v>7.1 (2)</v>
          </cell>
          <cell r="D144" t="str">
            <v>Beton K-300</v>
          </cell>
          <cell r="F144" t="str">
            <v>m3</v>
          </cell>
          <cell r="I144">
            <v>0</v>
          </cell>
        </row>
        <row r="146">
          <cell r="B146" t="str">
            <v>7.1 (3)</v>
          </cell>
          <cell r="D146" t="str">
            <v>Beton K-275</v>
          </cell>
          <cell r="F146" t="str">
            <v>m3</v>
          </cell>
          <cell r="I146">
            <v>0</v>
          </cell>
        </row>
        <row r="152">
          <cell r="B152" t="str">
            <v>7.1 (6)</v>
          </cell>
          <cell r="D152" t="str">
            <v>Beton Siklop ( K-175)</v>
          </cell>
          <cell r="F152" t="str">
            <v>m3</v>
          </cell>
          <cell r="I152">
            <v>0</v>
          </cell>
        </row>
        <row r="154">
          <cell r="B154" t="str">
            <v>7.1 (7)</v>
          </cell>
          <cell r="D154" t="str">
            <v>Beton Siklop ( K-225)</v>
          </cell>
          <cell r="F154" t="str">
            <v>m3</v>
          </cell>
          <cell r="I154">
            <v>0</v>
          </cell>
        </row>
        <row r="158">
          <cell r="B158" t="str">
            <v xml:space="preserve">7.1 (9) </v>
          </cell>
          <cell r="D158" t="str">
            <v>Tambahan biaya perancah beton dgn ketinggian diatas 5 m</v>
          </cell>
          <cell r="F158" t="str">
            <v>m3</v>
          </cell>
          <cell r="I158">
            <v>0</v>
          </cell>
        </row>
        <row r="160">
          <cell r="B160" t="str">
            <v>7.2(1a)</v>
          </cell>
          <cell r="D160" t="str">
            <v>Pengadaan trucuk kayu dia ..... cm.</v>
          </cell>
          <cell r="F160" t="str">
            <v>m</v>
          </cell>
          <cell r="I160">
            <v>0</v>
          </cell>
        </row>
        <row r="162">
          <cell r="B162" t="str">
            <v>7.2(1 b)</v>
          </cell>
          <cell r="D162" t="str">
            <v>Pengadaan trucuk bambu dia ..... cm.</v>
          </cell>
          <cell r="F162" t="str">
            <v>m</v>
          </cell>
          <cell r="I162">
            <v>0</v>
          </cell>
        </row>
        <row r="164">
          <cell r="B164" t="str">
            <v>7.2(2)</v>
          </cell>
          <cell r="D164" t="str">
            <v>Pengadaan tiang pancang kayu dia ..... cm.</v>
          </cell>
          <cell r="F164" t="str">
            <v>m</v>
          </cell>
          <cell r="I164">
            <v>0</v>
          </cell>
        </row>
        <row r="166">
          <cell r="B166" t="str">
            <v>7.2(3)</v>
          </cell>
          <cell r="D166" t="str">
            <v>Pengadaan tiang pancang baja dia ..... cm.</v>
          </cell>
          <cell r="F166" t="str">
            <v>m</v>
          </cell>
          <cell r="I166">
            <v>0</v>
          </cell>
        </row>
        <row r="168">
          <cell r="B168" t="str">
            <v>7.2(4)</v>
          </cell>
          <cell r="D168" t="str">
            <v>Pengadaan tiang pancang beton uk . . . x .   . cm</v>
          </cell>
          <cell r="F168" t="str">
            <v>m</v>
          </cell>
          <cell r="I168">
            <v>0</v>
          </cell>
        </row>
        <row r="170">
          <cell r="B170" t="str">
            <v>7.2(5)</v>
          </cell>
          <cell r="D170" t="str">
            <v>Pengadaan tiang pancang beton dia ... cm.</v>
          </cell>
          <cell r="F170" t="str">
            <v>m</v>
          </cell>
          <cell r="I170">
            <v>0</v>
          </cell>
        </row>
        <row r="172">
          <cell r="B172" t="str">
            <v>7.2(6)</v>
          </cell>
          <cell r="D172" t="str">
            <v>Pengadaan Sheet Pile baja.</v>
          </cell>
          <cell r="F172" t="str">
            <v>m</v>
          </cell>
          <cell r="I172">
            <v>0</v>
          </cell>
        </row>
        <row r="174">
          <cell r="B174" t="str">
            <v>7.2(7)</v>
          </cell>
          <cell r="D174" t="str">
            <v>Pengadaan Sheet Pile beton.</v>
          </cell>
          <cell r="F174" t="str">
            <v>m</v>
          </cell>
          <cell r="I174">
            <v>0</v>
          </cell>
        </row>
        <row r="176">
          <cell r="B176" t="str">
            <v>7.2(8a)</v>
          </cell>
          <cell r="D176" t="str">
            <v>Pemancangan trucuk kayu dia ..... cm.</v>
          </cell>
          <cell r="F176" t="str">
            <v>m</v>
          </cell>
          <cell r="I176">
            <v>0</v>
          </cell>
        </row>
        <row r="178">
          <cell r="B178" t="str">
            <v>7.2(8b)</v>
          </cell>
          <cell r="D178" t="str">
            <v>Pemancangan trucuk bambu dia ..... cm.</v>
          </cell>
          <cell r="F178" t="str">
            <v>m</v>
          </cell>
          <cell r="I178">
            <v>0</v>
          </cell>
        </row>
        <row r="180">
          <cell r="B180" t="str">
            <v>7.2(9)</v>
          </cell>
          <cell r="D180" t="str">
            <v>Pemancangan tiang pancang kayu dia ..... cm.</v>
          </cell>
          <cell r="F180" t="str">
            <v>m</v>
          </cell>
          <cell r="I180">
            <v>0</v>
          </cell>
        </row>
        <row r="182">
          <cell r="B182" t="str">
            <v>7.2(10)</v>
          </cell>
          <cell r="D182" t="str">
            <v>Pemancangan tiang pancang baja dia ..... cm.</v>
          </cell>
          <cell r="F182" t="str">
            <v>m</v>
          </cell>
          <cell r="I182">
            <v>0</v>
          </cell>
        </row>
        <row r="184">
          <cell r="B184" t="str">
            <v>7.2(11)</v>
          </cell>
          <cell r="D184" t="str">
            <v>Pemancangan tiang pancang beton uk ... x ... cm.</v>
          </cell>
          <cell r="F184" t="str">
            <v>m</v>
          </cell>
          <cell r="I184">
            <v>0</v>
          </cell>
        </row>
        <row r="186">
          <cell r="B186" t="str">
            <v>7.2 (12)</v>
          </cell>
          <cell r="D186" t="str">
            <v>Pemancangan Tiang Pancang Beton Dia 45 Cm</v>
          </cell>
          <cell r="F186" t="str">
            <v>M'</v>
          </cell>
          <cell r="I186">
            <v>0</v>
          </cell>
        </row>
        <row r="188">
          <cell r="B188" t="str">
            <v>7.2(13)</v>
          </cell>
          <cell r="D188" t="str">
            <v>Pemancangan Sheet Pile baja.</v>
          </cell>
          <cell r="F188" t="str">
            <v>m</v>
          </cell>
          <cell r="I188">
            <v>0</v>
          </cell>
        </row>
        <row r="190">
          <cell r="B190" t="str">
            <v>7.2(14)</v>
          </cell>
          <cell r="D190" t="str">
            <v>Pemancangan Sheet Pile beton.</v>
          </cell>
          <cell r="F190" t="str">
            <v>m</v>
          </cell>
          <cell r="I190">
            <v>0</v>
          </cell>
        </row>
        <row r="194">
          <cell r="B194" t="str">
            <v>7.3(2)</v>
          </cell>
          <cell r="D194" t="str">
            <v>Baja tulangan U24 ulir.</v>
          </cell>
          <cell r="F194" t="str">
            <v>kg</v>
          </cell>
          <cell r="I194">
            <v>0</v>
          </cell>
        </row>
        <row r="198">
          <cell r="B198" t="str">
            <v>7.4(1)</v>
          </cell>
          <cell r="D198" t="str">
            <v>Pabrikasi dan pemasangan baja bangunan, tegangan</v>
          </cell>
          <cell r="F198" t="str">
            <v>kg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D200" t="str">
            <v>Pabrikasi dan pemasangan baja bangunan, tegangan</v>
          </cell>
          <cell r="F200" t="str">
            <v>kg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D202" t="str">
            <v>Perletakan baja.</v>
          </cell>
          <cell r="F202" t="str">
            <v>kg</v>
          </cell>
          <cell r="I202">
            <v>0</v>
          </cell>
        </row>
        <row r="204">
          <cell r="B204" t="str">
            <v>7.4(4)</v>
          </cell>
          <cell r="D204" t="str">
            <v>Perletakan elastomeric.</v>
          </cell>
          <cell r="F204" t="str">
            <v>dm3</v>
          </cell>
          <cell r="I204">
            <v>0</v>
          </cell>
        </row>
        <row r="206">
          <cell r="B206" t="str">
            <v>7.4(5)</v>
          </cell>
          <cell r="D206" t="str">
            <v>Pemasangan lengkap bangunan atas Steel Plate Girder.</v>
          </cell>
          <cell r="F206" t="str">
            <v>kg</v>
          </cell>
          <cell r="I206">
            <v>0</v>
          </cell>
        </row>
        <row r="208">
          <cell r="B208" t="str">
            <v>7.4(6)</v>
          </cell>
          <cell r="D208" t="str">
            <v>Pemasangan lengkap bangunan atas Rangka Baja.</v>
          </cell>
          <cell r="F208" t="str">
            <v>kg</v>
          </cell>
          <cell r="I208">
            <v>0</v>
          </cell>
        </row>
        <row r="210">
          <cell r="B210" t="str">
            <v>7.5(1)</v>
          </cell>
          <cell r="D210" t="str">
            <v>Sumuran silinder diameter .... cm.</v>
          </cell>
          <cell r="F210" t="str">
            <v>m</v>
          </cell>
          <cell r="I210">
            <v>0</v>
          </cell>
        </row>
        <row r="212">
          <cell r="B212" t="str">
            <v>7.5(2)</v>
          </cell>
          <cell r="D212" t="str">
            <v>Sumuran box ukuran .... cm x .... cm.</v>
          </cell>
          <cell r="F212" t="str">
            <v>m</v>
          </cell>
          <cell r="I212">
            <v>0</v>
          </cell>
        </row>
        <row r="214">
          <cell r="B214" t="str">
            <v>7.5(3)</v>
          </cell>
          <cell r="D214" t="str">
            <v>Menurunkan sumuran silinder diameter .... cm.</v>
          </cell>
          <cell r="F214" t="str">
            <v>m</v>
          </cell>
          <cell r="I214">
            <v>0</v>
          </cell>
        </row>
        <row r="216">
          <cell r="B216" t="str">
            <v>7.5(4)</v>
          </cell>
          <cell r="D216" t="str">
            <v>Menurunkan sumuran box ukuran .... cm x .... cm.</v>
          </cell>
          <cell r="F216" t="str">
            <v>m</v>
          </cell>
          <cell r="I216">
            <v>0</v>
          </cell>
        </row>
        <row r="218">
          <cell r="B218" t="str">
            <v>7.6(1)</v>
          </cell>
          <cell r="D218" t="str">
            <v>Beton Pratekan cast-in place bentang . . . . M.</v>
          </cell>
          <cell r="F218" t="str">
            <v>Buah</v>
          </cell>
          <cell r="I218">
            <v>0</v>
          </cell>
        </row>
        <row r="220">
          <cell r="B220" t="str">
            <v>7.6(2)</v>
          </cell>
          <cell r="D220" t="str">
            <v>Beton Pratekan pre-cast bentang . . . . M.</v>
          </cell>
          <cell r="F220" t="str">
            <v>Buah</v>
          </cell>
          <cell r="I220">
            <v>0</v>
          </cell>
        </row>
        <row r="222">
          <cell r="B222" t="str">
            <v>7.6(3)</v>
          </cell>
          <cell r="D222" t="str">
            <v>Pelat Berongga Beton Pratekan pre-cast bentang . . . . M.</v>
          </cell>
          <cell r="F222" t="str">
            <v>Buah</v>
          </cell>
          <cell r="I222">
            <v>0</v>
          </cell>
        </row>
        <row r="224">
          <cell r="B224" t="str">
            <v>7.8(1)</v>
          </cell>
          <cell r="D224" t="str">
            <v>Pasangan batu kosong.</v>
          </cell>
          <cell r="F224" t="str">
            <v>m3</v>
          </cell>
          <cell r="I224">
            <v>0</v>
          </cell>
        </row>
        <row r="228">
          <cell r="B228" t="str">
            <v>7.8(2)</v>
          </cell>
          <cell r="D228" t="str">
            <v>Gabion (bronjong).</v>
          </cell>
          <cell r="F228" t="str">
            <v>m3</v>
          </cell>
          <cell r="I228">
            <v>0</v>
          </cell>
        </row>
        <row r="230">
          <cell r="B230" t="str">
            <v>7.11(1)</v>
          </cell>
          <cell r="D230" t="str">
            <v>Expantiont joint type I.</v>
          </cell>
          <cell r="F230" t="str">
            <v>m</v>
          </cell>
          <cell r="I230">
            <v>0</v>
          </cell>
        </row>
        <row r="232">
          <cell r="B232" t="str">
            <v>7.11(2)</v>
          </cell>
          <cell r="D232" t="str">
            <v>Expantiont joint type II (mutu tinggi).</v>
          </cell>
          <cell r="F232" t="str">
            <v>m</v>
          </cell>
          <cell r="I232">
            <v>0</v>
          </cell>
        </row>
        <row r="254">
          <cell r="B254" t="str">
            <v>8.1 (6)</v>
          </cell>
          <cell r="D254" t="str">
            <v>Campuran Aspal Dingin untuk Pekerjaan Minor</v>
          </cell>
          <cell r="F254" t="str">
            <v>M3</v>
          </cell>
          <cell r="I254">
            <v>0</v>
          </cell>
        </row>
        <row r="266">
          <cell r="B266" t="str">
            <v>8.1(12)</v>
          </cell>
          <cell r="D266" t="str">
            <v>Material urugan pilihan untuk pekerjaan minor.</v>
          </cell>
          <cell r="F266" t="str">
            <v>m3</v>
          </cell>
          <cell r="I266">
            <v>0</v>
          </cell>
        </row>
        <row r="268">
          <cell r="B268" t="str">
            <v>8.1(13)</v>
          </cell>
          <cell r="D268" t="str">
            <v>Latasir (Sand sheet) untuk pekerjaan minor.</v>
          </cell>
          <cell r="F268" t="str">
            <v>m2</v>
          </cell>
          <cell r="I268">
            <v>0</v>
          </cell>
        </row>
        <row r="270">
          <cell r="B270" t="str">
            <v>8.1(14)</v>
          </cell>
          <cell r="D270" t="str">
            <v>Beton K-125/BO untuk pekerjaan minor.</v>
          </cell>
          <cell r="F270" t="str">
            <v>m3</v>
          </cell>
          <cell r="I270">
            <v>0</v>
          </cell>
        </row>
        <row r="272">
          <cell r="B272" t="str">
            <v>8.1(15)</v>
          </cell>
          <cell r="D272" t="str">
            <v>Beton K-175 untuk pekerjaan minor.</v>
          </cell>
          <cell r="F272" t="str">
            <v>m3</v>
          </cell>
          <cell r="I272">
            <v>0</v>
          </cell>
        </row>
        <row r="274">
          <cell r="B274" t="str">
            <v>8.3(1)</v>
          </cell>
          <cell r="D274" t="str">
            <v>Stabilisasi dengan tanaman rumput.</v>
          </cell>
          <cell r="F274" t="str">
            <v>m2</v>
          </cell>
          <cell r="I274">
            <v>0</v>
          </cell>
        </row>
        <row r="288">
          <cell r="B288" t="str">
            <v>8.4 (6)</v>
          </cell>
          <cell r="D288" t="str">
            <v>Rel Pengaman ( Guard Rail )</v>
          </cell>
          <cell r="F288" t="str">
            <v>Buah</v>
          </cell>
          <cell r="I288">
            <v>0</v>
          </cell>
        </row>
        <row r="290">
          <cell r="B290" t="str">
            <v>8.5(1)</v>
          </cell>
          <cell r="D290" t="str">
            <v>Pengembalian kondisi lantai jembatan beton.</v>
          </cell>
          <cell r="F290" t="str">
            <v>m2</v>
          </cell>
          <cell r="I290">
            <v>0</v>
          </cell>
        </row>
        <row r="292">
          <cell r="B292" t="str">
            <v>8.5(2)</v>
          </cell>
          <cell r="D292" t="str">
            <v>Pengembalian kondisi lantai jembatan kayu.</v>
          </cell>
          <cell r="F292" t="str">
            <v>m2</v>
          </cell>
          <cell r="I292">
            <v>0</v>
          </cell>
        </row>
        <row r="294">
          <cell r="B294" t="str">
            <v>8.5(3)</v>
          </cell>
          <cell r="D294" t="str">
            <v>Pengembalian kondisi pelapisan permukaan baja struktur</v>
          </cell>
          <cell r="F294" t="str">
            <v>m2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D296" t="str">
            <v>Penyuntikan epoxy resin grout.</v>
          </cell>
          <cell r="F296" t="str">
            <v>m2</v>
          </cell>
          <cell r="I296">
            <v>0</v>
          </cell>
        </row>
        <row r="298">
          <cell r="B298">
            <v>8.6</v>
          </cell>
          <cell r="D298" t="str">
            <v>Kerb beton.</v>
          </cell>
          <cell r="F298" t="str">
            <v>m</v>
          </cell>
          <cell r="I298">
            <v>0</v>
          </cell>
        </row>
        <row r="300">
          <cell r="B300">
            <v>8.6999999999999993</v>
          </cell>
          <cell r="D300" t="str">
            <v>Perkerasan blok pada trotoir dan median.</v>
          </cell>
          <cell r="F300" t="str">
            <v>m2</v>
          </cell>
          <cell r="I300">
            <v>0</v>
          </cell>
        </row>
        <row r="302">
          <cell r="B302" t="str">
            <v>8.8(1)</v>
          </cell>
          <cell r="D302" t="str">
            <v>Penerangan jalan lampu tunggal.</v>
          </cell>
          <cell r="F302" t="str">
            <v>Buah</v>
          </cell>
          <cell r="I302">
            <v>0</v>
          </cell>
        </row>
        <row r="304">
          <cell r="B304" t="str">
            <v>8.8(2)</v>
          </cell>
          <cell r="D304" t="str">
            <v>Penerangan jalan lampu ganda.</v>
          </cell>
          <cell r="F304" t="str">
            <v>Buah</v>
          </cell>
          <cell r="I304">
            <v>0</v>
          </cell>
        </row>
        <row r="306">
          <cell r="B306">
            <v>8.9</v>
          </cell>
          <cell r="D306" t="str">
            <v>Penghalang median beton pracetak.</v>
          </cell>
          <cell r="F306" t="str">
            <v>m</v>
          </cell>
          <cell r="I306">
            <v>0</v>
          </cell>
        </row>
        <row r="308">
          <cell r="B308" t="str">
            <v>8.10(1)</v>
          </cell>
          <cell r="D308" t="str">
            <v>Pengecatan kayu.</v>
          </cell>
          <cell r="F308" t="str">
            <v>m2</v>
          </cell>
          <cell r="I308">
            <v>0</v>
          </cell>
        </row>
        <row r="310">
          <cell r="B310" t="str">
            <v>8.10(2)</v>
          </cell>
          <cell r="D310" t="str">
            <v>Pengecatan besi.</v>
          </cell>
          <cell r="F310" t="str">
            <v>m2</v>
          </cell>
          <cell r="I310">
            <v>0</v>
          </cell>
        </row>
        <row r="312">
          <cell r="B312" t="str">
            <v>8.10(3)</v>
          </cell>
          <cell r="D312" t="str">
            <v>Pengecatan tembok / beton.</v>
          </cell>
          <cell r="F312" t="str">
            <v>m2</v>
          </cell>
          <cell r="I312">
            <v>0</v>
          </cell>
        </row>
        <row r="314">
          <cell r="B314">
            <v>8.11</v>
          </cell>
          <cell r="D314" t="str">
            <v>Pagar penghalang (Guard rail).</v>
          </cell>
          <cell r="F314" t="str">
            <v>m</v>
          </cell>
          <cell r="I314">
            <v>0</v>
          </cell>
        </row>
        <row r="316">
          <cell r="B316">
            <v>8.1199999999999992</v>
          </cell>
          <cell r="D316" t="str">
            <v>Pipa utilitas</v>
          </cell>
          <cell r="F316" t="str">
            <v>m</v>
          </cell>
          <cell r="I316">
            <v>0</v>
          </cell>
        </row>
        <row r="320">
          <cell r="B320" t="str">
            <v>DIV. IX</v>
          </cell>
          <cell r="D320" t="str">
            <v>PEKERJAAN HARIAN</v>
          </cell>
        </row>
        <row r="322">
          <cell r="B322">
            <v>9.1</v>
          </cell>
          <cell r="D322" t="str">
            <v>Mandor.</v>
          </cell>
          <cell r="F322" t="str">
            <v>Jam</v>
          </cell>
          <cell r="I322">
            <v>0</v>
          </cell>
        </row>
        <row r="324">
          <cell r="B324">
            <v>9.1999999999999993</v>
          </cell>
          <cell r="D324" t="str">
            <v>Pekerja</v>
          </cell>
          <cell r="F324" t="str">
            <v>Jam</v>
          </cell>
          <cell r="I324">
            <v>0</v>
          </cell>
        </row>
        <row r="326">
          <cell r="B326">
            <v>9.3000000000000007</v>
          </cell>
          <cell r="D326" t="str">
            <v>Tukang</v>
          </cell>
          <cell r="F326" t="str">
            <v>Jam</v>
          </cell>
          <cell r="I326">
            <v>0</v>
          </cell>
        </row>
        <row r="328">
          <cell r="B328">
            <v>9.4</v>
          </cell>
          <cell r="D328" t="str">
            <v>Dump Truck.</v>
          </cell>
          <cell r="F328" t="str">
            <v>Jam</v>
          </cell>
          <cell r="I328">
            <v>0</v>
          </cell>
        </row>
        <row r="330">
          <cell r="B330">
            <v>9.5</v>
          </cell>
          <cell r="D330" t="str">
            <v>Tangki Air.</v>
          </cell>
          <cell r="F330" t="str">
            <v>Jam</v>
          </cell>
          <cell r="I330">
            <v>0</v>
          </cell>
        </row>
        <row r="332">
          <cell r="B332">
            <v>9.6</v>
          </cell>
          <cell r="D332" t="str">
            <v>Bulldozer.</v>
          </cell>
          <cell r="F332" t="str">
            <v>Jam</v>
          </cell>
          <cell r="I332">
            <v>0</v>
          </cell>
        </row>
        <row r="334">
          <cell r="B334">
            <v>9.6999999999999993</v>
          </cell>
          <cell r="D334" t="str">
            <v>Motor Grader.</v>
          </cell>
          <cell r="F334" t="str">
            <v>Jam</v>
          </cell>
          <cell r="I334">
            <v>0</v>
          </cell>
        </row>
        <row r="336">
          <cell r="B336">
            <v>9.8000000000000007</v>
          </cell>
          <cell r="D336" t="str">
            <v>Wheel Loader.</v>
          </cell>
          <cell r="F336" t="str">
            <v>Jam</v>
          </cell>
          <cell r="I336">
            <v>0</v>
          </cell>
        </row>
        <row r="338">
          <cell r="B338">
            <v>9.9</v>
          </cell>
          <cell r="D338" t="str">
            <v>Excavator.</v>
          </cell>
          <cell r="F338" t="str">
            <v>Jam</v>
          </cell>
          <cell r="I338">
            <v>0</v>
          </cell>
        </row>
        <row r="340">
          <cell r="B340">
            <v>9.1</v>
          </cell>
          <cell r="D340" t="str">
            <v>Crane.   .</v>
          </cell>
          <cell r="F340" t="str">
            <v>Jam</v>
          </cell>
          <cell r="I340">
            <v>0</v>
          </cell>
        </row>
        <row r="342">
          <cell r="B342">
            <v>9.11</v>
          </cell>
          <cell r="D342" t="str">
            <v>Vibrator Rollers - 13 ton</v>
          </cell>
          <cell r="F342" t="str">
            <v>Jam</v>
          </cell>
          <cell r="I342">
            <v>0</v>
          </cell>
        </row>
        <row r="344">
          <cell r="B344">
            <v>9.1199999999999992</v>
          </cell>
          <cell r="D344" t="str">
            <v>Vibrator Roller 4 - 6 ton</v>
          </cell>
          <cell r="F344" t="str">
            <v>Jam</v>
          </cell>
          <cell r="I344">
            <v>0</v>
          </cell>
        </row>
        <row r="346">
          <cell r="B346">
            <v>9.1300000000000008</v>
          </cell>
          <cell r="D346" t="str">
            <v>Stamper</v>
          </cell>
          <cell r="F346" t="str">
            <v>Jam</v>
          </cell>
          <cell r="I346">
            <v>0</v>
          </cell>
          <cell r="K346">
            <v>60</v>
          </cell>
        </row>
        <row r="348">
          <cell r="B348">
            <v>9.14</v>
          </cell>
          <cell r="D348" t="str">
            <v>Drop Hammer 500 kg</v>
          </cell>
          <cell r="F348" t="str">
            <v>Jam</v>
          </cell>
          <cell r="I348">
            <v>0</v>
          </cell>
        </row>
        <row r="350">
          <cell r="B350">
            <v>9.15</v>
          </cell>
          <cell r="D350" t="str">
            <v>Jack Hammer</v>
          </cell>
          <cell r="F350" t="str">
            <v>Jam</v>
          </cell>
          <cell r="I350">
            <v>0</v>
          </cell>
        </row>
        <row r="352">
          <cell r="B352">
            <v>9.16</v>
          </cell>
          <cell r="D352" t="str">
            <v>Chain Saw</v>
          </cell>
          <cell r="F352" t="str">
            <v>Jam</v>
          </cell>
          <cell r="I352">
            <v>0</v>
          </cell>
        </row>
        <row r="354">
          <cell r="B354" t="str">
            <v>Jumlah Harga Pekerjaan Divisi IX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 ME"/>
      <sheetName val="ANALISA ME"/>
      <sheetName val="Analis Upah Beton , UPAH RIIL "/>
      <sheetName val="Material RIIL"/>
      <sheetName val="AnalisaSIPIL RIIL"/>
      <sheetName val="REKAP BAHAN &amp; UPAH RIIL "/>
      <sheetName val="REKAP TOTAL"/>
      <sheetName val="TERMINAL UNIT 1"/>
      <sheetName val="TERMINAL UNIT 2"/>
      <sheetName val="MENARA PANTAU"/>
      <sheetName val="POS JAGA"/>
      <sheetName val="DEPO"/>
      <sheetName val="LANDSCP"/>
      <sheetName val="DNDNG PENAHAN"/>
      <sheetName val="ME"/>
      <sheetName val="PLAMBNG"/>
      <sheetName val="HRG BAHAN &amp; UPAH okk"/>
      <sheetName val="Analis Kusen okk"/>
      <sheetName val="Analis_ME"/>
      <sheetName val="ANALISA_ME"/>
      <sheetName val="Analis_Upah_Beton_,_UPAH_RIIL_"/>
      <sheetName val="Material_RIIL"/>
      <sheetName val="AnalisaSIPIL_RIIL"/>
      <sheetName val="REKAP_BAHAN_&amp;_UPAH_RIIL_"/>
      <sheetName val="REKAP_TOTAL"/>
      <sheetName val="TERMINAL_UNIT_1"/>
      <sheetName val="TERMINAL_UNIT_2"/>
      <sheetName val="MENARA_PANTAU"/>
      <sheetName val="POS_JAGA"/>
      <sheetName val="DNDNG_PENAHAN"/>
      <sheetName val="HRG_BAHAN_&amp;_UPAH_okk"/>
      <sheetName val="Analis_Kusen_okk"/>
      <sheetName val="Estimate"/>
      <sheetName val="FAKTOR"/>
      <sheetName val="Elektrikal"/>
      <sheetName val="AnalisaSIPIL RIIL RAP"/>
      <sheetName val="ANALISA railing"/>
      <sheetName val="Analisa SNI STANDART "/>
      <sheetName val="struktur tdk dipakai"/>
      <sheetName val="Listrik"/>
      <sheetName val="A"/>
      <sheetName val="DAF-2"/>
      <sheetName val="PLUMBING"/>
      <sheetName val="Fill this out first___"/>
      <sheetName val="PEMBESIAN BALOK tukang (2)"/>
      <sheetName val="Kuantitas &amp; Harga"/>
      <sheetName val="Kuantitas _ Harga"/>
      <sheetName val="H_Satuan"/>
      <sheetName val="D &amp; W sizes"/>
      <sheetName val="ganda"/>
      <sheetName val="Analisa"/>
      <sheetName val="JADWAL(1)"/>
      <sheetName val="BoQ"/>
      <sheetName val="Konfirm"/>
      <sheetName val="Indirect_Const"/>
      <sheetName val="BAG-2"/>
      <sheetName val="MC_strp CoDa "/>
      <sheetName val="Fill this out first..."/>
      <sheetName val="Uraian Teknis"/>
      <sheetName val="analisa upah_bahan"/>
      <sheetName val="산근"/>
      <sheetName val="Mobilisasi"/>
    </sheetNames>
    <sheetDataSet>
      <sheetData sheetId="0" refreshError="1"/>
      <sheetData sheetId="1" refreshError="1"/>
      <sheetData sheetId="2" refreshError="1"/>
      <sheetData sheetId="3"/>
      <sheetData sheetId="4" refreshError="1">
        <row r="208">
          <cell r="B208" t="str">
            <v>C.13</v>
          </cell>
          <cell r="C208" t="str">
            <v>1 M3 Sloof 150x300 K225</v>
          </cell>
        </row>
        <row r="209">
          <cell r="C209">
            <v>1</v>
          </cell>
          <cell r="D209" t="str">
            <v>M3</v>
          </cell>
          <cell r="E209" t="str">
            <v>Beton Readymix</v>
          </cell>
          <cell r="F209" t="str">
            <v>@Rp</v>
          </cell>
          <cell r="G209">
            <v>430000</v>
          </cell>
          <cell r="H209" t="str">
            <v>=Rp</v>
          </cell>
          <cell r="I209">
            <v>430000</v>
          </cell>
        </row>
        <row r="210">
          <cell r="C210">
            <v>104.6743765591079</v>
          </cell>
          <cell r="D210" t="str">
            <v>Kg</v>
          </cell>
          <cell r="E210" t="str">
            <v>Pembesian Polos</v>
          </cell>
          <cell r="F210" t="str">
            <v>@Rp</v>
          </cell>
          <cell r="G210">
            <v>6100</v>
          </cell>
          <cell r="H210" t="str">
            <v>=Rp</v>
          </cell>
          <cell r="I210">
            <v>638513.69701055821</v>
          </cell>
        </row>
        <row r="211">
          <cell r="C211">
            <v>0</v>
          </cell>
          <cell r="D211" t="str">
            <v>Kg</v>
          </cell>
          <cell r="E211" t="str">
            <v>Pembesian Ulir</v>
          </cell>
          <cell r="F211" t="str">
            <v>@Rp</v>
          </cell>
          <cell r="G211">
            <v>5850</v>
          </cell>
          <cell r="H211" t="str">
            <v>=Rp</v>
          </cell>
          <cell r="I211">
            <v>0</v>
          </cell>
        </row>
        <row r="212">
          <cell r="C212">
            <v>13.333333333333334</v>
          </cell>
          <cell r="D212" t="str">
            <v>M2</v>
          </cell>
          <cell r="E212" t="str">
            <v>Bekisting Non Struktur</v>
          </cell>
          <cell r="F212" t="str">
            <v>@Rp</v>
          </cell>
          <cell r="G212">
            <v>31900</v>
          </cell>
          <cell r="H212" t="str">
            <v>=Rp</v>
          </cell>
          <cell r="I212">
            <v>425333.33333333337</v>
          </cell>
        </row>
        <row r="213">
          <cell r="G213" t="str">
            <v>Jumlah</v>
          </cell>
          <cell r="H213" t="str">
            <v>=Rp</v>
          </cell>
          <cell r="I213">
            <v>1493847.0303438916</v>
          </cell>
        </row>
        <row r="214">
          <cell r="G214" t="str">
            <v>Dibulatkan</v>
          </cell>
          <cell r="H214" t="str">
            <v>=Rp</v>
          </cell>
          <cell r="I214">
            <v>1493900</v>
          </cell>
        </row>
        <row r="225">
          <cell r="B225" t="str">
            <v>C.15</v>
          </cell>
          <cell r="C225" t="str">
            <v>1 M3 Sloof 150x200 K225</v>
          </cell>
        </row>
        <row r="226">
          <cell r="C226">
            <v>1</v>
          </cell>
          <cell r="D226" t="str">
            <v>M3</v>
          </cell>
          <cell r="E226" t="str">
            <v>Beton Readymix</v>
          </cell>
          <cell r="F226" t="str">
            <v>@Rp</v>
          </cell>
          <cell r="G226">
            <v>430000</v>
          </cell>
          <cell r="H226" t="str">
            <v>=Rp</v>
          </cell>
          <cell r="I226">
            <v>430000</v>
          </cell>
        </row>
        <row r="227">
          <cell r="C227">
            <v>131.36360241475481</v>
          </cell>
          <cell r="D227" t="str">
            <v>Kg</v>
          </cell>
          <cell r="E227" t="str">
            <v>Pembesian Polos</v>
          </cell>
          <cell r="F227" t="str">
            <v>@Rp</v>
          </cell>
          <cell r="G227">
            <v>6100</v>
          </cell>
          <cell r="H227" t="str">
            <v>=Rp</v>
          </cell>
          <cell r="I227">
            <v>801317.97473000432</v>
          </cell>
        </row>
        <row r="228">
          <cell r="C228">
            <v>0</v>
          </cell>
          <cell r="D228" t="str">
            <v>Kg</v>
          </cell>
          <cell r="E228" t="str">
            <v>Pembesian Ulir</v>
          </cell>
          <cell r="F228" t="str">
            <v>@Rp</v>
          </cell>
          <cell r="G228">
            <v>5850</v>
          </cell>
          <cell r="H228" t="str">
            <v>=Rp</v>
          </cell>
          <cell r="I228">
            <v>0</v>
          </cell>
        </row>
        <row r="229">
          <cell r="C229">
            <v>13.333333333333334</v>
          </cell>
          <cell r="D229" t="str">
            <v>M2</v>
          </cell>
          <cell r="E229" t="str">
            <v>Bekisting Non Struktur</v>
          </cell>
          <cell r="F229" t="str">
            <v>@Rp</v>
          </cell>
          <cell r="G229">
            <v>31900</v>
          </cell>
          <cell r="H229" t="str">
            <v>=Rp</v>
          </cell>
          <cell r="I229">
            <v>425333.33333333337</v>
          </cell>
        </row>
        <row r="230">
          <cell r="G230" t="str">
            <v>Jumlah</v>
          </cell>
          <cell r="H230" t="str">
            <v>=Rp</v>
          </cell>
          <cell r="I230">
            <v>1656651.3080633376</v>
          </cell>
        </row>
        <row r="231">
          <cell r="G231" t="str">
            <v>Dibulatkan</v>
          </cell>
          <cell r="H231" t="str">
            <v>=Rp</v>
          </cell>
          <cell r="I231">
            <v>1656700</v>
          </cell>
        </row>
        <row r="468">
          <cell r="B468" t="str">
            <v>C.37</v>
          </cell>
          <cell r="C468" t="str">
            <v>1 M3 Kolom 500x500 K225</v>
          </cell>
        </row>
        <row r="469">
          <cell r="C469">
            <v>1</v>
          </cell>
          <cell r="D469" t="str">
            <v>M3</v>
          </cell>
          <cell r="E469" t="str">
            <v>Beton Readymix</v>
          </cell>
          <cell r="F469" t="str">
            <v>@Rp</v>
          </cell>
          <cell r="G469">
            <v>430000</v>
          </cell>
          <cell r="H469" t="str">
            <v>=Rp</v>
          </cell>
          <cell r="I469">
            <v>430000</v>
          </cell>
        </row>
        <row r="470">
          <cell r="C470">
            <v>31.936645518230439</v>
          </cell>
          <cell r="D470" t="str">
            <v>Kg</v>
          </cell>
          <cell r="E470" t="str">
            <v>Pembesian Polos</v>
          </cell>
          <cell r="F470" t="str">
            <v>@Rp</v>
          </cell>
          <cell r="G470">
            <v>6100</v>
          </cell>
          <cell r="H470" t="str">
            <v>=Rp</v>
          </cell>
          <cell r="I470">
            <v>194813.53766120569</v>
          </cell>
        </row>
        <row r="471">
          <cell r="C471">
            <v>178.05604682750868</v>
          </cell>
          <cell r="D471" t="str">
            <v>Kg</v>
          </cell>
          <cell r="E471" t="str">
            <v>Pembesian Ulir</v>
          </cell>
          <cell r="F471" t="str">
            <v>@Rp</v>
          </cell>
          <cell r="G471">
            <v>5850</v>
          </cell>
          <cell r="H471" t="str">
            <v>=Rp</v>
          </cell>
          <cell r="I471">
            <v>1041627.8739409258</v>
          </cell>
        </row>
        <row r="472">
          <cell r="C472">
            <v>8</v>
          </cell>
          <cell r="D472" t="str">
            <v>M2</v>
          </cell>
          <cell r="E472" t="str">
            <v>Bekisting Struktur+Scafolding</v>
          </cell>
          <cell r="F472" t="str">
            <v>@Rp</v>
          </cell>
          <cell r="G472">
            <v>44200</v>
          </cell>
          <cell r="H472" t="str">
            <v>=Rp</v>
          </cell>
          <cell r="I472">
            <v>353600</v>
          </cell>
        </row>
        <row r="473">
          <cell r="G473" t="str">
            <v>Jumlah</v>
          </cell>
          <cell r="H473" t="str">
            <v>=Rp</v>
          </cell>
          <cell r="I473">
            <v>2020041.4116021316</v>
          </cell>
        </row>
        <row r="474">
          <cell r="G474" t="str">
            <v>Dibulatkan</v>
          </cell>
          <cell r="H474" t="str">
            <v>=Rp</v>
          </cell>
          <cell r="I474">
            <v>2020100</v>
          </cell>
        </row>
        <row r="476">
          <cell r="B476" t="str">
            <v>C.38</v>
          </cell>
          <cell r="C476" t="str">
            <v>1 M3 Kolom 450x450 K225</v>
          </cell>
        </row>
        <row r="477">
          <cell r="C477">
            <v>1</v>
          </cell>
          <cell r="D477" t="str">
            <v>M3</v>
          </cell>
          <cell r="E477" t="str">
            <v>Beton Readymix</v>
          </cell>
          <cell r="F477" t="str">
            <v>@Rp</v>
          </cell>
          <cell r="G477">
            <v>430000</v>
          </cell>
          <cell r="H477" t="str">
            <v>=Rp</v>
          </cell>
          <cell r="I477">
            <v>430000</v>
          </cell>
        </row>
        <row r="478">
          <cell r="C478">
            <v>35.16547554559908</v>
          </cell>
          <cell r="D478" t="str">
            <v>Kg</v>
          </cell>
          <cell r="E478" t="str">
            <v>Pembesian Polos</v>
          </cell>
          <cell r="F478" t="str">
            <v>@Rp</v>
          </cell>
          <cell r="G478">
            <v>6100</v>
          </cell>
          <cell r="H478" t="str">
            <v>=Rp</v>
          </cell>
          <cell r="I478">
            <v>214509.40082815438</v>
          </cell>
        </row>
        <row r="479">
          <cell r="C479">
            <v>175.85782402716904</v>
          </cell>
          <cell r="D479" t="str">
            <v>Kg</v>
          </cell>
          <cell r="E479" t="str">
            <v>Pembesian Ulir</v>
          </cell>
          <cell r="F479" t="str">
            <v>@Rp</v>
          </cell>
          <cell r="G479">
            <v>5850</v>
          </cell>
          <cell r="H479" t="str">
            <v>=Rp</v>
          </cell>
          <cell r="I479">
            <v>1028768.270558939</v>
          </cell>
        </row>
        <row r="480">
          <cell r="C480">
            <v>8.8888888888888893</v>
          </cell>
          <cell r="D480" t="str">
            <v>M2</v>
          </cell>
          <cell r="E480" t="str">
            <v>Bekisting Struktur+Scafolding</v>
          </cell>
          <cell r="F480" t="str">
            <v>@Rp</v>
          </cell>
          <cell r="G480">
            <v>44200</v>
          </cell>
          <cell r="H480" t="str">
            <v>=Rp</v>
          </cell>
          <cell r="I480">
            <v>392888.88888888893</v>
          </cell>
        </row>
        <row r="481">
          <cell r="G481" t="str">
            <v>Jumlah</v>
          </cell>
          <cell r="H481" t="str">
            <v>=Rp</v>
          </cell>
          <cell r="I481">
            <v>2066166.5602759824</v>
          </cell>
        </row>
        <row r="482">
          <cell r="G482" t="str">
            <v>Dibulatkan</v>
          </cell>
          <cell r="H482" t="str">
            <v>=Rp</v>
          </cell>
          <cell r="I482">
            <v>2066200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wer Schedule"/>
      <sheetName val="Rekapitulasi"/>
      <sheetName val="EM Pengadaan &amp; Pemasangan"/>
      <sheetName val="Material Schedule"/>
      <sheetName val="Pengadaan Tower"/>
      <sheetName val="Volume Tower"/>
      <sheetName val="Provisional Sum"/>
      <sheetName val="Tower Erection"/>
      <sheetName val="Harga Satuan Erection"/>
      <sheetName val="Langsir Material"/>
      <sheetName val="Rekapitulasi Pondasi 4 Pile"/>
      <sheetName val="Satuan Pondasi 4 Pile"/>
      <sheetName val="Rekapitulasi Pondasi 6 Pile"/>
      <sheetName val="Satuan Pondasi 6 Pile"/>
      <sheetName val="AHS EM"/>
      <sheetName val="Harga Satuan"/>
      <sheetName val="PENGADAAN"/>
      <sheetName val="Input Data 4 Pile"/>
      <sheetName val="Volume Bor Pile 4 Pile"/>
      <sheetName val="Input Data 6 Pile"/>
      <sheetName val="Volume Bor Pile 6 Pile"/>
      <sheetName val="Keterangan Warna"/>
    </sheetNames>
    <sheetDataSet>
      <sheetData sheetId="0" refreshError="1"/>
      <sheetData sheetId="1" refreshError="1"/>
      <sheetData sheetId="2" refreshError="1"/>
      <sheetData sheetId="3" refreshError="1">
        <row r="378">
          <cell r="I378">
            <v>186</v>
          </cell>
          <cell r="J378">
            <v>1014</v>
          </cell>
          <cell r="K378">
            <v>72</v>
          </cell>
          <cell r="L378">
            <v>36</v>
          </cell>
          <cell r="M378">
            <v>6</v>
          </cell>
          <cell r="N378">
            <v>6</v>
          </cell>
          <cell r="P378">
            <v>415429.9823999998</v>
          </cell>
          <cell r="AA378">
            <v>4254</v>
          </cell>
          <cell r="AB378">
            <v>1020</v>
          </cell>
          <cell r="AC378">
            <v>3300</v>
          </cell>
          <cell r="AE378">
            <v>275</v>
          </cell>
        </row>
        <row r="379">
          <cell r="R379">
            <v>34.283056799999997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55">
          <cell r="K155">
            <v>15652.84037777778</v>
          </cell>
        </row>
        <row r="378">
          <cell r="K378">
            <v>22845517.199999999</v>
          </cell>
        </row>
      </sheetData>
      <sheetData sheetId="15" refreshError="1"/>
      <sheetData sheetId="16" refreshError="1"/>
      <sheetData sheetId="17" refreshError="1">
        <row r="1">
          <cell r="V1">
            <v>33.610839999999982</v>
          </cell>
        </row>
        <row r="10">
          <cell r="Y10">
            <v>37</v>
          </cell>
        </row>
        <row r="19">
          <cell r="Y19">
            <v>76</v>
          </cell>
        </row>
        <row r="28">
          <cell r="Y28">
            <v>5</v>
          </cell>
        </row>
        <row r="37">
          <cell r="Y37">
            <v>3</v>
          </cell>
        </row>
        <row r="46">
          <cell r="Y46">
            <v>1</v>
          </cell>
        </row>
        <row r="48">
          <cell r="O48">
            <v>122</v>
          </cell>
        </row>
      </sheetData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"/>
      <sheetName val="EM Pengadaan &amp; Pemasangan"/>
      <sheetName val="Pengadaan Tower"/>
      <sheetName val="Volume Tower"/>
      <sheetName val="Provisional Sum"/>
      <sheetName val="Tower Erection"/>
      <sheetName val="Harga Satuan Erection"/>
      <sheetName val="Langsir Material"/>
      <sheetName val="Input 6 Pile"/>
      <sheetName val="Keterangan Warna"/>
    </sheetNames>
    <sheetDataSet>
      <sheetData sheetId="0">
        <row r="3">
          <cell r="B3" t="str">
            <v>KEGIATAN KONSTRUKSI T/L 150 kV RANTAU PRAPAT - LABUHAN BILIK</v>
          </cell>
        </row>
      </sheetData>
      <sheetData sheetId="1"/>
      <sheetData sheetId="2"/>
      <sheetData sheetId="3">
        <row r="88">
          <cell r="E88">
            <v>167</v>
          </cell>
        </row>
        <row r="96">
          <cell r="E96">
            <v>345</v>
          </cell>
        </row>
        <row r="104">
          <cell r="E104">
            <v>440</v>
          </cell>
        </row>
        <row r="112">
          <cell r="E112">
            <v>503</v>
          </cell>
        </row>
      </sheetData>
      <sheetData sheetId="4"/>
      <sheetData sheetId="5"/>
      <sheetData sheetId="6"/>
      <sheetData sheetId="7"/>
      <sheetData sheetId="8">
        <row r="2">
          <cell r="D2">
            <v>0</v>
          </cell>
        </row>
      </sheetData>
      <sheetData sheetId="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Total Civil work"/>
      <sheetName val="Switchyard"/>
      <sheetName val="CBL-150kV"/>
      <sheetName val="CBL-20kV "/>
      <sheetName val="Miscellaneous "/>
      <sheetName val="SECURITY"/>
      <sheetName val="Basic price "/>
      <sheetName val="Civil-work  "/>
      <sheetName val="Found"/>
      <sheetName val="Basic price(2)"/>
      <sheetName val="PEMBONGKARAN MUARA KARANG"/>
      <sheetName val="Civil-work   (2)"/>
      <sheetName val="Basic price 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9">
          <cell r="E9">
            <v>1366</v>
          </cell>
        </row>
        <row r="12">
          <cell r="E12">
            <v>290823.33</v>
          </cell>
        </row>
        <row r="16">
          <cell r="E16">
            <v>283500</v>
          </cell>
        </row>
        <row r="17">
          <cell r="E17">
            <v>241566.67</v>
          </cell>
        </row>
        <row r="19">
          <cell r="E19">
            <v>195300</v>
          </cell>
        </row>
        <row r="26">
          <cell r="E26">
            <v>12266</v>
          </cell>
        </row>
        <row r="27">
          <cell r="E27">
            <v>12266</v>
          </cell>
        </row>
        <row r="29">
          <cell r="E29">
            <v>12266</v>
          </cell>
        </row>
        <row r="30">
          <cell r="E30">
            <v>14900</v>
          </cell>
        </row>
        <row r="33">
          <cell r="E33">
            <v>10800</v>
          </cell>
        </row>
        <row r="35">
          <cell r="E35">
            <v>13500</v>
          </cell>
        </row>
        <row r="36">
          <cell r="E36">
            <v>53000</v>
          </cell>
        </row>
        <row r="55">
          <cell r="E55">
            <v>22300</v>
          </cell>
        </row>
        <row r="80">
          <cell r="E80">
            <v>28300</v>
          </cell>
        </row>
        <row r="103">
          <cell r="E103">
            <v>212900</v>
          </cell>
        </row>
        <row r="105">
          <cell r="E105">
            <v>68600</v>
          </cell>
        </row>
        <row r="121">
          <cell r="E121">
            <v>28000</v>
          </cell>
        </row>
        <row r="122">
          <cell r="E122">
            <v>29750</v>
          </cell>
        </row>
        <row r="138">
          <cell r="E138">
            <v>1234.2</v>
          </cell>
        </row>
        <row r="155">
          <cell r="E155">
            <v>1290000</v>
          </cell>
        </row>
        <row r="158">
          <cell r="E158">
            <v>79000</v>
          </cell>
        </row>
        <row r="174">
          <cell r="E174">
            <v>2500000</v>
          </cell>
        </row>
        <row r="211">
          <cell r="E211">
            <v>102920</v>
          </cell>
        </row>
        <row r="213">
          <cell r="E213">
            <v>157901</v>
          </cell>
        </row>
        <row r="214">
          <cell r="E214">
            <v>157901</v>
          </cell>
        </row>
        <row r="215">
          <cell r="E215">
            <v>121230</v>
          </cell>
        </row>
        <row r="217">
          <cell r="E217">
            <v>121230</v>
          </cell>
        </row>
        <row r="218">
          <cell r="E218">
            <v>139754</v>
          </cell>
        </row>
        <row r="219">
          <cell r="E219">
            <v>121213</v>
          </cell>
        </row>
        <row r="220">
          <cell r="E220">
            <v>139754</v>
          </cell>
        </row>
        <row r="221">
          <cell r="E221">
            <v>121230</v>
          </cell>
        </row>
        <row r="229">
          <cell r="E229">
            <v>121230</v>
          </cell>
        </row>
        <row r="237">
          <cell r="E237">
            <v>75000</v>
          </cell>
        </row>
        <row r="240">
          <cell r="E240">
            <v>500000</v>
          </cell>
        </row>
        <row r="243">
          <cell r="E243">
            <v>98500</v>
          </cell>
        </row>
        <row r="246">
          <cell r="E246">
            <v>200000</v>
          </cell>
        </row>
        <row r="258">
          <cell r="E258">
            <v>495000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  <sheetName val="RESUME"/>
      <sheetName val=" Referensi Harga "/>
      <sheetName val="Est.Twr Weight"/>
      <sheetName val=" BOQ 2cct-1 "/>
      <sheetName val="TWR SCHED."/>
      <sheetName val=" HPE 2cct "/>
      <sheetName val="Hg.Sat "/>
      <sheetName val="A.H.S.PEK "/>
      <sheetName val="Pondasi"/>
      <sheetName val="AA6"/>
      <sheetName val="BB6"/>
      <sheetName val="CC6"/>
      <sheetName val="DD6"/>
      <sheetName val="DDR6"/>
      <sheetName val="EE6 "/>
      <sheetName val="4DD6"/>
      <sheetName val="2cct TACSR 410"/>
      <sheetName val="2cct TACSR 520"/>
      <sheetName val="4cct ACSR 410"/>
      <sheetName val="4cct TACSR 520"/>
      <sheetName val="A.H.S.PEK 2 "/>
      <sheetName val="4 Pondasi 11"/>
      <sheetName val="2 Pondasi 11"/>
      <sheetName val="AA11"/>
      <sheetName val="BB11"/>
      <sheetName val="CC11"/>
      <sheetName val="DD11"/>
      <sheetName val="EE11"/>
      <sheetName val="DDR11"/>
      <sheetName val="4AA11"/>
      <sheetName val="4BB11 "/>
      <sheetName val="4BB6X6"/>
      <sheetName val="4CC11"/>
      <sheetName val="4DD11"/>
      <sheetName val="4DDR11"/>
      <sheetName val="4EE11"/>
      <sheetName val="TSP"/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e">
            <v>#REF!</v>
          </cell>
        </row>
        <row r="29">
          <cell r="E29">
            <v>132000</v>
          </cell>
        </row>
        <row r="33">
          <cell r="E33">
            <v>52500</v>
          </cell>
        </row>
        <row r="43">
          <cell r="E43">
            <v>58800</v>
          </cell>
        </row>
        <row r="44">
          <cell r="E44">
            <v>53000</v>
          </cell>
        </row>
        <row r="49">
          <cell r="E49">
            <v>767448</v>
          </cell>
        </row>
        <row r="50">
          <cell r="E50">
            <v>883300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sewaalatberat-trimurtisugih.blogspot.co.id/p/list-harga-sewa-alat-berat.html" TargetMode="External"/><Relationship Id="rId2" Type="http://schemas.openxmlformats.org/officeDocument/2006/relationships/hyperlink" Target="http://sewaalatberat-trimurtisugih.blogspot.co.id/p/list-harga-sewa-alat-berat.html" TargetMode="External"/><Relationship Id="rId1" Type="http://schemas.openxmlformats.org/officeDocument/2006/relationships/hyperlink" Target="http://sewaalatberat-trimurtisugih.blogspot.co.id/p/list-harga-sewa-alat-berat.html" TargetMode="Externa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epo-led.com/3-downlight-led" TargetMode="External"/><Relationship Id="rId18" Type="http://schemas.openxmlformats.org/officeDocument/2006/relationships/hyperlink" Target="http://www.harga-ac.com/daftar-harga-ac-daikin.html" TargetMode="External"/><Relationship Id="rId26" Type="http://schemas.openxmlformats.org/officeDocument/2006/relationships/hyperlink" Target="http://harga.link/peralatan-rumah-tangga/list-daftar-harga-emergency-lamp-terkini/" TargetMode="External"/><Relationship Id="rId39" Type="http://schemas.openxmlformats.org/officeDocument/2006/relationships/hyperlink" Target="http://spandrealumuniuml.blogspot.co.id/2016/06/plafon-aluminium-spandrel-spandrell.html" TargetMode="External"/><Relationship Id="rId21" Type="http://schemas.openxmlformats.org/officeDocument/2006/relationships/hyperlink" Target="http://www.hargaglodok.com/" TargetMode="External"/><Relationship Id="rId34" Type="http://schemas.openxmlformats.org/officeDocument/2006/relationships/hyperlink" Target="http://www.mediabangunan.com/2012/06/daftar-harga-kusen-dan-pintu-kayu.html" TargetMode="External"/><Relationship Id="rId42" Type="http://schemas.openxmlformats.org/officeDocument/2006/relationships/hyperlink" Target="http://distributorpanelsurya.com/products.php?product=PILIHAN-TIANG-PJU" TargetMode="External"/><Relationship Id="rId47" Type="http://schemas.openxmlformats.org/officeDocument/2006/relationships/hyperlink" Target="http://abadimetalutama.com/kawat-duri/" TargetMode="External"/><Relationship Id="rId50" Type="http://schemas.openxmlformats.org/officeDocument/2006/relationships/hyperlink" Target="http://www.hargamaterialbangunan.com/2016/10/harga-rolling-door-folding-gate.html" TargetMode="External"/><Relationship Id="rId55" Type="http://schemas.openxmlformats.org/officeDocument/2006/relationships/hyperlink" Target="http://www.hargamaterialbangunan.com/2016/08/harga-pagar-tiang-brc.html" TargetMode="External"/><Relationship Id="rId63" Type="http://schemas.openxmlformats.org/officeDocument/2006/relationships/hyperlink" Target="http://indoteknik.com/v1/cari/search&amp;keywords=gergaji/" TargetMode="External"/><Relationship Id="rId68" Type="http://schemas.openxmlformats.org/officeDocument/2006/relationships/printerSettings" Target="../printerSettings/printerSettings13.bin"/><Relationship Id="rId7" Type="http://schemas.openxmlformats.org/officeDocument/2006/relationships/hyperlink" Target="http://www.jualalatpemadamapi.net/harga-produk" TargetMode="External"/><Relationship Id="rId2" Type="http://schemas.openxmlformats.org/officeDocument/2006/relationships/hyperlink" Target="https://www.bukalapak.com/p/rumah-tangga/furniture-interior/intwi-jual-meja-haspel-meja-gulungan-kabel?dtm_source=product_detail&amp;dtm_section=detail-2&amp;dtm_campaign=fvt_product" TargetMode="External"/><Relationship Id="rId16" Type="http://schemas.openxmlformats.org/officeDocument/2006/relationships/hyperlink" Target="http://harga.link/elektronik-rumah-tangga/list-daftar-harga-exhaust-fan-saat-ini/" TargetMode="External"/><Relationship Id="rId29" Type="http://schemas.openxmlformats.org/officeDocument/2006/relationships/hyperlink" Target="http://www.infohargabbm.com/2017/01/harga-keekonomian-bbm-solar-industri-pt_16.html" TargetMode="External"/><Relationship Id="rId1" Type="http://schemas.openxmlformats.org/officeDocument/2006/relationships/hyperlink" Target="http://www.terpalonline.com/terpal-plastik-lembaran/" TargetMode="External"/><Relationship Id="rId6" Type="http://schemas.openxmlformats.org/officeDocument/2006/relationships/hyperlink" Target="http://www.jualalatpemadamapi.net/harga-produk" TargetMode="External"/><Relationship Id="rId11" Type="http://schemas.openxmlformats.org/officeDocument/2006/relationships/hyperlink" Target="http://www.indotrading.com/showcase/smoke-detector" TargetMode="External"/><Relationship Id="rId24" Type="http://schemas.openxmlformats.org/officeDocument/2006/relationships/hyperlink" Target="http://www.jasatirta1.co.id/pengusahaan.php?subaction=showfull&amp;id=1192659214&amp;archive=&amp;start_from=&amp;ucat=6" TargetMode="External"/><Relationship Id="rId32" Type="http://schemas.openxmlformats.org/officeDocument/2006/relationships/hyperlink" Target="http://mytrijaya.produkanda.com/sell/index.php?itemid=17091" TargetMode="External"/><Relationship Id="rId37" Type="http://schemas.openxmlformats.org/officeDocument/2006/relationships/hyperlink" Target="http://kutamandiri.blogspot.co.id/p/plafond-acoustic.html" TargetMode="External"/><Relationship Id="rId40" Type="http://schemas.openxmlformats.org/officeDocument/2006/relationships/hyperlink" Target="http://agenlampusorot.com/index.php?route=product/product&amp;product_id=254" TargetMode="External"/><Relationship Id="rId45" Type="http://schemas.openxmlformats.org/officeDocument/2006/relationships/hyperlink" Target="http://www.hargamaterialbangunan.com/2016/08/harga-pagar-tiang-brc.html" TargetMode="External"/><Relationship Id="rId53" Type="http://schemas.openxmlformats.org/officeDocument/2006/relationships/hyperlink" Target="http://agentasocimanggis.blogspot.co.id/2016/01/talang-jurai-zincalume-murah-depok.html" TargetMode="External"/><Relationship Id="rId58" Type="http://schemas.openxmlformats.org/officeDocument/2006/relationships/hyperlink" Target="http://www.softwarerab.com/analisa-harga-satuan-pekerjaan-rangka-atap-baja-ringan.htm" TargetMode="External"/><Relationship Id="rId66" Type="http://schemas.openxmlformats.org/officeDocument/2006/relationships/hyperlink" Target="https://www.tokopedia.com/madu-madu/pahat-besi-beton-ulir-ujung-lancip-19-mm-ujung-tajam-pe-limited" TargetMode="External"/><Relationship Id="rId5" Type="http://schemas.openxmlformats.org/officeDocument/2006/relationships/hyperlink" Target="http://www.tokopedia.com/" TargetMode="External"/><Relationship Id="rId15" Type="http://schemas.openxmlformats.org/officeDocument/2006/relationships/hyperlink" Target="http://harga.link/elektronik-rumah-tangga/list-daftar-harga-exhaust-fan-saat-ini/" TargetMode="External"/><Relationship Id="rId23" Type="http://schemas.openxmlformats.org/officeDocument/2006/relationships/hyperlink" Target="http://www.anekamaju.com/71-seal-tape" TargetMode="External"/><Relationship Id="rId28" Type="http://schemas.openxmlformats.org/officeDocument/2006/relationships/hyperlink" Target="http://harga.link/elektronik-rumah-tangga/list-daftar-harga-exhaust-fan-saat-ini/" TargetMode="External"/><Relationship Id="rId36" Type="http://schemas.openxmlformats.org/officeDocument/2006/relationships/hyperlink" Target="https://atapmurahonduline.wordpress.com/tag/harga-atap-onduline/" TargetMode="External"/><Relationship Id="rId49" Type="http://schemas.openxmlformats.org/officeDocument/2006/relationships/hyperlink" Target="https://www.tokopedia.com/tukangrumput/rumput-gajah-mini-harga-petani" TargetMode="External"/><Relationship Id="rId57" Type="http://schemas.openxmlformats.org/officeDocument/2006/relationships/hyperlink" Target="https://www.verticaldesign.id/harga-pasang-plafon-gypsum-partisi" TargetMode="External"/><Relationship Id="rId61" Type="http://schemas.openxmlformats.org/officeDocument/2006/relationships/hyperlink" Target="http://www.anekasewajasa.com/?prm=sewa&amp;cmd=detail&amp;id=38" TargetMode="External"/><Relationship Id="rId10" Type="http://schemas.openxmlformats.org/officeDocument/2006/relationships/hyperlink" Target="http://utamaservice045.blogspot.co.id/2012/09/appron-fire-alarm.html" TargetMode="External"/><Relationship Id="rId19" Type="http://schemas.openxmlformats.org/officeDocument/2006/relationships/hyperlink" Target="http://www.hargabangunan.xyz/" TargetMode="External"/><Relationship Id="rId31" Type="http://schemas.openxmlformats.org/officeDocument/2006/relationships/hyperlink" Target="http://www.mediabangunan.com/2013/06/daftar-harga-atap-metal-bluescope.html" TargetMode="External"/><Relationship Id="rId44" Type="http://schemas.openxmlformats.org/officeDocument/2006/relationships/hyperlink" Target="https://www.toto.co.id/category/toilet" TargetMode="External"/><Relationship Id="rId52" Type="http://schemas.openxmlformats.org/officeDocument/2006/relationships/hyperlink" Target="http://www.hargamaterialbangunan.com/2016/10/harga-wastafel.html" TargetMode="External"/><Relationship Id="rId60" Type="http://schemas.openxmlformats.org/officeDocument/2006/relationships/hyperlink" Target="http://www.kairosbaut.com/productlist.php" TargetMode="External"/><Relationship Id="rId65" Type="http://schemas.openxmlformats.org/officeDocument/2006/relationships/hyperlink" Target="https://www.tokopedia.com/teknik-marine/linggis-besi-ulir-1-14-x-110cm" TargetMode="External"/><Relationship Id="rId4" Type="http://schemas.openxmlformats.org/officeDocument/2006/relationships/hyperlink" Target="http://www.karyautamasteel.com/" TargetMode="External"/><Relationship Id="rId9" Type="http://schemas.openxmlformats.org/officeDocument/2006/relationships/hyperlink" Target="https://www.tokopedia.com/hanselindo/mcfafacp-fire-alarm-control-panel-kap-15-zone-murah-berkualitas?src=other" TargetMode="External"/><Relationship Id="rId14" Type="http://schemas.openxmlformats.org/officeDocument/2006/relationships/hyperlink" Target="https://jayamapan.com/panel-box/" TargetMode="External"/><Relationship Id="rId22" Type="http://schemas.openxmlformats.org/officeDocument/2006/relationships/hyperlink" Target="http://lampujalanutama.com/?lampu-led=3&amp;idc=1" TargetMode="External"/><Relationship Id="rId27" Type="http://schemas.openxmlformats.org/officeDocument/2006/relationships/hyperlink" Target="http://harga.link/elektronik-rumah-tangga/list-daftar-harga-exhaust-fan-saat-ini/" TargetMode="External"/><Relationship Id="rId30" Type="http://schemas.openxmlformats.org/officeDocument/2006/relationships/hyperlink" Target="http://www.mediabangunan.com/2013/06/daftar-harga-atap-metal-bluescope.html" TargetMode="External"/><Relationship Id="rId35" Type="http://schemas.openxmlformats.org/officeDocument/2006/relationships/hyperlink" Target="http://agenbajaringan.com/atap-upvc-onduline.php" TargetMode="External"/><Relationship Id="rId43" Type="http://schemas.openxmlformats.org/officeDocument/2006/relationships/hyperlink" Target="http://www.hargabangunane.com/harga-granit-marmer-murah/" TargetMode="External"/><Relationship Id="rId48" Type="http://schemas.openxmlformats.org/officeDocument/2006/relationships/hyperlink" Target="http://www.anekamaju.com/71-seal-tape" TargetMode="External"/><Relationship Id="rId56" Type="http://schemas.openxmlformats.org/officeDocument/2006/relationships/hyperlink" Target="http://pagarbrc-mjs.com/harga/pagarbrc" TargetMode="External"/><Relationship Id="rId64" Type="http://schemas.openxmlformats.org/officeDocument/2006/relationships/hyperlink" Target="http://indoteknik.com/v1/pk/kat/palu-hammer" TargetMode="External"/><Relationship Id="rId69" Type="http://schemas.openxmlformats.org/officeDocument/2006/relationships/drawing" Target="../drawings/drawing2.xml"/><Relationship Id="rId8" Type="http://schemas.openxmlformats.org/officeDocument/2006/relationships/hyperlink" Target="http://www.jualalatpemadamapi.net/harga-produk" TargetMode="External"/><Relationship Id="rId51" Type="http://schemas.openxmlformats.org/officeDocument/2006/relationships/hyperlink" Target="http://www.hargamaterialbangunan.com/2016/10/harga-lantai-kayu-vinyl.html" TargetMode="External"/><Relationship Id="rId3" Type="http://schemas.openxmlformats.org/officeDocument/2006/relationships/hyperlink" Target="http://www.rajarental.com/rental_forklift.html" TargetMode="External"/><Relationship Id="rId12" Type="http://schemas.openxmlformats.org/officeDocument/2006/relationships/hyperlink" Target="http://anekapemadamkebakaran.blogspot.co.id/2016/08/jual-alarm-bell-6-inch-diameter-untuk.html" TargetMode="External"/><Relationship Id="rId17" Type="http://schemas.openxmlformats.org/officeDocument/2006/relationships/hyperlink" Target="http://www.harga-ac.com/daftar-harga-ac-daikin.html" TargetMode="External"/><Relationship Id="rId25" Type="http://schemas.openxmlformats.org/officeDocument/2006/relationships/hyperlink" Target="http://www.globalsurveybandung.com/p/rental.html" TargetMode="External"/><Relationship Id="rId33" Type="http://schemas.openxmlformats.org/officeDocument/2006/relationships/hyperlink" Target="http://floorhardener.co/pricelist-tabel-daftar-harga-jasa-finishing-trowel-floor-hardener-lengkap-sika-fosroc-basf-chicibu-crystal-terbaru-2015/" TargetMode="External"/><Relationship Id="rId38" Type="http://schemas.openxmlformats.org/officeDocument/2006/relationships/hyperlink" Target="http://kutamandiri.blogspot.co.id/p/plafond-acoustic.html" TargetMode="External"/><Relationship Id="rId46" Type="http://schemas.openxmlformats.org/officeDocument/2006/relationships/hyperlink" Target="http://www.hargamaterialbangunan.com/2016/08/harga-pagar-tiang-brc.html" TargetMode="External"/><Relationship Id="rId59" Type="http://schemas.openxmlformats.org/officeDocument/2006/relationships/hyperlink" Target="http://www.softwarerab.com/analisa-harga-satuan-pekerjaan-rangka-atap-baja-ringan.htm" TargetMode="External"/><Relationship Id="rId67" Type="http://schemas.openxmlformats.org/officeDocument/2006/relationships/hyperlink" Target="http://sewastamperkuda.yolasite.com/" TargetMode="External"/><Relationship Id="rId20" Type="http://schemas.openxmlformats.org/officeDocument/2006/relationships/hyperlink" Target="http://www.blibli.com/" TargetMode="External"/><Relationship Id="rId41" Type="http://schemas.openxmlformats.org/officeDocument/2006/relationships/hyperlink" Target="http://www.bhinneka.com/category/saklar.aspx" TargetMode="External"/><Relationship Id="rId54" Type="http://schemas.openxmlformats.org/officeDocument/2006/relationships/hyperlink" Target="http://www.hargamaterialbangunan.com/2016/08/harga-pagar-tiang-brc.html" TargetMode="External"/><Relationship Id="rId62" Type="http://schemas.openxmlformats.org/officeDocument/2006/relationships/hyperlink" Target="http://indoteknik.com/v1/cari/search&amp;keywords=pahat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2060"/>
  </sheetPr>
  <dimension ref="B1:I40"/>
  <sheetViews>
    <sheetView topLeftCell="A16" workbookViewId="0">
      <selection activeCell="F32" sqref="F32"/>
    </sheetView>
  </sheetViews>
  <sheetFormatPr defaultRowHeight="15"/>
  <cols>
    <col min="1" max="1" width="2.85546875" customWidth="1"/>
    <col min="2" max="2" width="7.85546875" customWidth="1"/>
    <col min="3" max="3" width="50.7109375" customWidth="1"/>
    <col min="4" max="4" width="25.7109375" customWidth="1"/>
    <col min="5" max="6" width="18.5703125" style="634" customWidth="1"/>
    <col min="7" max="7" width="20.5703125" customWidth="1"/>
    <col min="8" max="8" width="20.7109375" customWidth="1"/>
    <col min="9" max="9" width="4.42578125" customWidth="1"/>
    <col min="257" max="257" width="7.85546875" customWidth="1"/>
    <col min="258" max="258" width="50.7109375" customWidth="1"/>
    <col min="259" max="259" width="20.7109375" customWidth="1"/>
    <col min="260" max="260" width="22.7109375" customWidth="1"/>
    <col min="261" max="262" width="5.7109375" customWidth="1"/>
    <col min="263" max="263" width="20.7109375" customWidth="1"/>
    <col min="264" max="264" width="4.42578125" customWidth="1"/>
    <col min="265" max="265" width="20.7109375" customWidth="1"/>
    <col min="513" max="513" width="7.85546875" customWidth="1"/>
    <col min="514" max="514" width="50.7109375" customWidth="1"/>
    <col min="515" max="515" width="20.7109375" customWidth="1"/>
    <col min="516" max="516" width="22.7109375" customWidth="1"/>
    <col min="517" max="518" width="5.7109375" customWidth="1"/>
    <col min="519" max="519" width="20.7109375" customWidth="1"/>
    <col min="520" max="520" width="4.42578125" customWidth="1"/>
    <col min="521" max="521" width="20.7109375" customWidth="1"/>
    <col min="769" max="769" width="7.85546875" customWidth="1"/>
    <col min="770" max="770" width="50.7109375" customWidth="1"/>
    <col min="771" max="771" width="20.7109375" customWidth="1"/>
    <col min="772" max="772" width="22.7109375" customWidth="1"/>
    <col min="773" max="774" width="5.7109375" customWidth="1"/>
    <col min="775" max="775" width="20.7109375" customWidth="1"/>
    <col min="776" max="776" width="4.42578125" customWidth="1"/>
    <col min="777" max="777" width="20.7109375" customWidth="1"/>
    <col min="1025" max="1025" width="7.85546875" customWidth="1"/>
    <col min="1026" max="1026" width="50.7109375" customWidth="1"/>
    <col min="1027" max="1027" width="20.7109375" customWidth="1"/>
    <col min="1028" max="1028" width="22.7109375" customWidth="1"/>
    <col min="1029" max="1030" width="5.7109375" customWidth="1"/>
    <col min="1031" max="1031" width="20.7109375" customWidth="1"/>
    <col min="1032" max="1032" width="4.42578125" customWidth="1"/>
    <col min="1033" max="1033" width="20.7109375" customWidth="1"/>
    <col min="1281" max="1281" width="7.85546875" customWidth="1"/>
    <col min="1282" max="1282" width="50.7109375" customWidth="1"/>
    <col min="1283" max="1283" width="20.7109375" customWidth="1"/>
    <col min="1284" max="1284" width="22.7109375" customWidth="1"/>
    <col min="1285" max="1286" width="5.7109375" customWidth="1"/>
    <col min="1287" max="1287" width="20.7109375" customWidth="1"/>
    <col min="1288" max="1288" width="4.42578125" customWidth="1"/>
    <col min="1289" max="1289" width="20.7109375" customWidth="1"/>
    <col min="1537" max="1537" width="7.85546875" customWidth="1"/>
    <col min="1538" max="1538" width="50.7109375" customWidth="1"/>
    <col min="1539" max="1539" width="20.7109375" customWidth="1"/>
    <col min="1540" max="1540" width="22.7109375" customWidth="1"/>
    <col min="1541" max="1542" width="5.7109375" customWidth="1"/>
    <col min="1543" max="1543" width="20.7109375" customWidth="1"/>
    <col min="1544" max="1544" width="4.42578125" customWidth="1"/>
    <col min="1545" max="1545" width="20.7109375" customWidth="1"/>
    <col min="1793" max="1793" width="7.85546875" customWidth="1"/>
    <col min="1794" max="1794" width="50.7109375" customWidth="1"/>
    <col min="1795" max="1795" width="20.7109375" customWidth="1"/>
    <col min="1796" max="1796" width="22.7109375" customWidth="1"/>
    <col min="1797" max="1798" width="5.7109375" customWidth="1"/>
    <col min="1799" max="1799" width="20.7109375" customWidth="1"/>
    <col min="1800" max="1800" width="4.42578125" customWidth="1"/>
    <col min="1801" max="1801" width="20.7109375" customWidth="1"/>
    <col min="2049" max="2049" width="7.85546875" customWidth="1"/>
    <col min="2050" max="2050" width="50.7109375" customWidth="1"/>
    <col min="2051" max="2051" width="20.7109375" customWidth="1"/>
    <col min="2052" max="2052" width="22.7109375" customWidth="1"/>
    <col min="2053" max="2054" width="5.7109375" customWidth="1"/>
    <col min="2055" max="2055" width="20.7109375" customWidth="1"/>
    <col min="2056" max="2056" width="4.42578125" customWidth="1"/>
    <col min="2057" max="2057" width="20.7109375" customWidth="1"/>
    <col min="2305" max="2305" width="7.85546875" customWidth="1"/>
    <col min="2306" max="2306" width="50.7109375" customWidth="1"/>
    <col min="2307" max="2307" width="20.7109375" customWidth="1"/>
    <col min="2308" max="2308" width="22.7109375" customWidth="1"/>
    <col min="2309" max="2310" width="5.7109375" customWidth="1"/>
    <col min="2311" max="2311" width="20.7109375" customWidth="1"/>
    <col min="2312" max="2312" width="4.42578125" customWidth="1"/>
    <col min="2313" max="2313" width="20.7109375" customWidth="1"/>
    <col min="2561" max="2561" width="7.85546875" customWidth="1"/>
    <col min="2562" max="2562" width="50.7109375" customWidth="1"/>
    <col min="2563" max="2563" width="20.7109375" customWidth="1"/>
    <col min="2564" max="2564" width="22.7109375" customWidth="1"/>
    <col min="2565" max="2566" width="5.7109375" customWidth="1"/>
    <col min="2567" max="2567" width="20.7109375" customWidth="1"/>
    <col min="2568" max="2568" width="4.42578125" customWidth="1"/>
    <col min="2569" max="2569" width="20.7109375" customWidth="1"/>
    <col min="2817" max="2817" width="7.85546875" customWidth="1"/>
    <col min="2818" max="2818" width="50.7109375" customWidth="1"/>
    <col min="2819" max="2819" width="20.7109375" customWidth="1"/>
    <col min="2820" max="2820" width="22.7109375" customWidth="1"/>
    <col min="2821" max="2822" width="5.7109375" customWidth="1"/>
    <col min="2823" max="2823" width="20.7109375" customWidth="1"/>
    <col min="2824" max="2824" width="4.42578125" customWidth="1"/>
    <col min="2825" max="2825" width="20.7109375" customWidth="1"/>
    <col min="3073" max="3073" width="7.85546875" customWidth="1"/>
    <col min="3074" max="3074" width="50.7109375" customWidth="1"/>
    <col min="3075" max="3075" width="20.7109375" customWidth="1"/>
    <col min="3076" max="3076" width="22.7109375" customWidth="1"/>
    <col min="3077" max="3078" width="5.7109375" customWidth="1"/>
    <col min="3079" max="3079" width="20.7109375" customWidth="1"/>
    <col min="3080" max="3080" width="4.42578125" customWidth="1"/>
    <col min="3081" max="3081" width="20.7109375" customWidth="1"/>
    <col min="3329" max="3329" width="7.85546875" customWidth="1"/>
    <col min="3330" max="3330" width="50.7109375" customWidth="1"/>
    <col min="3331" max="3331" width="20.7109375" customWidth="1"/>
    <col min="3332" max="3332" width="22.7109375" customWidth="1"/>
    <col min="3333" max="3334" width="5.7109375" customWidth="1"/>
    <col min="3335" max="3335" width="20.7109375" customWidth="1"/>
    <col min="3336" max="3336" width="4.42578125" customWidth="1"/>
    <col min="3337" max="3337" width="20.7109375" customWidth="1"/>
    <col min="3585" max="3585" width="7.85546875" customWidth="1"/>
    <col min="3586" max="3586" width="50.7109375" customWidth="1"/>
    <col min="3587" max="3587" width="20.7109375" customWidth="1"/>
    <col min="3588" max="3588" width="22.7109375" customWidth="1"/>
    <col min="3589" max="3590" width="5.7109375" customWidth="1"/>
    <col min="3591" max="3591" width="20.7109375" customWidth="1"/>
    <col min="3592" max="3592" width="4.42578125" customWidth="1"/>
    <col min="3593" max="3593" width="20.7109375" customWidth="1"/>
    <col min="3841" max="3841" width="7.85546875" customWidth="1"/>
    <col min="3842" max="3842" width="50.7109375" customWidth="1"/>
    <col min="3843" max="3843" width="20.7109375" customWidth="1"/>
    <col min="3844" max="3844" width="22.7109375" customWidth="1"/>
    <col min="3845" max="3846" width="5.7109375" customWidth="1"/>
    <col min="3847" max="3847" width="20.7109375" customWidth="1"/>
    <col min="3848" max="3848" width="4.42578125" customWidth="1"/>
    <col min="3849" max="3849" width="20.7109375" customWidth="1"/>
    <col min="4097" max="4097" width="7.85546875" customWidth="1"/>
    <col min="4098" max="4098" width="50.7109375" customWidth="1"/>
    <col min="4099" max="4099" width="20.7109375" customWidth="1"/>
    <col min="4100" max="4100" width="22.7109375" customWidth="1"/>
    <col min="4101" max="4102" width="5.7109375" customWidth="1"/>
    <col min="4103" max="4103" width="20.7109375" customWidth="1"/>
    <col min="4104" max="4104" width="4.42578125" customWidth="1"/>
    <col min="4105" max="4105" width="20.7109375" customWidth="1"/>
    <col min="4353" max="4353" width="7.85546875" customWidth="1"/>
    <col min="4354" max="4354" width="50.7109375" customWidth="1"/>
    <col min="4355" max="4355" width="20.7109375" customWidth="1"/>
    <col min="4356" max="4356" width="22.7109375" customWidth="1"/>
    <col min="4357" max="4358" width="5.7109375" customWidth="1"/>
    <col min="4359" max="4359" width="20.7109375" customWidth="1"/>
    <col min="4360" max="4360" width="4.42578125" customWidth="1"/>
    <col min="4361" max="4361" width="20.7109375" customWidth="1"/>
    <col min="4609" max="4609" width="7.85546875" customWidth="1"/>
    <col min="4610" max="4610" width="50.7109375" customWidth="1"/>
    <col min="4611" max="4611" width="20.7109375" customWidth="1"/>
    <col min="4612" max="4612" width="22.7109375" customWidth="1"/>
    <col min="4613" max="4614" width="5.7109375" customWidth="1"/>
    <col min="4615" max="4615" width="20.7109375" customWidth="1"/>
    <col min="4616" max="4616" width="4.42578125" customWidth="1"/>
    <col min="4617" max="4617" width="20.7109375" customWidth="1"/>
    <col min="4865" max="4865" width="7.85546875" customWidth="1"/>
    <col min="4866" max="4866" width="50.7109375" customWidth="1"/>
    <col min="4867" max="4867" width="20.7109375" customWidth="1"/>
    <col min="4868" max="4868" width="22.7109375" customWidth="1"/>
    <col min="4869" max="4870" width="5.7109375" customWidth="1"/>
    <col min="4871" max="4871" width="20.7109375" customWidth="1"/>
    <col min="4872" max="4872" width="4.42578125" customWidth="1"/>
    <col min="4873" max="4873" width="20.7109375" customWidth="1"/>
    <col min="5121" max="5121" width="7.85546875" customWidth="1"/>
    <col min="5122" max="5122" width="50.7109375" customWidth="1"/>
    <col min="5123" max="5123" width="20.7109375" customWidth="1"/>
    <col min="5124" max="5124" width="22.7109375" customWidth="1"/>
    <col min="5125" max="5126" width="5.7109375" customWidth="1"/>
    <col min="5127" max="5127" width="20.7109375" customWidth="1"/>
    <col min="5128" max="5128" width="4.42578125" customWidth="1"/>
    <col min="5129" max="5129" width="20.7109375" customWidth="1"/>
    <col min="5377" max="5377" width="7.85546875" customWidth="1"/>
    <col min="5378" max="5378" width="50.7109375" customWidth="1"/>
    <col min="5379" max="5379" width="20.7109375" customWidth="1"/>
    <col min="5380" max="5380" width="22.7109375" customWidth="1"/>
    <col min="5381" max="5382" width="5.7109375" customWidth="1"/>
    <col min="5383" max="5383" width="20.7109375" customWidth="1"/>
    <col min="5384" max="5384" width="4.42578125" customWidth="1"/>
    <col min="5385" max="5385" width="20.7109375" customWidth="1"/>
    <col min="5633" max="5633" width="7.85546875" customWidth="1"/>
    <col min="5634" max="5634" width="50.7109375" customWidth="1"/>
    <col min="5635" max="5635" width="20.7109375" customWidth="1"/>
    <col min="5636" max="5636" width="22.7109375" customWidth="1"/>
    <col min="5637" max="5638" width="5.7109375" customWidth="1"/>
    <col min="5639" max="5639" width="20.7109375" customWidth="1"/>
    <col min="5640" max="5640" width="4.42578125" customWidth="1"/>
    <col min="5641" max="5641" width="20.7109375" customWidth="1"/>
    <col min="5889" max="5889" width="7.85546875" customWidth="1"/>
    <col min="5890" max="5890" width="50.7109375" customWidth="1"/>
    <col min="5891" max="5891" width="20.7109375" customWidth="1"/>
    <col min="5892" max="5892" width="22.7109375" customWidth="1"/>
    <col min="5893" max="5894" width="5.7109375" customWidth="1"/>
    <col min="5895" max="5895" width="20.7109375" customWidth="1"/>
    <col min="5896" max="5896" width="4.42578125" customWidth="1"/>
    <col min="5897" max="5897" width="20.7109375" customWidth="1"/>
    <col min="6145" max="6145" width="7.85546875" customWidth="1"/>
    <col min="6146" max="6146" width="50.7109375" customWidth="1"/>
    <col min="6147" max="6147" width="20.7109375" customWidth="1"/>
    <col min="6148" max="6148" width="22.7109375" customWidth="1"/>
    <col min="6149" max="6150" width="5.7109375" customWidth="1"/>
    <col min="6151" max="6151" width="20.7109375" customWidth="1"/>
    <col min="6152" max="6152" width="4.42578125" customWidth="1"/>
    <col min="6153" max="6153" width="20.7109375" customWidth="1"/>
    <col min="6401" max="6401" width="7.85546875" customWidth="1"/>
    <col min="6402" max="6402" width="50.7109375" customWidth="1"/>
    <col min="6403" max="6403" width="20.7109375" customWidth="1"/>
    <col min="6404" max="6404" width="22.7109375" customWidth="1"/>
    <col min="6405" max="6406" width="5.7109375" customWidth="1"/>
    <col min="6407" max="6407" width="20.7109375" customWidth="1"/>
    <col min="6408" max="6408" width="4.42578125" customWidth="1"/>
    <col min="6409" max="6409" width="20.7109375" customWidth="1"/>
    <col min="6657" max="6657" width="7.85546875" customWidth="1"/>
    <col min="6658" max="6658" width="50.7109375" customWidth="1"/>
    <col min="6659" max="6659" width="20.7109375" customWidth="1"/>
    <col min="6660" max="6660" width="22.7109375" customWidth="1"/>
    <col min="6661" max="6662" width="5.7109375" customWidth="1"/>
    <col min="6663" max="6663" width="20.7109375" customWidth="1"/>
    <col min="6664" max="6664" width="4.42578125" customWidth="1"/>
    <col min="6665" max="6665" width="20.7109375" customWidth="1"/>
    <col min="6913" max="6913" width="7.85546875" customWidth="1"/>
    <col min="6914" max="6914" width="50.7109375" customWidth="1"/>
    <col min="6915" max="6915" width="20.7109375" customWidth="1"/>
    <col min="6916" max="6916" width="22.7109375" customWidth="1"/>
    <col min="6917" max="6918" width="5.7109375" customWidth="1"/>
    <col min="6919" max="6919" width="20.7109375" customWidth="1"/>
    <col min="6920" max="6920" width="4.42578125" customWidth="1"/>
    <col min="6921" max="6921" width="20.7109375" customWidth="1"/>
    <col min="7169" max="7169" width="7.85546875" customWidth="1"/>
    <col min="7170" max="7170" width="50.7109375" customWidth="1"/>
    <col min="7171" max="7171" width="20.7109375" customWidth="1"/>
    <col min="7172" max="7172" width="22.7109375" customWidth="1"/>
    <col min="7173" max="7174" width="5.7109375" customWidth="1"/>
    <col min="7175" max="7175" width="20.7109375" customWidth="1"/>
    <col min="7176" max="7176" width="4.42578125" customWidth="1"/>
    <col min="7177" max="7177" width="20.7109375" customWidth="1"/>
    <col min="7425" max="7425" width="7.85546875" customWidth="1"/>
    <col min="7426" max="7426" width="50.7109375" customWidth="1"/>
    <col min="7427" max="7427" width="20.7109375" customWidth="1"/>
    <col min="7428" max="7428" width="22.7109375" customWidth="1"/>
    <col min="7429" max="7430" width="5.7109375" customWidth="1"/>
    <col min="7431" max="7431" width="20.7109375" customWidth="1"/>
    <col min="7432" max="7432" width="4.42578125" customWidth="1"/>
    <col min="7433" max="7433" width="20.7109375" customWidth="1"/>
    <col min="7681" max="7681" width="7.85546875" customWidth="1"/>
    <col min="7682" max="7682" width="50.7109375" customWidth="1"/>
    <col min="7683" max="7683" width="20.7109375" customWidth="1"/>
    <col min="7684" max="7684" width="22.7109375" customWidth="1"/>
    <col min="7685" max="7686" width="5.7109375" customWidth="1"/>
    <col min="7687" max="7687" width="20.7109375" customWidth="1"/>
    <col min="7688" max="7688" width="4.42578125" customWidth="1"/>
    <col min="7689" max="7689" width="20.7109375" customWidth="1"/>
    <col min="7937" max="7937" width="7.85546875" customWidth="1"/>
    <col min="7938" max="7938" width="50.7109375" customWidth="1"/>
    <col min="7939" max="7939" width="20.7109375" customWidth="1"/>
    <col min="7940" max="7940" width="22.7109375" customWidth="1"/>
    <col min="7941" max="7942" width="5.7109375" customWidth="1"/>
    <col min="7943" max="7943" width="20.7109375" customWidth="1"/>
    <col min="7944" max="7944" width="4.42578125" customWidth="1"/>
    <col min="7945" max="7945" width="20.7109375" customWidth="1"/>
    <col min="8193" max="8193" width="7.85546875" customWidth="1"/>
    <col min="8194" max="8194" width="50.7109375" customWidth="1"/>
    <col min="8195" max="8195" width="20.7109375" customWidth="1"/>
    <col min="8196" max="8196" width="22.7109375" customWidth="1"/>
    <col min="8197" max="8198" width="5.7109375" customWidth="1"/>
    <col min="8199" max="8199" width="20.7109375" customWidth="1"/>
    <col min="8200" max="8200" width="4.42578125" customWidth="1"/>
    <col min="8201" max="8201" width="20.7109375" customWidth="1"/>
    <col min="8449" max="8449" width="7.85546875" customWidth="1"/>
    <col min="8450" max="8450" width="50.7109375" customWidth="1"/>
    <col min="8451" max="8451" width="20.7109375" customWidth="1"/>
    <col min="8452" max="8452" width="22.7109375" customWidth="1"/>
    <col min="8453" max="8454" width="5.7109375" customWidth="1"/>
    <col min="8455" max="8455" width="20.7109375" customWidth="1"/>
    <col min="8456" max="8456" width="4.42578125" customWidth="1"/>
    <col min="8457" max="8457" width="20.7109375" customWidth="1"/>
    <col min="8705" max="8705" width="7.85546875" customWidth="1"/>
    <col min="8706" max="8706" width="50.7109375" customWidth="1"/>
    <col min="8707" max="8707" width="20.7109375" customWidth="1"/>
    <col min="8708" max="8708" width="22.7109375" customWidth="1"/>
    <col min="8709" max="8710" width="5.7109375" customWidth="1"/>
    <col min="8711" max="8711" width="20.7109375" customWidth="1"/>
    <col min="8712" max="8712" width="4.42578125" customWidth="1"/>
    <col min="8713" max="8713" width="20.7109375" customWidth="1"/>
    <col min="8961" max="8961" width="7.85546875" customWidth="1"/>
    <col min="8962" max="8962" width="50.7109375" customWidth="1"/>
    <col min="8963" max="8963" width="20.7109375" customWidth="1"/>
    <col min="8964" max="8964" width="22.7109375" customWidth="1"/>
    <col min="8965" max="8966" width="5.7109375" customWidth="1"/>
    <col min="8967" max="8967" width="20.7109375" customWidth="1"/>
    <col min="8968" max="8968" width="4.42578125" customWidth="1"/>
    <col min="8969" max="8969" width="20.7109375" customWidth="1"/>
    <col min="9217" max="9217" width="7.85546875" customWidth="1"/>
    <col min="9218" max="9218" width="50.7109375" customWidth="1"/>
    <col min="9219" max="9219" width="20.7109375" customWidth="1"/>
    <col min="9220" max="9220" width="22.7109375" customWidth="1"/>
    <col min="9221" max="9222" width="5.7109375" customWidth="1"/>
    <col min="9223" max="9223" width="20.7109375" customWidth="1"/>
    <col min="9224" max="9224" width="4.42578125" customWidth="1"/>
    <col min="9225" max="9225" width="20.7109375" customWidth="1"/>
    <col min="9473" max="9473" width="7.85546875" customWidth="1"/>
    <col min="9474" max="9474" width="50.7109375" customWidth="1"/>
    <col min="9475" max="9475" width="20.7109375" customWidth="1"/>
    <col min="9476" max="9476" width="22.7109375" customWidth="1"/>
    <col min="9477" max="9478" width="5.7109375" customWidth="1"/>
    <col min="9479" max="9479" width="20.7109375" customWidth="1"/>
    <col min="9480" max="9480" width="4.42578125" customWidth="1"/>
    <col min="9481" max="9481" width="20.7109375" customWidth="1"/>
    <col min="9729" max="9729" width="7.85546875" customWidth="1"/>
    <col min="9730" max="9730" width="50.7109375" customWidth="1"/>
    <col min="9731" max="9731" width="20.7109375" customWidth="1"/>
    <col min="9732" max="9732" width="22.7109375" customWidth="1"/>
    <col min="9733" max="9734" width="5.7109375" customWidth="1"/>
    <col min="9735" max="9735" width="20.7109375" customWidth="1"/>
    <col min="9736" max="9736" width="4.42578125" customWidth="1"/>
    <col min="9737" max="9737" width="20.7109375" customWidth="1"/>
    <col min="9985" max="9985" width="7.85546875" customWidth="1"/>
    <col min="9986" max="9986" width="50.7109375" customWidth="1"/>
    <col min="9987" max="9987" width="20.7109375" customWidth="1"/>
    <col min="9988" max="9988" width="22.7109375" customWidth="1"/>
    <col min="9989" max="9990" width="5.7109375" customWidth="1"/>
    <col min="9991" max="9991" width="20.7109375" customWidth="1"/>
    <col min="9992" max="9992" width="4.42578125" customWidth="1"/>
    <col min="9993" max="9993" width="20.7109375" customWidth="1"/>
    <col min="10241" max="10241" width="7.85546875" customWidth="1"/>
    <col min="10242" max="10242" width="50.7109375" customWidth="1"/>
    <col min="10243" max="10243" width="20.7109375" customWidth="1"/>
    <col min="10244" max="10244" width="22.7109375" customWidth="1"/>
    <col min="10245" max="10246" width="5.7109375" customWidth="1"/>
    <col min="10247" max="10247" width="20.7109375" customWidth="1"/>
    <col min="10248" max="10248" width="4.42578125" customWidth="1"/>
    <col min="10249" max="10249" width="20.7109375" customWidth="1"/>
    <col min="10497" max="10497" width="7.85546875" customWidth="1"/>
    <col min="10498" max="10498" width="50.7109375" customWidth="1"/>
    <col min="10499" max="10499" width="20.7109375" customWidth="1"/>
    <col min="10500" max="10500" width="22.7109375" customWidth="1"/>
    <col min="10501" max="10502" width="5.7109375" customWidth="1"/>
    <col min="10503" max="10503" width="20.7109375" customWidth="1"/>
    <col min="10504" max="10504" width="4.42578125" customWidth="1"/>
    <col min="10505" max="10505" width="20.7109375" customWidth="1"/>
    <col min="10753" max="10753" width="7.85546875" customWidth="1"/>
    <col min="10754" max="10754" width="50.7109375" customWidth="1"/>
    <col min="10755" max="10755" width="20.7109375" customWidth="1"/>
    <col min="10756" max="10756" width="22.7109375" customWidth="1"/>
    <col min="10757" max="10758" width="5.7109375" customWidth="1"/>
    <col min="10759" max="10759" width="20.7109375" customWidth="1"/>
    <col min="10760" max="10760" width="4.42578125" customWidth="1"/>
    <col min="10761" max="10761" width="20.7109375" customWidth="1"/>
    <col min="11009" max="11009" width="7.85546875" customWidth="1"/>
    <col min="11010" max="11010" width="50.7109375" customWidth="1"/>
    <col min="11011" max="11011" width="20.7109375" customWidth="1"/>
    <col min="11012" max="11012" width="22.7109375" customWidth="1"/>
    <col min="11013" max="11014" width="5.7109375" customWidth="1"/>
    <col min="11015" max="11015" width="20.7109375" customWidth="1"/>
    <col min="11016" max="11016" width="4.42578125" customWidth="1"/>
    <col min="11017" max="11017" width="20.7109375" customWidth="1"/>
    <col min="11265" max="11265" width="7.85546875" customWidth="1"/>
    <col min="11266" max="11266" width="50.7109375" customWidth="1"/>
    <col min="11267" max="11267" width="20.7109375" customWidth="1"/>
    <col min="11268" max="11268" width="22.7109375" customWidth="1"/>
    <col min="11269" max="11270" width="5.7109375" customWidth="1"/>
    <col min="11271" max="11271" width="20.7109375" customWidth="1"/>
    <col min="11272" max="11272" width="4.42578125" customWidth="1"/>
    <col min="11273" max="11273" width="20.7109375" customWidth="1"/>
    <col min="11521" max="11521" width="7.85546875" customWidth="1"/>
    <col min="11522" max="11522" width="50.7109375" customWidth="1"/>
    <col min="11523" max="11523" width="20.7109375" customWidth="1"/>
    <col min="11524" max="11524" width="22.7109375" customWidth="1"/>
    <col min="11525" max="11526" width="5.7109375" customWidth="1"/>
    <col min="11527" max="11527" width="20.7109375" customWidth="1"/>
    <col min="11528" max="11528" width="4.42578125" customWidth="1"/>
    <col min="11529" max="11529" width="20.7109375" customWidth="1"/>
    <col min="11777" max="11777" width="7.85546875" customWidth="1"/>
    <col min="11778" max="11778" width="50.7109375" customWidth="1"/>
    <col min="11779" max="11779" width="20.7109375" customWidth="1"/>
    <col min="11780" max="11780" width="22.7109375" customWidth="1"/>
    <col min="11781" max="11782" width="5.7109375" customWidth="1"/>
    <col min="11783" max="11783" width="20.7109375" customWidth="1"/>
    <col min="11784" max="11784" width="4.42578125" customWidth="1"/>
    <col min="11785" max="11785" width="20.7109375" customWidth="1"/>
    <col min="12033" max="12033" width="7.85546875" customWidth="1"/>
    <col min="12034" max="12034" width="50.7109375" customWidth="1"/>
    <col min="12035" max="12035" width="20.7109375" customWidth="1"/>
    <col min="12036" max="12036" width="22.7109375" customWidth="1"/>
    <col min="12037" max="12038" width="5.7109375" customWidth="1"/>
    <col min="12039" max="12039" width="20.7109375" customWidth="1"/>
    <col min="12040" max="12040" width="4.42578125" customWidth="1"/>
    <col min="12041" max="12041" width="20.7109375" customWidth="1"/>
    <col min="12289" max="12289" width="7.85546875" customWidth="1"/>
    <col min="12290" max="12290" width="50.7109375" customWidth="1"/>
    <col min="12291" max="12291" width="20.7109375" customWidth="1"/>
    <col min="12292" max="12292" width="22.7109375" customWidth="1"/>
    <col min="12293" max="12294" width="5.7109375" customWidth="1"/>
    <col min="12295" max="12295" width="20.7109375" customWidth="1"/>
    <col min="12296" max="12296" width="4.42578125" customWidth="1"/>
    <col min="12297" max="12297" width="20.7109375" customWidth="1"/>
    <col min="12545" max="12545" width="7.85546875" customWidth="1"/>
    <col min="12546" max="12546" width="50.7109375" customWidth="1"/>
    <col min="12547" max="12547" width="20.7109375" customWidth="1"/>
    <col min="12548" max="12548" width="22.7109375" customWidth="1"/>
    <col min="12549" max="12550" width="5.7109375" customWidth="1"/>
    <col min="12551" max="12551" width="20.7109375" customWidth="1"/>
    <col min="12552" max="12552" width="4.42578125" customWidth="1"/>
    <col min="12553" max="12553" width="20.7109375" customWidth="1"/>
    <col min="12801" max="12801" width="7.85546875" customWidth="1"/>
    <col min="12802" max="12802" width="50.7109375" customWidth="1"/>
    <col min="12803" max="12803" width="20.7109375" customWidth="1"/>
    <col min="12804" max="12804" width="22.7109375" customWidth="1"/>
    <col min="12805" max="12806" width="5.7109375" customWidth="1"/>
    <col min="12807" max="12807" width="20.7109375" customWidth="1"/>
    <col min="12808" max="12808" width="4.42578125" customWidth="1"/>
    <col min="12809" max="12809" width="20.7109375" customWidth="1"/>
    <col min="13057" max="13057" width="7.85546875" customWidth="1"/>
    <col min="13058" max="13058" width="50.7109375" customWidth="1"/>
    <col min="13059" max="13059" width="20.7109375" customWidth="1"/>
    <col min="13060" max="13060" width="22.7109375" customWidth="1"/>
    <col min="13061" max="13062" width="5.7109375" customWidth="1"/>
    <col min="13063" max="13063" width="20.7109375" customWidth="1"/>
    <col min="13064" max="13064" width="4.42578125" customWidth="1"/>
    <col min="13065" max="13065" width="20.7109375" customWidth="1"/>
    <col min="13313" max="13313" width="7.85546875" customWidth="1"/>
    <col min="13314" max="13314" width="50.7109375" customWidth="1"/>
    <col min="13315" max="13315" width="20.7109375" customWidth="1"/>
    <col min="13316" max="13316" width="22.7109375" customWidth="1"/>
    <col min="13317" max="13318" width="5.7109375" customWidth="1"/>
    <col min="13319" max="13319" width="20.7109375" customWidth="1"/>
    <col min="13320" max="13320" width="4.42578125" customWidth="1"/>
    <col min="13321" max="13321" width="20.7109375" customWidth="1"/>
    <col min="13569" max="13569" width="7.85546875" customWidth="1"/>
    <col min="13570" max="13570" width="50.7109375" customWidth="1"/>
    <col min="13571" max="13571" width="20.7109375" customWidth="1"/>
    <col min="13572" max="13572" width="22.7109375" customWidth="1"/>
    <col min="13573" max="13574" width="5.7109375" customWidth="1"/>
    <col min="13575" max="13575" width="20.7109375" customWidth="1"/>
    <col min="13576" max="13576" width="4.42578125" customWidth="1"/>
    <col min="13577" max="13577" width="20.7109375" customWidth="1"/>
    <col min="13825" max="13825" width="7.85546875" customWidth="1"/>
    <col min="13826" max="13826" width="50.7109375" customWidth="1"/>
    <col min="13827" max="13827" width="20.7109375" customWidth="1"/>
    <col min="13828" max="13828" width="22.7109375" customWidth="1"/>
    <col min="13829" max="13830" width="5.7109375" customWidth="1"/>
    <col min="13831" max="13831" width="20.7109375" customWidth="1"/>
    <col min="13832" max="13832" width="4.42578125" customWidth="1"/>
    <col min="13833" max="13833" width="20.7109375" customWidth="1"/>
    <col min="14081" max="14081" width="7.85546875" customWidth="1"/>
    <col min="14082" max="14082" width="50.7109375" customWidth="1"/>
    <col min="14083" max="14083" width="20.7109375" customWidth="1"/>
    <col min="14084" max="14084" width="22.7109375" customWidth="1"/>
    <col min="14085" max="14086" width="5.7109375" customWidth="1"/>
    <col min="14087" max="14087" width="20.7109375" customWidth="1"/>
    <col min="14088" max="14088" width="4.42578125" customWidth="1"/>
    <col min="14089" max="14089" width="20.7109375" customWidth="1"/>
    <col min="14337" max="14337" width="7.85546875" customWidth="1"/>
    <col min="14338" max="14338" width="50.7109375" customWidth="1"/>
    <col min="14339" max="14339" width="20.7109375" customWidth="1"/>
    <col min="14340" max="14340" width="22.7109375" customWidth="1"/>
    <col min="14341" max="14342" width="5.7109375" customWidth="1"/>
    <col min="14343" max="14343" width="20.7109375" customWidth="1"/>
    <col min="14344" max="14344" width="4.42578125" customWidth="1"/>
    <col min="14345" max="14345" width="20.7109375" customWidth="1"/>
    <col min="14593" max="14593" width="7.85546875" customWidth="1"/>
    <col min="14594" max="14594" width="50.7109375" customWidth="1"/>
    <col min="14595" max="14595" width="20.7109375" customWidth="1"/>
    <col min="14596" max="14596" width="22.7109375" customWidth="1"/>
    <col min="14597" max="14598" width="5.7109375" customWidth="1"/>
    <col min="14599" max="14599" width="20.7109375" customWidth="1"/>
    <col min="14600" max="14600" width="4.42578125" customWidth="1"/>
    <col min="14601" max="14601" width="20.7109375" customWidth="1"/>
    <col min="14849" max="14849" width="7.85546875" customWidth="1"/>
    <col min="14850" max="14850" width="50.7109375" customWidth="1"/>
    <col min="14851" max="14851" width="20.7109375" customWidth="1"/>
    <col min="14852" max="14852" width="22.7109375" customWidth="1"/>
    <col min="14853" max="14854" width="5.7109375" customWidth="1"/>
    <col min="14855" max="14855" width="20.7109375" customWidth="1"/>
    <col min="14856" max="14856" width="4.42578125" customWidth="1"/>
    <col min="14857" max="14857" width="20.7109375" customWidth="1"/>
    <col min="15105" max="15105" width="7.85546875" customWidth="1"/>
    <col min="15106" max="15106" width="50.7109375" customWidth="1"/>
    <col min="15107" max="15107" width="20.7109375" customWidth="1"/>
    <col min="15108" max="15108" width="22.7109375" customWidth="1"/>
    <col min="15109" max="15110" width="5.7109375" customWidth="1"/>
    <col min="15111" max="15111" width="20.7109375" customWidth="1"/>
    <col min="15112" max="15112" width="4.42578125" customWidth="1"/>
    <col min="15113" max="15113" width="20.7109375" customWidth="1"/>
    <col min="15361" max="15361" width="7.85546875" customWidth="1"/>
    <col min="15362" max="15362" width="50.7109375" customWidth="1"/>
    <col min="15363" max="15363" width="20.7109375" customWidth="1"/>
    <col min="15364" max="15364" width="22.7109375" customWidth="1"/>
    <col min="15365" max="15366" width="5.7109375" customWidth="1"/>
    <col min="15367" max="15367" width="20.7109375" customWidth="1"/>
    <col min="15368" max="15368" width="4.42578125" customWidth="1"/>
    <col min="15369" max="15369" width="20.7109375" customWidth="1"/>
    <col min="15617" max="15617" width="7.85546875" customWidth="1"/>
    <col min="15618" max="15618" width="50.7109375" customWidth="1"/>
    <col min="15619" max="15619" width="20.7109375" customWidth="1"/>
    <col min="15620" max="15620" width="22.7109375" customWidth="1"/>
    <col min="15621" max="15622" width="5.7109375" customWidth="1"/>
    <col min="15623" max="15623" width="20.7109375" customWidth="1"/>
    <col min="15624" max="15624" width="4.42578125" customWidth="1"/>
    <col min="15625" max="15625" width="20.7109375" customWidth="1"/>
    <col min="15873" max="15873" width="7.85546875" customWidth="1"/>
    <col min="15874" max="15874" width="50.7109375" customWidth="1"/>
    <col min="15875" max="15875" width="20.7109375" customWidth="1"/>
    <col min="15876" max="15876" width="22.7109375" customWidth="1"/>
    <col min="15877" max="15878" width="5.7109375" customWidth="1"/>
    <col min="15879" max="15879" width="20.7109375" customWidth="1"/>
    <col min="15880" max="15880" width="4.42578125" customWidth="1"/>
    <col min="15881" max="15881" width="20.7109375" customWidth="1"/>
    <col min="16129" max="16129" width="7.85546875" customWidth="1"/>
    <col min="16130" max="16130" width="50.7109375" customWidth="1"/>
    <col min="16131" max="16131" width="20.7109375" customWidth="1"/>
    <col min="16132" max="16132" width="22.7109375" customWidth="1"/>
    <col min="16133" max="16134" width="5.7109375" customWidth="1"/>
    <col min="16135" max="16135" width="20.7109375" customWidth="1"/>
    <col min="16136" max="16136" width="4.42578125" customWidth="1"/>
    <col min="16137" max="16137" width="20.7109375" customWidth="1"/>
  </cols>
  <sheetData>
    <row r="1" spans="2:9">
      <c r="B1" s="591"/>
      <c r="C1" s="591"/>
      <c r="D1" s="591"/>
      <c r="E1" s="11"/>
      <c r="F1" s="11"/>
    </row>
    <row r="2" spans="2:9" ht="21">
      <c r="B2" s="1046" t="s">
        <v>4252</v>
      </c>
      <c r="C2" s="1046"/>
      <c r="D2" s="1046"/>
      <c r="E2" s="1046"/>
      <c r="F2" s="1046"/>
    </row>
    <row r="3" spans="2:9" ht="15.75">
      <c r="B3" s="1047" t="s">
        <v>4330</v>
      </c>
      <c r="C3" s="1047"/>
      <c r="D3" s="1047"/>
      <c r="E3" s="1047"/>
      <c r="F3" s="1047"/>
      <c r="I3" s="690"/>
    </row>
    <row r="4" spans="2:9" ht="15.75">
      <c r="B4" s="1048" t="s">
        <v>4254</v>
      </c>
      <c r="C4" s="1048"/>
      <c r="D4" s="1048"/>
      <c r="E4" s="1048"/>
      <c r="F4" s="1048"/>
    </row>
    <row r="5" spans="2:9" ht="15.75" thickBot="1">
      <c r="B5" s="10"/>
      <c r="C5" s="591"/>
      <c r="D5" s="591"/>
      <c r="E5" s="11"/>
      <c r="F5" s="11"/>
    </row>
    <row r="6" spans="2:9" ht="15.75" thickTop="1">
      <c r="B6" s="1053" t="s">
        <v>10</v>
      </c>
      <c r="C6" s="1055" t="s">
        <v>4255</v>
      </c>
      <c r="D6" s="1056"/>
      <c r="E6" s="710" t="s">
        <v>3270</v>
      </c>
      <c r="F6" s="9" t="s">
        <v>3270</v>
      </c>
    </row>
    <row r="7" spans="2:9" s="690" customFormat="1">
      <c r="B7" s="1054"/>
      <c r="C7" s="1057"/>
      <c r="D7" s="1058"/>
      <c r="E7" s="711" t="s">
        <v>4344</v>
      </c>
      <c r="F7" s="8" t="s">
        <v>4345</v>
      </c>
    </row>
    <row r="8" spans="2:9" ht="15.75" thickBot="1">
      <c r="B8" s="1054"/>
      <c r="C8" s="1059"/>
      <c r="D8" s="1058"/>
      <c r="E8" s="711" t="s">
        <v>2152</v>
      </c>
      <c r="F8" s="712" t="s">
        <v>2152</v>
      </c>
    </row>
    <row r="9" spans="2:9" ht="16.5" thickTop="1" thickBot="1">
      <c r="B9" s="1021" t="s">
        <v>4256</v>
      </c>
      <c r="C9" s="1022"/>
      <c r="D9" s="1022"/>
      <c r="E9" s="1022"/>
      <c r="F9" s="1023"/>
    </row>
    <row r="10" spans="2:9" ht="15.75" thickTop="1">
      <c r="B10" s="7" t="s">
        <v>816</v>
      </c>
      <c r="C10" s="1027" t="s">
        <v>4257</v>
      </c>
      <c r="D10" s="1028"/>
      <c r="E10" s="713"/>
      <c r="F10" s="720"/>
    </row>
    <row r="11" spans="2:9">
      <c r="B11" s="5" t="s">
        <v>504</v>
      </c>
      <c r="C11" s="1029" t="s">
        <v>4227</v>
      </c>
      <c r="D11" s="1030"/>
      <c r="E11" s="713">
        <v>0</v>
      </c>
      <c r="F11" s="6">
        <v>0</v>
      </c>
    </row>
    <row r="12" spans="2:9">
      <c r="B12" s="5" t="s">
        <v>717</v>
      </c>
      <c r="C12" s="1029" t="s">
        <v>4236</v>
      </c>
      <c r="D12" s="1030"/>
      <c r="E12" s="713">
        <v>0</v>
      </c>
      <c r="F12" s="6">
        <v>0</v>
      </c>
    </row>
    <row r="13" spans="2:9">
      <c r="B13" s="5" t="s">
        <v>735</v>
      </c>
      <c r="C13" s="1029" t="s">
        <v>4249</v>
      </c>
      <c r="D13" s="1030"/>
      <c r="E13" s="713">
        <v>0</v>
      </c>
      <c r="F13" s="6">
        <v>0</v>
      </c>
    </row>
    <row r="14" spans="2:9">
      <c r="B14" s="5" t="s">
        <v>760</v>
      </c>
      <c r="C14" s="4" t="s">
        <v>4258</v>
      </c>
      <c r="D14" s="3"/>
      <c r="E14" s="714">
        <f>'Pengadaan Tower'!I104</f>
        <v>645884091.96638489</v>
      </c>
      <c r="F14" s="1016">
        <f>'Pengadaan Tower'!K104</f>
        <v>644423491.96638501</v>
      </c>
    </row>
    <row r="15" spans="2:9">
      <c r="B15" s="1049" t="s">
        <v>4259</v>
      </c>
      <c r="C15" s="1050"/>
      <c r="D15" s="1050"/>
      <c r="E15" s="715">
        <f>SUM(E11:E14)</f>
        <v>645884091.96638489</v>
      </c>
      <c r="F15" s="2">
        <f>SUM(F11:F14)</f>
        <v>644423491.96638501</v>
      </c>
    </row>
    <row r="16" spans="2:9">
      <c r="B16" s="7" t="s">
        <v>818</v>
      </c>
      <c r="C16" s="1051" t="s">
        <v>4260</v>
      </c>
      <c r="D16" s="1052"/>
      <c r="E16" s="713"/>
      <c r="F16" s="6"/>
    </row>
    <row r="17" spans="2:8">
      <c r="B17" s="5" t="s">
        <v>504</v>
      </c>
      <c r="C17" s="1029" t="s">
        <v>3273</v>
      </c>
      <c r="D17" s="1030"/>
      <c r="E17" s="713">
        <f>'Tower Erection'!G14</f>
        <v>148000000</v>
      </c>
      <c r="F17" s="6">
        <f>'Tower Erection'!I14</f>
        <v>148000000</v>
      </c>
    </row>
    <row r="18" spans="2:8">
      <c r="B18" s="5" t="s">
        <v>717</v>
      </c>
      <c r="C18" s="1029" t="s">
        <v>4261</v>
      </c>
      <c r="D18" s="1030"/>
      <c r="E18" s="713">
        <f>'Tower Erection'!G56+'Tower Erection'!G98</f>
        <v>4084658525.5934525</v>
      </c>
      <c r="F18" s="6">
        <f>'Tower Erection'!I56+'Tower Erection'!I98</f>
        <v>4084658525.5934525</v>
      </c>
    </row>
    <row r="19" spans="2:8">
      <c r="B19" s="5" t="s">
        <v>735</v>
      </c>
      <c r="C19" s="1029" t="s">
        <v>4262</v>
      </c>
      <c r="D19" s="1030"/>
      <c r="E19" s="713">
        <f>'Tower Erection'!G103</f>
        <v>136972907.5</v>
      </c>
      <c r="F19" s="6">
        <f>'Tower Erection'!I103</f>
        <v>136972907.5</v>
      </c>
    </row>
    <row r="20" spans="2:8">
      <c r="B20" s="5" t="s">
        <v>760</v>
      </c>
      <c r="C20" s="1031" t="s">
        <v>4124</v>
      </c>
      <c r="D20" s="1032"/>
      <c r="E20" s="713">
        <f>'Tower Erection'!G105</f>
        <v>363849750</v>
      </c>
      <c r="F20" s="6">
        <f>'Tower Erection'!I105</f>
        <v>363849750</v>
      </c>
    </row>
    <row r="21" spans="2:8">
      <c r="B21" s="1033" t="s">
        <v>4263</v>
      </c>
      <c r="C21" s="1034"/>
      <c r="D21" s="1035"/>
      <c r="E21" s="715">
        <f>SUM(E17:E20)</f>
        <v>4733481183.0934525</v>
      </c>
      <c r="F21" s="2">
        <f>SUM(F17:F20)</f>
        <v>4733481183.0934525</v>
      </c>
    </row>
    <row r="22" spans="2:8">
      <c r="B22" s="7" t="s">
        <v>819</v>
      </c>
      <c r="C22" s="1027" t="s">
        <v>3272</v>
      </c>
      <c r="D22" s="1028"/>
      <c r="E22" s="713"/>
      <c r="F22" s="6"/>
    </row>
    <row r="23" spans="2:8">
      <c r="B23" s="5" t="s">
        <v>504</v>
      </c>
      <c r="C23" s="1029" t="s">
        <v>3273</v>
      </c>
      <c r="D23" s="1030"/>
      <c r="E23" s="713">
        <f>'C1. Rekap Pondasi 4 Pile'!H20</f>
        <v>1120217958.3641925</v>
      </c>
      <c r="F23" s="1017">
        <f>'C1. Rekap Pondasi 4 Pile'!J20</f>
        <v>1120217958.3641925</v>
      </c>
    </row>
    <row r="24" spans="2:8">
      <c r="B24" s="5" t="s">
        <v>717</v>
      </c>
      <c r="C24" s="1029" t="s">
        <v>2081</v>
      </c>
      <c r="D24" s="1030"/>
      <c r="E24" s="713">
        <f>'C1. Rekap Pondasi 4 Pile'!H658+'C2. Rekap Pondasi 6 Pile'!H490</f>
        <v>33088526146.826096</v>
      </c>
      <c r="F24" s="6">
        <f>'C1. Rekap Pondasi 4 Pile'!J658+'C2. Rekap Pondasi 6 Pile'!J490</f>
        <v>33088526146.826096</v>
      </c>
      <c r="G24" s="636">
        <f>F24+'Tower Erection'!I98</f>
        <v>33157739541.846096</v>
      </c>
    </row>
    <row r="25" spans="2:8">
      <c r="B25" s="5" t="s">
        <v>735</v>
      </c>
      <c r="C25" s="1031" t="s">
        <v>4264</v>
      </c>
      <c r="D25" s="1032"/>
      <c r="E25" s="713">
        <f>'C3. Provisional Sum'!G50</f>
        <v>6439287187.842515</v>
      </c>
      <c r="F25" s="1017">
        <f>'C3. Provisional Sum'!I50</f>
        <v>6439287187.842515</v>
      </c>
    </row>
    <row r="26" spans="2:8" ht="15.75" thickBot="1">
      <c r="B26" s="1033" t="s">
        <v>4265</v>
      </c>
      <c r="C26" s="1034"/>
      <c r="D26" s="1035"/>
      <c r="E26" s="716">
        <f>SUM(E23:E25)</f>
        <v>40648031293.032806</v>
      </c>
      <c r="F26" s="1">
        <f>SUM(F23:F25)</f>
        <v>40648031293.032806</v>
      </c>
      <c r="H26" s="636"/>
    </row>
    <row r="27" spans="2:8" ht="16.5" thickTop="1" thickBot="1">
      <c r="B27" s="1036" t="s">
        <v>4266</v>
      </c>
      <c r="C27" s="1037"/>
      <c r="D27" s="1038"/>
      <c r="E27" s="717">
        <f>E21+E26+E15</f>
        <v>46027396568.092644</v>
      </c>
      <c r="F27" s="639">
        <f>F21+F26+F15</f>
        <v>46025935968.092644</v>
      </c>
    </row>
    <row r="28" spans="2:8" ht="16.5" thickTop="1" thickBot="1">
      <c r="B28" s="1021" t="s">
        <v>4267</v>
      </c>
      <c r="C28" s="1022"/>
      <c r="D28" s="1022"/>
      <c r="E28" s="1022"/>
      <c r="F28" s="1023"/>
    </row>
    <row r="29" spans="2:8" ht="27.75" customHeight="1" thickTop="1">
      <c r="B29" s="7" t="s">
        <v>820</v>
      </c>
      <c r="C29" s="1039" t="s">
        <v>4268</v>
      </c>
      <c r="D29" s="1040"/>
      <c r="E29" s="713"/>
      <c r="F29" s="6"/>
    </row>
    <row r="30" spans="2:8">
      <c r="B30" s="5" t="s">
        <v>504</v>
      </c>
      <c r="C30" s="1029" t="s">
        <v>4269</v>
      </c>
      <c r="D30" s="1030"/>
      <c r="E30" s="718">
        <f>'EM Pengadaan &amp; Pemasangan'!G49</f>
        <v>13504197444.887501</v>
      </c>
      <c r="F30" s="1015">
        <f>'EM Pengadaan &amp; Pemasangan'!I49</f>
        <v>13504197444.887501</v>
      </c>
    </row>
    <row r="31" spans="2:8" ht="15" hidden="1" customHeight="1">
      <c r="B31" s="5" t="s">
        <v>717</v>
      </c>
      <c r="C31" s="1029" t="s">
        <v>4270</v>
      </c>
      <c r="D31" s="1030"/>
      <c r="E31" s="713"/>
      <c r="F31" s="6"/>
    </row>
    <row r="32" spans="2:8">
      <c r="B32" s="5" t="s">
        <v>717</v>
      </c>
      <c r="C32" s="1029" t="s">
        <v>4271</v>
      </c>
      <c r="D32" s="1030"/>
      <c r="E32" s="713">
        <f>'EM Pengadaan &amp; Pemasangan'!G131</f>
        <v>10623158469.134583</v>
      </c>
      <c r="F32" s="6">
        <f>'EM Pengadaan &amp; Pemasangan'!I131</f>
        <v>10623158469.134583</v>
      </c>
    </row>
    <row r="33" spans="2:8" ht="15.75" thickBot="1">
      <c r="B33" s="1024" t="s">
        <v>4272</v>
      </c>
      <c r="C33" s="1025"/>
      <c r="D33" s="1026"/>
      <c r="E33" s="715">
        <f>SUM(E30:E32)</f>
        <v>24127355914.022083</v>
      </c>
      <c r="F33" s="2">
        <f>SUM(F30:F32)</f>
        <v>24127355914.022083</v>
      </c>
    </row>
    <row r="34" spans="2:8" ht="16.5" thickTop="1" thickBot="1">
      <c r="B34" s="1042" t="s">
        <v>4273</v>
      </c>
      <c r="C34" s="1043"/>
      <c r="D34" s="1044"/>
      <c r="E34" s="719">
        <f>E15+E21+E26+E33</f>
        <v>70154752482.114731</v>
      </c>
      <c r="F34" s="661">
        <f>F15+F21+F26+F33</f>
        <v>70153291882.114731</v>
      </c>
    </row>
    <row r="35" spans="2:8" ht="15.75" thickTop="1">
      <c r="B35" s="1045"/>
      <c r="C35" s="1045"/>
      <c r="D35" s="1045"/>
      <c r="E35" s="1045"/>
      <c r="F35" s="709"/>
    </row>
    <row r="36" spans="2:8" hidden="1">
      <c r="C36" s="1041"/>
      <c r="D36" s="1041"/>
      <c r="E36" s="634" t="e">
        <v>#REF!</v>
      </c>
      <c r="F36" s="634" t="e">
        <v>#REF!</v>
      </c>
      <c r="G36" s="1041" t="s">
        <v>4274</v>
      </c>
      <c r="H36" s="1041"/>
    </row>
    <row r="37" spans="2:8" hidden="1">
      <c r="E37" s="634">
        <v>70000000000</v>
      </c>
      <c r="F37" s="634">
        <v>70000000000</v>
      </c>
      <c r="G37" s="1041" t="s">
        <v>4275</v>
      </c>
      <c r="H37" s="1041"/>
    </row>
    <row r="38" spans="2:8" hidden="1">
      <c r="E38" s="634" t="e">
        <f>#REF!+E37</f>
        <v>#REF!</v>
      </c>
      <c r="F38" s="634" t="e">
        <f>#REF!+F37</f>
        <v>#REF!</v>
      </c>
      <c r="G38" s="1041" t="s">
        <v>4276</v>
      </c>
      <c r="H38" s="1041"/>
    </row>
    <row r="39" spans="2:8" hidden="1">
      <c r="E39" s="634">
        <v>108286192000</v>
      </c>
      <c r="F39" s="634">
        <v>108286192000</v>
      </c>
      <c r="G39" s="1041" t="s">
        <v>4277</v>
      </c>
      <c r="H39" s="1041"/>
    </row>
    <row r="40" spans="2:8" hidden="1">
      <c r="E40" s="1041" t="e">
        <f>IF(E38&lt;=E39,"OK Di Bawah SKI","Melebihi SKI")</f>
        <v>#REF!</v>
      </c>
      <c r="F40" s="1041"/>
      <c r="G40" s="1041"/>
      <c r="H40" s="1041"/>
    </row>
  </sheetData>
  <mergeCells count="37">
    <mergeCell ref="B2:F2"/>
    <mergeCell ref="B3:F3"/>
    <mergeCell ref="B4:F4"/>
    <mergeCell ref="B21:D21"/>
    <mergeCell ref="C10:D10"/>
    <mergeCell ref="C11:D11"/>
    <mergeCell ref="C12:D12"/>
    <mergeCell ref="C13:D13"/>
    <mergeCell ref="B15:D15"/>
    <mergeCell ref="C16:D16"/>
    <mergeCell ref="C17:D17"/>
    <mergeCell ref="C18:D18"/>
    <mergeCell ref="C19:D19"/>
    <mergeCell ref="C20:D20"/>
    <mergeCell ref="B6:B8"/>
    <mergeCell ref="C6:D8"/>
    <mergeCell ref="G39:H39"/>
    <mergeCell ref="E40:H40"/>
    <mergeCell ref="B34:D34"/>
    <mergeCell ref="B35:E35"/>
    <mergeCell ref="C36:D36"/>
    <mergeCell ref="G36:H36"/>
    <mergeCell ref="G37:H37"/>
    <mergeCell ref="G38:H38"/>
    <mergeCell ref="B9:F9"/>
    <mergeCell ref="B28:F28"/>
    <mergeCell ref="B33:D33"/>
    <mergeCell ref="C22:D22"/>
    <mergeCell ref="C23:D23"/>
    <mergeCell ref="C24:D24"/>
    <mergeCell ref="C25:D25"/>
    <mergeCell ref="B26:D26"/>
    <mergeCell ref="B27:D27"/>
    <mergeCell ref="C29:D29"/>
    <mergeCell ref="C30:D30"/>
    <mergeCell ref="C31:D31"/>
    <mergeCell ref="C32:D32"/>
  </mergeCells>
  <printOptions horizontalCentered="1"/>
  <pageMargins left="0.70866141732283472" right="0.70866141732283472" top="0.74803149606299213" bottom="0.74803149606299213" header="0.31496062992125984" footer="0.31496062992125984"/>
  <pageSetup scale="80" orientation="portrait" horizontalDpi="4294967293" verticalDpi="4294967293" r:id="rId1"/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2060"/>
  </sheetPr>
  <dimension ref="B1:AB105"/>
  <sheetViews>
    <sheetView view="pageBreakPreview" topLeftCell="A16" zoomScale="60" zoomScaleNormal="70" workbookViewId="0">
      <selection activeCell="P93" sqref="P93"/>
    </sheetView>
  </sheetViews>
  <sheetFormatPr defaultRowHeight="15"/>
  <cols>
    <col min="1" max="1" width="4.85546875" customWidth="1"/>
    <col min="2" max="2" width="5.85546875" customWidth="1"/>
    <col min="3" max="3" width="65.140625" customWidth="1"/>
    <col min="4" max="4" width="10.85546875" customWidth="1"/>
    <col min="5" max="6" width="10.7109375" customWidth="1"/>
    <col min="7" max="7" width="13.5703125" style="655" customWidth="1"/>
    <col min="8" max="8" width="17.5703125" customWidth="1"/>
    <col min="9" max="9" width="16.28515625" style="695" bestFit="1" customWidth="1"/>
    <col min="10" max="11" width="16.28515625" style="695" customWidth="1"/>
    <col min="14" max="14" width="14.28515625" bestFit="1" customWidth="1"/>
    <col min="260" max="260" width="5.85546875" customWidth="1"/>
    <col min="261" max="261" width="45.140625" customWidth="1"/>
    <col min="262" max="262" width="10.85546875" customWidth="1"/>
    <col min="263" max="263" width="10.7109375" customWidth="1"/>
    <col min="264" max="264" width="15.85546875" customWidth="1"/>
    <col min="265" max="265" width="30.140625" customWidth="1"/>
    <col min="516" max="516" width="5.85546875" customWidth="1"/>
    <col min="517" max="517" width="45.140625" customWidth="1"/>
    <col min="518" max="518" width="10.85546875" customWidth="1"/>
    <col min="519" max="519" width="10.7109375" customWidth="1"/>
    <col min="520" max="520" width="15.85546875" customWidth="1"/>
    <col min="521" max="521" width="30.140625" customWidth="1"/>
    <col min="772" max="772" width="5.85546875" customWidth="1"/>
    <col min="773" max="773" width="45.140625" customWidth="1"/>
    <col min="774" max="774" width="10.85546875" customWidth="1"/>
    <col min="775" max="775" width="10.7109375" customWidth="1"/>
    <col min="776" max="776" width="15.85546875" customWidth="1"/>
    <col min="777" max="777" width="30.140625" customWidth="1"/>
    <col min="1028" max="1028" width="5.85546875" customWidth="1"/>
    <col min="1029" max="1029" width="45.140625" customWidth="1"/>
    <col min="1030" max="1030" width="10.85546875" customWidth="1"/>
    <col min="1031" max="1031" width="10.7109375" customWidth="1"/>
    <col min="1032" max="1032" width="15.85546875" customWidth="1"/>
    <col min="1033" max="1033" width="30.140625" customWidth="1"/>
    <col min="1284" max="1284" width="5.85546875" customWidth="1"/>
    <col min="1285" max="1285" width="45.140625" customWidth="1"/>
    <col min="1286" max="1286" width="10.85546875" customWidth="1"/>
    <col min="1287" max="1287" width="10.7109375" customWidth="1"/>
    <col min="1288" max="1288" width="15.85546875" customWidth="1"/>
    <col min="1289" max="1289" width="30.140625" customWidth="1"/>
    <col min="1540" max="1540" width="5.85546875" customWidth="1"/>
    <col min="1541" max="1541" width="45.140625" customWidth="1"/>
    <col min="1542" max="1542" width="10.85546875" customWidth="1"/>
    <col min="1543" max="1543" width="10.7109375" customWidth="1"/>
    <col min="1544" max="1544" width="15.85546875" customWidth="1"/>
    <col min="1545" max="1545" width="30.140625" customWidth="1"/>
    <col min="1796" max="1796" width="5.85546875" customWidth="1"/>
    <col min="1797" max="1797" width="45.140625" customWidth="1"/>
    <col min="1798" max="1798" width="10.85546875" customWidth="1"/>
    <col min="1799" max="1799" width="10.7109375" customWidth="1"/>
    <col min="1800" max="1800" width="15.85546875" customWidth="1"/>
    <col min="1801" max="1801" width="30.140625" customWidth="1"/>
    <col min="2052" max="2052" width="5.85546875" customWidth="1"/>
    <col min="2053" max="2053" width="45.140625" customWidth="1"/>
    <col min="2054" max="2054" width="10.85546875" customWidth="1"/>
    <col min="2055" max="2055" width="10.7109375" customWidth="1"/>
    <col min="2056" max="2056" width="15.85546875" customWidth="1"/>
    <col min="2057" max="2057" width="30.140625" customWidth="1"/>
    <col min="2308" max="2308" width="5.85546875" customWidth="1"/>
    <col min="2309" max="2309" width="45.140625" customWidth="1"/>
    <col min="2310" max="2310" width="10.85546875" customWidth="1"/>
    <col min="2311" max="2311" width="10.7109375" customWidth="1"/>
    <col min="2312" max="2312" width="15.85546875" customWidth="1"/>
    <col min="2313" max="2313" width="30.140625" customWidth="1"/>
    <col min="2564" max="2564" width="5.85546875" customWidth="1"/>
    <col min="2565" max="2565" width="45.140625" customWidth="1"/>
    <col min="2566" max="2566" width="10.85546875" customWidth="1"/>
    <col min="2567" max="2567" width="10.7109375" customWidth="1"/>
    <col min="2568" max="2568" width="15.85546875" customWidth="1"/>
    <col min="2569" max="2569" width="30.140625" customWidth="1"/>
    <col min="2820" max="2820" width="5.85546875" customWidth="1"/>
    <col min="2821" max="2821" width="45.140625" customWidth="1"/>
    <col min="2822" max="2822" width="10.85546875" customWidth="1"/>
    <col min="2823" max="2823" width="10.7109375" customWidth="1"/>
    <col min="2824" max="2824" width="15.85546875" customWidth="1"/>
    <col min="2825" max="2825" width="30.140625" customWidth="1"/>
    <col min="3076" max="3076" width="5.85546875" customWidth="1"/>
    <col min="3077" max="3077" width="45.140625" customWidth="1"/>
    <col min="3078" max="3078" width="10.85546875" customWidth="1"/>
    <col min="3079" max="3079" width="10.7109375" customWidth="1"/>
    <col min="3080" max="3080" width="15.85546875" customWidth="1"/>
    <col min="3081" max="3081" width="30.140625" customWidth="1"/>
    <col min="3332" max="3332" width="5.85546875" customWidth="1"/>
    <col min="3333" max="3333" width="45.140625" customWidth="1"/>
    <col min="3334" max="3334" width="10.85546875" customWidth="1"/>
    <col min="3335" max="3335" width="10.7109375" customWidth="1"/>
    <col min="3336" max="3336" width="15.85546875" customWidth="1"/>
    <col min="3337" max="3337" width="30.140625" customWidth="1"/>
    <col min="3588" max="3588" width="5.85546875" customWidth="1"/>
    <col min="3589" max="3589" width="45.140625" customWidth="1"/>
    <col min="3590" max="3590" width="10.85546875" customWidth="1"/>
    <col min="3591" max="3591" width="10.7109375" customWidth="1"/>
    <col min="3592" max="3592" width="15.85546875" customWidth="1"/>
    <col min="3593" max="3593" width="30.140625" customWidth="1"/>
    <col min="3844" max="3844" width="5.85546875" customWidth="1"/>
    <col min="3845" max="3845" width="45.140625" customWidth="1"/>
    <col min="3846" max="3846" width="10.85546875" customWidth="1"/>
    <col min="3847" max="3847" width="10.7109375" customWidth="1"/>
    <col min="3848" max="3848" width="15.85546875" customWidth="1"/>
    <col min="3849" max="3849" width="30.140625" customWidth="1"/>
    <col min="4100" max="4100" width="5.85546875" customWidth="1"/>
    <col min="4101" max="4101" width="45.140625" customWidth="1"/>
    <col min="4102" max="4102" width="10.85546875" customWidth="1"/>
    <col min="4103" max="4103" width="10.7109375" customWidth="1"/>
    <col min="4104" max="4104" width="15.85546875" customWidth="1"/>
    <col min="4105" max="4105" width="30.140625" customWidth="1"/>
    <col min="4356" max="4356" width="5.85546875" customWidth="1"/>
    <col min="4357" max="4357" width="45.140625" customWidth="1"/>
    <col min="4358" max="4358" width="10.85546875" customWidth="1"/>
    <col min="4359" max="4359" width="10.7109375" customWidth="1"/>
    <col min="4360" max="4360" width="15.85546875" customWidth="1"/>
    <col min="4361" max="4361" width="30.140625" customWidth="1"/>
    <col min="4612" max="4612" width="5.85546875" customWidth="1"/>
    <col min="4613" max="4613" width="45.140625" customWidth="1"/>
    <col min="4614" max="4614" width="10.85546875" customWidth="1"/>
    <col min="4615" max="4615" width="10.7109375" customWidth="1"/>
    <col min="4616" max="4616" width="15.85546875" customWidth="1"/>
    <col min="4617" max="4617" width="30.140625" customWidth="1"/>
    <col min="4868" max="4868" width="5.85546875" customWidth="1"/>
    <col min="4869" max="4869" width="45.140625" customWidth="1"/>
    <col min="4870" max="4870" width="10.85546875" customWidth="1"/>
    <col min="4871" max="4871" width="10.7109375" customWidth="1"/>
    <col min="4872" max="4872" width="15.85546875" customWidth="1"/>
    <col min="4873" max="4873" width="30.140625" customWidth="1"/>
    <col min="5124" max="5124" width="5.85546875" customWidth="1"/>
    <col min="5125" max="5125" width="45.140625" customWidth="1"/>
    <col min="5126" max="5126" width="10.85546875" customWidth="1"/>
    <col min="5127" max="5127" width="10.7109375" customWidth="1"/>
    <col min="5128" max="5128" width="15.85546875" customWidth="1"/>
    <col min="5129" max="5129" width="30.140625" customWidth="1"/>
    <col min="5380" max="5380" width="5.85546875" customWidth="1"/>
    <col min="5381" max="5381" width="45.140625" customWidth="1"/>
    <col min="5382" max="5382" width="10.85546875" customWidth="1"/>
    <col min="5383" max="5383" width="10.7109375" customWidth="1"/>
    <col min="5384" max="5384" width="15.85546875" customWidth="1"/>
    <col min="5385" max="5385" width="30.140625" customWidth="1"/>
    <col min="5636" max="5636" width="5.85546875" customWidth="1"/>
    <col min="5637" max="5637" width="45.140625" customWidth="1"/>
    <col min="5638" max="5638" width="10.85546875" customWidth="1"/>
    <col min="5639" max="5639" width="10.7109375" customWidth="1"/>
    <col min="5640" max="5640" width="15.85546875" customWidth="1"/>
    <col min="5641" max="5641" width="30.140625" customWidth="1"/>
    <col min="5892" max="5892" width="5.85546875" customWidth="1"/>
    <col min="5893" max="5893" width="45.140625" customWidth="1"/>
    <col min="5894" max="5894" width="10.85546875" customWidth="1"/>
    <col min="5895" max="5895" width="10.7109375" customWidth="1"/>
    <col min="5896" max="5896" width="15.85546875" customWidth="1"/>
    <col min="5897" max="5897" width="30.140625" customWidth="1"/>
    <col min="6148" max="6148" width="5.85546875" customWidth="1"/>
    <col min="6149" max="6149" width="45.140625" customWidth="1"/>
    <col min="6150" max="6150" width="10.85546875" customWidth="1"/>
    <col min="6151" max="6151" width="10.7109375" customWidth="1"/>
    <col min="6152" max="6152" width="15.85546875" customWidth="1"/>
    <col min="6153" max="6153" width="30.140625" customWidth="1"/>
    <col min="6404" max="6404" width="5.85546875" customWidth="1"/>
    <col min="6405" max="6405" width="45.140625" customWidth="1"/>
    <col min="6406" max="6406" width="10.85546875" customWidth="1"/>
    <col min="6407" max="6407" width="10.7109375" customWidth="1"/>
    <col min="6408" max="6408" width="15.85546875" customWidth="1"/>
    <col min="6409" max="6409" width="30.140625" customWidth="1"/>
    <col min="6660" max="6660" width="5.85546875" customWidth="1"/>
    <col min="6661" max="6661" width="45.140625" customWidth="1"/>
    <col min="6662" max="6662" width="10.85546875" customWidth="1"/>
    <col min="6663" max="6663" width="10.7109375" customWidth="1"/>
    <col min="6664" max="6664" width="15.85546875" customWidth="1"/>
    <col min="6665" max="6665" width="30.140625" customWidth="1"/>
    <col min="6916" max="6916" width="5.85546875" customWidth="1"/>
    <col min="6917" max="6917" width="45.140625" customWidth="1"/>
    <col min="6918" max="6918" width="10.85546875" customWidth="1"/>
    <col min="6919" max="6919" width="10.7109375" customWidth="1"/>
    <col min="6920" max="6920" width="15.85546875" customWidth="1"/>
    <col min="6921" max="6921" width="30.140625" customWidth="1"/>
    <col min="7172" max="7172" width="5.85546875" customWidth="1"/>
    <col min="7173" max="7173" width="45.140625" customWidth="1"/>
    <col min="7174" max="7174" width="10.85546875" customWidth="1"/>
    <col min="7175" max="7175" width="10.7109375" customWidth="1"/>
    <col min="7176" max="7176" width="15.85546875" customWidth="1"/>
    <col min="7177" max="7177" width="30.140625" customWidth="1"/>
    <col min="7428" max="7428" width="5.85546875" customWidth="1"/>
    <col min="7429" max="7429" width="45.140625" customWidth="1"/>
    <col min="7430" max="7430" width="10.85546875" customWidth="1"/>
    <col min="7431" max="7431" width="10.7109375" customWidth="1"/>
    <col min="7432" max="7432" width="15.85546875" customWidth="1"/>
    <col min="7433" max="7433" width="30.140625" customWidth="1"/>
    <col min="7684" max="7684" width="5.85546875" customWidth="1"/>
    <col min="7685" max="7685" width="45.140625" customWidth="1"/>
    <col min="7686" max="7686" width="10.85546875" customWidth="1"/>
    <col min="7687" max="7687" width="10.7109375" customWidth="1"/>
    <col min="7688" max="7688" width="15.85546875" customWidth="1"/>
    <col min="7689" max="7689" width="30.140625" customWidth="1"/>
    <col min="7940" max="7940" width="5.85546875" customWidth="1"/>
    <col min="7941" max="7941" width="45.140625" customWidth="1"/>
    <col min="7942" max="7942" width="10.85546875" customWidth="1"/>
    <col min="7943" max="7943" width="10.7109375" customWidth="1"/>
    <col min="7944" max="7944" width="15.85546875" customWidth="1"/>
    <col min="7945" max="7945" width="30.140625" customWidth="1"/>
    <col min="8196" max="8196" width="5.85546875" customWidth="1"/>
    <col min="8197" max="8197" width="45.140625" customWidth="1"/>
    <col min="8198" max="8198" width="10.85546875" customWidth="1"/>
    <col min="8199" max="8199" width="10.7109375" customWidth="1"/>
    <col min="8200" max="8200" width="15.85546875" customWidth="1"/>
    <col min="8201" max="8201" width="30.140625" customWidth="1"/>
    <col min="8452" max="8452" width="5.85546875" customWidth="1"/>
    <col min="8453" max="8453" width="45.140625" customWidth="1"/>
    <col min="8454" max="8454" width="10.85546875" customWidth="1"/>
    <col min="8455" max="8455" width="10.7109375" customWidth="1"/>
    <col min="8456" max="8456" width="15.85546875" customWidth="1"/>
    <col min="8457" max="8457" width="30.140625" customWidth="1"/>
    <col min="8708" max="8708" width="5.85546875" customWidth="1"/>
    <col min="8709" max="8709" width="45.140625" customWidth="1"/>
    <col min="8710" max="8710" width="10.85546875" customWidth="1"/>
    <col min="8711" max="8711" width="10.7109375" customWidth="1"/>
    <col min="8712" max="8712" width="15.85546875" customWidth="1"/>
    <col min="8713" max="8713" width="30.140625" customWidth="1"/>
    <col min="8964" max="8964" width="5.85546875" customWidth="1"/>
    <col min="8965" max="8965" width="45.140625" customWidth="1"/>
    <col min="8966" max="8966" width="10.85546875" customWidth="1"/>
    <col min="8967" max="8967" width="10.7109375" customWidth="1"/>
    <col min="8968" max="8968" width="15.85546875" customWidth="1"/>
    <col min="8969" max="8969" width="30.140625" customWidth="1"/>
    <col min="9220" max="9220" width="5.85546875" customWidth="1"/>
    <col min="9221" max="9221" width="45.140625" customWidth="1"/>
    <col min="9222" max="9222" width="10.85546875" customWidth="1"/>
    <col min="9223" max="9223" width="10.7109375" customWidth="1"/>
    <col min="9224" max="9224" width="15.85546875" customWidth="1"/>
    <col min="9225" max="9225" width="30.140625" customWidth="1"/>
    <col min="9476" max="9476" width="5.85546875" customWidth="1"/>
    <col min="9477" max="9477" width="45.140625" customWidth="1"/>
    <col min="9478" max="9478" width="10.85546875" customWidth="1"/>
    <col min="9479" max="9479" width="10.7109375" customWidth="1"/>
    <col min="9480" max="9480" width="15.85546875" customWidth="1"/>
    <col min="9481" max="9481" width="30.140625" customWidth="1"/>
    <col min="9732" max="9732" width="5.85546875" customWidth="1"/>
    <col min="9733" max="9733" width="45.140625" customWidth="1"/>
    <col min="9734" max="9734" width="10.85546875" customWidth="1"/>
    <col min="9735" max="9735" width="10.7109375" customWidth="1"/>
    <col min="9736" max="9736" width="15.85546875" customWidth="1"/>
    <col min="9737" max="9737" width="30.140625" customWidth="1"/>
    <col min="9988" max="9988" width="5.85546875" customWidth="1"/>
    <col min="9989" max="9989" width="45.140625" customWidth="1"/>
    <col min="9990" max="9990" width="10.85546875" customWidth="1"/>
    <col min="9991" max="9991" width="10.7109375" customWidth="1"/>
    <col min="9992" max="9992" width="15.85546875" customWidth="1"/>
    <col min="9993" max="9993" width="30.140625" customWidth="1"/>
    <col min="10244" max="10244" width="5.85546875" customWidth="1"/>
    <col min="10245" max="10245" width="45.140625" customWidth="1"/>
    <col min="10246" max="10246" width="10.85546875" customWidth="1"/>
    <col min="10247" max="10247" width="10.7109375" customWidth="1"/>
    <col min="10248" max="10248" width="15.85546875" customWidth="1"/>
    <col min="10249" max="10249" width="30.140625" customWidth="1"/>
    <col min="10500" max="10500" width="5.85546875" customWidth="1"/>
    <col min="10501" max="10501" width="45.140625" customWidth="1"/>
    <col min="10502" max="10502" width="10.85546875" customWidth="1"/>
    <col min="10503" max="10503" width="10.7109375" customWidth="1"/>
    <col min="10504" max="10504" width="15.85546875" customWidth="1"/>
    <col min="10505" max="10505" width="30.140625" customWidth="1"/>
    <col min="10756" max="10756" width="5.85546875" customWidth="1"/>
    <col min="10757" max="10757" width="45.140625" customWidth="1"/>
    <col min="10758" max="10758" width="10.85546875" customWidth="1"/>
    <col min="10759" max="10759" width="10.7109375" customWidth="1"/>
    <col min="10760" max="10760" width="15.85546875" customWidth="1"/>
    <col min="10761" max="10761" width="30.140625" customWidth="1"/>
    <col min="11012" max="11012" width="5.85546875" customWidth="1"/>
    <col min="11013" max="11013" width="45.140625" customWidth="1"/>
    <col min="11014" max="11014" width="10.85546875" customWidth="1"/>
    <col min="11015" max="11015" width="10.7109375" customWidth="1"/>
    <col min="11016" max="11016" width="15.85546875" customWidth="1"/>
    <col min="11017" max="11017" width="30.140625" customWidth="1"/>
    <col min="11268" max="11268" width="5.85546875" customWidth="1"/>
    <col min="11269" max="11269" width="45.140625" customWidth="1"/>
    <col min="11270" max="11270" width="10.85546875" customWidth="1"/>
    <col min="11271" max="11271" width="10.7109375" customWidth="1"/>
    <col min="11272" max="11272" width="15.85546875" customWidth="1"/>
    <col min="11273" max="11273" width="30.140625" customWidth="1"/>
    <col min="11524" max="11524" width="5.85546875" customWidth="1"/>
    <col min="11525" max="11525" width="45.140625" customWidth="1"/>
    <col min="11526" max="11526" width="10.85546875" customWidth="1"/>
    <col min="11527" max="11527" width="10.7109375" customWidth="1"/>
    <col min="11528" max="11528" width="15.85546875" customWidth="1"/>
    <col min="11529" max="11529" width="30.140625" customWidth="1"/>
    <col min="11780" max="11780" width="5.85546875" customWidth="1"/>
    <col min="11781" max="11781" width="45.140625" customWidth="1"/>
    <col min="11782" max="11782" width="10.85546875" customWidth="1"/>
    <col min="11783" max="11783" width="10.7109375" customWidth="1"/>
    <col min="11784" max="11784" width="15.85546875" customWidth="1"/>
    <col min="11785" max="11785" width="30.140625" customWidth="1"/>
    <col min="12036" max="12036" width="5.85546875" customWidth="1"/>
    <col min="12037" max="12037" width="45.140625" customWidth="1"/>
    <col min="12038" max="12038" width="10.85546875" customWidth="1"/>
    <col min="12039" max="12039" width="10.7109375" customWidth="1"/>
    <col min="12040" max="12040" width="15.85546875" customWidth="1"/>
    <col min="12041" max="12041" width="30.140625" customWidth="1"/>
    <col min="12292" max="12292" width="5.85546875" customWidth="1"/>
    <col min="12293" max="12293" width="45.140625" customWidth="1"/>
    <col min="12294" max="12294" width="10.85546875" customWidth="1"/>
    <col min="12295" max="12295" width="10.7109375" customWidth="1"/>
    <col min="12296" max="12296" width="15.85546875" customWidth="1"/>
    <col min="12297" max="12297" width="30.140625" customWidth="1"/>
    <col min="12548" max="12548" width="5.85546875" customWidth="1"/>
    <col min="12549" max="12549" width="45.140625" customWidth="1"/>
    <col min="12550" max="12550" width="10.85546875" customWidth="1"/>
    <col min="12551" max="12551" width="10.7109375" customWidth="1"/>
    <col min="12552" max="12552" width="15.85546875" customWidth="1"/>
    <col min="12553" max="12553" width="30.140625" customWidth="1"/>
    <col min="12804" max="12804" width="5.85546875" customWidth="1"/>
    <col min="12805" max="12805" width="45.140625" customWidth="1"/>
    <col min="12806" max="12806" width="10.85546875" customWidth="1"/>
    <col min="12807" max="12807" width="10.7109375" customWidth="1"/>
    <col min="12808" max="12808" width="15.85546875" customWidth="1"/>
    <col min="12809" max="12809" width="30.140625" customWidth="1"/>
    <col min="13060" max="13060" width="5.85546875" customWidth="1"/>
    <col min="13061" max="13061" width="45.140625" customWidth="1"/>
    <col min="13062" max="13062" width="10.85546875" customWidth="1"/>
    <col min="13063" max="13063" width="10.7109375" customWidth="1"/>
    <col min="13064" max="13064" width="15.85546875" customWidth="1"/>
    <col min="13065" max="13065" width="30.140625" customWidth="1"/>
    <col min="13316" max="13316" width="5.85546875" customWidth="1"/>
    <col min="13317" max="13317" width="45.140625" customWidth="1"/>
    <col min="13318" max="13318" width="10.85546875" customWidth="1"/>
    <col min="13319" max="13319" width="10.7109375" customWidth="1"/>
    <col min="13320" max="13320" width="15.85546875" customWidth="1"/>
    <col min="13321" max="13321" width="30.140625" customWidth="1"/>
    <col min="13572" max="13572" width="5.85546875" customWidth="1"/>
    <col min="13573" max="13573" width="45.140625" customWidth="1"/>
    <col min="13574" max="13574" width="10.85546875" customWidth="1"/>
    <col min="13575" max="13575" width="10.7109375" customWidth="1"/>
    <col min="13576" max="13576" width="15.85546875" customWidth="1"/>
    <col min="13577" max="13577" width="30.140625" customWidth="1"/>
    <col min="13828" max="13828" width="5.85546875" customWidth="1"/>
    <col min="13829" max="13829" width="45.140625" customWidth="1"/>
    <col min="13830" max="13830" width="10.85546875" customWidth="1"/>
    <col min="13831" max="13831" width="10.7109375" customWidth="1"/>
    <col min="13832" max="13832" width="15.85546875" customWidth="1"/>
    <col min="13833" max="13833" width="30.140625" customWidth="1"/>
    <col min="14084" max="14084" width="5.85546875" customWidth="1"/>
    <col min="14085" max="14085" width="45.140625" customWidth="1"/>
    <col min="14086" max="14086" width="10.85546875" customWidth="1"/>
    <col min="14087" max="14087" width="10.7109375" customWidth="1"/>
    <col min="14088" max="14088" width="15.85546875" customWidth="1"/>
    <col min="14089" max="14089" width="30.140625" customWidth="1"/>
    <col min="14340" max="14340" width="5.85546875" customWidth="1"/>
    <col min="14341" max="14341" width="45.140625" customWidth="1"/>
    <col min="14342" max="14342" width="10.85546875" customWidth="1"/>
    <col min="14343" max="14343" width="10.7109375" customWidth="1"/>
    <col min="14344" max="14344" width="15.85546875" customWidth="1"/>
    <col min="14345" max="14345" width="30.140625" customWidth="1"/>
    <col min="14596" max="14596" width="5.85546875" customWidth="1"/>
    <col min="14597" max="14597" width="45.140625" customWidth="1"/>
    <col min="14598" max="14598" width="10.85546875" customWidth="1"/>
    <col min="14599" max="14599" width="10.7109375" customWidth="1"/>
    <col min="14600" max="14600" width="15.85546875" customWidth="1"/>
    <col min="14601" max="14601" width="30.140625" customWidth="1"/>
    <col min="14852" max="14852" width="5.85546875" customWidth="1"/>
    <col min="14853" max="14853" width="45.140625" customWidth="1"/>
    <col min="14854" max="14854" width="10.85546875" customWidth="1"/>
    <col min="14855" max="14855" width="10.7109375" customWidth="1"/>
    <col min="14856" max="14856" width="15.85546875" customWidth="1"/>
    <col min="14857" max="14857" width="30.140625" customWidth="1"/>
    <col min="15108" max="15108" width="5.85546875" customWidth="1"/>
    <col min="15109" max="15109" width="45.140625" customWidth="1"/>
    <col min="15110" max="15110" width="10.85546875" customWidth="1"/>
    <col min="15111" max="15111" width="10.7109375" customWidth="1"/>
    <col min="15112" max="15112" width="15.85546875" customWidth="1"/>
    <col min="15113" max="15113" width="30.140625" customWidth="1"/>
    <col min="15364" max="15364" width="5.85546875" customWidth="1"/>
    <col min="15365" max="15365" width="45.140625" customWidth="1"/>
    <col min="15366" max="15366" width="10.85546875" customWidth="1"/>
    <col min="15367" max="15367" width="10.7109375" customWidth="1"/>
    <col min="15368" max="15368" width="15.85546875" customWidth="1"/>
    <col min="15369" max="15369" width="30.140625" customWidth="1"/>
    <col min="15620" max="15620" width="5.85546875" customWidth="1"/>
    <col min="15621" max="15621" width="45.140625" customWidth="1"/>
    <col min="15622" max="15622" width="10.85546875" customWidth="1"/>
    <col min="15623" max="15623" width="10.7109375" customWidth="1"/>
    <col min="15624" max="15624" width="15.85546875" customWidth="1"/>
    <col min="15625" max="15625" width="30.140625" customWidth="1"/>
    <col min="15876" max="15876" width="5.85546875" customWidth="1"/>
    <col min="15877" max="15877" width="45.140625" customWidth="1"/>
    <col min="15878" max="15878" width="10.85546875" customWidth="1"/>
    <col min="15879" max="15879" width="10.7109375" customWidth="1"/>
    <col min="15880" max="15880" width="15.85546875" customWidth="1"/>
    <col min="15881" max="15881" width="30.140625" customWidth="1"/>
    <col min="16132" max="16132" width="5.85546875" customWidth="1"/>
    <col min="16133" max="16133" width="45.140625" customWidth="1"/>
    <col min="16134" max="16134" width="10.85546875" customWidth="1"/>
    <col min="16135" max="16135" width="10.7109375" customWidth="1"/>
    <col min="16136" max="16136" width="15.85546875" customWidth="1"/>
    <col min="16137" max="16137" width="30.140625" customWidth="1"/>
  </cols>
  <sheetData>
    <row r="1" spans="2:28">
      <c r="B1" s="559"/>
      <c r="C1" s="559"/>
      <c r="D1" s="559"/>
      <c r="E1" s="559"/>
      <c r="F1" s="559"/>
      <c r="G1" s="559"/>
      <c r="H1" s="559"/>
      <c r="I1" s="738"/>
      <c r="J1" s="738"/>
      <c r="K1" s="738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  <c r="X1" s="559"/>
      <c r="Y1" s="559"/>
      <c r="Z1" s="559"/>
    </row>
    <row r="2" spans="2:28" ht="21">
      <c r="B2" s="1066" t="s">
        <v>2144</v>
      </c>
      <c r="C2" s="1066"/>
      <c r="D2" s="1066"/>
      <c r="E2" s="1066"/>
      <c r="F2" s="1066"/>
      <c r="G2" s="1066"/>
      <c r="H2" s="1066"/>
      <c r="I2" s="1066"/>
      <c r="J2" s="739"/>
      <c r="K2" s="738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</row>
    <row r="3" spans="2:28" ht="18" customHeight="1">
      <c r="B3" s="1067" t="str">
        <f>Rekapitulasi!B3</f>
        <v>PEMBANGUNAN T/L 150 kV PASAMAN - SIMPANG EMPAT (SECTION 2)</v>
      </c>
      <c r="C3" s="1067"/>
      <c r="D3" s="1067"/>
      <c r="E3" s="1067"/>
      <c r="F3" s="1067"/>
      <c r="G3" s="1067"/>
      <c r="H3" s="1067"/>
      <c r="I3" s="1067"/>
      <c r="J3" s="740"/>
      <c r="K3" s="1066"/>
      <c r="L3" s="1066"/>
      <c r="M3" s="1066"/>
      <c r="N3" s="1066"/>
      <c r="O3" s="1066"/>
      <c r="P3" s="1066"/>
      <c r="Q3" s="1066"/>
      <c r="R3" s="1066"/>
      <c r="S3" s="1066"/>
      <c r="T3" s="1066"/>
      <c r="U3" s="1066"/>
      <c r="V3" s="1066"/>
      <c r="W3" s="1066"/>
      <c r="X3" s="1066"/>
      <c r="Y3" s="559"/>
      <c r="Z3" s="559"/>
    </row>
    <row r="4" spans="2:28" ht="21.75" customHeight="1">
      <c r="B4" s="1077"/>
      <c r="C4" s="1077"/>
      <c r="D4" s="1077"/>
      <c r="E4" s="1077"/>
      <c r="F4" s="1077"/>
      <c r="G4" s="1077"/>
      <c r="H4" s="1077"/>
      <c r="I4" s="1077"/>
      <c r="J4" s="741"/>
      <c r="K4" s="1066"/>
      <c r="L4" s="1066"/>
      <c r="M4" s="1066"/>
      <c r="N4" s="1066"/>
      <c r="O4" s="1066"/>
      <c r="P4" s="1066"/>
      <c r="Q4" s="1066"/>
      <c r="R4" s="1066"/>
      <c r="S4" s="1066"/>
      <c r="T4" s="1066"/>
      <c r="U4" s="1066"/>
      <c r="V4" s="1066"/>
      <c r="W4" s="1066"/>
      <c r="X4" s="1066"/>
      <c r="Y4" s="559"/>
      <c r="Z4" s="559"/>
    </row>
    <row r="5" spans="2:28" ht="18.75">
      <c r="B5" s="1077" t="s">
        <v>4329</v>
      </c>
      <c r="C5" s="1077"/>
      <c r="D5" s="1077"/>
      <c r="E5" s="1077"/>
      <c r="F5" s="1077"/>
      <c r="G5" s="1077"/>
      <c r="H5" s="1077"/>
      <c r="I5" s="1077"/>
      <c r="J5" s="741"/>
      <c r="K5" s="738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  <c r="X5" s="559"/>
      <c r="Y5" s="559"/>
      <c r="Z5" s="559"/>
    </row>
    <row r="6" spans="2:28" ht="16.5" customHeight="1" thickBot="1">
      <c r="B6" s="559"/>
      <c r="C6" s="559"/>
      <c r="D6" s="559"/>
      <c r="E6" s="559"/>
      <c r="F6" s="559"/>
      <c r="G6" s="559"/>
      <c r="H6" s="559"/>
      <c r="I6" s="738"/>
      <c r="J6" s="738"/>
      <c r="K6" s="738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559"/>
      <c r="Z6" s="559"/>
    </row>
    <row r="7" spans="2:28" ht="18" customHeight="1" thickTop="1">
      <c r="B7" s="1085" t="s">
        <v>10</v>
      </c>
      <c r="C7" s="1060" t="s">
        <v>4028</v>
      </c>
      <c r="D7" s="1074" t="s">
        <v>4029</v>
      </c>
      <c r="E7" s="1075"/>
      <c r="F7" s="1075"/>
      <c r="G7" s="1075"/>
      <c r="H7" s="1075"/>
      <c r="I7" s="1075"/>
      <c r="J7" s="1075"/>
      <c r="K7" s="1076"/>
      <c r="L7" s="559"/>
      <c r="M7" s="559"/>
      <c r="N7" s="559"/>
      <c r="O7" s="559"/>
      <c r="P7" s="559"/>
      <c r="Q7" s="559"/>
      <c r="R7" s="559"/>
      <c r="S7" s="559"/>
      <c r="T7" s="559"/>
      <c r="U7" s="559"/>
      <c r="V7" s="559"/>
      <c r="W7" s="559"/>
      <c r="X7" s="559"/>
      <c r="Y7" s="559"/>
      <c r="Z7" s="559"/>
    </row>
    <row r="8" spans="2:28" ht="26.25">
      <c r="B8" s="1086"/>
      <c r="C8" s="1061"/>
      <c r="D8" s="1062" t="s">
        <v>4030</v>
      </c>
      <c r="E8" s="1064" t="s">
        <v>4338</v>
      </c>
      <c r="F8" s="1064" t="s">
        <v>4339</v>
      </c>
      <c r="G8" s="1064" t="s">
        <v>9</v>
      </c>
      <c r="H8" s="662" t="s">
        <v>4340</v>
      </c>
      <c r="I8" s="742" t="s">
        <v>4341</v>
      </c>
      <c r="J8" s="742" t="s">
        <v>4347</v>
      </c>
      <c r="K8" s="743" t="s">
        <v>4348</v>
      </c>
      <c r="L8" s="559"/>
      <c r="M8" s="559"/>
      <c r="N8" s="559"/>
      <c r="O8" s="559"/>
      <c r="P8" s="559"/>
      <c r="Q8" s="559"/>
      <c r="R8" s="559"/>
      <c r="S8" s="559"/>
      <c r="T8" s="559"/>
      <c r="U8" s="559"/>
      <c r="V8" s="559"/>
      <c r="W8" s="559"/>
      <c r="X8" s="559"/>
      <c r="Y8" s="559"/>
      <c r="Z8" s="559"/>
      <c r="AA8" s="559"/>
      <c r="AB8" s="559"/>
    </row>
    <row r="9" spans="2:28">
      <c r="B9" s="1086"/>
      <c r="C9" s="1061"/>
      <c r="D9" s="1063"/>
      <c r="E9" s="1065"/>
      <c r="F9" s="1065"/>
      <c r="G9" s="1065"/>
      <c r="H9" s="691" t="s">
        <v>2152</v>
      </c>
      <c r="I9" s="744" t="s">
        <v>2152</v>
      </c>
      <c r="J9" s="744" t="s">
        <v>2152</v>
      </c>
      <c r="K9" s="745" t="s">
        <v>2152</v>
      </c>
      <c r="L9" s="559"/>
      <c r="M9" s="559"/>
      <c r="N9" s="559"/>
      <c r="O9" s="559"/>
      <c r="P9" s="559"/>
      <c r="Q9" s="559"/>
      <c r="R9" s="559"/>
      <c r="S9" s="559"/>
      <c r="T9" s="559"/>
      <c r="U9" s="559"/>
      <c r="V9" s="559"/>
      <c r="W9" s="559"/>
      <c r="X9" s="559"/>
      <c r="Y9" s="559"/>
      <c r="Z9" s="559"/>
      <c r="AA9" s="559"/>
      <c r="AB9" s="559"/>
    </row>
    <row r="10" spans="2:28">
      <c r="B10" s="44">
        <v>1</v>
      </c>
      <c r="C10" s="43">
        <v>2</v>
      </c>
      <c r="D10" s="42">
        <v>3</v>
      </c>
      <c r="E10" s="188">
        <v>4</v>
      </c>
      <c r="F10" s="188">
        <v>5</v>
      </c>
      <c r="G10" s="43">
        <v>6</v>
      </c>
      <c r="H10" s="41">
        <v>7</v>
      </c>
      <c r="I10" s="746" t="s">
        <v>4342</v>
      </c>
      <c r="J10" s="746">
        <v>9</v>
      </c>
      <c r="K10" s="747" t="s">
        <v>4346</v>
      </c>
      <c r="L10" s="559"/>
      <c r="M10" s="559"/>
      <c r="N10" s="559"/>
      <c r="O10" s="559"/>
      <c r="P10" s="559"/>
      <c r="Q10" s="559"/>
      <c r="R10" s="559"/>
      <c r="S10" s="559"/>
      <c r="T10" s="559"/>
      <c r="U10" s="559"/>
      <c r="V10" s="559"/>
      <c r="W10" s="559"/>
      <c r="X10" s="559"/>
      <c r="Y10" s="559"/>
      <c r="Z10" s="559"/>
      <c r="AA10" s="559"/>
      <c r="AB10" s="559"/>
    </row>
    <row r="11" spans="2:28">
      <c r="B11" s="1081" t="s">
        <v>818</v>
      </c>
      <c r="C11" s="1083" t="s">
        <v>4226</v>
      </c>
      <c r="D11" s="1070"/>
      <c r="E11" s="1070"/>
      <c r="F11" s="692"/>
      <c r="G11" s="692"/>
      <c r="H11" s="1070"/>
      <c r="I11" s="1070"/>
      <c r="J11" s="1070"/>
      <c r="K11" s="1072"/>
      <c r="L11" s="559"/>
      <c r="M11" s="559"/>
      <c r="N11" s="559"/>
      <c r="O11" s="559"/>
      <c r="P11" s="559"/>
      <c r="Q11" s="559"/>
      <c r="R11" s="559"/>
      <c r="S11" s="559"/>
      <c r="T11" s="559"/>
      <c r="U11" s="559"/>
      <c r="V11" s="559"/>
      <c r="W11" s="559"/>
      <c r="X11" s="559"/>
      <c r="Y11" s="559"/>
      <c r="Z11" s="559"/>
      <c r="AA11" s="559"/>
      <c r="AB11" s="559"/>
    </row>
    <row r="12" spans="2:28" ht="22.5" customHeight="1">
      <c r="B12" s="1082"/>
      <c r="C12" s="1084"/>
      <c r="D12" s="1071"/>
      <c r="E12" s="1071"/>
      <c r="F12" s="721"/>
      <c r="G12" s="721"/>
      <c r="H12" s="1071"/>
      <c r="I12" s="1071"/>
      <c r="J12" s="1071"/>
      <c r="K12" s="1073"/>
      <c r="L12" s="559"/>
      <c r="M12" s="559"/>
      <c r="N12" s="559"/>
      <c r="O12" s="559"/>
      <c r="P12" s="559"/>
      <c r="Q12" s="559"/>
      <c r="R12" s="559"/>
      <c r="S12" s="559"/>
      <c r="T12" s="559"/>
      <c r="U12" s="559"/>
      <c r="V12" s="559"/>
      <c r="W12" s="559"/>
      <c r="X12" s="559"/>
      <c r="Y12" s="559"/>
      <c r="Z12" s="559"/>
      <c r="AA12" s="559"/>
      <c r="AB12" s="559"/>
    </row>
    <row r="13" spans="2:28">
      <c r="B13" s="40" t="s">
        <v>504</v>
      </c>
      <c r="C13" s="39" t="s">
        <v>4227</v>
      </c>
      <c r="D13" s="38"/>
      <c r="E13" s="692"/>
      <c r="F13" s="692"/>
      <c r="G13" s="692"/>
      <c r="H13" s="37"/>
      <c r="I13" s="670"/>
      <c r="J13" s="37"/>
      <c r="K13" s="36"/>
      <c r="L13" s="559"/>
      <c r="M13" s="559"/>
      <c r="N13" s="559"/>
      <c r="O13" s="559"/>
      <c r="P13" s="559"/>
      <c r="Q13" s="559"/>
      <c r="R13" s="559"/>
      <c r="S13" s="559"/>
      <c r="T13" s="559"/>
      <c r="U13" s="559"/>
      <c r="V13" s="559"/>
      <c r="W13" s="559"/>
      <c r="X13" s="559"/>
      <c r="Y13" s="559"/>
      <c r="Z13" s="559"/>
      <c r="AA13" s="559"/>
      <c r="AB13" s="559"/>
    </row>
    <row r="14" spans="2:28">
      <c r="B14" s="303"/>
      <c r="C14" s="722" t="s">
        <v>4032</v>
      </c>
      <c r="D14" s="723"/>
      <c r="E14" s="663"/>
      <c r="F14" s="663"/>
      <c r="G14" s="663"/>
      <c r="H14" s="724"/>
      <c r="I14" s="671"/>
      <c r="J14" s="724"/>
      <c r="K14" s="289"/>
      <c r="L14" s="559"/>
      <c r="M14" s="559"/>
      <c r="N14" s="559"/>
      <c r="O14" s="35"/>
      <c r="P14" s="559"/>
      <c r="Q14" s="1068" t="s">
        <v>4228</v>
      </c>
      <c r="R14" s="1069"/>
      <c r="S14" s="1080" t="s">
        <v>4229</v>
      </c>
      <c r="T14" s="1079"/>
      <c r="U14" s="559"/>
      <c r="V14" s="1068" t="s">
        <v>4230</v>
      </c>
      <c r="W14" s="1069"/>
      <c r="X14" s="1080" t="s">
        <v>4229</v>
      </c>
      <c r="Y14" s="1079"/>
      <c r="Z14" s="559"/>
      <c r="AA14" s="559"/>
      <c r="AB14" s="559"/>
    </row>
    <row r="15" spans="2:28">
      <c r="B15" s="303"/>
      <c r="C15" s="725" t="s">
        <v>4033</v>
      </c>
      <c r="D15" s="726" t="s">
        <v>455</v>
      </c>
      <c r="E15" s="664">
        <v>0</v>
      </c>
      <c r="F15" s="664">
        <v>0</v>
      </c>
      <c r="G15" s="664"/>
      <c r="H15" s="672">
        <v>0</v>
      </c>
      <c r="I15" s="672">
        <f>F15*H15</f>
        <v>0</v>
      </c>
      <c r="J15" s="672">
        <v>0</v>
      </c>
      <c r="K15" s="34">
        <f>H15*J15</f>
        <v>0</v>
      </c>
      <c r="L15" s="559"/>
      <c r="M15" s="559"/>
      <c r="N15" s="559"/>
      <c r="O15" s="35"/>
      <c r="P15" s="559"/>
      <c r="Q15" s="1078">
        <v>6806</v>
      </c>
      <c r="R15" s="1079"/>
      <c r="S15" s="1078">
        <f t="shared" ref="S15:S20" si="0">E15*Q15</f>
        <v>0</v>
      </c>
      <c r="T15" s="1078"/>
      <c r="U15" s="559"/>
      <c r="V15" s="1078">
        <v>251.56</v>
      </c>
      <c r="W15" s="1079"/>
      <c r="X15" s="1078">
        <f t="shared" ref="X15:X20" si="1">E57*V15</f>
        <v>3521.84</v>
      </c>
      <c r="Y15" s="1078"/>
      <c r="Z15" s="559"/>
      <c r="AA15" s="559"/>
      <c r="AB15" s="559"/>
    </row>
    <row r="16" spans="2:28">
      <c r="B16" s="303"/>
      <c r="C16" s="727" t="s">
        <v>4034</v>
      </c>
      <c r="D16" s="726" t="s">
        <v>455</v>
      </c>
      <c r="E16" s="664">
        <v>0</v>
      </c>
      <c r="F16" s="664">
        <v>0</v>
      </c>
      <c r="G16" s="664"/>
      <c r="H16" s="672">
        <v>0</v>
      </c>
      <c r="I16" s="672">
        <f t="shared" ref="I16:I20" si="2">F16*H16</f>
        <v>0</v>
      </c>
      <c r="J16" s="672">
        <v>0</v>
      </c>
      <c r="K16" s="34">
        <f t="shared" ref="K16:K20" si="3">H16*J16</f>
        <v>0</v>
      </c>
      <c r="L16" s="559"/>
      <c r="M16" s="559"/>
      <c r="N16" s="559"/>
      <c r="O16" s="35"/>
      <c r="P16" s="559"/>
      <c r="Q16" s="1078">
        <v>7392</v>
      </c>
      <c r="R16" s="1079"/>
      <c r="S16" s="1078">
        <f t="shared" si="0"/>
        <v>0</v>
      </c>
      <c r="T16" s="1078"/>
      <c r="U16" s="559"/>
      <c r="V16" s="1078">
        <v>251.56</v>
      </c>
      <c r="W16" s="1079"/>
      <c r="X16" s="1078">
        <f t="shared" si="1"/>
        <v>1760.92</v>
      </c>
      <c r="Y16" s="1078"/>
      <c r="Z16" s="559"/>
      <c r="AA16" s="559"/>
      <c r="AB16" s="559"/>
    </row>
    <row r="17" spans="2:28">
      <c r="B17" s="303"/>
      <c r="C17" s="725" t="s">
        <v>4035</v>
      </c>
      <c r="D17" s="726" t="s">
        <v>455</v>
      </c>
      <c r="E17" s="664">
        <v>0</v>
      </c>
      <c r="F17" s="664">
        <v>0</v>
      </c>
      <c r="G17" s="664"/>
      <c r="H17" s="672">
        <v>0</v>
      </c>
      <c r="I17" s="672">
        <f t="shared" si="2"/>
        <v>0</v>
      </c>
      <c r="J17" s="672">
        <v>0</v>
      </c>
      <c r="K17" s="34">
        <f t="shared" si="3"/>
        <v>0</v>
      </c>
      <c r="L17" s="559"/>
      <c r="M17" s="559"/>
      <c r="N17" s="559"/>
      <c r="O17" s="35"/>
      <c r="P17" s="559"/>
      <c r="Q17" s="1078">
        <v>8254</v>
      </c>
      <c r="R17" s="1079"/>
      <c r="S17" s="1078">
        <f t="shared" si="0"/>
        <v>0</v>
      </c>
      <c r="T17" s="1078"/>
      <c r="U17" s="559"/>
      <c r="V17" s="1078">
        <v>251.56</v>
      </c>
      <c r="W17" s="1079"/>
      <c r="X17" s="1078">
        <f t="shared" si="1"/>
        <v>251.56</v>
      </c>
      <c r="Y17" s="1078"/>
      <c r="Z17" s="559"/>
      <c r="AA17" s="559"/>
      <c r="AB17" s="559"/>
    </row>
    <row r="18" spans="2:28">
      <c r="B18" s="303"/>
      <c r="C18" s="727" t="s">
        <v>4036</v>
      </c>
      <c r="D18" s="726" t="s">
        <v>455</v>
      </c>
      <c r="E18" s="664">
        <v>0</v>
      </c>
      <c r="F18" s="664">
        <v>0</v>
      </c>
      <c r="G18" s="664"/>
      <c r="H18" s="672">
        <v>0</v>
      </c>
      <c r="I18" s="672">
        <f t="shared" si="2"/>
        <v>0</v>
      </c>
      <c r="J18" s="672">
        <v>0</v>
      </c>
      <c r="K18" s="34">
        <f t="shared" si="3"/>
        <v>0</v>
      </c>
      <c r="L18" s="559"/>
      <c r="M18" s="559"/>
      <c r="N18" s="559"/>
      <c r="O18" s="35"/>
      <c r="P18" s="559"/>
      <c r="Q18" s="1078">
        <v>8828</v>
      </c>
      <c r="R18" s="1079"/>
      <c r="S18" s="1078">
        <f t="shared" si="0"/>
        <v>0</v>
      </c>
      <c r="T18" s="1078"/>
      <c r="U18" s="559"/>
      <c r="V18" s="1078">
        <v>251.56</v>
      </c>
      <c r="W18" s="1079"/>
      <c r="X18" s="1078">
        <f t="shared" si="1"/>
        <v>2012.48</v>
      </c>
      <c r="Y18" s="1078"/>
      <c r="Z18" s="559"/>
      <c r="AA18" s="559"/>
      <c r="AB18" s="559"/>
    </row>
    <row r="19" spans="2:28">
      <c r="B19" s="303"/>
      <c r="C19" s="727" t="s">
        <v>4037</v>
      </c>
      <c r="D19" s="726" t="s">
        <v>455</v>
      </c>
      <c r="E19" s="664">
        <v>17</v>
      </c>
      <c r="F19" s="664">
        <v>0</v>
      </c>
      <c r="G19" s="664"/>
      <c r="H19" s="672">
        <v>0</v>
      </c>
      <c r="I19" s="672">
        <f t="shared" si="2"/>
        <v>0</v>
      </c>
      <c r="J19" s="672">
        <v>0</v>
      </c>
      <c r="K19" s="34">
        <f t="shared" si="3"/>
        <v>0</v>
      </c>
      <c r="L19" s="559"/>
      <c r="M19" s="559"/>
      <c r="N19" s="559"/>
      <c r="O19" s="559"/>
      <c r="P19" s="559"/>
      <c r="Q19" s="1078">
        <v>9797</v>
      </c>
      <c r="R19" s="1079"/>
      <c r="S19" s="1078">
        <f t="shared" si="0"/>
        <v>166549</v>
      </c>
      <c r="T19" s="1078"/>
      <c r="U19" s="559"/>
      <c r="V19" s="1078">
        <v>251.56</v>
      </c>
      <c r="W19" s="1079"/>
      <c r="X19" s="1078">
        <f t="shared" si="1"/>
        <v>251.56</v>
      </c>
      <c r="Y19" s="1078"/>
      <c r="Z19" s="559"/>
      <c r="AA19" s="559"/>
      <c r="AB19" s="559"/>
    </row>
    <row r="20" spans="2:28">
      <c r="B20" s="303"/>
      <c r="C20" s="727" t="s">
        <v>4038</v>
      </c>
      <c r="D20" s="726" t="s">
        <v>455</v>
      </c>
      <c r="E20" s="664">
        <v>18</v>
      </c>
      <c r="F20" s="664">
        <v>0</v>
      </c>
      <c r="G20" s="664"/>
      <c r="H20" s="672">
        <v>0</v>
      </c>
      <c r="I20" s="672">
        <f t="shared" si="2"/>
        <v>0</v>
      </c>
      <c r="J20" s="672">
        <v>0</v>
      </c>
      <c r="K20" s="34">
        <f t="shared" si="3"/>
        <v>0</v>
      </c>
      <c r="L20" s="559"/>
      <c r="M20" s="33">
        <f>SUM(E15:E20)</f>
        <v>35</v>
      </c>
      <c r="N20" s="1068" t="s">
        <v>4231</v>
      </c>
      <c r="O20" s="1069"/>
      <c r="P20" s="559"/>
      <c r="Q20" s="1078">
        <v>10496</v>
      </c>
      <c r="R20" s="1079"/>
      <c r="S20" s="1078">
        <f t="shared" si="0"/>
        <v>188928</v>
      </c>
      <c r="T20" s="1078"/>
      <c r="U20" s="559"/>
      <c r="V20" s="1078">
        <v>150.93599999999998</v>
      </c>
      <c r="W20" s="1079"/>
      <c r="X20" s="1078">
        <f t="shared" si="1"/>
        <v>603.74399999999991</v>
      </c>
      <c r="Y20" s="1078"/>
      <c r="Z20" s="559"/>
      <c r="AA20" s="559"/>
      <c r="AB20" s="559"/>
    </row>
    <row r="21" spans="2:28">
      <c r="B21" s="303"/>
      <c r="C21" s="727"/>
      <c r="D21" s="723"/>
      <c r="E21" s="665"/>
      <c r="F21" s="665"/>
      <c r="G21" s="665"/>
      <c r="H21" s="728"/>
      <c r="I21" s="672"/>
      <c r="J21" s="728"/>
      <c r="K21" s="34"/>
      <c r="L21" s="559"/>
      <c r="M21" s="559"/>
      <c r="N21" s="559"/>
      <c r="O21" s="559"/>
      <c r="P21" s="559"/>
      <c r="Q21" s="559"/>
      <c r="R21" s="559"/>
      <c r="S21" s="32"/>
      <c r="T21" s="32"/>
      <c r="U21" s="559"/>
      <c r="V21" s="559"/>
      <c r="W21" s="559"/>
      <c r="X21" s="32"/>
      <c r="Y21" s="32"/>
      <c r="Z21" s="559"/>
      <c r="AA21" s="559"/>
      <c r="AB21" s="559"/>
    </row>
    <row r="22" spans="2:28">
      <c r="B22" s="303"/>
      <c r="C22" s="722" t="s">
        <v>4039</v>
      </c>
      <c r="D22" s="723"/>
      <c r="E22" s="665"/>
      <c r="F22" s="665"/>
      <c r="G22" s="665"/>
      <c r="H22" s="728"/>
      <c r="I22" s="672"/>
      <c r="J22" s="728"/>
      <c r="K22" s="34"/>
      <c r="L22" s="559"/>
      <c r="M22" s="559"/>
      <c r="N22" s="559"/>
      <c r="O22" s="559"/>
      <c r="P22" s="559"/>
      <c r="Q22" s="559"/>
      <c r="R22" s="559"/>
      <c r="S22" s="32"/>
      <c r="T22" s="32"/>
      <c r="U22" s="559"/>
      <c r="V22" s="559"/>
      <c r="W22" s="559"/>
      <c r="X22" s="32"/>
      <c r="Y22" s="32"/>
      <c r="Z22" s="559"/>
      <c r="AA22" s="559"/>
      <c r="AB22" s="559"/>
    </row>
    <row r="23" spans="2:28">
      <c r="B23" s="303"/>
      <c r="C23" s="727" t="s">
        <v>4040</v>
      </c>
      <c r="D23" s="726" t="s">
        <v>455</v>
      </c>
      <c r="E23" s="664">
        <v>0</v>
      </c>
      <c r="F23" s="664">
        <v>0</v>
      </c>
      <c r="G23" s="664"/>
      <c r="H23" s="672">
        <v>0</v>
      </c>
      <c r="I23" s="672">
        <f t="shared" ref="I23:I28" si="4">F23*H23</f>
        <v>0</v>
      </c>
      <c r="J23" s="672">
        <v>0</v>
      </c>
      <c r="K23" s="34">
        <f t="shared" ref="K23:K28" si="5">H23*J23</f>
        <v>0</v>
      </c>
      <c r="L23" s="559"/>
      <c r="M23" s="559"/>
      <c r="N23" s="559"/>
      <c r="O23" s="559"/>
      <c r="P23" s="559"/>
      <c r="Q23" s="1078">
        <v>8737</v>
      </c>
      <c r="R23" s="1079"/>
      <c r="S23" s="1078">
        <f t="shared" ref="S23:S28" si="6">E23*Q23</f>
        <v>0</v>
      </c>
      <c r="T23" s="1078"/>
      <c r="U23" s="559"/>
      <c r="V23" s="1078">
        <v>399.36</v>
      </c>
      <c r="W23" s="1079"/>
      <c r="X23" s="1078">
        <f t="shared" ref="X23:X28" si="7">E65*V23</f>
        <v>1198.08</v>
      </c>
      <c r="Y23" s="1078"/>
      <c r="Z23" s="559"/>
      <c r="AA23" s="559"/>
      <c r="AB23" s="559"/>
    </row>
    <row r="24" spans="2:28">
      <c r="B24" s="303"/>
      <c r="C24" s="727" t="s">
        <v>4041</v>
      </c>
      <c r="D24" s="726" t="s">
        <v>455</v>
      </c>
      <c r="E24" s="664">
        <v>0</v>
      </c>
      <c r="F24" s="664">
        <v>0</v>
      </c>
      <c r="G24" s="664"/>
      <c r="H24" s="672">
        <v>0</v>
      </c>
      <c r="I24" s="672">
        <f t="shared" si="4"/>
        <v>0</v>
      </c>
      <c r="J24" s="672">
        <v>0</v>
      </c>
      <c r="K24" s="34">
        <f t="shared" si="5"/>
        <v>0</v>
      </c>
      <c r="L24" s="559"/>
      <c r="M24" s="559"/>
      <c r="N24" s="559"/>
      <c r="O24" s="559"/>
      <c r="P24" s="559"/>
      <c r="Q24" s="1078">
        <v>9670</v>
      </c>
      <c r="R24" s="1079"/>
      <c r="S24" s="1078">
        <f t="shared" si="6"/>
        <v>0</v>
      </c>
      <c r="T24" s="1078"/>
      <c r="U24" s="559"/>
      <c r="V24" s="1078">
        <v>399.36</v>
      </c>
      <c r="W24" s="1079"/>
      <c r="X24" s="1078">
        <f t="shared" si="7"/>
        <v>798.72</v>
      </c>
      <c r="Y24" s="1078"/>
      <c r="Z24" s="559"/>
      <c r="AA24" s="559"/>
      <c r="AB24" s="559"/>
    </row>
    <row r="25" spans="2:28">
      <c r="B25" s="303"/>
      <c r="C25" s="725" t="s">
        <v>4042</v>
      </c>
      <c r="D25" s="726" t="s">
        <v>455</v>
      </c>
      <c r="E25" s="664">
        <v>0</v>
      </c>
      <c r="F25" s="664">
        <v>0</v>
      </c>
      <c r="G25" s="664"/>
      <c r="H25" s="672">
        <v>0</v>
      </c>
      <c r="I25" s="672">
        <f t="shared" si="4"/>
        <v>0</v>
      </c>
      <c r="J25" s="672">
        <v>0</v>
      </c>
      <c r="K25" s="34">
        <f t="shared" si="5"/>
        <v>0</v>
      </c>
      <c r="L25" s="559"/>
      <c r="M25" s="559"/>
      <c r="N25" s="559"/>
      <c r="O25" s="559"/>
      <c r="P25" s="559"/>
      <c r="Q25" s="1078">
        <v>10596</v>
      </c>
      <c r="R25" s="1079"/>
      <c r="S25" s="1078">
        <f t="shared" si="6"/>
        <v>0</v>
      </c>
      <c r="T25" s="1078"/>
      <c r="U25" s="559"/>
      <c r="V25" s="1078">
        <v>399.36</v>
      </c>
      <c r="W25" s="1079"/>
      <c r="X25" s="1078">
        <f t="shared" si="7"/>
        <v>0</v>
      </c>
      <c r="Y25" s="1078"/>
      <c r="Z25" s="559"/>
      <c r="AA25" s="559"/>
      <c r="AB25" s="559"/>
    </row>
    <row r="26" spans="2:28">
      <c r="B26" s="303"/>
      <c r="C26" s="727" t="s">
        <v>4043</v>
      </c>
      <c r="D26" s="726" t="s">
        <v>455</v>
      </c>
      <c r="E26" s="664">
        <v>1</v>
      </c>
      <c r="F26" s="664">
        <v>0</v>
      </c>
      <c r="G26" s="664"/>
      <c r="H26" s="672">
        <v>0</v>
      </c>
      <c r="I26" s="672">
        <f t="shared" si="4"/>
        <v>0</v>
      </c>
      <c r="J26" s="672">
        <v>0</v>
      </c>
      <c r="K26" s="34">
        <f t="shared" si="5"/>
        <v>0</v>
      </c>
      <c r="L26" s="559"/>
      <c r="M26" s="559"/>
      <c r="N26" s="559"/>
      <c r="O26" s="559"/>
      <c r="P26" s="559"/>
      <c r="Q26" s="1078">
        <v>11839</v>
      </c>
      <c r="R26" s="1079"/>
      <c r="S26" s="1078">
        <f t="shared" si="6"/>
        <v>11839</v>
      </c>
      <c r="T26" s="1078"/>
      <c r="U26" s="559"/>
      <c r="V26" s="1078">
        <v>399.36</v>
      </c>
      <c r="W26" s="1079"/>
      <c r="X26" s="1078">
        <f t="shared" si="7"/>
        <v>1597.44</v>
      </c>
      <c r="Y26" s="1078"/>
      <c r="Z26" s="559"/>
      <c r="AA26" s="559"/>
      <c r="AB26" s="559"/>
    </row>
    <row r="27" spans="2:28">
      <c r="B27" s="303"/>
      <c r="C27" s="727" t="s">
        <v>4044</v>
      </c>
      <c r="D27" s="726" t="s">
        <v>455</v>
      </c>
      <c r="E27" s="664">
        <v>3</v>
      </c>
      <c r="F27" s="664">
        <v>0</v>
      </c>
      <c r="G27" s="664"/>
      <c r="H27" s="672">
        <v>0</v>
      </c>
      <c r="I27" s="672">
        <f t="shared" si="4"/>
        <v>0</v>
      </c>
      <c r="J27" s="672">
        <v>0</v>
      </c>
      <c r="K27" s="34">
        <f t="shared" si="5"/>
        <v>0</v>
      </c>
      <c r="L27" s="559"/>
      <c r="M27" s="559"/>
      <c r="N27" s="559"/>
      <c r="O27" s="559"/>
      <c r="P27" s="559"/>
      <c r="Q27" s="1078">
        <v>12832</v>
      </c>
      <c r="R27" s="1079"/>
      <c r="S27" s="1078">
        <f t="shared" si="6"/>
        <v>38496</v>
      </c>
      <c r="T27" s="1078"/>
      <c r="U27" s="559"/>
      <c r="V27" s="1078">
        <v>399.36</v>
      </c>
      <c r="W27" s="1079"/>
      <c r="X27" s="1078">
        <f t="shared" si="7"/>
        <v>0</v>
      </c>
      <c r="Y27" s="1078"/>
      <c r="Z27" s="559"/>
      <c r="AA27" s="559"/>
      <c r="AB27" s="559"/>
    </row>
    <row r="28" spans="2:28">
      <c r="B28" s="303"/>
      <c r="C28" s="727" t="s">
        <v>4045</v>
      </c>
      <c r="D28" s="726" t="s">
        <v>455</v>
      </c>
      <c r="E28" s="664">
        <v>5</v>
      </c>
      <c r="F28" s="664">
        <v>0</v>
      </c>
      <c r="G28" s="664"/>
      <c r="H28" s="672">
        <v>0</v>
      </c>
      <c r="I28" s="672">
        <f t="shared" si="4"/>
        <v>0</v>
      </c>
      <c r="J28" s="672">
        <v>0</v>
      </c>
      <c r="K28" s="34">
        <f t="shared" si="5"/>
        <v>0</v>
      </c>
      <c r="L28" s="559"/>
      <c r="M28" s="33">
        <f>SUM(E23:E28)</f>
        <v>9</v>
      </c>
      <c r="N28" s="1068" t="s">
        <v>4232</v>
      </c>
      <c r="O28" s="1069"/>
      <c r="P28" s="559"/>
      <c r="Q28" s="1078">
        <v>15012</v>
      </c>
      <c r="R28" s="1079"/>
      <c r="S28" s="1078">
        <f t="shared" si="6"/>
        <v>75060</v>
      </c>
      <c r="T28" s="1078"/>
      <c r="U28" s="559"/>
      <c r="V28" s="1078">
        <v>239.61599999999999</v>
      </c>
      <c r="W28" s="1079"/>
      <c r="X28" s="1078">
        <f t="shared" si="7"/>
        <v>0</v>
      </c>
      <c r="Y28" s="1078"/>
      <c r="Z28" s="559"/>
      <c r="AA28" s="559"/>
      <c r="AB28" s="559"/>
    </row>
    <row r="29" spans="2:28">
      <c r="B29" s="303"/>
      <c r="C29" s="727"/>
      <c r="D29" s="726"/>
      <c r="E29" s="666"/>
      <c r="F29" s="666"/>
      <c r="G29" s="666"/>
      <c r="H29" s="728"/>
      <c r="I29" s="672"/>
      <c r="J29" s="728"/>
      <c r="K29" s="34"/>
      <c r="L29" s="559"/>
      <c r="M29" s="559"/>
      <c r="N29" s="559"/>
      <c r="O29" s="559"/>
      <c r="P29" s="559"/>
      <c r="Q29" s="559"/>
      <c r="R29" s="559"/>
      <c r="S29" s="32"/>
      <c r="T29" s="32"/>
      <c r="U29" s="559"/>
      <c r="V29" s="31"/>
      <c r="W29" s="30"/>
      <c r="X29" s="31"/>
      <c r="Y29" s="31"/>
      <c r="Z29" s="559"/>
      <c r="AA29" s="559"/>
      <c r="AB29" s="559"/>
    </row>
    <row r="30" spans="2:28">
      <c r="B30" s="303"/>
      <c r="C30" s="722" t="s">
        <v>4046</v>
      </c>
      <c r="D30" s="723"/>
      <c r="E30" s="665"/>
      <c r="F30" s="665"/>
      <c r="G30" s="665"/>
      <c r="H30" s="728"/>
      <c r="I30" s="672"/>
      <c r="J30" s="728"/>
      <c r="K30" s="34"/>
      <c r="L30" s="559"/>
      <c r="M30" s="559"/>
      <c r="N30" s="559"/>
      <c r="O30" s="559"/>
      <c r="P30" s="559"/>
      <c r="Q30" s="559"/>
      <c r="R30" s="559"/>
      <c r="S30" s="32"/>
      <c r="T30" s="32"/>
      <c r="U30" s="559"/>
      <c r="V30" s="559"/>
      <c r="W30" s="559"/>
      <c r="X30" s="32"/>
      <c r="Y30" s="32"/>
      <c r="Z30" s="559"/>
      <c r="AA30" s="559"/>
      <c r="AB30" s="559"/>
    </row>
    <row r="31" spans="2:28">
      <c r="B31" s="303"/>
      <c r="C31" s="727" t="s">
        <v>4047</v>
      </c>
      <c r="D31" s="726" t="s">
        <v>455</v>
      </c>
      <c r="E31" s="664">
        <v>0</v>
      </c>
      <c r="F31" s="664">
        <v>0</v>
      </c>
      <c r="G31" s="664"/>
      <c r="H31" s="672">
        <v>0</v>
      </c>
      <c r="I31" s="672">
        <f t="shared" ref="I31:I36" si="8">F31*H31</f>
        <v>0</v>
      </c>
      <c r="J31" s="672">
        <v>0</v>
      </c>
      <c r="K31" s="34">
        <f t="shared" ref="K31:K36" si="9">H31*J31</f>
        <v>0</v>
      </c>
      <c r="L31" s="559"/>
      <c r="M31" s="559"/>
      <c r="N31" s="559"/>
      <c r="O31" s="559"/>
      <c r="P31" s="559"/>
      <c r="Q31" s="1078">
        <v>11661</v>
      </c>
      <c r="R31" s="1079"/>
      <c r="S31" s="1078">
        <f t="shared" ref="S31:S36" si="10">E31*Q31</f>
        <v>0</v>
      </c>
      <c r="T31" s="1078"/>
      <c r="U31" s="559"/>
      <c r="V31" s="1078">
        <v>519.12</v>
      </c>
      <c r="W31" s="1079"/>
      <c r="X31" s="1078">
        <f t="shared" ref="X31:X36" si="11">E73*V31</f>
        <v>519.12</v>
      </c>
      <c r="Y31" s="1078"/>
      <c r="Z31" s="559"/>
      <c r="AA31" s="559"/>
      <c r="AB31" s="559"/>
    </row>
    <row r="32" spans="2:28">
      <c r="B32" s="303"/>
      <c r="C32" s="727" t="s">
        <v>4048</v>
      </c>
      <c r="D32" s="726" t="s">
        <v>455</v>
      </c>
      <c r="E32" s="664">
        <v>0</v>
      </c>
      <c r="F32" s="664">
        <v>0</v>
      </c>
      <c r="G32" s="664"/>
      <c r="H32" s="672">
        <v>0</v>
      </c>
      <c r="I32" s="672">
        <f t="shared" si="8"/>
        <v>0</v>
      </c>
      <c r="J32" s="672">
        <v>0</v>
      </c>
      <c r="K32" s="34">
        <f t="shared" si="9"/>
        <v>0</v>
      </c>
      <c r="L32" s="559"/>
      <c r="M32" s="559"/>
      <c r="N32" s="559"/>
      <c r="O32" s="559"/>
      <c r="P32" s="559"/>
      <c r="Q32" s="1078">
        <v>13684</v>
      </c>
      <c r="R32" s="1079"/>
      <c r="S32" s="1078">
        <f t="shared" si="10"/>
        <v>0</v>
      </c>
      <c r="T32" s="1078"/>
      <c r="U32" s="559"/>
      <c r="V32" s="1078">
        <v>519.12</v>
      </c>
      <c r="W32" s="1079"/>
      <c r="X32" s="1078">
        <f t="shared" si="11"/>
        <v>0</v>
      </c>
      <c r="Y32" s="1078"/>
      <c r="Z32" s="559"/>
      <c r="AA32" s="559"/>
      <c r="AB32" s="559"/>
    </row>
    <row r="33" spans="2:28">
      <c r="B33" s="303"/>
      <c r="C33" s="725" t="s">
        <v>4049</v>
      </c>
      <c r="D33" s="726" t="s">
        <v>455</v>
      </c>
      <c r="E33" s="664">
        <v>0</v>
      </c>
      <c r="F33" s="664">
        <v>0</v>
      </c>
      <c r="G33" s="664"/>
      <c r="H33" s="672">
        <v>0</v>
      </c>
      <c r="I33" s="672">
        <f t="shared" si="8"/>
        <v>0</v>
      </c>
      <c r="J33" s="672">
        <v>0</v>
      </c>
      <c r="K33" s="34">
        <f t="shared" si="9"/>
        <v>0</v>
      </c>
      <c r="L33" s="559"/>
      <c r="M33" s="559"/>
      <c r="N33" s="559"/>
      <c r="O33" s="559"/>
      <c r="P33" s="559"/>
      <c r="Q33" s="1078">
        <v>13950</v>
      </c>
      <c r="R33" s="1079"/>
      <c r="S33" s="1078">
        <f t="shared" si="10"/>
        <v>0</v>
      </c>
      <c r="T33" s="1078"/>
      <c r="U33" s="559"/>
      <c r="V33" s="1078">
        <v>519.12</v>
      </c>
      <c r="W33" s="1079"/>
      <c r="X33" s="1078">
        <f t="shared" si="11"/>
        <v>0</v>
      </c>
      <c r="Y33" s="1078"/>
      <c r="Z33" s="559"/>
      <c r="AA33" s="559"/>
      <c r="AB33" s="559"/>
    </row>
    <row r="34" spans="2:28">
      <c r="B34" s="303"/>
      <c r="C34" s="727" t="s">
        <v>4050</v>
      </c>
      <c r="D34" s="726" t="s">
        <v>455</v>
      </c>
      <c r="E34" s="664">
        <v>0</v>
      </c>
      <c r="F34" s="664">
        <v>0</v>
      </c>
      <c r="G34" s="664"/>
      <c r="H34" s="672">
        <v>0</v>
      </c>
      <c r="I34" s="672">
        <f t="shared" si="8"/>
        <v>0</v>
      </c>
      <c r="J34" s="672">
        <v>0</v>
      </c>
      <c r="K34" s="34">
        <f t="shared" si="9"/>
        <v>0</v>
      </c>
      <c r="L34" s="559"/>
      <c r="M34" s="559"/>
      <c r="N34" s="559"/>
      <c r="O34" s="559"/>
      <c r="P34" s="559"/>
      <c r="Q34" s="1078">
        <v>15279</v>
      </c>
      <c r="R34" s="1079"/>
      <c r="S34" s="1078">
        <f t="shared" si="10"/>
        <v>0</v>
      </c>
      <c r="T34" s="1078"/>
      <c r="U34" s="559"/>
      <c r="V34" s="1078">
        <v>519.12</v>
      </c>
      <c r="W34" s="1079"/>
      <c r="X34" s="1078">
        <f t="shared" si="11"/>
        <v>0</v>
      </c>
      <c r="Y34" s="1078"/>
      <c r="Z34" s="559"/>
      <c r="AA34" s="559"/>
      <c r="AB34" s="559"/>
    </row>
    <row r="35" spans="2:28">
      <c r="B35" s="303"/>
      <c r="C35" s="727" t="s">
        <v>4051</v>
      </c>
      <c r="D35" s="726" t="s">
        <v>455</v>
      </c>
      <c r="E35" s="664">
        <v>0</v>
      </c>
      <c r="F35" s="664">
        <v>0</v>
      </c>
      <c r="G35" s="664"/>
      <c r="H35" s="672">
        <v>0</v>
      </c>
      <c r="I35" s="672">
        <f t="shared" si="8"/>
        <v>0</v>
      </c>
      <c r="J35" s="672">
        <v>0</v>
      </c>
      <c r="K35" s="34">
        <f t="shared" si="9"/>
        <v>0</v>
      </c>
      <c r="L35" s="559"/>
      <c r="M35" s="559"/>
      <c r="N35" s="559"/>
      <c r="O35" s="559"/>
      <c r="P35" s="559"/>
      <c r="Q35" s="1078">
        <v>16583</v>
      </c>
      <c r="R35" s="1079"/>
      <c r="S35" s="1078">
        <f t="shared" si="10"/>
        <v>0</v>
      </c>
      <c r="T35" s="1078"/>
      <c r="U35" s="559"/>
      <c r="V35" s="1078">
        <v>519.12</v>
      </c>
      <c r="W35" s="1079"/>
      <c r="X35" s="1078">
        <f t="shared" si="11"/>
        <v>0</v>
      </c>
      <c r="Y35" s="1078"/>
      <c r="Z35" s="559"/>
      <c r="AA35" s="559"/>
      <c r="AB35" s="559"/>
    </row>
    <row r="36" spans="2:28">
      <c r="B36" s="303"/>
      <c r="C36" s="727" t="s">
        <v>4052</v>
      </c>
      <c r="D36" s="726" t="s">
        <v>455</v>
      </c>
      <c r="E36" s="664">
        <v>1</v>
      </c>
      <c r="F36" s="664">
        <v>0</v>
      </c>
      <c r="G36" s="664"/>
      <c r="H36" s="672">
        <v>0</v>
      </c>
      <c r="I36" s="672">
        <f t="shared" si="8"/>
        <v>0</v>
      </c>
      <c r="J36" s="672">
        <v>0</v>
      </c>
      <c r="K36" s="34">
        <f t="shared" si="9"/>
        <v>0</v>
      </c>
      <c r="L36" s="559"/>
      <c r="M36" s="33">
        <f>SUM(E31:E36)</f>
        <v>1</v>
      </c>
      <c r="N36" s="1080" t="s">
        <v>4233</v>
      </c>
      <c r="O36" s="1079"/>
      <c r="P36" s="559"/>
      <c r="Q36" s="1078">
        <v>19039</v>
      </c>
      <c r="R36" s="1079"/>
      <c r="S36" s="1078">
        <f t="shared" si="10"/>
        <v>19039</v>
      </c>
      <c r="T36" s="1078"/>
      <c r="U36" s="559"/>
      <c r="V36" s="1078">
        <v>311.47199999999998</v>
      </c>
      <c r="W36" s="1079"/>
      <c r="X36" s="1078">
        <f t="shared" si="11"/>
        <v>0</v>
      </c>
      <c r="Y36" s="1078"/>
      <c r="Z36" s="559"/>
      <c r="AA36" s="559"/>
      <c r="AB36" s="559"/>
    </row>
    <row r="37" spans="2:28">
      <c r="B37" s="303"/>
      <c r="C37" s="727"/>
      <c r="D37" s="726"/>
      <c r="E37" s="665"/>
      <c r="F37" s="665"/>
      <c r="G37" s="665"/>
      <c r="H37" s="728"/>
      <c r="I37" s="672"/>
      <c r="J37" s="728"/>
      <c r="K37" s="34"/>
      <c r="L37" s="559"/>
      <c r="M37" s="559"/>
      <c r="N37" s="559"/>
      <c r="O37" s="559"/>
      <c r="P37" s="559"/>
      <c r="Q37" s="559"/>
      <c r="R37" s="559"/>
      <c r="S37" s="32"/>
      <c r="T37" s="32"/>
      <c r="U37" s="559"/>
      <c r="V37" s="1087"/>
      <c r="W37" s="1087"/>
      <c r="X37" s="1087"/>
      <c r="Y37" s="1087"/>
      <c r="Z37" s="559"/>
      <c r="AA37" s="559"/>
      <c r="AB37" s="559"/>
    </row>
    <row r="38" spans="2:28">
      <c r="B38" s="303"/>
      <c r="C38" s="722" t="s">
        <v>4053</v>
      </c>
      <c r="D38" s="723"/>
      <c r="E38" s="665"/>
      <c r="F38" s="665"/>
      <c r="G38" s="665"/>
      <c r="H38" s="728"/>
      <c r="I38" s="672"/>
      <c r="J38" s="728"/>
      <c r="K38" s="34"/>
      <c r="L38" s="559"/>
      <c r="M38" s="559"/>
      <c r="N38" s="559"/>
      <c r="O38" s="559"/>
      <c r="P38" s="559"/>
      <c r="Q38" s="559"/>
      <c r="R38" s="559"/>
      <c r="S38" s="32"/>
      <c r="T38" s="32"/>
      <c r="U38" s="559"/>
      <c r="V38" s="559"/>
      <c r="W38" s="559"/>
      <c r="X38" s="32"/>
      <c r="Y38" s="32"/>
      <c r="Z38" s="559"/>
      <c r="AA38" s="559"/>
      <c r="AB38" s="559"/>
    </row>
    <row r="39" spans="2:28">
      <c r="B39" s="303"/>
      <c r="C39" s="727" t="s">
        <v>4054</v>
      </c>
      <c r="D39" s="726" t="s">
        <v>455</v>
      </c>
      <c r="E39" s="664">
        <v>0</v>
      </c>
      <c r="F39" s="664">
        <v>0</v>
      </c>
      <c r="G39" s="664"/>
      <c r="H39" s="672">
        <v>0</v>
      </c>
      <c r="I39" s="672">
        <f t="shared" ref="I39:I44" si="12">F39*H39</f>
        <v>0</v>
      </c>
      <c r="J39" s="672">
        <v>0</v>
      </c>
      <c r="K39" s="34">
        <f t="shared" ref="K39:K44" si="13">H39*J39</f>
        <v>0</v>
      </c>
      <c r="L39" s="559"/>
      <c r="M39" s="559"/>
      <c r="N39" s="559"/>
      <c r="O39" s="559"/>
      <c r="P39" s="559"/>
      <c r="Q39" s="1078">
        <v>14611</v>
      </c>
      <c r="R39" s="1079"/>
      <c r="S39" s="1078">
        <f t="shared" ref="S39:S44" si="14">E39*Q39</f>
        <v>0</v>
      </c>
      <c r="T39" s="1078"/>
      <c r="U39" s="559"/>
      <c r="V39" s="1078">
        <v>671.96</v>
      </c>
      <c r="W39" s="1079"/>
      <c r="X39" s="1078">
        <f t="shared" ref="X39:X44" si="15">E81*V39</f>
        <v>671.96</v>
      </c>
      <c r="Y39" s="1078"/>
      <c r="Z39" s="559"/>
      <c r="AA39" s="559"/>
      <c r="AB39" s="559"/>
    </row>
    <row r="40" spans="2:28">
      <c r="B40" s="303"/>
      <c r="C40" s="727" t="s">
        <v>4055</v>
      </c>
      <c r="D40" s="726" t="s">
        <v>455</v>
      </c>
      <c r="E40" s="664">
        <v>0</v>
      </c>
      <c r="F40" s="664">
        <v>0</v>
      </c>
      <c r="G40" s="664"/>
      <c r="H40" s="672">
        <v>0</v>
      </c>
      <c r="I40" s="672">
        <f t="shared" si="12"/>
        <v>0</v>
      </c>
      <c r="J40" s="672">
        <v>0</v>
      </c>
      <c r="K40" s="34">
        <f t="shared" si="13"/>
        <v>0</v>
      </c>
      <c r="L40" s="559"/>
      <c r="M40" s="559"/>
      <c r="N40" s="559"/>
      <c r="O40" s="559"/>
      <c r="P40" s="559"/>
      <c r="Q40" s="1078">
        <v>16331</v>
      </c>
      <c r="R40" s="1079"/>
      <c r="S40" s="1078">
        <f t="shared" si="14"/>
        <v>0</v>
      </c>
      <c r="T40" s="1078"/>
      <c r="U40" s="559"/>
      <c r="V40" s="1078">
        <v>671.96</v>
      </c>
      <c r="W40" s="1079"/>
      <c r="X40" s="1078">
        <f t="shared" si="15"/>
        <v>0</v>
      </c>
      <c r="Y40" s="1078"/>
      <c r="Z40" s="559"/>
      <c r="AA40" s="559"/>
      <c r="AB40" s="559"/>
    </row>
    <row r="41" spans="2:28">
      <c r="B41" s="303"/>
      <c r="C41" s="725" t="s">
        <v>4056</v>
      </c>
      <c r="D41" s="726" t="s">
        <v>455</v>
      </c>
      <c r="E41" s="664">
        <v>0</v>
      </c>
      <c r="F41" s="664">
        <v>0</v>
      </c>
      <c r="G41" s="664"/>
      <c r="H41" s="672">
        <v>0</v>
      </c>
      <c r="I41" s="672">
        <f t="shared" si="12"/>
        <v>0</v>
      </c>
      <c r="J41" s="672">
        <v>0</v>
      </c>
      <c r="K41" s="34">
        <f t="shared" si="13"/>
        <v>0</v>
      </c>
      <c r="L41" s="559"/>
      <c r="M41" s="559"/>
      <c r="N41" s="559"/>
      <c r="O41" s="559"/>
      <c r="P41" s="559"/>
      <c r="Q41" s="1078">
        <v>17711</v>
      </c>
      <c r="R41" s="1079"/>
      <c r="S41" s="1078">
        <f t="shared" si="14"/>
        <v>0</v>
      </c>
      <c r="T41" s="1078"/>
      <c r="U41" s="559"/>
      <c r="V41" s="1078">
        <v>671.96</v>
      </c>
      <c r="W41" s="1079"/>
      <c r="X41" s="1078">
        <f t="shared" si="15"/>
        <v>0</v>
      </c>
      <c r="Y41" s="1078"/>
      <c r="Z41" s="559"/>
      <c r="AA41" s="559"/>
      <c r="AB41" s="559"/>
    </row>
    <row r="42" spans="2:28">
      <c r="B42" s="303"/>
      <c r="C42" s="727" t="s">
        <v>4057</v>
      </c>
      <c r="D42" s="726" t="s">
        <v>455</v>
      </c>
      <c r="E42" s="664">
        <v>0</v>
      </c>
      <c r="F42" s="664">
        <v>0</v>
      </c>
      <c r="G42" s="664"/>
      <c r="H42" s="672">
        <v>0</v>
      </c>
      <c r="I42" s="672">
        <f t="shared" si="12"/>
        <v>0</v>
      </c>
      <c r="J42" s="672">
        <v>0</v>
      </c>
      <c r="K42" s="34">
        <f t="shared" si="13"/>
        <v>0</v>
      </c>
      <c r="L42" s="559"/>
      <c r="M42" s="559"/>
      <c r="N42" s="559"/>
      <c r="O42" s="559"/>
      <c r="P42" s="559"/>
      <c r="Q42" s="1078">
        <v>19756</v>
      </c>
      <c r="R42" s="1079"/>
      <c r="S42" s="1078">
        <f t="shared" si="14"/>
        <v>0</v>
      </c>
      <c r="T42" s="1078"/>
      <c r="U42" s="559"/>
      <c r="V42" s="1078">
        <v>671.96</v>
      </c>
      <c r="W42" s="1079"/>
      <c r="X42" s="1078">
        <f t="shared" si="15"/>
        <v>0</v>
      </c>
      <c r="Y42" s="1078"/>
      <c r="Z42" s="559"/>
      <c r="AA42" s="559"/>
      <c r="AB42" s="559"/>
    </row>
    <row r="43" spans="2:28">
      <c r="B43" s="303"/>
      <c r="C43" s="727" t="s">
        <v>4058</v>
      </c>
      <c r="D43" s="726" t="s">
        <v>455</v>
      </c>
      <c r="E43" s="664">
        <v>1</v>
      </c>
      <c r="F43" s="664">
        <v>0</v>
      </c>
      <c r="G43" s="664"/>
      <c r="H43" s="672">
        <v>0</v>
      </c>
      <c r="I43" s="672">
        <f t="shared" si="12"/>
        <v>0</v>
      </c>
      <c r="J43" s="672">
        <v>0</v>
      </c>
      <c r="K43" s="34">
        <f t="shared" si="13"/>
        <v>0</v>
      </c>
      <c r="L43" s="559"/>
      <c r="M43" s="559"/>
      <c r="N43" s="559"/>
      <c r="O43" s="559"/>
      <c r="P43" s="559"/>
      <c r="Q43" s="1078">
        <v>21178</v>
      </c>
      <c r="R43" s="1079"/>
      <c r="S43" s="1078">
        <f t="shared" si="14"/>
        <v>21178</v>
      </c>
      <c r="T43" s="1078"/>
      <c r="U43" s="559"/>
      <c r="V43" s="1078">
        <v>671.96</v>
      </c>
      <c r="W43" s="1079"/>
      <c r="X43" s="1078">
        <f t="shared" si="15"/>
        <v>0</v>
      </c>
      <c r="Y43" s="1078"/>
      <c r="Z43" s="559"/>
      <c r="AA43" s="559"/>
      <c r="AB43" s="559"/>
    </row>
    <row r="44" spans="2:28">
      <c r="B44" s="303"/>
      <c r="C44" s="727" t="s">
        <v>4059</v>
      </c>
      <c r="D44" s="726" t="s">
        <v>455</v>
      </c>
      <c r="E44" s="664">
        <v>1</v>
      </c>
      <c r="F44" s="664">
        <v>0</v>
      </c>
      <c r="G44" s="664"/>
      <c r="H44" s="672">
        <v>0</v>
      </c>
      <c r="I44" s="672">
        <f t="shared" si="12"/>
        <v>0</v>
      </c>
      <c r="J44" s="672">
        <v>0</v>
      </c>
      <c r="K44" s="34">
        <f t="shared" si="13"/>
        <v>0</v>
      </c>
      <c r="L44" s="559"/>
      <c r="M44" s="33">
        <f>SUM(E39:E44)</f>
        <v>2</v>
      </c>
      <c r="N44" s="1080" t="s">
        <v>4234</v>
      </c>
      <c r="O44" s="1079"/>
      <c r="P44" s="559"/>
      <c r="Q44" s="1078">
        <v>23989</v>
      </c>
      <c r="R44" s="1079"/>
      <c r="S44" s="1078">
        <f t="shared" si="14"/>
        <v>23989</v>
      </c>
      <c r="T44" s="1078"/>
      <c r="U44" s="559"/>
      <c r="V44" s="1078">
        <v>403.17599999999999</v>
      </c>
      <c r="W44" s="1079"/>
      <c r="X44" s="1078">
        <f t="shared" si="15"/>
        <v>403.17599999999999</v>
      </c>
      <c r="Y44" s="1078"/>
      <c r="Z44" s="559"/>
      <c r="AA44" s="559"/>
      <c r="AB44" s="559"/>
    </row>
    <row r="45" spans="2:28">
      <c r="B45" s="303"/>
      <c r="C45" s="727"/>
      <c r="D45" s="726"/>
      <c r="E45" s="665"/>
      <c r="F45" s="665"/>
      <c r="G45" s="665"/>
      <c r="H45" s="728"/>
      <c r="I45" s="672"/>
      <c r="J45" s="728"/>
      <c r="K45" s="34"/>
      <c r="L45" s="559"/>
      <c r="M45" s="559"/>
      <c r="N45" s="559"/>
      <c r="O45" s="559"/>
      <c r="P45" s="559"/>
      <c r="Q45" s="559"/>
      <c r="R45" s="559"/>
      <c r="S45" s="32"/>
      <c r="T45" s="32"/>
      <c r="U45" s="559"/>
      <c r="V45" s="1087"/>
      <c r="W45" s="1088"/>
      <c r="X45" s="1087"/>
      <c r="Y45" s="1087"/>
      <c r="Z45" s="559"/>
      <c r="AA45" s="559"/>
      <c r="AB45" s="559"/>
    </row>
    <row r="46" spans="2:28">
      <c r="B46" s="303"/>
      <c r="C46" s="722" t="s">
        <v>4060</v>
      </c>
      <c r="D46" s="723"/>
      <c r="E46" s="666"/>
      <c r="F46" s="666"/>
      <c r="G46" s="666"/>
      <c r="H46" s="728"/>
      <c r="I46" s="672"/>
      <c r="J46" s="728"/>
      <c r="K46" s="34"/>
      <c r="L46" s="559"/>
      <c r="M46" s="32"/>
      <c r="N46" s="559"/>
      <c r="O46" s="559"/>
      <c r="P46" s="559"/>
      <c r="Q46" s="559"/>
      <c r="R46" s="559"/>
      <c r="S46" s="32"/>
      <c r="T46" s="32"/>
      <c r="U46" s="559"/>
      <c r="V46" s="559"/>
      <c r="W46" s="559"/>
      <c r="X46" s="32"/>
      <c r="Y46" s="32"/>
      <c r="Z46" s="559"/>
      <c r="AA46" s="559"/>
      <c r="AB46" s="559"/>
    </row>
    <row r="47" spans="2:28">
      <c r="B47" s="303"/>
      <c r="C47" s="727" t="s">
        <v>4061</v>
      </c>
      <c r="D47" s="726" t="s">
        <v>455</v>
      </c>
      <c r="E47" s="664">
        <v>0</v>
      </c>
      <c r="F47" s="664">
        <v>0</v>
      </c>
      <c r="G47" s="664"/>
      <c r="H47" s="672">
        <v>0</v>
      </c>
      <c r="I47" s="672">
        <f t="shared" ref="I47:I52" si="16">F47*H47</f>
        <v>0</v>
      </c>
      <c r="J47" s="672">
        <v>0</v>
      </c>
      <c r="K47" s="34">
        <f t="shared" ref="K47:K52" si="17">H47*J47</f>
        <v>0</v>
      </c>
      <c r="L47" s="559"/>
      <c r="M47" s="29"/>
      <c r="N47" s="559"/>
      <c r="O47" s="559"/>
      <c r="P47" s="559"/>
      <c r="Q47" s="1078">
        <v>17725</v>
      </c>
      <c r="R47" s="1079"/>
      <c r="S47" s="1078">
        <f t="shared" ref="S47:S52" si="18">E47*Q47</f>
        <v>0</v>
      </c>
      <c r="T47" s="1078"/>
      <c r="U47" s="559"/>
      <c r="V47" s="1078">
        <v>671.96</v>
      </c>
      <c r="W47" s="1079"/>
      <c r="X47" s="1078">
        <f t="shared" ref="X47:X52" si="19">E89*V47</f>
        <v>0</v>
      </c>
      <c r="Y47" s="1078"/>
      <c r="Z47" s="559"/>
      <c r="AA47" s="559"/>
      <c r="AB47" s="559"/>
    </row>
    <row r="48" spans="2:28">
      <c r="B48" s="303"/>
      <c r="C48" s="727" t="s">
        <v>4062</v>
      </c>
      <c r="D48" s="726" t="s">
        <v>455</v>
      </c>
      <c r="E48" s="664">
        <v>0</v>
      </c>
      <c r="F48" s="664">
        <v>0</v>
      </c>
      <c r="G48" s="664"/>
      <c r="H48" s="672">
        <v>0</v>
      </c>
      <c r="I48" s="672">
        <f t="shared" si="16"/>
        <v>0</v>
      </c>
      <c r="J48" s="672">
        <v>0</v>
      </c>
      <c r="K48" s="34">
        <f t="shared" si="17"/>
        <v>0</v>
      </c>
      <c r="L48" s="559"/>
      <c r="M48" s="32"/>
      <c r="N48" s="559"/>
      <c r="O48" s="559"/>
      <c r="P48" s="559"/>
      <c r="Q48" s="1078">
        <v>19040.5</v>
      </c>
      <c r="R48" s="1079"/>
      <c r="S48" s="1078">
        <f t="shared" si="18"/>
        <v>0</v>
      </c>
      <c r="T48" s="1078"/>
      <c r="U48" s="559"/>
      <c r="V48" s="1078">
        <v>671.96</v>
      </c>
      <c r="W48" s="1079"/>
      <c r="X48" s="1078">
        <f t="shared" si="19"/>
        <v>0</v>
      </c>
      <c r="Y48" s="1078"/>
      <c r="Z48" s="559"/>
      <c r="AA48" s="559"/>
      <c r="AB48" s="559"/>
    </row>
    <row r="49" spans="2:28">
      <c r="B49" s="303"/>
      <c r="C49" s="725" t="s">
        <v>4063</v>
      </c>
      <c r="D49" s="726" t="s">
        <v>455</v>
      </c>
      <c r="E49" s="664">
        <v>0</v>
      </c>
      <c r="F49" s="664">
        <v>0</v>
      </c>
      <c r="G49" s="664"/>
      <c r="H49" s="672">
        <v>0</v>
      </c>
      <c r="I49" s="672">
        <f t="shared" si="16"/>
        <v>0</v>
      </c>
      <c r="J49" s="672">
        <v>0</v>
      </c>
      <c r="K49" s="34">
        <f t="shared" si="17"/>
        <v>0</v>
      </c>
      <c r="L49" s="559"/>
      <c r="M49" s="559"/>
      <c r="N49" s="559"/>
      <c r="O49" s="559"/>
      <c r="P49" s="559"/>
      <c r="Q49" s="1078">
        <v>19899</v>
      </c>
      <c r="R49" s="1079"/>
      <c r="S49" s="1078">
        <f t="shared" si="18"/>
        <v>0</v>
      </c>
      <c r="T49" s="1078"/>
      <c r="U49" s="559"/>
      <c r="V49" s="1078">
        <v>671.96</v>
      </c>
      <c r="W49" s="1079"/>
      <c r="X49" s="1078">
        <f t="shared" si="19"/>
        <v>671.96</v>
      </c>
      <c r="Y49" s="1078"/>
      <c r="Z49" s="559"/>
      <c r="AA49" s="559"/>
      <c r="AB49" s="559"/>
    </row>
    <row r="50" spans="2:28">
      <c r="B50" s="303"/>
      <c r="C50" s="727" t="s">
        <v>4064</v>
      </c>
      <c r="D50" s="726" t="s">
        <v>455</v>
      </c>
      <c r="E50" s="664">
        <v>1</v>
      </c>
      <c r="F50" s="664">
        <v>0</v>
      </c>
      <c r="G50" s="664"/>
      <c r="H50" s="672">
        <v>0</v>
      </c>
      <c r="I50" s="672">
        <f t="shared" si="16"/>
        <v>0</v>
      </c>
      <c r="J50" s="672">
        <v>0</v>
      </c>
      <c r="K50" s="34">
        <f t="shared" si="17"/>
        <v>0</v>
      </c>
      <c r="L50" s="559"/>
      <c r="M50" s="559"/>
      <c r="N50" s="559"/>
      <c r="O50" s="559"/>
      <c r="P50" s="559"/>
      <c r="Q50" s="1078">
        <v>21196.75</v>
      </c>
      <c r="R50" s="1079"/>
      <c r="S50" s="1078">
        <f t="shared" si="18"/>
        <v>21196.75</v>
      </c>
      <c r="T50" s="1078"/>
      <c r="U50" s="559"/>
      <c r="V50" s="1078">
        <v>671.96</v>
      </c>
      <c r="W50" s="1079"/>
      <c r="X50" s="1078">
        <f t="shared" si="19"/>
        <v>0</v>
      </c>
      <c r="Y50" s="1078"/>
      <c r="Z50" s="559"/>
      <c r="AA50" s="559"/>
      <c r="AB50" s="559"/>
    </row>
    <row r="51" spans="2:28">
      <c r="B51" s="303"/>
      <c r="C51" s="727" t="s">
        <v>4065</v>
      </c>
      <c r="D51" s="726" t="s">
        <v>455</v>
      </c>
      <c r="E51" s="664">
        <v>0</v>
      </c>
      <c r="F51" s="664">
        <v>0</v>
      </c>
      <c r="G51" s="664"/>
      <c r="H51" s="672">
        <v>0</v>
      </c>
      <c r="I51" s="672">
        <f t="shared" si="16"/>
        <v>0</v>
      </c>
      <c r="J51" s="672">
        <v>0</v>
      </c>
      <c r="K51" s="34">
        <f t="shared" si="17"/>
        <v>0</v>
      </c>
      <c r="L51" s="559"/>
      <c r="M51" s="559"/>
      <c r="N51" s="559"/>
      <c r="O51" s="559"/>
      <c r="P51" s="559"/>
      <c r="Q51" s="1078">
        <v>22368.75</v>
      </c>
      <c r="R51" s="1079"/>
      <c r="S51" s="1078">
        <f t="shared" si="18"/>
        <v>0</v>
      </c>
      <c r="T51" s="1078"/>
      <c r="U51" s="559"/>
      <c r="V51" s="1078">
        <v>671.96</v>
      </c>
      <c r="W51" s="1079"/>
      <c r="X51" s="1078">
        <f t="shared" si="19"/>
        <v>0</v>
      </c>
      <c r="Y51" s="1078"/>
      <c r="Z51" s="559"/>
      <c r="AA51" s="559"/>
      <c r="AB51" s="559"/>
    </row>
    <row r="52" spans="2:28">
      <c r="B52" s="303"/>
      <c r="C52" s="727" t="s">
        <v>4066</v>
      </c>
      <c r="D52" s="726" t="s">
        <v>455</v>
      </c>
      <c r="E52" s="664">
        <v>0</v>
      </c>
      <c r="F52" s="664">
        <v>0</v>
      </c>
      <c r="G52" s="664"/>
      <c r="H52" s="672">
        <v>0</v>
      </c>
      <c r="I52" s="672">
        <f t="shared" si="16"/>
        <v>0</v>
      </c>
      <c r="J52" s="672">
        <v>0</v>
      </c>
      <c r="K52" s="34">
        <f t="shared" si="17"/>
        <v>0</v>
      </c>
      <c r="L52" s="559"/>
      <c r="M52" s="33">
        <f>SUM(E47:E52)</f>
        <v>1</v>
      </c>
      <c r="N52" s="1080" t="s">
        <v>4235</v>
      </c>
      <c r="O52" s="1079"/>
      <c r="P52" s="559"/>
      <c r="Q52" s="1078">
        <v>24405.25</v>
      </c>
      <c r="R52" s="1079"/>
      <c r="S52" s="1078">
        <f t="shared" si="18"/>
        <v>0</v>
      </c>
      <c r="T52" s="1078"/>
      <c r="U52" s="559"/>
      <c r="V52" s="1078">
        <v>403.17599999999999</v>
      </c>
      <c r="W52" s="1079"/>
      <c r="X52" s="1078">
        <f t="shared" si="19"/>
        <v>0</v>
      </c>
      <c r="Y52" s="1078"/>
      <c r="Z52" s="559"/>
      <c r="AA52" s="559"/>
      <c r="AB52" s="559"/>
    </row>
    <row r="53" spans="2:28">
      <c r="B53" s="183"/>
      <c r="C53" s="201"/>
      <c r="D53" s="729"/>
      <c r="E53" s="730"/>
      <c r="F53" s="730"/>
      <c r="G53" s="730"/>
      <c r="H53" s="281"/>
      <c r="I53" s="759">
        <f>SUM(I15:I52)</f>
        <v>0</v>
      </c>
      <c r="J53" s="281"/>
      <c r="K53" s="760">
        <f>SUM(K15:K52)</f>
        <v>0</v>
      </c>
      <c r="L53" s="559"/>
      <c r="M53" s="559"/>
      <c r="N53" s="559"/>
      <c r="O53" s="559"/>
      <c r="P53" s="559"/>
      <c r="Q53" s="559"/>
      <c r="R53" s="559"/>
      <c r="S53" s="559"/>
      <c r="T53" s="559"/>
      <c r="U53" s="559"/>
      <c r="V53" s="1087"/>
      <c r="W53" s="1088"/>
      <c r="X53" s="1087"/>
      <c r="Y53" s="1087"/>
      <c r="Z53" s="559"/>
      <c r="AA53" s="1089"/>
      <c r="AB53" s="1088"/>
    </row>
    <row r="54" spans="2:28" ht="18" customHeight="1">
      <c r="B54" s="28" t="s">
        <v>717</v>
      </c>
      <c r="C54" s="27" t="s">
        <v>4236</v>
      </c>
      <c r="D54" s="26"/>
      <c r="E54" s="25"/>
      <c r="F54" s="25"/>
      <c r="G54" s="25"/>
      <c r="H54" s="37"/>
      <c r="I54" s="673"/>
      <c r="J54" s="37"/>
      <c r="K54" s="273"/>
      <c r="L54" s="559"/>
      <c r="M54" s="559"/>
      <c r="N54" s="559"/>
      <c r="O54" s="1090" t="s">
        <v>4237</v>
      </c>
      <c r="P54" s="1091"/>
      <c r="Q54" s="24">
        <f>(SUM(S15:T52))+(SUM(X15:Y52))</f>
        <v>580537.31000000006</v>
      </c>
      <c r="R54" s="23"/>
      <c r="S54" s="22" t="s">
        <v>52</v>
      </c>
      <c r="T54" s="559"/>
      <c r="U54" s="559"/>
      <c r="V54" s="559"/>
      <c r="W54" s="559"/>
      <c r="X54" s="559"/>
      <c r="Y54" s="559"/>
      <c r="Z54" s="559"/>
      <c r="AA54" s="559"/>
      <c r="AB54" s="559"/>
    </row>
    <row r="55" spans="2:28" ht="18" customHeight="1">
      <c r="B55" s="235"/>
      <c r="C55" s="731" t="s">
        <v>4097</v>
      </c>
      <c r="D55" s="732"/>
      <c r="E55" s="667"/>
      <c r="F55" s="667"/>
      <c r="G55" s="667"/>
      <c r="H55" s="724"/>
      <c r="I55" s="673"/>
      <c r="J55" s="724"/>
      <c r="K55" s="273"/>
      <c r="L55" s="559"/>
      <c r="M55" s="559"/>
      <c r="N55" s="559"/>
      <c r="O55" s="559"/>
      <c r="P55" s="559"/>
      <c r="Q55" s="21">
        <f>Q54/1000</f>
        <v>580.53731000000005</v>
      </c>
      <c r="R55" s="20"/>
      <c r="S55" s="19" t="s">
        <v>4238</v>
      </c>
      <c r="T55" s="559"/>
      <c r="U55" s="559"/>
      <c r="V55" s="559"/>
      <c r="W55" s="559"/>
      <c r="X55" s="559"/>
      <c r="Y55" s="559"/>
      <c r="Z55" s="559"/>
      <c r="AA55" s="559"/>
      <c r="AB55" s="559"/>
    </row>
    <row r="56" spans="2:28">
      <c r="B56" s="252"/>
      <c r="C56" s="733" t="s">
        <v>4098</v>
      </c>
      <c r="D56" s="734"/>
      <c r="E56" s="664"/>
      <c r="F56" s="664"/>
      <c r="G56" s="664"/>
      <c r="H56" s="735"/>
      <c r="I56" s="673"/>
      <c r="J56" s="735"/>
      <c r="K56" s="273"/>
      <c r="L56" s="559"/>
      <c r="M56" s="559"/>
      <c r="N56" s="559"/>
      <c r="O56" s="1092" t="s">
        <v>4239</v>
      </c>
      <c r="P56" s="1093"/>
      <c r="Q56" s="1094">
        <v>15</v>
      </c>
      <c r="R56" s="1094"/>
      <c r="S56" s="22" t="s">
        <v>4238</v>
      </c>
      <c r="T56" s="559"/>
      <c r="U56" s="559"/>
      <c r="V56" s="559"/>
      <c r="W56" s="559"/>
      <c r="X56" s="559"/>
      <c r="Y56" s="559"/>
      <c r="Z56" s="559"/>
      <c r="AA56" s="559"/>
      <c r="AB56" s="559"/>
    </row>
    <row r="57" spans="2:28">
      <c r="B57" s="252"/>
      <c r="C57" s="724" t="s">
        <v>4099</v>
      </c>
      <c r="D57" s="734" t="s">
        <v>455</v>
      </c>
      <c r="E57" s="664">
        <v>14</v>
      </c>
      <c r="F57" s="664">
        <v>0</v>
      </c>
      <c r="G57" s="664"/>
      <c r="H57" s="672">
        <v>0</v>
      </c>
      <c r="I57" s="672">
        <f t="shared" ref="I57:I62" si="20">F57*H57</f>
        <v>0</v>
      </c>
      <c r="J57" s="672">
        <v>0</v>
      </c>
      <c r="K57" s="34">
        <f t="shared" ref="K57:K62" si="21">H57*J57</f>
        <v>0</v>
      </c>
      <c r="L57" s="559"/>
      <c r="M57" s="559"/>
      <c r="N57" s="559"/>
      <c r="O57" s="1092" t="s">
        <v>4240</v>
      </c>
      <c r="P57" s="1093"/>
      <c r="Q57" s="1095">
        <f>Q55/Q56</f>
        <v>38.702487333333337</v>
      </c>
      <c r="R57" s="1095"/>
      <c r="S57" s="22" t="s">
        <v>4241</v>
      </c>
      <c r="T57" s="559"/>
      <c r="U57" s="559"/>
      <c r="V57" s="559"/>
      <c r="W57" s="559"/>
      <c r="X57" s="559"/>
      <c r="Y57" s="559"/>
      <c r="Z57" s="559"/>
      <c r="AA57" s="559"/>
      <c r="AB57" s="559"/>
    </row>
    <row r="58" spans="2:28">
      <c r="B58" s="252"/>
      <c r="C58" s="724" t="s">
        <v>4100</v>
      </c>
      <c r="D58" s="734" t="s">
        <v>455</v>
      </c>
      <c r="E58" s="664">
        <v>7</v>
      </c>
      <c r="F58" s="664">
        <v>0</v>
      </c>
      <c r="G58" s="664"/>
      <c r="H58" s="672">
        <v>0</v>
      </c>
      <c r="I58" s="672">
        <f t="shared" si="20"/>
        <v>0</v>
      </c>
      <c r="J58" s="672">
        <v>0</v>
      </c>
      <c r="K58" s="34">
        <f t="shared" si="21"/>
        <v>0</v>
      </c>
      <c r="L58" s="559"/>
      <c r="M58" s="559"/>
      <c r="N58" s="559"/>
      <c r="O58" s="1090" t="s">
        <v>4242</v>
      </c>
      <c r="P58" s="1091"/>
      <c r="Q58" s="1096" t="e">
        <f>#REF!</f>
        <v>#REF!</v>
      </c>
      <c r="R58" s="1097"/>
      <c r="S58" s="18" t="s">
        <v>4243</v>
      </c>
      <c r="T58" s="559"/>
      <c r="U58" s="1068" t="s">
        <v>4244</v>
      </c>
      <c r="V58" s="1102"/>
      <c r="W58" s="1102"/>
      <c r="X58" s="1103"/>
      <c r="Y58" s="559"/>
      <c r="Z58" s="559"/>
      <c r="AA58" s="559"/>
      <c r="AB58" s="559"/>
    </row>
    <row r="59" spans="2:28">
      <c r="B59" s="252"/>
      <c r="C59" s="724" t="s">
        <v>4101</v>
      </c>
      <c r="D59" s="734" t="s">
        <v>455</v>
      </c>
      <c r="E59" s="664">
        <v>1</v>
      </c>
      <c r="F59" s="664">
        <v>0</v>
      </c>
      <c r="G59" s="664"/>
      <c r="H59" s="672">
        <v>0</v>
      </c>
      <c r="I59" s="672">
        <f t="shared" si="20"/>
        <v>0</v>
      </c>
      <c r="J59" s="672">
        <v>0</v>
      </c>
      <c r="K59" s="34">
        <f t="shared" si="21"/>
        <v>0</v>
      </c>
      <c r="L59" s="559"/>
      <c r="M59" s="559"/>
      <c r="N59" s="559"/>
      <c r="O59" s="1090" t="s">
        <v>4245</v>
      </c>
      <c r="P59" s="1091"/>
      <c r="Q59" s="1104" t="e">
        <f>Q57*Q58</f>
        <v>#REF!</v>
      </c>
      <c r="R59" s="1104"/>
      <c r="S59" s="18" t="s">
        <v>4243</v>
      </c>
      <c r="T59" s="559"/>
      <c r="U59" s="559"/>
      <c r="V59" s="559"/>
      <c r="W59" s="559"/>
      <c r="X59" s="559"/>
      <c r="Y59" s="559"/>
      <c r="Z59" s="559"/>
      <c r="AA59" s="559"/>
      <c r="AB59" s="559"/>
    </row>
    <row r="60" spans="2:28">
      <c r="B60" s="252"/>
      <c r="C60" s="724" t="s">
        <v>4102</v>
      </c>
      <c r="D60" s="734" t="s">
        <v>455</v>
      </c>
      <c r="E60" s="664">
        <v>8</v>
      </c>
      <c r="F60" s="664">
        <v>0</v>
      </c>
      <c r="G60" s="664"/>
      <c r="H60" s="672">
        <v>0</v>
      </c>
      <c r="I60" s="672">
        <f t="shared" si="20"/>
        <v>0</v>
      </c>
      <c r="J60" s="672">
        <v>0</v>
      </c>
      <c r="K60" s="34">
        <f t="shared" si="21"/>
        <v>0</v>
      </c>
      <c r="L60" s="559"/>
      <c r="M60" s="559"/>
      <c r="N60" s="559"/>
      <c r="O60" s="1090" t="s">
        <v>4246</v>
      </c>
      <c r="P60" s="1091"/>
      <c r="Q60" s="1105">
        <v>5</v>
      </c>
      <c r="R60" s="1098"/>
      <c r="S60" s="22" t="s">
        <v>324</v>
      </c>
      <c r="T60" s="559"/>
      <c r="U60" s="559"/>
      <c r="V60" s="559"/>
      <c r="W60" s="559"/>
      <c r="X60" s="559"/>
      <c r="Y60" s="559"/>
      <c r="Z60" s="559"/>
      <c r="AA60" s="559"/>
      <c r="AB60" s="559"/>
    </row>
    <row r="61" spans="2:28">
      <c r="B61" s="252"/>
      <c r="C61" s="724" t="s">
        <v>4103</v>
      </c>
      <c r="D61" s="734" t="s">
        <v>455</v>
      </c>
      <c r="E61" s="664">
        <v>1</v>
      </c>
      <c r="F61" s="664">
        <v>0</v>
      </c>
      <c r="G61" s="664"/>
      <c r="H61" s="672">
        <v>0</v>
      </c>
      <c r="I61" s="672">
        <f t="shared" si="20"/>
        <v>0</v>
      </c>
      <c r="J61" s="672">
        <v>0</v>
      </c>
      <c r="K61" s="34">
        <f t="shared" si="21"/>
        <v>0</v>
      </c>
      <c r="L61" s="559"/>
      <c r="M61" s="559"/>
      <c r="N61" s="559"/>
      <c r="O61" s="1090" t="s">
        <v>4247</v>
      </c>
      <c r="P61" s="1091"/>
      <c r="Q61" s="1096" t="e">
        <f>(Q60/100)*Q59</f>
        <v>#REF!</v>
      </c>
      <c r="R61" s="1097"/>
      <c r="S61" s="22" t="s">
        <v>4243</v>
      </c>
      <c r="T61" s="559"/>
      <c r="U61" s="559"/>
      <c r="V61" s="559"/>
      <c r="W61" s="559"/>
      <c r="X61" s="559"/>
      <c r="Y61" s="559"/>
      <c r="Z61" s="559"/>
      <c r="AA61" s="559"/>
      <c r="AB61" s="559"/>
    </row>
    <row r="62" spans="2:28">
      <c r="B62" s="252"/>
      <c r="C62" s="733" t="s">
        <v>4104</v>
      </c>
      <c r="D62" s="734" t="s">
        <v>455</v>
      </c>
      <c r="E62" s="664">
        <v>4</v>
      </c>
      <c r="F62" s="664">
        <v>0</v>
      </c>
      <c r="G62" s="664"/>
      <c r="H62" s="672">
        <v>0</v>
      </c>
      <c r="I62" s="672">
        <f t="shared" si="20"/>
        <v>0</v>
      </c>
      <c r="J62" s="672">
        <v>0</v>
      </c>
      <c r="K62" s="34">
        <f t="shared" si="21"/>
        <v>0</v>
      </c>
      <c r="L62" s="559"/>
      <c r="M62" s="559"/>
      <c r="N62" s="559"/>
      <c r="O62" s="1090" t="s">
        <v>4248</v>
      </c>
      <c r="P62" s="1091"/>
      <c r="Q62" s="1096" t="e">
        <f>Q59+Q61</f>
        <v>#REF!</v>
      </c>
      <c r="R62" s="1098"/>
      <c r="S62" s="22" t="s">
        <v>4243</v>
      </c>
      <c r="T62" s="559"/>
      <c r="U62" s="559"/>
      <c r="V62" s="559"/>
      <c r="W62" s="559"/>
      <c r="X62" s="559"/>
      <c r="Y62" s="559"/>
      <c r="Z62" s="559"/>
      <c r="AA62" s="559"/>
      <c r="AB62" s="559"/>
    </row>
    <row r="63" spans="2:28" ht="18" customHeight="1">
      <c r="B63" s="235"/>
      <c r="C63" s="731" t="s">
        <v>4105</v>
      </c>
      <c r="D63" s="732"/>
      <c r="E63" s="667"/>
      <c r="F63" s="667"/>
      <c r="G63" s="667"/>
      <c r="H63" s="735"/>
      <c r="I63" s="673"/>
      <c r="J63" s="735"/>
      <c r="K63" s="273"/>
      <c r="L63" s="559"/>
      <c r="M63" s="559"/>
      <c r="N63" s="559"/>
      <c r="O63" s="559"/>
      <c r="P63" s="559"/>
      <c r="Q63" s="559"/>
      <c r="R63" s="559"/>
      <c r="S63" s="559"/>
      <c r="T63" s="559"/>
      <c r="U63" s="559"/>
      <c r="V63" s="559"/>
      <c r="W63" s="559"/>
      <c r="X63" s="559"/>
      <c r="Y63" s="559"/>
      <c r="Z63" s="559"/>
      <c r="AA63" s="559"/>
      <c r="AB63" s="559"/>
    </row>
    <row r="64" spans="2:28">
      <c r="B64" s="252"/>
      <c r="C64" s="733" t="s">
        <v>4098</v>
      </c>
      <c r="D64" s="734"/>
      <c r="E64" s="664"/>
      <c r="F64" s="664"/>
      <c r="G64" s="664"/>
      <c r="H64" s="735"/>
      <c r="I64" s="673"/>
      <c r="J64" s="735"/>
      <c r="K64" s="273"/>
      <c r="L64" s="559"/>
      <c r="M64" s="559"/>
      <c r="N64" s="559"/>
      <c r="O64" s="559"/>
      <c r="P64" s="559"/>
      <c r="Q64" s="559"/>
      <c r="R64" s="559"/>
      <c r="S64" s="559"/>
      <c r="T64" s="559"/>
      <c r="U64" s="559"/>
      <c r="V64" s="559"/>
      <c r="W64" s="559"/>
      <c r="X64" s="559"/>
      <c r="Y64" s="559"/>
      <c r="Z64" s="559"/>
      <c r="AA64" s="559"/>
      <c r="AB64" s="559"/>
    </row>
    <row r="65" spans="2:28">
      <c r="B65" s="252"/>
      <c r="C65" s="724" t="s">
        <v>4099</v>
      </c>
      <c r="D65" s="734" t="s">
        <v>455</v>
      </c>
      <c r="E65" s="664">
        <v>3</v>
      </c>
      <c r="F65" s="664">
        <v>0</v>
      </c>
      <c r="G65" s="664"/>
      <c r="H65" s="672">
        <v>0</v>
      </c>
      <c r="I65" s="672">
        <f t="shared" ref="I65:I70" si="22">F65*H65</f>
        <v>0</v>
      </c>
      <c r="J65" s="672">
        <v>0</v>
      </c>
      <c r="K65" s="34">
        <f t="shared" ref="K65:K70" si="23">H65*J65</f>
        <v>0</v>
      </c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  <c r="X65" s="559"/>
      <c r="Y65" s="559"/>
      <c r="Z65" s="559"/>
      <c r="AA65" s="559"/>
      <c r="AB65" s="559"/>
    </row>
    <row r="66" spans="2:28">
      <c r="B66" s="252"/>
      <c r="C66" s="724" t="s">
        <v>4100</v>
      </c>
      <c r="D66" s="734" t="s">
        <v>455</v>
      </c>
      <c r="E66" s="664">
        <v>2</v>
      </c>
      <c r="F66" s="664">
        <v>0</v>
      </c>
      <c r="G66" s="664"/>
      <c r="H66" s="672">
        <v>0</v>
      </c>
      <c r="I66" s="672">
        <f t="shared" si="22"/>
        <v>0</v>
      </c>
      <c r="J66" s="672">
        <v>0</v>
      </c>
      <c r="K66" s="34">
        <f t="shared" si="23"/>
        <v>0</v>
      </c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  <c r="X66" s="559"/>
      <c r="Y66" s="559"/>
      <c r="Z66" s="559"/>
      <c r="AA66" s="559"/>
      <c r="AB66" s="559"/>
    </row>
    <row r="67" spans="2:28">
      <c r="B67" s="252"/>
      <c r="C67" s="724" t="s">
        <v>4101</v>
      </c>
      <c r="D67" s="734" t="s">
        <v>455</v>
      </c>
      <c r="E67" s="664">
        <v>0</v>
      </c>
      <c r="F67" s="664">
        <v>0</v>
      </c>
      <c r="G67" s="664"/>
      <c r="H67" s="672">
        <v>0</v>
      </c>
      <c r="I67" s="672">
        <f t="shared" si="22"/>
        <v>0</v>
      </c>
      <c r="J67" s="672">
        <v>0</v>
      </c>
      <c r="K67" s="34">
        <f t="shared" si="23"/>
        <v>0</v>
      </c>
      <c r="L67" s="559"/>
      <c r="M67" s="559"/>
      <c r="N67" s="559"/>
      <c r="O67" s="559"/>
      <c r="P67" s="559"/>
      <c r="Q67" s="559"/>
      <c r="R67" s="559"/>
      <c r="S67" s="559"/>
      <c r="T67" s="559"/>
      <c r="U67" s="559"/>
      <c r="V67" s="559"/>
      <c r="W67" s="559"/>
      <c r="X67" s="559"/>
      <c r="Y67" s="559"/>
      <c r="Z67" s="559"/>
      <c r="AA67" s="559"/>
      <c r="AB67" s="559"/>
    </row>
    <row r="68" spans="2:28">
      <c r="B68" s="252"/>
      <c r="C68" s="724" t="s">
        <v>4102</v>
      </c>
      <c r="D68" s="734" t="s">
        <v>455</v>
      </c>
      <c r="E68" s="664">
        <v>4</v>
      </c>
      <c r="F68" s="664">
        <v>0</v>
      </c>
      <c r="G68" s="664"/>
      <c r="H68" s="672">
        <v>0</v>
      </c>
      <c r="I68" s="672">
        <f t="shared" si="22"/>
        <v>0</v>
      </c>
      <c r="J68" s="672">
        <v>0</v>
      </c>
      <c r="K68" s="34">
        <f t="shared" si="23"/>
        <v>0</v>
      </c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  <c r="X68" s="559"/>
      <c r="Y68" s="559"/>
      <c r="Z68" s="559"/>
      <c r="AA68" s="559"/>
      <c r="AB68" s="559"/>
    </row>
    <row r="69" spans="2:28">
      <c r="B69" s="252"/>
      <c r="C69" s="724" t="s">
        <v>4103</v>
      </c>
      <c r="D69" s="734" t="s">
        <v>455</v>
      </c>
      <c r="E69" s="664">
        <v>0</v>
      </c>
      <c r="F69" s="664">
        <v>0</v>
      </c>
      <c r="G69" s="664"/>
      <c r="H69" s="672">
        <v>0</v>
      </c>
      <c r="I69" s="672">
        <f t="shared" si="22"/>
        <v>0</v>
      </c>
      <c r="J69" s="672">
        <v>0</v>
      </c>
      <c r="K69" s="34">
        <f t="shared" si="23"/>
        <v>0</v>
      </c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  <c r="X69" s="559"/>
      <c r="Y69" s="559"/>
      <c r="Z69" s="559"/>
      <c r="AA69" s="559"/>
      <c r="AB69" s="559"/>
    </row>
    <row r="70" spans="2:28">
      <c r="B70" s="252"/>
      <c r="C70" s="733" t="s">
        <v>4104</v>
      </c>
      <c r="D70" s="734" t="s">
        <v>455</v>
      </c>
      <c r="E70" s="664">
        <v>0</v>
      </c>
      <c r="F70" s="664">
        <v>0</v>
      </c>
      <c r="G70" s="664"/>
      <c r="H70" s="672">
        <v>0</v>
      </c>
      <c r="I70" s="672">
        <f t="shared" si="22"/>
        <v>0</v>
      </c>
      <c r="J70" s="672">
        <v>0</v>
      </c>
      <c r="K70" s="34">
        <f t="shared" si="23"/>
        <v>0</v>
      </c>
      <c r="L70" s="559"/>
      <c r="M70" s="559"/>
      <c r="N70" s="559"/>
      <c r="O70" s="559"/>
      <c r="P70" s="559"/>
      <c r="Q70" s="559"/>
      <c r="R70" s="559"/>
      <c r="S70" s="559"/>
      <c r="T70" s="559"/>
      <c r="U70" s="559"/>
      <c r="V70" s="559"/>
      <c r="W70" s="559"/>
      <c r="X70" s="559"/>
      <c r="Y70" s="559"/>
      <c r="Z70" s="559"/>
      <c r="AA70" s="559"/>
      <c r="AB70" s="559"/>
    </row>
    <row r="71" spans="2:28" ht="18" customHeight="1">
      <c r="B71" s="235"/>
      <c r="C71" s="731" t="s">
        <v>4106</v>
      </c>
      <c r="D71" s="732"/>
      <c r="E71" s="667"/>
      <c r="F71" s="667"/>
      <c r="G71" s="667"/>
      <c r="H71" s="735"/>
      <c r="I71" s="673"/>
      <c r="J71" s="735"/>
      <c r="K71" s="273"/>
      <c r="L71" s="559"/>
      <c r="M71" s="559"/>
      <c r="N71" s="559"/>
      <c r="O71" s="559"/>
      <c r="P71" s="559"/>
      <c r="Q71" s="559"/>
      <c r="R71" s="559"/>
      <c r="S71" s="559"/>
      <c r="T71" s="559"/>
      <c r="U71" s="559"/>
      <c r="V71" s="559"/>
      <c r="W71" s="559"/>
      <c r="X71" s="559"/>
      <c r="Y71" s="559"/>
      <c r="Z71" s="559"/>
      <c r="AA71" s="559"/>
      <c r="AB71" s="559"/>
    </row>
    <row r="72" spans="2:28">
      <c r="B72" s="252"/>
      <c r="C72" s="733" t="s">
        <v>4098</v>
      </c>
      <c r="D72" s="734"/>
      <c r="E72" s="664"/>
      <c r="F72" s="664"/>
      <c r="G72" s="664"/>
      <c r="H72" s="735"/>
      <c r="I72" s="673"/>
      <c r="J72" s="735"/>
      <c r="K72" s="273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  <c r="X72" s="559"/>
      <c r="Y72" s="559"/>
      <c r="Z72" s="559"/>
      <c r="AA72" s="559"/>
      <c r="AB72" s="559"/>
    </row>
    <row r="73" spans="2:28">
      <c r="B73" s="252"/>
      <c r="C73" s="724" t="s">
        <v>4099</v>
      </c>
      <c r="D73" s="734" t="s">
        <v>455</v>
      </c>
      <c r="E73" s="664">
        <v>1</v>
      </c>
      <c r="F73" s="664">
        <v>0</v>
      </c>
      <c r="G73" s="664"/>
      <c r="H73" s="672">
        <v>0</v>
      </c>
      <c r="I73" s="672">
        <f t="shared" ref="I73:I78" si="24">F73*H73</f>
        <v>0</v>
      </c>
      <c r="J73" s="672">
        <v>0</v>
      </c>
      <c r="K73" s="34">
        <f t="shared" ref="K73:K78" si="25">H73*J73</f>
        <v>0</v>
      </c>
      <c r="L73" s="559"/>
      <c r="M73" s="559"/>
      <c r="N73" s="559"/>
      <c r="O73" s="559"/>
      <c r="P73" s="559"/>
      <c r="Q73" s="559"/>
      <c r="R73" s="559"/>
      <c r="S73" s="559"/>
      <c r="T73" s="559"/>
      <c r="U73" s="559"/>
      <c r="V73" s="559"/>
      <c r="W73" s="559"/>
      <c r="X73" s="559"/>
      <c r="Y73" s="559"/>
      <c r="Z73" s="559"/>
      <c r="AA73" s="559"/>
      <c r="AB73" s="559"/>
    </row>
    <row r="74" spans="2:28">
      <c r="B74" s="252"/>
      <c r="C74" s="724" t="s">
        <v>4100</v>
      </c>
      <c r="D74" s="734" t="s">
        <v>455</v>
      </c>
      <c r="E74" s="664">
        <v>0</v>
      </c>
      <c r="F74" s="664">
        <v>0</v>
      </c>
      <c r="G74" s="664"/>
      <c r="H74" s="672">
        <v>0</v>
      </c>
      <c r="I74" s="672">
        <f t="shared" si="24"/>
        <v>0</v>
      </c>
      <c r="J74" s="672">
        <v>0</v>
      </c>
      <c r="K74" s="34">
        <f t="shared" si="25"/>
        <v>0</v>
      </c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  <c r="X74" s="559"/>
      <c r="Y74" s="559"/>
      <c r="Z74" s="559"/>
      <c r="AA74" s="559"/>
      <c r="AB74" s="559"/>
    </row>
    <row r="75" spans="2:28">
      <c r="B75" s="252"/>
      <c r="C75" s="724" t="s">
        <v>4101</v>
      </c>
      <c r="D75" s="734" t="s">
        <v>455</v>
      </c>
      <c r="E75" s="664">
        <v>0</v>
      </c>
      <c r="F75" s="664">
        <v>0</v>
      </c>
      <c r="G75" s="664"/>
      <c r="H75" s="672">
        <v>0</v>
      </c>
      <c r="I75" s="672">
        <f t="shared" si="24"/>
        <v>0</v>
      </c>
      <c r="J75" s="672">
        <v>0</v>
      </c>
      <c r="K75" s="34">
        <f t="shared" si="25"/>
        <v>0</v>
      </c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  <c r="X75" s="559"/>
      <c r="Y75" s="559"/>
      <c r="Z75" s="559"/>
      <c r="AA75" s="559"/>
      <c r="AB75" s="559"/>
    </row>
    <row r="76" spans="2:28">
      <c r="B76" s="252"/>
      <c r="C76" s="724" t="s">
        <v>4102</v>
      </c>
      <c r="D76" s="734" t="s">
        <v>455</v>
      </c>
      <c r="E76" s="664">
        <v>0</v>
      </c>
      <c r="F76" s="664">
        <v>0</v>
      </c>
      <c r="G76" s="664"/>
      <c r="H76" s="672">
        <v>0</v>
      </c>
      <c r="I76" s="672">
        <f t="shared" si="24"/>
        <v>0</v>
      </c>
      <c r="J76" s="672">
        <v>0</v>
      </c>
      <c r="K76" s="34">
        <f t="shared" si="25"/>
        <v>0</v>
      </c>
      <c r="L76" s="559"/>
      <c r="M76" s="559"/>
      <c r="N76" s="559"/>
      <c r="O76" s="559"/>
      <c r="P76" s="559"/>
      <c r="Q76" s="559"/>
      <c r="R76" s="559"/>
      <c r="S76" s="559"/>
      <c r="T76" s="559"/>
      <c r="U76" s="559"/>
      <c r="V76" s="559"/>
      <c r="W76" s="559"/>
      <c r="X76" s="559"/>
      <c r="Y76" s="559"/>
      <c r="Z76" s="559"/>
      <c r="AA76" s="559"/>
      <c r="AB76" s="559"/>
    </row>
    <row r="77" spans="2:28">
      <c r="B77" s="252"/>
      <c r="C77" s="724" t="s">
        <v>4103</v>
      </c>
      <c r="D77" s="734" t="s">
        <v>455</v>
      </c>
      <c r="E77" s="664">
        <v>0</v>
      </c>
      <c r="F77" s="664">
        <v>0</v>
      </c>
      <c r="G77" s="664"/>
      <c r="H77" s="672">
        <v>0</v>
      </c>
      <c r="I77" s="672">
        <f t="shared" si="24"/>
        <v>0</v>
      </c>
      <c r="J77" s="672">
        <v>0</v>
      </c>
      <c r="K77" s="34">
        <f t="shared" si="25"/>
        <v>0</v>
      </c>
      <c r="L77" s="559"/>
      <c r="M77" s="559"/>
      <c r="N77" s="559"/>
      <c r="O77" s="559"/>
      <c r="P77" s="559"/>
      <c r="Q77" s="559"/>
      <c r="R77" s="559"/>
      <c r="S77" s="559"/>
      <c r="T77" s="559"/>
      <c r="U77" s="559"/>
      <c r="V77" s="559"/>
      <c r="W77" s="559"/>
      <c r="X77" s="559"/>
      <c r="Y77" s="559"/>
      <c r="Z77" s="559"/>
      <c r="AA77" s="559"/>
      <c r="AB77" s="559"/>
    </row>
    <row r="78" spans="2:28">
      <c r="B78" s="252"/>
      <c r="C78" s="733" t="s">
        <v>4104</v>
      </c>
      <c r="D78" s="734" t="s">
        <v>455</v>
      </c>
      <c r="E78" s="664">
        <v>0</v>
      </c>
      <c r="F78" s="664">
        <v>0</v>
      </c>
      <c r="G78" s="664"/>
      <c r="H78" s="672">
        <v>0</v>
      </c>
      <c r="I78" s="672">
        <f t="shared" si="24"/>
        <v>0</v>
      </c>
      <c r="J78" s="672">
        <v>0</v>
      </c>
      <c r="K78" s="34">
        <f t="shared" si="25"/>
        <v>0</v>
      </c>
      <c r="L78" s="559"/>
      <c r="M78" s="559"/>
      <c r="N78" s="559"/>
      <c r="O78" s="559"/>
      <c r="P78" s="559"/>
      <c r="Q78" s="559"/>
      <c r="R78" s="559"/>
      <c r="S78" s="559"/>
      <c r="T78" s="559"/>
      <c r="U78" s="559"/>
      <c r="V78" s="559"/>
      <c r="W78" s="559"/>
      <c r="X78" s="559"/>
      <c r="Y78" s="559"/>
      <c r="Z78" s="559"/>
      <c r="AA78" s="559"/>
      <c r="AB78" s="559"/>
    </row>
    <row r="79" spans="2:28" ht="18" customHeight="1">
      <c r="B79" s="235"/>
      <c r="C79" s="731" t="s">
        <v>4107</v>
      </c>
      <c r="D79" s="732"/>
      <c r="E79" s="667"/>
      <c r="F79" s="667"/>
      <c r="G79" s="667"/>
      <c r="H79" s="735"/>
      <c r="I79" s="673"/>
      <c r="J79" s="735"/>
      <c r="K79" s="273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  <c r="X79" s="559"/>
      <c r="Y79" s="559"/>
      <c r="Z79" s="559"/>
      <c r="AA79" s="559"/>
      <c r="AB79" s="559"/>
    </row>
    <row r="80" spans="2:28">
      <c r="B80" s="252"/>
      <c r="C80" s="733" t="s">
        <v>4098</v>
      </c>
      <c r="D80" s="734"/>
      <c r="E80" s="664"/>
      <c r="F80" s="664"/>
      <c r="G80" s="664"/>
      <c r="H80" s="735"/>
      <c r="I80" s="673"/>
      <c r="J80" s="735"/>
      <c r="K80" s="273"/>
      <c r="L80" s="559"/>
      <c r="M80" s="559"/>
      <c r="N80" s="559"/>
      <c r="O80" s="559"/>
      <c r="P80" s="559"/>
      <c r="Q80" s="559"/>
      <c r="R80" s="559"/>
      <c r="S80" s="559"/>
      <c r="T80" s="559"/>
      <c r="U80" s="559"/>
      <c r="V80" s="559"/>
      <c r="W80" s="559"/>
      <c r="X80" s="559"/>
      <c r="Y80" s="559"/>
      <c r="Z80" s="559"/>
      <c r="AA80" s="559"/>
      <c r="AB80" s="559"/>
    </row>
    <row r="81" spans="2:28">
      <c r="B81" s="252"/>
      <c r="C81" s="724" t="s">
        <v>4099</v>
      </c>
      <c r="D81" s="734" t="s">
        <v>455</v>
      </c>
      <c r="E81" s="664">
        <v>1</v>
      </c>
      <c r="F81" s="664">
        <v>0</v>
      </c>
      <c r="G81" s="664"/>
      <c r="H81" s="672">
        <v>0</v>
      </c>
      <c r="I81" s="672">
        <f t="shared" ref="I81:I86" si="26">F81*H81</f>
        <v>0</v>
      </c>
      <c r="J81" s="672">
        <v>0</v>
      </c>
      <c r="K81" s="34">
        <f t="shared" ref="K81:K86" si="27">H81*J81</f>
        <v>0</v>
      </c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  <c r="X81" s="559"/>
      <c r="Y81" s="559"/>
      <c r="Z81" s="559"/>
      <c r="AA81" s="559"/>
      <c r="AB81" s="559"/>
    </row>
    <row r="82" spans="2:28">
      <c r="B82" s="252"/>
      <c r="C82" s="724" t="s">
        <v>4100</v>
      </c>
      <c r="D82" s="734" t="s">
        <v>455</v>
      </c>
      <c r="E82" s="664">
        <v>0</v>
      </c>
      <c r="F82" s="664">
        <v>0</v>
      </c>
      <c r="G82" s="664"/>
      <c r="H82" s="672">
        <v>0</v>
      </c>
      <c r="I82" s="672">
        <f t="shared" si="26"/>
        <v>0</v>
      </c>
      <c r="J82" s="672">
        <v>0</v>
      </c>
      <c r="K82" s="34">
        <f t="shared" si="27"/>
        <v>0</v>
      </c>
      <c r="L82" s="559"/>
      <c r="M82" s="559"/>
      <c r="N82" s="559"/>
      <c r="O82" s="559"/>
      <c r="P82" s="559"/>
      <c r="Q82" s="559"/>
      <c r="R82" s="559"/>
      <c r="S82" s="559"/>
      <c r="T82" s="559"/>
      <c r="U82" s="559"/>
      <c r="V82" s="559"/>
      <c r="W82" s="559"/>
      <c r="X82" s="559"/>
      <c r="Y82" s="559"/>
      <c r="Z82" s="559"/>
      <c r="AA82" s="559"/>
      <c r="AB82" s="559"/>
    </row>
    <row r="83" spans="2:28">
      <c r="B83" s="252"/>
      <c r="C83" s="724" t="s">
        <v>4101</v>
      </c>
      <c r="D83" s="734" t="s">
        <v>455</v>
      </c>
      <c r="E83" s="664">
        <v>0</v>
      </c>
      <c r="F83" s="664">
        <v>0</v>
      </c>
      <c r="G83" s="664"/>
      <c r="H83" s="672">
        <v>0</v>
      </c>
      <c r="I83" s="672">
        <f t="shared" si="26"/>
        <v>0</v>
      </c>
      <c r="J83" s="672">
        <v>0</v>
      </c>
      <c r="K83" s="34">
        <f t="shared" si="27"/>
        <v>0</v>
      </c>
      <c r="L83" s="559"/>
      <c r="M83" s="559"/>
      <c r="N83" s="559"/>
      <c r="O83" s="559"/>
      <c r="P83" s="559"/>
      <c r="Q83" s="559"/>
      <c r="R83" s="559"/>
      <c r="S83" s="559"/>
      <c r="T83" s="559"/>
      <c r="U83" s="559"/>
      <c r="V83" s="559"/>
      <c r="W83" s="559"/>
      <c r="X83" s="559"/>
      <c r="Y83" s="559"/>
      <c r="Z83" s="559"/>
      <c r="AA83" s="559"/>
      <c r="AB83" s="559"/>
    </row>
    <row r="84" spans="2:28">
      <c r="B84" s="252"/>
      <c r="C84" s="724" t="s">
        <v>4102</v>
      </c>
      <c r="D84" s="734" t="s">
        <v>455</v>
      </c>
      <c r="E84" s="664">
        <v>0</v>
      </c>
      <c r="F84" s="664">
        <v>0</v>
      </c>
      <c r="G84" s="664"/>
      <c r="H84" s="672">
        <v>0</v>
      </c>
      <c r="I84" s="672">
        <f t="shared" si="26"/>
        <v>0</v>
      </c>
      <c r="J84" s="672">
        <v>0</v>
      </c>
      <c r="K84" s="34">
        <f t="shared" si="27"/>
        <v>0</v>
      </c>
      <c r="L84" s="559"/>
      <c r="M84" s="559"/>
      <c r="N84" s="559"/>
      <c r="O84" s="559"/>
      <c r="P84" s="559"/>
      <c r="Q84" s="559"/>
      <c r="R84" s="559"/>
      <c r="S84" s="559"/>
      <c r="T84" s="559"/>
      <c r="U84" s="559"/>
      <c r="V84" s="559"/>
      <c r="W84" s="559"/>
      <c r="X84" s="559"/>
      <c r="Y84" s="559"/>
      <c r="Z84" s="559"/>
      <c r="AA84" s="559"/>
      <c r="AB84" s="559"/>
    </row>
    <row r="85" spans="2:28">
      <c r="B85" s="252"/>
      <c r="C85" s="724" t="s">
        <v>4103</v>
      </c>
      <c r="D85" s="734" t="s">
        <v>455</v>
      </c>
      <c r="E85" s="664">
        <v>0</v>
      </c>
      <c r="F85" s="664">
        <v>0</v>
      </c>
      <c r="G85" s="664"/>
      <c r="H85" s="672">
        <v>0</v>
      </c>
      <c r="I85" s="672">
        <f t="shared" si="26"/>
        <v>0</v>
      </c>
      <c r="J85" s="672">
        <v>0</v>
      </c>
      <c r="K85" s="34">
        <f t="shared" si="27"/>
        <v>0</v>
      </c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  <c r="X85" s="559"/>
      <c r="Y85" s="559"/>
      <c r="Z85" s="559"/>
      <c r="AA85" s="559"/>
      <c r="AB85" s="559"/>
    </row>
    <row r="86" spans="2:28">
      <c r="B86" s="252"/>
      <c r="C86" s="733" t="s">
        <v>4104</v>
      </c>
      <c r="D86" s="734" t="s">
        <v>455</v>
      </c>
      <c r="E86" s="664">
        <v>1</v>
      </c>
      <c r="F86" s="664">
        <v>0</v>
      </c>
      <c r="G86" s="664"/>
      <c r="H86" s="672">
        <v>0</v>
      </c>
      <c r="I86" s="672">
        <f t="shared" si="26"/>
        <v>0</v>
      </c>
      <c r="J86" s="672">
        <v>0</v>
      </c>
      <c r="K86" s="34">
        <f t="shared" si="27"/>
        <v>0</v>
      </c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  <c r="X86" s="559"/>
      <c r="Y86" s="559"/>
      <c r="Z86" s="559"/>
      <c r="AA86" s="559"/>
      <c r="AB86" s="559"/>
    </row>
    <row r="87" spans="2:28" ht="18" customHeight="1">
      <c r="B87" s="235"/>
      <c r="C87" s="731" t="s">
        <v>4108</v>
      </c>
      <c r="D87" s="732"/>
      <c r="E87" s="667"/>
      <c r="F87" s="667"/>
      <c r="G87" s="667"/>
      <c r="H87" s="735"/>
      <c r="I87" s="673"/>
      <c r="J87" s="735"/>
      <c r="K87" s="273"/>
      <c r="L87" s="559"/>
      <c r="M87" s="559"/>
      <c r="N87" s="559"/>
      <c r="O87" s="559"/>
      <c r="P87" s="559"/>
      <c r="Q87" s="559"/>
      <c r="R87" s="559"/>
      <c r="S87" s="559"/>
      <c r="T87" s="559"/>
      <c r="U87" s="559"/>
      <c r="V87" s="559"/>
      <c r="W87" s="559"/>
      <c r="X87" s="559"/>
      <c r="Y87" s="559"/>
      <c r="Z87" s="559"/>
      <c r="AA87" s="559"/>
      <c r="AB87" s="559"/>
    </row>
    <row r="88" spans="2:28">
      <c r="B88" s="252"/>
      <c r="C88" s="733" t="s">
        <v>4098</v>
      </c>
      <c r="D88" s="734"/>
      <c r="E88" s="664"/>
      <c r="F88" s="664"/>
      <c r="G88" s="664"/>
      <c r="H88" s="735"/>
      <c r="I88" s="673"/>
      <c r="J88" s="735"/>
      <c r="K88" s="273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  <c r="X88" s="559"/>
      <c r="Y88" s="559"/>
      <c r="Z88" s="559"/>
      <c r="AA88" s="559"/>
      <c r="AB88" s="559"/>
    </row>
    <row r="89" spans="2:28">
      <c r="B89" s="252"/>
      <c r="C89" s="724" t="s">
        <v>4099</v>
      </c>
      <c r="D89" s="734" t="s">
        <v>455</v>
      </c>
      <c r="E89" s="664">
        <v>0</v>
      </c>
      <c r="F89" s="664">
        <v>0</v>
      </c>
      <c r="G89" s="664"/>
      <c r="H89" s="672">
        <v>0</v>
      </c>
      <c r="I89" s="672">
        <f t="shared" ref="I89:I94" si="28">F89*H89</f>
        <v>0</v>
      </c>
      <c r="J89" s="672">
        <v>0</v>
      </c>
      <c r="K89" s="34">
        <f t="shared" ref="K89:K94" si="29">H89*J89</f>
        <v>0</v>
      </c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  <c r="X89" s="559"/>
      <c r="Y89" s="559"/>
      <c r="Z89" s="559"/>
      <c r="AA89" s="559"/>
      <c r="AB89" s="559"/>
    </row>
    <row r="90" spans="2:28">
      <c r="B90" s="252"/>
      <c r="C90" s="724" t="s">
        <v>4100</v>
      </c>
      <c r="D90" s="734" t="s">
        <v>455</v>
      </c>
      <c r="E90" s="664">
        <v>0</v>
      </c>
      <c r="F90" s="664">
        <v>0</v>
      </c>
      <c r="G90" s="664"/>
      <c r="H90" s="672">
        <v>0</v>
      </c>
      <c r="I90" s="672">
        <f t="shared" si="28"/>
        <v>0</v>
      </c>
      <c r="J90" s="672">
        <v>0</v>
      </c>
      <c r="K90" s="34">
        <f t="shared" si="29"/>
        <v>0</v>
      </c>
      <c r="L90" s="559"/>
      <c r="M90" s="559"/>
      <c r="N90" s="559"/>
      <c r="O90" s="559"/>
      <c r="P90" s="559"/>
      <c r="Q90" s="559"/>
      <c r="R90" s="559"/>
      <c r="S90" s="559"/>
      <c r="T90" s="559"/>
      <c r="U90" s="559"/>
      <c r="V90" s="559"/>
      <c r="W90" s="559"/>
      <c r="X90" s="559"/>
      <c r="Y90" s="559"/>
      <c r="Z90" s="559"/>
      <c r="AA90" s="559"/>
      <c r="AB90" s="559"/>
    </row>
    <row r="91" spans="2:28">
      <c r="B91" s="252"/>
      <c r="C91" s="724" t="s">
        <v>4101</v>
      </c>
      <c r="D91" s="734" t="s">
        <v>455</v>
      </c>
      <c r="E91" s="664">
        <v>1</v>
      </c>
      <c r="F91" s="664">
        <v>0</v>
      </c>
      <c r="G91" s="664"/>
      <c r="H91" s="672">
        <v>0</v>
      </c>
      <c r="I91" s="672">
        <f t="shared" si="28"/>
        <v>0</v>
      </c>
      <c r="J91" s="672">
        <v>0</v>
      </c>
      <c r="K91" s="34">
        <f t="shared" si="29"/>
        <v>0</v>
      </c>
      <c r="L91" s="559"/>
      <c r="M91" s="559"/>
      <c r="N91" s="559"/>
      <c r="O91" s="559"/>
      <c r="P91" s="559"/>
      <c r="Q91" s="559"/>
      <c r="R91" s="559"/>
      <c r="S91" s="559"/>
      <c r="T91" s="559"/>
      <c r="U91" s="559"/>
      <c r="V91" s="559"/>
      <c r="W91" s="559"/>
      <c r="X91" s="559"/>
      <c r="Y91" s="559"/>
      <c r="Z91" s="559"/>
      <c r="AA91" s="559"/>
      <c r="AB91" s="559"/>
    </row>
    <row r="92" spans="2:28">
      <c r="B92" s="252"/>
      <c r="C92" s="724" t="s">
        <v>4102</v>
      </c>
      <c r="D92" s="734" t="s">
        <v>455</v>
      </c>
      <c r="E92" s="664">
        <v>0</v>
      </c>
      <c r="F92" s="664">
        <v>0</v>
      </c>
      <c r="G92" s="664"/>
      <c r="H92" s="672">
        <v>0</v>
      </c>
      <c r="I92" s="672">
        <f t="shared" si="28"/>
        <v>0</v>
      </c>
      <c r="J92" s="672">
        <v>0</v>
      </c>
      <c r="K92" s="34">
        <f t="shared" si="29"/>
        <v>0</v>
      </c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  <c r="X92" s="559"/>
      <c r="Y92" s="559"/>
      <c r="Z92" s="559"/>
      <c r="AA92" s="559"/>
      <c r="AB92" s="559"/>
    </row>
    <row r="93" spans="2:28">
      <c r="B93" s="252"/>
      <c r="C93" s="724" t="s">
        <v>4103</v>
      </c>
      <c r="D93" s="734" t="s">
        <v>455</v>
      </c>
      <c r="E93" s="664">
        <v>0</v>
      </c>
      <c r="F93" s="664">
        <v>0</v>
      </c>
      <c r="G93" s="664"/>
      <c r="H93" s="672">
        <v>0</v>
      </c>
      <c r="I93" s="672">
        <f t="shared" si="28"/>
        <v>0</v>
      </c>
      <c r="J93" s="672">
        <v>0</v>
      </c>
      <c r="K93" s="34">
        <f t="shared" si="29"/>
        <v>0</v>
      </c>
      <c r="L93" s="559"/>
      <c r="M93" s="559"/>
      <c r="N93" s="559"/>
      <c r="O93" s="559"/>
      <c r="P93" s="559"/>
      <c r="Q93" s="559"/>
      <c r="R93" s="559"/>
      <c r="S93" s="559"/>
      <c r="T93" s="559"/>
      <c r="U93" s="559"/>
      <c r="V93" s="559"/>
      <c r="W93" s="559"/>
      <c r="X93" s="559"/>
      <c r="Y93" s="559"/>
      <c r="Z93" s="559"/>
      <c r="AA93" s="559"/>
      <c r="AB93" s="559"/>
    </row>
    <row r="94" spans="2:28">
      <c r="B94" s="252"/>
      <c r="C94" s="733" t="s">
        <v>4104</v>
      </c>
      <c r="D94" s="734" t="s">
        <v>455</v>
      </c>
      <c r="E94" s="664">
        <v>0</v>
      </c>
      <c r="F94" s="664">
        <v>0</v>
      </c>
      <c r="G94" s="664"/>
      <c r="H94" s="672">
        <v>0</v>
      </c>
      <c r="I94" s="672">
        <f t="shared" si="28"/>
        <v>0</v>
      </c>
      <c r="J94" s="672">
        <v>0</v>
      </c>
      <c r="K94" s="34">
        <f t="shared" si="29"/>
        <v>0</v>
      </c>
      <c r="L94" s="559"/>
      <c r="M94" s="559"/>
      <c r="N94" s="559"/>
      <c r="O94" s="559"/>
      <c r="P94" s="559"/>
      <c r="Q94" s="559"/>
      <c r="R94" s="559"/>
      <c r="S94" s="559"/>
      <c r="T94" s="559"/>
      <c r="U94" s="559"/>
      <c r="V94" s="559"/>
      <c r="W94" s="559"/>
      <c r="X94" s="559"/>
      <c r="Y94" s="559"/>
      <c r="Z94" s="559"/>
      <c r="AA94" s="559"/>
      <c r="AB94" s="559"/>
    </row>
    <row r="95" spans="2:28">
      <c r="B95" s="303"/>
      <c r="C95" s="727"/>
      <c r="D95" s="726"/>
      <c r="E95" s="668"/>
      <c r="F95" s="668"/>
      <c r="G95" s="668"/>
      <c r="H95" s="728"/>
      <c r="I95" s="759">
        <f>SUM(I57:I94)</f>
        <v>0</v>
      </c>
      <c r="J95" s="728"/>
      <c r="K95" s="760">
        <f>SUM(K57:K94)</f>
        <v>0</v>
      </c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  <c r="X95" s="559"/>
      <c r="Y95" s="559"/>
      <c r="Z95" s="559"/>
      <c r="AA95" s="559"/>
      <c r="AB95" s="559"/>
    </row>
    <row r="96" spans="2:28">
      <c r="B96" s="17" t="s">
        <v>735</v>
      </c>
      <c r="C96" s="39" t="s">
        <v>4249</v>
      </c>
      <c r="D96" s="38"/>
      <c r="E96" s="693"/>
      <c r="F96" s="693"/>
      <c r="G96" s="693"/>
      <c r="H96" s="16"/>
      <c r="I96" s="674"/>
      <c r="J96" s="16"/>
      <c r="K96" s="15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  <c r="X96" s="559"/>
      <c r="Y96" s="559"/>
      <c r="Z96" s="559"/>
      <c r="AA96" s="559"/>
      <c r="AB96" s="559"/>
    </row>
    <row r="97" spans="2:28">
      <c r="B97" s="303"/>
      <c r="C97" s="724" t="s">
        <v>2082</v>
      </c>
      <c r="D97" s="726" t="s">
        <v>455</v>
      </c>
      <c r="E97" s="669">
        <f>SUM(E15:E53)</f>
        <v>48</v>
      </c>
      <c r="F97" s="664">
        <v>0</v>
      </c>
      <c r="G97" s="664"/>
      <c r="H97" s="672">
        <v>0</v>
      </c>
      <c r="I97" s="672">
        <f t="shared" ref="I97:I99" si="30">F97*H97</f>
        <v>0</v>
      </c>
      <c r="J97" s="672">
        <v>0</v>
      </c>
      <c r="K97" s="34">
        <f t="shared" ref="K97:K99" si="31">H97*J97</f>
        <v>0</v>
      </c>
      <c r="L97" s="559"/>
      <c r="M97" s="559"/>
      <c r="N97" s="559"/>
      <c r="O97" s="559"/>
      <c r="P97" s="559"/>
      <c r="Q97" s="559"/>
      <c r="R97" s="559"/>
      <c r="S97" s="559"/>
      <c r="T97" s="559"/>
      <c r="U97" s="559"/>
      <c r="V97" s="559"/>
      <c r="W97" s="559"/>
      <c r="X97" s="559"/>
      <c r="Y97" s="559"/>
      <c r="Z97" s="559"/>
      <c r="AA97" s="559"/>
      <c r="AB97" s="559"/>
    </row>
    <row r="98" spans="2:28">
      <c r="B98" s="303"/>
      <c r="C98" s="724" t="s">
        <v>2083</v>
      </c>
      <c r="D98" s="726" t="s">
        <v>455</v>
      </c>
      <c r="E98" s="669">
        <f>+E97*2</f>
        <v>96</v>
      </c>
      <c r="F98" s="664">
        <v>0</v>
      </c>
      <c r="G98" s="664"/>
      <c r="H98" s="672">
        <v>0</v>
      </c>
      <c r="I98" s="672">
        <f t="shared" si="30"/>
        <v>0</v>
      </c>
      <c r="J98" s="672">
        <v>0</v>
      </c>
      <c r="K98" s="34">
        <f t="shared" si="31"/>
        <v>0</v>
      </c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  <c r="X98" s="559"/>
      <c r="Y98" s="559"/>
      <c r="Z98" s="559"/>
      <c r="AA98" s="559"/>
      <c r="AB98" s="559"/>
    </row>
    <row r="99" spans="2:28">
      <c r="B99" s="303"/>
      <c r="C99" s="724" t="s">
        <v>4110</v>
      </c>
      <c r="D99" s="726" t="s">
        <v>455</v>
      </c>
      <c r="E99" s="669">
        <f>+E98</f>
        <v>96</v>
      </c>
      <c r="F99" s="664">
        <v>0</v>
      </c>
      <c r="G99" s="664"/>
      <c r="H99" s="672">
        <v>0</v>
      </c>
      <c r="I99" s="672">
        <f t="shared" si="30"/>
        <v>0</v>
      </c>
      <c r="J99" s="672">
        <v>0</v>
      </c>
      <c r="K99" s="34">
        <f t="shared" si="31"/>
        <v>0</v>
      </c>
      <c r="L99" s="559"/>
      <c r="M99" s="559"/>
      <c r="N99" s="559"/>
      <c r="O99" s="559"/>
      <c r="P99" s="559"/>
      <c r="Q99" s="559"/>
      <c r="R99" s="559"/>
      <c r="S99" s="559"/>
      <c r="T99" s="559"/>
      <c r="U99" s="559"/>
      <c r="V99" s="559"/>
      <c r="W99" s="559"/>
      <c r="X99" s="559"/>
      <c r="Y99" s="559"/>
      <c r="Z99" s="559"/>
      <c r="AA99" s="559"/>
      <c r="AB99" s="559"/>
    </row>
    <row r="100" spans="2:28">
      <c r="B100" s="303"/>
      <c r="C100" s="727"/>
      <c r="D100" s="726"/>
      <c r="E100" s="669"/>
      <c r="F100" s="736"/>
      <c r="G100" s="736"/>
      <c r="H100" s="281"/>
      <c r="I100" s="761">
        <f>SUM(I97:I99)</f>
        <v>0</v>
      </c>
      <c r="J100" s="281"/>
      <c r="K100" s="762">
        <f>SUM(K97:K99)</f>
        <v>0</v>
      </c>
      <c r="L100" s="559"/>
      <c r="M100" s="559"/>
      <c r="N100" s="559"/>
      <c r="O100" s="559"/>
      <c r="P100" s="559"/>
      <c r="Q100" s="559"/>
      <c r="R100" s="559"/>
      <c r="S100" s="559"/>
      <c r="T100" s="559"/>
      <c r="U100" s="559"/>
      <c r="V100" s="559"/>
      <c r="W100" s="559"/>
      <c r="X100" s="559"/>
      <c r="Y100" s="559"/>
      <c r="Z100" s="559"/>
      <c r="AA100" s="559"/>
      <c r="AB100" s="559"/>
    </row>
    <row r="101" spans="2:28">
      <c r="B101" s="17" t="s">
        <v>760</v>
      </c>
      <c r="C101" s="39" t="s">
        <v>4250</v>
      </c>
      <c r="D101" s="14"/>
      <c r="E101" s="13"/>
      <c r="F101" s="669"/>
      <c r="G101" s="669"/>
      <c r="H101" s="728"/>
      <c r="I101" s="751"/>
      <c r="J101" s="750"/>
      <c r="K101" s="752"/>
      <c r="L101" s="559"/>
      <c r="M101" s="559"/>
      <c r="N101" s="559"/>
      <c r="O101" s="636">
        <f>O102-N102</f>
        <v>0</v>
      </c>
      <c r="P101" s="559"/>
      <c r="Q101" s="559"/>
      <c r="R101" s="559"/>
      <c r="S101" s="559"/>
      <c r="T101" s="559"/>
      <c r="U101" s="559"/>
      <c r="V101" s="559"/>
      <c r="W101" s="559"/>
      <c r="X101" s="559"/>
      <c r="Y101" s="559"/>
      <c r="Z101" s="559"/>
      <c r="AA101" s="559"/>
      <c r="AB101" s="559"/>
    </row>
    <row r="102" spans="2:28">
      <c r="B102" s="186"/>
      <c r="C102" s="724" t="s">
        <v>4250</v>
      </c>
      <c r="D102" s="666" t="s">
        <v>74</v>
      </c>
      <c r="E102" s="669">
        <v>1</v>
      </c>
      <c r="F102" s="669">
        <f>E102</f>
        <v>1</v>
      </c>
      <c r="G102" s="669">
        <f>IF(E102=F102,1,0)</f>
        <v>1</v>
      </c>
      <c r="H102" s="672">
        <v>645884091.96638489</v>
      </c>
      <c r="I102" s="748">
        <f>E102*H102</f>
        <v>645884091.96638489</v>
      </c>
      <c r="J102" s="748">
        <v>644423491.96638501</v>
      </c>
      <c r="K102" s="749">
        <f>G102*J102</f>
        <v>644423491.96638501</v>
      </c>
      <c r="L102" s="559"/>
      <c r="M102" s="559"/>
      <c r="N102" s="737"/>
      <c r="O102" s="559"/>
      <c r="P102" s="559"/>
      <c r="Q102" s="559"/>
      <c r="R102" s="559"/>
      <c r="S102" s="559"/>
      <c r="T102" s="559"/>
      <c r="U102" s="559"/>
      <c r="V102" s="559"/>
      <c r="W102" s="559"/>
      <c r="X102" s="559"/>
      <c r="Y102" s="559"/>
      <c r="Z102" s="559"/>
      <c r="AA102" s="559"/>
      <c r="AB102" s="559"/>
    </row>
    <row r="103" spans="2:28">
      <c r="B103" s="183"/>
      <c r="C103" s="182"/>
      <c r="D103" s="181"/>
      <c r="E103" s="694"/>
      <c r="F103" s="694"/>
      <c r="G103" s="694"/>
      <c r="H103" s="284"/>
      <c r="I103" s="753"/>
      <c r="J103" s="754"/>
      <c r="K103" s="755"/>
      <c r="L103" s="559"/>
      <c r="M103" s="559"/>
      <c r="N103" s="559"/>
      <c r="O103" s="559"/>
      <c r="P103" s="559"/>
      <c r="Q103" s="559"/>
      <c r="R103" s="559"/>
      <c r="S103" s="559"/>
      <c r="T103" s="559"/>
      <c r="U103" s="559"/>
      <c r="V103" s="559"/>
      <c r="W103" s="559"/>
      <c r="X103" s="559"/>
      <c r="Y103" s="559"/>
      <c r="Z103" s="559"/>
      <c r="AA103" s="559"/>
      <c r="AB103" s="559"/>
    </row>
    <row r="104" spans="2:28" ht="21.75" customHeight="1" thickBot="1">
      <c r="B104" s="1099" t="s">
        <v>4251</v>
      </c>
      <c r="C104" s="1100"/>
      <c r="D104" s="1100"/>
      <c r="E104" s="1100"/>
      <c r="F104" s="1100"/>
      <c r="G104" s="1100"/>
      <c r="H104" s="1101"/>
      <c r="I104" s="757">
        <f>SUM(I102)</f>
        <v>645884091.96638489</v>
      </c>
      <c r="J104" s="756"/>
      <c r="K104" s="758">
        <f>SUM(K102)</f>
        <v>644423491.96638501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2:28" ht="15.75" thickTop="1"/>
  </sheetData>
  <mergeCells count="178">
    <mergeCell ref="O61:P61"/>
    <mergeCell ref="Q61:R61"/>
    <mergeCell ref="O62:P62"/>
    <mergeCell ref="Q62:R62"/>
    <mergeCell ref="B104:H104"/>
    <mergeCell ref="O58:P58"/>
    <mergeCell ref="Q58:R58"/>
    <mergeCell ref="U58:X58"/>
    <mergeCell ref="O59:P59"/>
    <mergeCell ref="Q59:R59"/>
    <mergeCell ref="O60:P60"/>
    <mergeCell ref="Q60:R60"/>
    <mergeCell ref="AA53:AB53"/>
    <mergeCell ref="O54:P54"/>
    <mergeCell ref="O56:P56"/>
    <mergeCell ref="Q56:R56"/>
    <mergeCell ref="O57:P57"/>
    <mergeCell ref="Q57:R57"/>
    <mergeCell ref="N52:O52"/>
    <mergeCell ref="Q52:R52"/>
    <mergeCell ref="S52:T52"/>
    <mergeCell ref="V52:W52"/>
    <mergeCell ref="X52:Y52"/>
    <mergeCell ref="V53:W53"/>
    <mergeCell ref="X53:Y53"/>
    <mergeCell ref="Q50:R50"/>
    <mergeCell ref="S50:T50"/>
    <mergeCell ref="V50:W50"/>
    <mergeCell ref="X50:Y50"/>
    <mergeCell ref="Q51:R51"/>
    <mergeCell ref="S51:T51"/>
    <mergeCell ref="V51:W51"/>
    <mergeCell ref="X51:Y51"/>
    <mergeCell ref="Q48:R48"/>
    <mergeCell ref="S48:T48"/>
    <mergeCell ref="V48:W48"/>
    <mergeCell ref="X48:Y48"/>
    <mergeCell ref="Q49:R49"/>
    <mergeCell ref="S49:T49"/>
    <mergeCell ref="V49:W49"/>
    <mergeCell ref="X49:Y49"/>
    <mergeCell ref="V45:W45"/>
    <mergeCell ref="X45:Y45"/>
    <mergeCell ref="Q47:R47"/>
    <mergeCell ref="S47:T47"/>
    <mergeCell ref="V47:W47"/>
    <mergeCell ref="X47:Y47"/>
    <mergeCell ref="Q43:R43"/>
    <mergeCell ref="S43:T43"/>
    <mergeCell ref="V43:W43"/>
    <mergeCell ref="X43:Y43"/>
    <mergeCell ref="N44:O44"/>
    <mergeCell ref="Q44:R44"/>
    <mergeCell ref="S44:T44"/>
    <mergeCell ref="V44:W44"/>
    <mergeCell ref="X44:Y44"/>
    <mergeCell ref="Q41:R41"/>
    <mergeCell ref="S41:T41"/>
    <mergeCell ref="V41:W41"/>
    <mergeCell ref="X41:Y41"/>
    <mergeCell ref="Q42:R42"/>
    <mergeCell ref="S42:T42"/>
    <mergeCell ref="V42:W42"/>
    <mergeCell ref="X42:Y42"/>
    <mergeCell ref="Q39:R39"/>
    <mergeCell ref="S39:T39"/>
    <mergeCell ref="V39:W39"/>
    <mergeCell ref="X39:Y39"/>
    <mergeCell ref="Q40:R40"/>
    <mergeCell ref="S40:T40"/>
    <mergeCell ref="V40:W40"/>
    <mergeCell ref="X40:Y40"/>
    <mergeCell ref="N36:O36"/>
    <mergeCell ref="Q36:R36"/>
    <mergeCell ref="S36:T36"/>
    <mergeCell ref="V36:W36"/>
    <mergeCell ref="X36:Y36"/>
    <mergeCell ref="V37:W37"/>
    <mergeCell ref="X37:Y37"/>
    <mergeCell ref="Q34:R34"/>
    <mergeCell ref="S34:T34"/>
    <mergeCell ref="V34:W34"/>
    <mergeCell ref="X34:Y34"/>
    <mergeCell ref="Q35:R35"/>
    <mergeCell ref="S35:T35"/>
    <mergeCell ref="V35:W35"/>
    <mergeCell ref="X35:Y35"/>
    <mergeCell ref="Q32:R32"/>
    <mergeCell ref="S32:T32"/>
    <mergeCell ref="V32:W32"/>
    <mergeCell ref="X32:Y32"/>
    <mergeCell ref="Q33:R33"/>
    <mergeCell ref="S33:T33"/>
    <mergeCell ref="V33:W33"/>
    <mergeCell ref="X33:Y33"/>
    <mergeCell ref="N28:O28"/>
    <mergeCell ref="Q28:R28"/>
    <mergeCell ref="S28:T28"/>
    <mergeCell ref="V28:W28"/>
    <mergeCell ref="X28:Y28"/>
    <mergeCell ref="Q31:R31"/>
    <mergeCell ref="S31:T31"/>
    <mergeCell ref="V31:W31"/>
    <mergeCell ref="X31:Y31"/>
    <mergeCell ref="Q26:R26"/>
    <mergeCell ref="S26:T26"/>
    <mergeCell ref="V26:W26"/>
    <mergeCell ref="X26:Y26"/>
    <mergeCell ref="Q27:R27"/>
    <mergeCell ref="S27:T27"/>
    <mergeCell ref="V27:W27"/>
    <mergeCell ref="X27:Y27"/>
    <mergeCell ref="Q24:R24"/>
    <mergeCell ref="S24:T24"/>
    <mergeCell ref="V24:W24"/>
    <mergeCell ref="X24:Y24"/>
    <mergeCell ref="Q25:R25"/>
    <mergeCell ref="S25:T25"/>
    <mergeCell ref="V25:W25"/>
    <mergeCell ref="X25:Y25"/>
    <mergeCell ref="N20:O20"/>
    <mergeCell ref="Q20:R20"/>
    <mergeCell ref="S20:T20"/>
    <mergeCell ref="V20:W20"/>
    <mergeCell ref="X20:Y20"/>
    <mergeCell ref="Q23:R23"/>
    <mergeCell ref="S23:T23"/>
    <mergeCell ref="V23:W23"/>
    <mergeCell ref="X23:Y23"/>
    <mergeCell ref="Q19:R19"/>
    <mergeCell ref="S19:T19"/>
    <mergeCell ref="V19:W19"/>
    <mergeCell ref="X19:Y19"/>
    <mergeCell ref="Q16:R16"/>
    <mergeCell ref="S16:T16"/>
    <mergeCell ref="V16:W16"/>
    <mergeCell ref="X16:Y16"/>
    <mergeCell ref="Q17:R17"/>
    <mergeCell ref="S17:T17"/>
    <mergeCell ref="V17:W17"/>
    <mergeCell ref="X17:Y17"/>
    <mergeCell ref="W3:X3"/>
    <mergeCell ref="B4:I4"/>
    <mergeCell ref="K4:P4"/>
    <mergeCell ref="Q4:V4"/>
    <mergeCell ref="W4:X4"/>
    <mergeCell ref="B5:I5"/>
    <mergeCell ref="Q18:R18"/>
    <mergeCell ref="S18:T18"/>
    <mergeCell ref="V18:W18"/>
    <mergeCell ref="X18:Y18"/>
    <mergeCell ref="S14:T14"/>
    <mergeCell ref="V14:W14"/>
    <mergeCell ref="X14:Y14"/>
    <mergeCell ref="Q15:R15"/>
    <mergeCell ref="S15:T15"/>
    <mergeCell ref="V15:W15"/>
    <mergeCell ref="X15:Y15"/>
    <mergeCell ref="B11:B12"/>
    <mergeCell ref="C11:C12"/>
    <mergeCell ref="D11:D12"/>
    <mergeCell ref="E11:E12"/>
    <mergeCell ref="H11:H12"/>
    <mergeCell ref="I11:I12"/>
    <mergeCell ref="B7:B9"/>
    <mergeCell ref="C7:C9"/>
    <mergeCell ref="D8:D9"/>
    <mergeCell ref="E8:E9"/>
    <mergeCell ref="F8:F9"/>
    <mergeCell ref="B2:I2"/>
    <mergeCell ref="B3:I3"/>
    <mergeCell ref="Q14:R14"/>
    <mergeCell ref="K3:P3"/>
    <mergeCell ref="G8:G9"/>
    <mergeCell ref="J11:J12"/>
    <mergeCell ref="K11:K12"/>
    <mergeCell ref="D7:K7"/>
    <mergeCell ref="Q3:V3"/>
  </mergeCells>
  <printOptions horizontalCentered="1"/>
  <pageMargins left="1.1811023622047245" right="0.70866141732283472" top="0.51181102362204722" bottom="0.31496062992125984" header="0.31496062992125984" footer="0.15748031496062992"/>
  <pageSetup paperSize="9" scale="44" orientation="portrait" horizontalDpi="4294967293" verticalDpi="4294967293" r:id="rId1"/>
  <rowBreaks count="1" manualBreakCount="1">
    <brk id="53" min="1" max="6" man="1"/>
  </rowBreaks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2060"/>
    <pageSetUpPr fitToPage="1"/>
  </sheetPr>
  <dimension ref="B1:N145"/>
  <sheetViews>
    <sheetView tabSelected="1" zoomScale="80" zoomScaleNormal="80" workbookViewId="0">
      <selection activeCell="I136" sqref="I136"/>
    </sheetView>
  </sheetViews>
  <sheetFormatPr defaultColWidth="9.140625" defaultRowHeight="15"/>
  <cols>
    <col min="1" max="1" width="3.7109375" customWidth="1"/>
    <col min="2" max="2" width="5.28515625" bestFit="1" customWidth="1"/>
    <col min="3" max="3" width="60.7109375" customWidth="1"/>
    <col min="4" max="4" width="10.5703125" bestFit="1" customWidth="1"/>
    <col min="5" max="5" width="12.42578125" customWidth="1"/>
    <col min="6" max="7" width="18.5703125" hidden="1" customWidth="1"/>
    <col min="8" max="9" width="18.5703125" style="708" customWidth="1"/>
    <col min="10" max="11" width="10.7109375" customWidth="1"/>
    <col min="12" max="12" width="16.7109375" customWidth="1"/>
    <col min="13" max="13" width="17" bestFit="1" customWidth="1"/>
    <col min="14" max="14" width="13.28515625" customWidth="1"/>
    <col min="19" max="19" width="12" bestFit="1" customWidth="1"/>
  </cols>
  <sheetData>
    <row r="1" spans="2:13" ht="16.5" customHeight="1">
      <c r="B1" s="178"/>
      <c r="C1" s="178"/>
      <c r="D1" s="178"/>
      <c r="E1" s="178"/>
      <c r="F1" s="177"/>
      <c r="G1" s="178"/>
      <c r="H1" s="177"/>
      <c r="I1" s="178"/>
      <c r="J1" s="178"/>
      <c r="K1" s="178"/>
      <c r="L1" s="178"/>
      <c r="M1" s="178"/>
    </row>
    <row r="2" spans="2:13" ht="16.5" customHeight="1">
      <c r="B2" s="1114" t="s">
        <v>2144</v>
      </c>
      <c r="C2" s="1115"/>
      <c r="D2" s="1115"/>
      <c r="E2" s="1115"/>
      <c r="F2" s="1115"/>
      <c r="G2" s="1115"/>
      <c r="H2" s="830"/>
      <c r="I2" s="831"/>
      <c r="J2" s="1116"/>
      <c r="K2" s="176"/>
      <c r="L2" s="176"/>
      <c r="M2" s="176"/>
    </row>
    <row r="3" spans="2:13" ht="16.5" customHeight="1">
      <c r="B3" s="1117" t="str">
        <f>Rekapitulasi!B3</f>
        <v>PEMBANGUNAN T/L 150 kV PASAMAN - SIMPANG EMPAT (SECTION 2)</v>
      </c>
      <c r="C3" s="1118"/>
      <c r="D3" s="1118"/>
      <c r="E3" s="1118"/>
      <c r="F3" s="1118"/>
      <c r="G3" s="1118"/>
      <c r="H3" s="773"/>
      <c r="I3" s="774"/>
      <c r="J3" s="1116"/>
      <c r="K3" s="176"/>
      <c r="L3" s="176"/>
      <c r="M3" s="176"/>
    </row>
    <row r="4" spans="2:13" ht="16.5" customHeight="1">
      <c r="B4" s="1117"/>
      <c r="C4" s="1118"/>
      <c r="D4" s="1118"/>
      <c r="E4" s="1118"/>
      <c r="F4" s="1118"/>
      <c r="G4" s="1118"/>
      <c r="H4" s="773"/>
      <c r="I4" s="774"/>
      <c r="J4" s="175"/>
      <c r="K4" s="176"/>
      <c r="L4" s="176"/>
      <c r="M4" s="176"/>
    </row>
    <row r="5" spans="2:13" ht="16.5" customHeight="1">
      <c r="B5" s="1119"/>
      <c r="C5" s="1120"/>
      <c r="D5" s="1120"/>
      <c r="E5" s="1120"/>
      <c r="F5" s="1120"/>
      <c r="G5" s="1120"/>
      <c r="H5" s="775"/>
      <c r="I5" s="776"/>
      <c r="J5" s="174"/>
      <c r="K5" s="174"/>
      <c r="L5" s="174"/>
      <c r="M5" s="174"/>
    </row>
    <row r="6" spans="2:13" ht="16.5" customHeight="1">
      <c r="B6" s="1121" t="s">
        <v>4329</v>
      </c>
      <c r="C6" s="1122"/>
      <c r="D6" s="1122"/>
      <c r="E6" s="1122"/>
      <c r="F6" s="1122"/>
      <c r="G6" s="1122"/>
      <c r="H6" s="777"/>
      <c r="I6" s="778"/>
      <c r="J6" s="173"/>
      <c r="K6" s="173"/>
      <c r="L6" s="173"/>
      <c r="M6" s="173"/>
    </row>
    <row r="7" spans="2:13" ht="16.5" customHeight="1">
      <c r="B7" s="823"/>
      <c r="C7" s="824"/>
      <c r="D7" s="825"/>
      <c r="E7" s="826"/>
      <c r="F7" s="827"/>
      <c r="G7" s="828"/>
      <c r="H7" s="827"/>
      <c r="I7" s="829"/>
      <c r="J7" s="172"/>
      <c r="K7" s="176"/>
      <c r="L7" s="176"/>
      <c r="M7" s="176"/>
    </row>
    <row r="8" spans="2:13" ht="16.5" customHeight="1">
      <c r="B8" s="1110" t="s">
        <v>2145</v>
      </c>
      <c r="C8" s="1110" t="s">
        <v>2146</v>
      </c>
      <c r="D8" s="1110" t="s">
        <v>2087</v>
      </c>
      <c r="E8" s="1110" t="s">
        <v>2080</v>
      </c>
      <c r="F8" s="1108" t="s">
        <v>2151</v>
      </c>
      <c r="G8" s="1109"/>
      <c r="H8" s="1108" t="s">
        <v>4349</v>
      </c>
      <c r="I8" s="1109"/>
      <c r="J8" s="176"/>
      <c r="K8" s="176">
        <f>95/95</f>
        <v>1</v>
      </c>
      <c r="L8" s="176"/>
      <c r="M8" s="176"/>
    </row>
    <row r="9" spans="2:13" ht="16.5">
      <c r="B9" s="1111"/>
      <c r="C9" s="1111"/>
      <c r="D9" s="1111"/>
      <c r="E9" s="1111"/>
      <c r="F9" s="171" t="s">
        <v>4030</v>
      </c>
      <c r="G9" s="170" t="s">
        <v>2088</v>
      </c>
      <c r="H9" s="171" t="s">
        <v>4030</v>
      </c>
      <c r="I9" s="170" t="s">
        <v>2088</v>
      </c>
      <c r="J9" s="176"/>
      <c r="K9" s="176"/>
      <c r="L9" s="176"/>
      <c r="M9" s="176"/>
    </row>
    <row r="10" spans="2:13" ht="16.5">
      <c r="B10" s="1112"/>
      <c r="C10" s="1112"/>
      <c r="D10" s="1112"/>
      <c r="E10" s="1112"/>
      <c r="F10" s="169" t="s">
        <v>2152</v>
      </c>
      <c r="G10" s="168" t="s">
        <v>2152</v>
      </c>
      <c r="H10" s="169" t="s">
        <v>2152</v>
      </c>
      <c r="I10" s="168" t="s">
        <v>2152</v>
      </c>
      <c r="J10" s="176"/>
      <c r="K10" s="176"/>
      <c r="L10" s="176"/>
      <c r="M10" s="176"/>
    </row>
    <row r="11" spans="2:13" ht="16.5">
      <c r="B11" s="168">
        <v>1</v>
      </c>
      <c r="C11" s="167">
        <v>2</v>
      </c>
      <c r="D11" s="167">
        <v>3</v>
      </c>
      <c r="E11" s="167">
        <v>4</v>
      </c>
      <c r="F11" s="166">
        <v>5</v>
      </c>
      <c r="G11" s="167" t="s">
        <v>4164</v>
      </c>
      <c r="H11" s="166">
        <v>5</v>
      </c>
      <c r="I11" s="167" t="s">
        <v>4164</v>
      </c>
      <c r="J11" s="1113"/>
      <c r="K11" s="1113"/>
      <c r="L11" s="1113"/>
      <c r="M11" s="1113"/>
    </row>
    <row r="12" spans="2:13" ht="16.5">
      <c r="B12" s="165"/>
      <c r="C12" s="164"/>
      <c r="D12" s="164"/>
      <c r="E12" s="164"/>
      <c r="F12" s="163"/>
      <c r="G12" s="164"/>
      <c r="H12" s="163"/>
      <c r="I12" s="164"/>
      <c r="J12" s="162"/>
      <c r="K12" s="162"/>
      <c r="L12" s="162"/>
      <c r="M12" s="162"/>
    </row>
    <row r="13" spans="2:13" ht="16.5">
      <c r="B13" s="161" t="s">
        <v>816</v>
      </c>
      <c r="C13" s="160" t="s">
        <v>2158</v>
      </c>
      <c r="D13" s="164"/>
      <c r="E13" s="164"/>
      <c r="F13" s="163"/>
      <c r="G13" s="164"/>
      <c r="H13" s="163"/>
      <c r="I13" s="164"/>
      <c r="J13" s="162"/>
      <c r="K13" s="162"/>
      <c r="L13" s="162"/>
      <c r="M13" s="162"/>
    </row>
    <row r="14" spans="2:13" ht="16.5">
      <c r="B14" s="161"/>
      <c r="C14" s="159"/>
      <c r="D14" s="164"/>
      <c r="E14" s="164"/>
      <c r="F14" s="163"/>
      <c r="G14" s="164"/>
      <c r="H14" s="163"/>
      <c r="I14" s="164"/>
      <c r="J14" s="162"/>
      <c r="K14" s="1106"/>
      <c r="L14" s="1106"/>
      <c r="M14" s="162"/>
    </row>
    <row r="15" spans="2:13" ht="16.5">
      <c r="B15" s="161">
        <v>1</v>
      </c>
      <c r="C15" s="159" t="s">
        <v>2159</v>
      </c>
      <c r="D15" s="164"/>
      <c r="E15" s="164"/>
      <c r="F15" s="163"/>
      <c r="G15" s="164"/>
      <c r="H15" s="163"/>
      <c r="I15" s="164"/>
      <c r="J15" s="162"/>
      <c r="K15" s="162"/>
      <c r="L15" s="162"/>
      <c r="M15" s="162"/>
    </row>
    <row r="16" spans="2:13" ht="16.5">
      <c r="B16" s="165"/>
      <c r="C16" s="158" t="s">
        <v>2160</v>
      </c>
      <c r="D16" s="157" t="s">
        <v>3</v>
      </c>
      <c r="E16" s="698">
        <v>0</v>
      </c>
      <c r="F16" s="156">
        <f>$K$8*H16</f>
        <v>0</v>
      </c>
      <c r="G16" s="156">
        <f>E16*F16</f>
        <v>0</v>
      </c>
      <c r="H16" s="156">
        <v>0</v>
      </c>
      <c r="I16" s="156">
        <f>E16*H16</f>
        <v>0</v>
      </c>
      <c r="J16" s="162"/>
      <c r="K16" s="1107"/>
      <c r="L16" s="1107"/>
      <c r="M16" s="162"/>
    </row>
    <row r="17" spans="2:13" ht="16.5">
      <c r="B17" s="165"/>
      <c r="C17" s="158" t="s">
        <v>2161</v>
      </c>
      <c r="D17" s="157" t="s">
        <v>3</v>
      </c>
      <c r="E17" s="698">
        <f>ROUNDUP('[52]Material Schedule'!R379*1000,0)</f>
        <v>34284</v>
      </c>
      <c r="F17" s="156">
        <f t="shared" ref="F17:F18" si="0">$K$8*H17</f>
        <v>18655</v>
      </c>
      <c r="G17" s="156">
        <f t="shared" ref="G17:G18" si="1">E17*F17</f>
        <v>639568020</v>
      </c>
      <c r="H17" s="156">
        <f>PENGADAAN!K17</f>
        <v>18655</v>
      </c>
      <c r="I17" s="156">
        <f t="shared" ref="I17:I18" si="2">E17*H17</f>
        <v>639568020</v>
      </c>
      <c r="J17" s="162"/>
      <c r="K17" s="1107"/>
      <c r="L17" s="1107"/>
      <c r="M17" s="162"/>
    </row>
    <row r="18" spans="2:13" ht="16.5">
      <c r="B18" s="165"/>
      <c r="C18" s="158" t="s">
        <v>2162</v>
      </c>
      <c r="D18" s="157" t="s">
        <v>3</v>
      </c>
      <c r="E18" s="698">
        <f>E17</f>
        <v>34284</v>
      </c>
      <c r="F18" s="156">
        <f t="shared" si="0"/>
        <v>57297.500000000007</v>
      </c>
      <c r="G18" s="156">
        <f t="shared" si="1"/>
        <v>1964387490.0000002</v>
      </c>
      <c r="H18" s="156">
        <f>PENGADAAN!K18</f>
        <v>57297.500000000007</v>
      </c>
      <c r="I18" s="156">
        <f t="shared" si="2"/>
        <v>1964387490.0000002</v>
      </c>
      <c r="J18" s="1107"/>
      <c r="K18" s="1107"/>
      <c r="L18" s="1107"/>
      <c r="M18" s="162"/>
    </row>
    <row r="19" spans="2:13" ht="16.5">
      <c r="B19" s="155"/>
      <c r="C19" s="1148" t="s">
        <v>2163</v>
      </c>
      <c r="D19" s="1146"/>
      <c r="E19" s="1146"/>
      <c r="F19" s="763"/>
      <c r="G19" s="154">
        <f>SUM(G16:G18)</f>
        <v>2603955510</v>
      </c>
      <c r="H19" s="763"/>
      <c r="I19" s="154">
        <f>SUM(I16:I18)</f>
        <v>2603955510</v>
      </c>
      <c r="J19" s="162"/>
      <c r="K19" s="162"/>
      <c r="L19" s="162"/>
      <c r="M19" s="162"/>
    </row>
    <row r="20" spans="2:13" ht="16.5">
      <c r="B20" s="165"/>
      <c r="C20" s="164"/>
      <c r="D20" s="164"/>
      <c r="E20" s="153"/>
      <c r="F20" s="163"/>
      <c r="G20" s="156"/>
      <c r="H20" s="163"/>
      <c r="I20" s="156"/>
      <c r="J20" s="162"/>
      <c r="K20" s="162"/>
      <c r="L20" s="162"/>
      <c r="M20" s="162"/>
    </row>
    <row r="21" spans="2:13" ht="16.5">
      <c r="B21" s="161">
        <v>2</v>
      </c>
      <c r="C21" s="152" t="s">
        <v>2164</v>
      </c>
      <c r="D21" s="164"/>
      <c r="E21" s="153"/>
      <c r="F21" s="163"/>
      <c r="G21" s="156"/>
      <c r="H21" s="163"/>
      <c r="I21" s="156"/>
      <c r="J21" s="162"/>
      <c r="K21" s="162"/>
      <c r="L21" s="162"/>
      <c r="M21" s="162"/>
    </row>
    <row r="22" spans="2:13" ht="16.5">
      <c r="B22" s="165" t="s">
        <v>721</v>
      </c>
      <c r="C22" s="151" t="s">
        <v>2165</v>
      </c>
      <c r="D22" s="150" t="s">
        <v>918</v>
      </c>
      <c r="E22" s="699">
        <f>'[52]Input Data 4 Pile'!Y10</f>
        <v>37</v>
      </c>
      <c r="F22" s="149">
        <f t="shared" ref="F22:F34" si="3">$K$8*H22</f>
        <v>681035.42000000016</v>
      </c>
      <c r="G22" s="156">
        <f t="shared" ref="G22:G34" si="4">E22*F22</f>
        <v>25198310.540000007</v>
      </c>
      <c r="H22" s="149">
        <f>PENGADAAN!K22</f>
        <v>681035.42000000016</v>
      </c>
      <c r="I22" s="156">
        <f t="shared" ref="I22:I34" si="5">E22*H22</f>
        <v>25198310.540000007</v>
      </c>
      <c r="J22" s="1107"/>
      <c r="K22" s="1107"/>
      <c r="L22" s="1107"/>
      <c r="M22" s="162"/>
    </row>
    <row r="23" spans="2:13" ht="16.5">
      <c r="B23" s="165" t="s">
        <v>2166</v>
      </c>
      <c r="C23" s="151" t="s">
        <v>2167</v>
      </c>
      <c r="D23" s="150" t="s">
        <v>918</v>
      </c>
      <c r="E23" s="699">
        <f>E22</f>
        <v>37</v>
      </c>
      <c r="F23" s="149">
        <f t="shared" si="3"/>
        <v>1024593.895</v>
      </c>
      <c r="G23" s="156">
        <f t="shared" si="4"/>
        <v>37909974.115000002</v>
      </c>
      <c r="H23" s="149">
        <f>PENGADAAN!K23</f>
        <v>1024593.895</v>
      </c>
      <c r="I23" s="156">
        <f t="shared" si="5"/>
        <v>37909974.115000002</v>
      </c>
      <c r="J23" s="1107"/>
      <c r="K23" s="1107"/>
      <c r="L23" s="1107"/>
      <c r="M23" s="162"/>
    </row>
    <row r="24" spans="2:13" ht="16.5">
      <c r="B24" s="165" t="s">
        <v>2168</v>
      </c>
      <c r="C24" s="151" t="s">
        <v>2169</v>
      </c>
      <c r="D24" s="150" t="s">
        <v>918</v>
      </c>
      <c r="E24" s="699">
        <f>'[52]Input Data 4 Pile'!Y19+'[52]Input Data 4 Pile'!Y28+'[52]Input Data 4 Pile'!Y37+'[52]Input Data 4 Pile'!Y46</f>
        <v>85</v>
      </c>
      <c r="F24" s="149">
        <f t="shared" si="3"/>
        <v>1830445.9225000001</v>
      </c>
      <c r="G24" s="156">
        <f t="shared" si="4"/>
        <v>155587903.41249999</v>
      </c>
      <c r="H24" s="149">
        <f>PENGADAAN!K24</f>
        <v>1830445.9225000001</v>
      </c>
      <c r="I24" s="156">
        <f t="shared" si="5"/>
        <v>155587903.41249999</v>
      </c>
      <c r="J24" s="1107"/>
      <c r="K24" s="1107"/>
      <c r="L24" s="1107"/>
      <c r="M24" s="162"/>
    </row>
    <row r="25" spans="2:13" ht="16.5">
      <c r="B25" s="165" t="s">
        <v>2170</v>
      </c>
      <c r="C25" s="151" t="s">
        <v>2171</v>
      </c>
      <c r="D25" s="150" t="s">
        <v>918</v>
      </c>
      <c r="E25" s="699">
        <f>E24</f>
        <v>85</v>
      </c>
      <c r="F25" s="149">
        <f t="shared" si="3"/>
        <v>1998750.0000000002</v>
      </c>
      <c r="G25" s="156">
        <f t="shared" si="4"/>
        <v>169893750.00000003</v>
      </c>
      <c r="H25" s="149">
        <f>PENGADAAN!K25</f>
        <v>1998750.0000000002</v>
      </c>
      <c r="I25" s="156">
        <f t="shared" si="5"/>
        <v>169893750.00000003</v>
      </c>
      <c r="J25" s="1107"/>
      <c r="K25" s="1107"/>
      <c r="L25" s="1107"/>
      <c r="M25" s="162"/>
    </row>
    <row r="26" spans="2:13" ht="16.5">
      <c r="B26" s="165" t="s">
        <v>2172</v>
      </c>
      <c r="C26" s="151" t="s">
        <v>2173</v>
      </c>
      <c r="D26" s="148" t="s">
        <v>2084</v>
      </c>
      <c r="E26" s="699">
        <f>'[52]Material Schedule'!AC378</f>
        <v>3300</v>
      </c>
      <c r="F26" s="149">
        <f t="shared" si="3"/>
        <v>464457.62577500014</v>
      </c>
      <c r="G26" s="156">
        <f t="shared" si="4"/>
        <v>1532710165.0575004</v>
      </c>
      <c r="H26" s="149">
        <f>PENGADAAN!K26</f>
        <v>464457.62577500014</v>
      </c>
      <c r="I26" s="156">
        <f t="shared" si="5"/>
        <v>1532710165.0575004</v>
      </c>
      <c r="J26" s="162"/>
      <c r="K26" s="1107"/>
      <c r="L26" s="1107"/>
      <c r="M26" s="162"/>
    </row>
    <row r="27" spans="2:13" ht="16.5">
      <c r="B27" s="165" t="s">
        <v>2174</v>
      </c>
      <c r="C27" s="151" t="s">
        <v>2175</v>
      </c>
      <c r="D27" s="148" t="s">
        <v>2084</v>
      </c>
      <c r="E27" s="699">
        <f>'[52]Material Schedule'!AE378</f>
        <v>275</v>
      </c>
      <c r="F27" s="149">
        <f t="shared" si="3"/>
        <v>357275.09675000008</v>
      </c>
      <c r="G27" s="156">
        <f t="shared" si="4"/>
        <v>98250651.606250018</v>
      </c>
      <c r="H27" s="149">
        <f>PENGADAAN!K27</f>
        <v>357275.09675000008</v>
      </c>
      <c r="I27" s="156">
        <f t="shared" si="5"/>
        <v>98250651.606250018</v>
      </c>
      <c r="J27" s="147"/>
      <c r="K27" s="146"/>
      <c r="L27" s="146"/>
      <c r="M27" s="162"/>
    </row>
    <row r="28" spans="2:13" ht="16.5">
      <c r="B28" s="165" t="s">
        <v>2176</v>
      </c>
      <c r="C28" s="151" t="s">
        <v>2177</v>
      </c>
      <c r="D28" s="148" t="s">
        <v>2084</v>
      </c>
      <c r="E28" s="699">
        <f>E27</f>
        <v>275</v>
      </c>
      <c r="F28" s="149">
        <f t="shared" si="3"/>
        <v>435359.99650000012</v>
      </c>
      <c r="G28" s="156">
        <f t="shared" si="4"/>
        <v>119723999.03750004</v>
      </c>
      <c r="H28" s="149">
        <f>PENGADAAN!K28</f>
        <v>435359.99650000012</v>
      </c>
      <c r="I28" s="156">
        <f t="shared" si="5"/>
        <v>119723999.03750004</v>
      </c>
      <c r="J28" s="1107"/>
      <c r="K28" s="1107"/>
      <c r="L28" s="1107"/>
      <c r="M28" s="162"/>
    </row>
    <row r="29" spans="2:13" ht="16.5">
      <c r="B29" s="165" t="s">
        <v>2178</v>
      </c>
      <c r="C29" s="151" t="s">
        <v>2179</v>
      </c>
      <c r="D29" s="148" t="s">
        <v>2084</v>
      </c>
      <c r="E29" s="699">
        <f>ROUNDUP(('[52]Input Data 4 Pile'!V1*1000*2*6*1.03)/2000,0)</f>
        <v>208</v>
      </c>
      <c r="F29" s="149">
        <f t="shared" si="3"/>
        <v>899437.50000000012</v>
      </c>
      <c r="G29" s="156">
        <f t="shared" si="4"/>
        <v>187083000.00000003</v>
      </c>
      <c r="H29" s="149">
        <f>PENGADAAN!K29</f>
        <v>899437.50000000012</v>
      </c>
      <c r="I29" s="156">
        <f t="shared" si="5"/>
        <v>187083000.00000003</v>
      </c>
      <c r="J29" s="162"/>
      <c r="K29" s="1123"/>
      <c r="L29" s="1123"/>
      <c r="M29" s="145"/>
    </row>
    <row r="30" spans="2:13" ht="16.5">
      <c r="B30" s="165" t="s">
        <v>2180</v>
      </c>
      <c r="C30" s="151" t="s">
        <v>2181</v>
      </c>
      <c r="D30" s="148" t="s">
        <v>2084</v>
      </c>
      <c r="E30" s="699">
        <f>ROUNDUP(('[52]Input Data 4 Pile'!V1*1000*1.02)/2000,0)</f>
        <v>18</v>
      </c>
      <c r="F30" s="149">
        <f t="shared" si="3"/>
        <v>493025.00000000006</v>
      </c>
      <c r="G30" s="156">
        <f t="shared" si="4"/>
        <v>8874450.0000000019</v>
      </c>
      <c r="H30" s="149">
        <f>PENGADAAN!K30</f>
        <v>493025.00000000006</v>
      </c>
      <c r="I30" s="156">
        <f t="shared" si="5"/>
        <v>8874450.0000000019</v>
      </c>
      <c r="J30" s="162"/>
      <c r="K30" s="1123"/>
      <c r="L30" s="1123"/>
      <c r="M30" s="144"/>
    </row>
    <row r="31" spans="2:13" ht="16.5">
      <c r="B31" s="165" t="s">
        <v>2182</v>
      </c>
      <c r="C31" s="151" t="s">
        <v>2183</v>
      </c>
      <c r="D31" s="148" t="s">
        <v>2084</v>
      </c>
      <c r="E31" s="699">
        <f>ROUNDUP(('[52]Input Data 4 Pile'!V1*1000*1)/4000,0)</f>
        <v>9</v>
      </c>
      <c r="F31" s="149">
        <f t="shared" si="3"/>
        <v>10340498.480000002</v>
      </c>
      <c r="G31" s="156">
        <f t="shared" si="4"/>
        <v>93064486.320000023</v>
      </c>
      <c r="H31" s="149">
        <f>PENGADAAN!K31</f>
        <v>10340498.480000002</v>
      </c>
      <c r="I31" s="156">
        <f t="shared" si="5"/>
        <v>93064486.320000023</v>
      </c>
      <c r="J31" s="147"/>
      <c r="K31" s="143"/>
      <c r="L31" s="146"/>
      <c r="M31" s="142"/>
    </row>
    <row r="32" spans="2:13" ht="16.5">
      <c r="B32" s="165" t="s">
        <v>2184</v>
      </c>
      <c r="C32" s="151" t="s">
        <v>2185</v>
      </c>
      <c r="D32" s="148" t="s">
        <v>2084</v>
      </c>
      <c r="E32" s="699">
        <f>ROUNDUP(10%*'[52]Input Data 4 Pile'!O48,0)</f>
        <v>13</v>
      </c>
      <c r="F32" s="149">
        <f t="shared" si="3"/>
        <v>399750</v>
      </c>
      <c r="G32" s="156">
        <f t="shared" si="4"/>
        <v>5196750</v>
      </c>
      <c r="H32" s="149">
        <f>PENGADAAN!K32</f>
        <v>399750</v>
      </c>
      <c r="I32" s="156">
        <f t="shared" si="5"/>
        <v>5196750</v>
      </c>
      <c r="J32" s="162"/>
      <c r="K32" s="141"/>
      <c r="L32" s="146"/>
      <c r="M32" s="142"/>
    </row>
    <row r="33" spans="2:13" ht="16.5">
      <c r="B33" s="165" t="s">
        <v>2186</v>
      </c>
      <c r="C33" s="151" t="s">
        <v>4165</v>
      </c>
      <c r="D33" s="148" t="s">
        <v>2084</v>
      </c>
      <c r="E33" s="140">
        <f>'[52]Material Schedule'!AB378</f>
        <v>1020</v>
      </c>
      <c r="F33" s="149">
        <f t="shared" si="3"/>
        <v>330579.92499999999</v>
      </c>
      <c r="G33" s="156">
        <f t="shared" si="4"/>
        <v>337191523.5</v>
      </c>
      <c r="H33" s="149">
        <f>PENGADAAN!K33</f>
        <v>330579.92499999999</v>
      </c>
      <c r="I33" s="156">
        <f t="shared" si="5"/>
        <v>337191523.5</v>
      </c>
      <c r="J33" s="162"/>
      <c r="K33" s="1107"/>
      <c r="L33" s="1107"/>
      <c r="M33" s="162"/>
    </row>
    <row r="34" spans="2:13" ht="16.5">
      <c r="B34" s="165" t="s">
        <v>3</v>
      </c>
      <c r="C34" s="151" t="s">
        <v>4166</v>
      </c>
      <c r="D34" s="164" t="s">
        <v>2084</v>
      </c>
      <c r="E34" s="140">
        <f>'[52]Material Schedule'!AA378</f>
        <v>4254</v>
      </c>
      <c r="F34" s="149">
        <f t="shared" si="3"/>
        <v>330579.92499999999</v>
      </c>
      <c r="G34" s="156">
        <f t="shared" si="4"/>
        <v>1406287000.95</v>
      </c>
      <c r="H34" s="149">
        <f>PENGADAAN!K34</f>
        <v>330579.92499999999</v>
      </c>
      <c r="I34" s="156">
        <f t="shared" si="5"/>
        <v>1406287000.95</v>
      </c>
      <c r="J34" s="162"/>
      <c r="K34" s="1107"/>
      <c r="L34" s="1107"/>
      <c r="M34" s="162"/>
    </row>
    <row r="35" spans="2:13" ht="16.5">
      <c r="B35" s="161"/>
      <c r="C35" s="1149" t="s">
        <v>2189</v>
      </c>
      <c r="D35" s="1146"/>
      <c r="E35" s="1146"/>
      <c r="F35" s="763"/>
      <c r="G35" s="154">
        <f>SUM(G22:G34)</f>
        <v>4176971964.5387506</v>
      </c>
      <c r="H35" s="763"/>
      <c r="I35" s="154">
        <f>SUM(I22:I34)</f>
        <v>4176971964.5387506</v>
      </c>
      <c r="J35" s="162"/>
      <c r="K35" s="162"/>
      <c r="L35" s="162"/>
      <c r="M35" s="162"/>
    </row>
    <row r="36" spans="2:13" ht="16.5">
      <c r="B36" s="165"/>
      <c r="C36" s="164"/>
      <c r="D36" s="164"/>
      <c r="E36" s="164"/>
      <c r="F36" s="163"/>
      <c r="G36" s="156"/>
      <c r="H36" s="163"/>
      <c r="I36" s="156"/>
      <c r="J36" s="162"/>
      <c r="K36" s="162"/>
      <c r="L36" s="162"/>
      <c r="M36" s="162"/>
    </row>
    <row r="37" spans="2:13" ht="16.5">
      <c r="B37" s="161">
        <v>3</v>
      </c>
      <c r="C37" s="152" t="s">
        <v>2190</v>
      </c>
      <c r="D37" s="164"/>
      <c r="E37" s="164"/>
      <c r="F37" s="163"/>
      <c r="G37" s="139"/>
      <c r="H37" s="163"/>
      <c r="I37" s="139"/>
      <c r="J37" s="162"/>
      <c r="K37" s="138" t="s">
        <v>2191</v>
      </c>
      <c r="L37" s="137"/>
      <c r="M37" s="162"/>
    </row>
    <row r="38" spans="2:13" s="789" customFormat="1" ht="33">
      <c r="B38" s="116" t="s">
        <v>1483</v>
      </c>
      <c r="C38" s="128" t="s">
        <v>2192</v>
      </c>
      <c r="D38" s="782" t="s">
        <v>918</v>
      </c>
      <c r="E38" s="783">
        <f>'[52]Material Schedule'!I378</f>
        <v>186</v>
      </c>
      <c r="F38" s="133">
        <f t="shared" ref="F38:F43" si="6">$K$8*H38</f>
        <v>3048072.1634999998</v>
      </c>
      <c r="G38" s="784">
        <f t="shared" ref="G38:G43" si="7">E38*F38</f>
        <v>566941422.41100001</v>
      </c>
      <c r="H38" s="133">
        <f>PENGADAAN!K38</f>
        <v>3048072.1634999998</v>
      </c>
      <c r="I38" s="784">
        <f t="shared" ref="I38:I43" si="8">E38*H38</f>
        <v>566941422.41100001</v>
      </c>
      <c r="J38" s="785" t="s">
        <v>4167</v>
      </c>
      <c r="K38" s="786">
        <f>E38*12</f>
        <v>2232</v>
      </c>
      <c r="L38" s="787"/>
      <c r="M38" s="788"/>
    </row>
    <row r="39" spans="2:13" ht="33">
      <c r="B39" s="136" t="s">
        <v>1499</v>
      </c>
      <c r="C39" s="128" t="s">
        <v>2193</v>
      </c>
      <c r="D39" s="134" t="s">
        <v>918</v>
      </c>
      <c r="E39" s="700">
        <f>'[52]Material Schedule'!L378</f>
        <v>36</v>
      </c>
      <c r="F39" s="133">
        <f t="shared" si="6"/>
        <v>4354388.8050000006</v>
      </c>
      <c r="G39" s="156">
        <f t="shared" si="7"/>
        <v>156757996.98000002</v>
      </c>
      <c r="H39" s="133">
        <f>PENGADAAN!K39</f>
        <v>4354388.8050000006</v>
      </c>
      <c r="I39" s="156">
        <f t="shared" si="8"/>
        <v>156757996.98000002</v>
      </c>
      <c r="J39" s="132" t="s">
        <v>4168</v>
      </c>
      <c r="K39" s="131">
        <f>E39*24</f>
        <v>864</v>
      </c>
      <c r="L39" s="130"/>
      <c r="M39" s="129"/>
    </row>
    <row r="40" spans="2:13" ht="33">
      <c r="B40" s="136" t="s">
        <v>1503</v>
      </c>
      <c r="C40" s="135" t="s">
        <v>2194</v>
      </c>
      <c r="D40" s="134" t="s">
        <v>918</v>
      </c>
      <c r="E40" s="700">
        <f>'[52]Material Schedule'!M378</f>
        <v>6</v>
      </c>
      <c r="F40" s="133">
        <f t="shared" si="6"/>
        <v>3527503.798</v>
      </c>
      <c r="G40" s="156">
        <f t="shared" si="7"/>
        <v>21165022.787999999</v>
      </c>
      <c r="H40" s="133">
        <f>PENGADAAN!K40</f>
        <v>3527503.798</v>
      </c>
      <c r="I40" s="156">
        <f t="shared" si="8"/>
        <v>21165022.787999999</v>
      </c>
      <c r="J40" s="132" t="s">
        <v>4169</v>
      </c>
      <c r="K40" s="131">
        <f>E40*12</f>
        <v>72</v>
      </c>
      <c r="L40" s="130"/>
      <c r="M40" s="129"/>
    </row>
    <row r="41" spans="2:13" ht="33">
      <c r="B41" s="136" t="s">
        <v>1529</v>
      </c>
      <c r="C41" s="135" t="s">
        <v>2195</v>
      </c>
      <c r="D41" s="134" t="s">
        <v>918</v>
      </c>
      <c r="E41" s="700">
        <f>'[52]Material Schedule'!J378</f>
        <v>1014</v>
      </c>
      <c r="F41" s="133">
        <f t="shared" si="6"/>
        <v>5039291.1400000006</v>
      </c>
      <c r="G41" s="156">
        <f t="shared" si="7"/>
        <v>5109841215.960001</v>
      </c>
      <c r="H41" s="133">
        <f>PENGADAAN!K41</f>
        <v>5039291.1400000006</v>
      </c>
      <c r="I41" s="156">
        <f t="shared" si="8"/>
        <v>5109841215.960001</v>
      </c>
      <c r="J41" s="132" t="s">
        <v>4170</v>
      </c>
      <c r="K41" s="131">
        <f>E41*24</f>
        <v>24336</v>
      </c>
      <c r="L41" s="130"/>
      <c r="M41" s="129"/>
    </row>
    <row r="42" spans="2:13" ht="33">
      <c r="B42" s="136" t="s">
        <v>1508</v>
      </c>
      <c r="C42" s="128" t="s">
        <v>2196</v>
      </c>
      <c r="D42" s="134" t="s">
        <v>918</v>
      </c>
      <c r="E42" s="700">
        <f>'[52]Material Schedule'!N378</f>
        <v>6</v>
      </c>
      <c r="F42" s="133">
        <f t="shared" si="6"/>
        <v>4438301.66</v>
      </c>
      <c r="G42" s="156">
        <f t="shared" si="7"/>
        <v>26629809.960000001</v>
      </c>
      <c r="H42" s="133">
        <f>PENGADAAN!K42</f>
        <v>4438301.66</v>
      </c>
      <c r="I42" s="156">
        <f t="shared" si="8"/>
        <v>26629809.960000001</v>
      </c>
      <c r="J42" s="132" t="s">
        <v>4169</v>
      </c>
      <c r="K42" s="131">
        <f>E42*12</f>
        <v>72</v>
      </c>
      <c r="L42" s="130"/>
      <c r="M42" s="129"/>
    </row>
    <row r="43" spans="2:13" ht="16.5">
      <c r="B43" s="136" t="s">
        <v>1514</v>
      </c>
      <c r="C43" s="128" t="s">
        <v>2197</v>
      </c>
      <c r="D43" s="134" t="s">
        <v>918</v>
      </c>
      <c r="E43" s="700">
        <f>'[52]Material Schedule'!K378</f>
        <v>72</v>
      </c>
      <c r="F43" s="133">
        <f t="shared" si="6"/>
        <v>1839111.17</v>
      </c>
      <c r="G43" s="156">
        <f t="shared" si="7"/>
        <v>132416004.23999999</v>
      </c>
      <c r="H43" s="133">
        <f>PENGADAAN!K43</f>
        <v>1839111.17</v>
      </c>
      <c r="I43" s="156">
        <f t="shared" si="8"/>
        <v>132416004.23999999</v>
      </c>
      <c r="J43" s="132" t="s">
        <v>4171</v>
      </c>
      <c r="K43" s="131">
        <f>E43*12</f>
        <v>864</v>
      </c>
      <c r="L43" s="130"/>
      <c r="M43" s="129"/>
    </row>
    <row r="44" spans="2:13" ht="16.5">
      <c r="B44" s="161"/>
      <c r="C44" s="1149" t="s">
        <v>2198</v>
      </c>
      <c r="D44" s="1146"/>
      <c r="E44" s="1147"/>
      <c r="F44" s="763"/>
      <c r="G44" s="127">
        <f>SUM(G38:G43)</f>
        <v>6013751472.3390007</v>
      </c>
      <c r="H44" s="763"/>
      <c r="I44" s="127">
        <f>SUM(I38:I43)</f>
        <v>6013751472.3390007</v>
      </c>
      <c r="J44" s="162"/>
      <c r="K44" s="126">
        <f>SUM(K38:K43)</f>
        <v>28440</v>
      </c>
      <c r="L44" s="162"/>
      <c r="M44" s="162"/>
    </row>
    <row r="45" spans="2:13" ht="16.5">
      <c r="B45" s="161">
        <v>4</v>
      </c>
      <c r="C45" s="152" t="s">
        <v>2199</v>
      </c>
      <c r="D45" s="164"/>
      <c r="E45" s="164"/>
      <c r="F45" s="163"/>
      <c r="G45" s="125"/>
      <c r="H45" s="163"/>
      <c r="I45" s="125"/>
      <c r="J45" s="162"/>
      <c r="K45" s="162"/>
      <c r="L45" s="162"/>
      <c r="M45" s="162"/>
    </row>
    <row r="46" spans="2:13" ht="16.5">
      <c r="B46" s="165"/>
      <c r="C46" s="152" t="s">
        <v>2200</v>
      </c>
      <c r="D46" s="124" t="s">
        <v>918</v>
      </c>
      <c r="E46" s="140">
        <f>ROUNDUP(0%*K44,0)</f>
        <v>0</v>
      </c>
      <c r="F46" s="123">
        <f t="shared" ref="F46:F47" si="9">$K$8*H46</f>
        <v>0</v>
      </c>
      <c r="G46" s="156">
        <f t="shared" ref="G46:G47" si="10">E46*F46</f>
        <v>0</v>
      </c>
      <c r="H46" s="123">
        <v>0</v>
      </c>
      <c r="I46" s="156">
        <f t="shared" ref="I46:I47" si="11">E46*H46</f>
        <v>0</v>
      </c>
      <c r="J46" s="162"/>
      <c r="K46" s="1107"/>
      <c r="L46" s="1107"/>
      <c r="M46" s="162"/>
    </row>
    <row r="47" spans="2:13" ht="16.5">
      <c r="B47" s="165"/>
      <c r="C47" s="152" t="s">
        <v>2201</v>
      </c>
      <c r="D47" s="124" t="s">
        <v>918</v>
      </c>
      <c r="E47" s="140">
        <f>K44/12</f>
        <v>2370</v>
      </c>
      <c r="F47" s="123">
        <f t="shared" si="9"/>
        <v>299374.89367500006</v>
      </c>
      <c r="G47" s="156">
        <f t="shared" si="10"/>
        <v>709518498.00975013</v>
      </c>
      <c r="H47" s="123">
        <f>PENGADAAN!K47</f>
        <v>299374.89367500006</v>
      </c>
      <c r="I47" s="156">
        <f t="shared" si="11"/>
        <v>709518498.00975013</v>
      </c>
      <c r="J47" s="162"/>
      <c r="K47" s="1107"/>
      <c r="L47" s="1107"/>
      <c r="M47" s="162"/>
    </row>
    <row r="48" spans="2:13" ht="16.5">
      <c r="B48" s="165"/>
      <c r="C48" s="1149" t="s">
        <v>2202</v>
      </c>
      <c r="D48" s="1146"/>
      <c r="E48" s="1147"/>
      <c r="F48" s="763"/>
      <c r="G48" s="154">
        <f>SUM(G46:G47)</f>
        <v>709518498.00975013</v>
      </c>
      <c r="H48" s="763"/>
      <c r="I48" s="154">
        <f>SUM(I46:I47)</f>
        <v>709518498.00975013</v>
      </c>
      <c r="J48" s="162"/>
      <c r="K48" s="162"/>
      <c r="L48" s="162"/>
      <c r="M48" s="162"/>
    </row>
    <row r="49" spans="2:13" ht="16.5">
      <c r="B49" s="122"/>
      <c r="C49" s="1150" t="s">
        <v>2203</v>
      </c>
      <c r="D49" s="1151"/>
      <c r="E49" s="1152"/>
      <c r="F49" s="764"/>
      <c r="G49" s="121">
        <f>G19+G35+G44+G48</f>
        <v>13504197444.887501</v>
      </c>
      <c r="H49" s="764"/>
      <c r="I49" s="121">
        <f>I19+I35+I44+I48</f>
        <v>13504197444.887501</v>
      </c>
      <c r="J49" s="162"/>
      <c r="K49" s="162"/>
      <c r="L49" s="162"/>
      <c r="M49" s="162"/>
    </row>
    <row r="50" spans="2:13" ht="15" hidden="1" customHeight="1">
      <c r="B50" s="165"/>
      <c r="C50" s="164"/>
      <c r="D50" s="164"/>
      <c r="E50" s="164"/>
      <c r="F50" s="163"/>
      <c r="G50" s="164"/>
      <c r="H50" s="163"/>
      <c r="I50" s="164"/>
      <c r="J50" s="162"/>
      <c r="K50" s="162"/>
      <c r="L50" s="162"/>
      <c r="M50" s="162"/>
    </row>
    <row r="51" spans="2:13" ht="15" hidden="1" customHeight="1">
      <c r="B51" s="161" t="s">
        <v>818</v>
      </c>
      <c r="C51" s="160" t="s">
        <v>4172</v>
      </c>
      <c r="D51" s="164"/>
      <c r="E51" s="164"/>
      <c r="F51" s="163"/>
      <c r="G51" s="164"/>
      <c r="H51" s="163"/>
      <c r="I51" s="164"/>
      <c r="J51" s="162"/>
      <c r="K51" s="162"/>
      <c r="L51" s="162"/>
      <c r="M51" s="162"/>
    </row>
    <row r="52" spans="2:13" ht="15" hidden="1" customHeight="1">
      <c r="B52" s="161"/>
      <c r="C52" s="159"/>
      <c r="D52" s="164"/>
      <c r="E52" s="164"/>
      <c r="F52" s="163"/>
      <c r="G52" s="164"/>
      <c r="H52" s="163"/>
      <c r="I52" s="164"/>
      <c r="J52" s="162"/>
      <c r="K52" s="162"/>
      <c r="L52" s="162"/>
      <c r="M52" s="162"/>
    </row>
    <row r="53" spans="2:13" ht="15" hidden="1" customHeight="1">
      <c r="B53" s="161">
        <v>1</v>
      </c>
      <c r="C53" s="159" t="s">
        <v>2159</v>
      </c>
      <c r="D53" s="164"/>
      <c r="E53" s="164"/>
      <c r="F53" s="163"/>
      <c r="G53" s="164"/>
      <c r="H53" s="163"/>
      <c r="I53" s="164"/>
      <c r="J53" s="162"/>
      <c r="K53" s="162"/>
      <c r="L53" s="162"/>
      <c r="M53" s="162"/>
    </row>
    <row r="54" spans="2:13" ht="15" hidden="1" customHeight="1">
      <c r="B54" s="165"/>
      <c r="C54" s="158" t="s">
        <v>4173</v>
      </c>
      <c r="D54" s="157" t="s">
        <v>52</v>
      </c>
      <c r="E54" s="120">
        <f>(844/1000)*1.44*E16</f>
        <v>0</v>
      </c>
      <c r="F54" s="156"/>
      <c r="G54" s="156">
        <f>E54*F54</f>
        <v>0</v>
      </c>
      <c r="H54" s="156"/>
      <c r="I54" s="156">
        <f>G54*H54</f>
        <v>0</v>
      </c>
      <c r="J54" s="162"/>
      <c r="K54" s="162"/>
      <c r="L54" s="162"/>
      <c r="M54" s="162"/>
    </row>
    <row r="55" spans="2:13" ht="15" hidden="1" customHeight="1">
      <c r="B55" s="165"/>
      <c r="C55" s="158" t="s">
        <v>2161</v>
      </c>
      <c r="D55" s="157" t="s">
        <v>52</v>
      </c>
      <c r="E55" s="120">
        <f>(400/1000)*1.44*E17</f>
        <v>19747.583999999999</v>
      </c>
      <c r="F55" s="156"/>
      <c r="G55" s="156">
        <f t="shared" ref="G55:G56" si="12">E55*F55</f>
        <v>0</v>
      </c>
      <c r="H55" s="156"/>
      <c r="I55" s="156">
        <f t="shared" ref="I55:I56" si="13">G55*H55</f>
        <v>0</v>
      </c>
      <c r="J55" s="162"/>
      <c r="K55" s="162"/>
      <c r="L55" s="162"/>
      <c r="M55" s="162"/>
    </row>
    <row r="56" spans="2:13" ht="15" hidden="1" customHeight="1">
      <c r="B56" s="165"/>
      <c r="C56" s="158" t="s">
        <v>4174</v>
      </c>
      <c r="D56" s="157" t="s">
        <v>52</v>
      </c>
      <c r="E56" s="120">
        <f>(420/1000)*1.44*E18</f>
        <v>20734.963200000002</v>
      </c>
      <c r="F56" s="156"/>
      <c r="G56" s="156">
        <f t="shared" si="12"/>
        <v>0</v>
      </c>
      <c r="H56" s="156"/>
      <c r="I56" s="156">
        <f t="shared" si="13"/>
        <v>0</v>
      </c>
      <c r="J56" s="162"/>
      <c r="K56" s="162"/>
      <c r="L56" s="162"/>
      <c r="M56" s="162"/>
    </row>
    <row r="57" spans="2:13" ht="15" hidden="1" customHeight="1">
      <c r="B57" s="155"/>
      <c r="C57" s="1131" t="s">
        <v>2163</v>
      </c>
      <c r="D57" s="1132"/>
      <c r="E57" s="1132"/>
      <c r="F57" s="1133"/>
      <c r="G57" s="154">
        <f>SUM(G54:G56)</f>
        <v>0</v>
      </c>
      <c r="H57" s="780"/>
      <c r="I57" s="154">
        <f>SUM(I54:I56)</f>
        <v>0</v>
      </c>
      <c r="J57" s="162"/>
      <c r="K57" s="162"/>
      <c r="L57" s="162"/>
      <c r="M57" s="162"/>
    </row>
    <row r="58" spans="2:13" ht="15" hidden="1" customHeight="1">
      <c r="B58" s="165"/>
      <c r="C58" s="164"/>
      <c r="D58" s="164"/>
      <c r="E58" s="164"/>
      <c r="F58" s="163"/>
      <c r="G58" s="156"/>
      <c r="H58" s="163"/>
      <c r="I58" s="156"/>
      <c r="J58" s="162"/>
      <c r="K58" s="162"/>
      <c r="L58" s="162"/>
      <c r="M58" s="162"/>
    </row>
    <row r="59" spans="2:13" ht="15" hidden="1" customHeight="1">
      <c r="B59" s="161">
        <v>2</v>
      </c>
      <c r="C59" s="152" t="s">
        <v>2164</v>
      </c>
      <c r="D59" s="164"/>
      <c r="E59" s="164"/>
      <c r="F59" s="163"/>
      <c r="G59" s="156"/>
      <c r="H59" s="163"/>
      <c r="I59" s="156"/>
      <c r="J59" s="162"/>
      <c r="K59" s="162"/>
      <c r="L59" s="162"/>
      <c r="M59" s="162"/>
    </row>
    <row r="60" spans="2:13" ht="15" hidden="1" customHeight="1">
      <c r="B60" s="165" t="s">
        <v>721</v>
      </c>
      <c r="C60" s="151" t="s">
        <v>2165</v>
      </c>
      <c r="D60" s="157" t="s">
        <v>52</v>
      </c>
      <c r="E60" s="119">
        <f>8*E22</f>
        <v>296</v>
      </c>
      <c r="F60" s="156"/>
      <c r="G60" s="120">
        <f t="shared" ref="G60:G72" si="14">E60*F60</f>
        <v>0</v>
      </c>
      <c r="H60" s="156"/>
      <c r="I60" s="120">
        <f t="shared" ref="I60:I72" si="15">G60*H60</f>
        <v>0</v>
      </c>
      <c r="J60" s="162"/>
      <c r="K60" s="162"/>
      <c r="L60" s="162"/>
      <c r="M60" s="162"/>
    </row>
    <row r="61" spans="2:13" ht="15" hidden="1" customHeight="1">
      <c r="B61" s="165" t="s">
        <v>2166</v>
      </c>
      <c r="C61" s="151" t="s">
        <v>2167</v>
      </c>
      <c r="D61" s="157" t="s">
        <v>52</v>
      </c>
      <c r="E61" s="119">
        <f t="shared" ref="E61:E63" si="16">8*E23</f>
        <v>296</v>
      </c>
      <c r="F61" s="156"/>
      <c r="G61" s="120">
        <f t="shared" si="14"/>
        <v>0</v>
      </c>
      <c r="H61" s="156"/>
      <c r="I61" s="120">
        <f t="shared" si="15"/>
        <v>0</v>
      </c>
      <c r="J61" s="162"/>
      <c r="K61" s="162"/>
      <c r="L61" s="162"/>
      <c r="M61" s="162"/>
    </row>
    <row r="62" spans="2:13" ht="15" hidden="1" customHeight="1">
      <c r="B62" s="165" t="s">
        <v>2168</v>
      </c>
      <c r="C62" s="151" t="s">
        <v>2169</v>
      </c>
      <c r="D62" s="157" t="s">
        <v>52</v>
      </c>
      <c r="E62" s="119">
        <f t="shared" si="16"/>
        <v>680</v>
      </c>
      <c r="F62" s="156"/>
      <c r="G62" s="120">
        <f t="shared" si="14"/>
        <v>0</v>
      </c>
      <c r="H62" s="156"/>
      <c r="I62" s="120">
        <f t="shared" si="15"/>
        <v>0</v>
      </c>
      <c r="J62" s="162"/>
      <c r="K62" s="162"/>
      <c r="L62" s="162"/>
      <c r="M62" s="162"/>
    </row>
    <row r="63" spans="2:13" ht="15" hidden="1" customHeight="1">
      <c r="B63" s="165" t="s">
        <v>2170</v>
      </c>
      <c r="C63" s="151" t="s">
        <v>2171</v>
      </c>
      <c r="D63" s="157" t="s">
        <v>52</v>
      </c>
      <c r="E63" s="119">
        <f t="shared" si="16"/>
        <v>680</v>
      </c>
      <c r="F63" s="156"/>
      <c r="G63" s="120">
        <f t="shared" si="14"/>
        <v>0</v>
      </c>
      <c r="H63" s="156"/>
      <c r="I63" s="120">
        <f t="shared" si="15"/>
        <v>0</v>
      </c>
      <c r="J63" s="162"/>
      <c r="K63" s="162"/>
      <c r="L63" s="162"/>
      <c r="M63" s="162"/>
    </row>
    <row r="64" spans="2:13" ht="15" hidden="1" customHeight="1">
      <c r="B64" s="165" t="s">
        <v>2172</v>
      </c>
      <c r="C64" s="151" t="s">
        <v>4175</v>
      </c>
      <c r="D64" s="157" t="s">
        <v>52</v>
      </c>
      <c r="E64" s="119">
        <f>5*E26</f>
        <v>16500</v>
      </c>
      <c r="F64" s="156"/>
      <c r="G64" s="120">
        <f t="shared" si="14"/>
        <v>0</v>
      </c>
      <c r="H64" s="156"/>
      <c r="I64" s="120">
        <f t="shared" si="15"/>
        <v>0</v>
      </c>
      <c r="J64" s="162"/>
      <c r="K64" s="162"/>
      <c r="L64" s="162"/>
      <c r="M64" s="162"/>
    </row>
    <row r="65" spans="2:13" ht="15" hidden="1" customHeight="1">
      <c r="B65" s="165" t="s">
        <v>2174</v>
      </c>
      <c r="C65" s="151" t="s">
        <v>2175</v>
      </c>
      <c r="D65" s="157" t="s">
        <v>52</v>
      </c>
      <c r="E65" s="119">
        <f t="shared" ref="E65:E68" si="17">5*E27</f>
        <v>1375</v>
      </c>
      <c r="F65" s="156"/>
      <c r="G65" s="120">
        <f t="shared" si="14"/>
        <v>0</v>
      </c>
      <c r="H65" s="156"/>
      <c r="I65" s="120">
        <f t="shared" si="15"/>
        <v>0</v>
      </c>
      <c r="J65" s="162"/>
      <c r="K65" s="162"/>
      <c r="L65" s="162"/>
      <c r="M65" s="162"/>
    </row>
    <row r="66" spans="2:13" ht="15" hidden="1" customHeight="1">
      <c r="B66" s="165" t="s">
        <v>2176</v>
      </c>
      <c r="C66" s="151" t="s">
        <v>2177</v>
      </c>
      <c r="D66" s="157" t="s">
        <v>52</v>
      </c>
      <c r="E66" s="119">
        <f t="shared" si="17"/>
        <v>1375</v>
      </c>
      <c r="F66" s="156"/>
      <c r="G66" s="120">
        <f t="shared" si="14"/>
        <v>0</v>
      </c>
      <c r="H66" s="156"/>
      <c r="I66" s="120">
        <f t="shared" si="15"/>
        <v>0</v>
      </c>
      <c r="J66" s="162"/>
      <c r="K66" s="162"/>
      <c r="L66" s="162"/>
      <c r="M66" s="162"/>
    </row>
    <row r="67" spans="2:13" ht="15" hidden="1" customHeight="1">
      <c r="B67" s="165" t="s">
        <v>2178</v>
      </c>
      <c r="C67" s="151" t="s">
        <v>4176</v>
      </c>
      <c r="D67" s="157" t="s">
        <v>52</v>
      </c>
      <c r="E67" s="119">
        <f t="shared" si="17"/>
        <v>1040</v>
      </c>
      <c r="F67" s="156"/>
      <c r="G67" s="120">
        <f t="shared" si="14"/>
        <v>0</v>
      </c>
      <c r="H67" s="156"/>
      <c r="I67" s="120">
        <f t="shared" si="15"/>
        <v>0</v>
      </c>
      <c r="J67" s="162"/>
      <c r="K67" s="162"/>
      <c r="L67" s="162"/>
      <c r="M67" s="162"/>
    </row>
    <row r="68" spans="2:13" ht="15" hidden="1" customHeight="1">
      <c r="B68" s="165" t="s">
        <v>2180</v>
      </c>
      <c r="C68" s="151" t="s">
        <v>2181</v>
      </c>
      <c r="D68" s="157" t="s">
        <v>52</v>
      </c>
      <c r="E68" s="119">
        <f t="shared" si="17"/>
        <v>90</v>
      </c>
      <c r="F68" s="156"/>
      <c r="G68" s="120">
        <f t="shared" si="14"/>
        <v>0</v>
      </c>
      <c r="H68" s="156"/>
      <c r="I68" s="120">
        <f t="shared" si="15"/>
        <v>0</v>
      </c>
      <c r="J68" s="162"/>
      <c r="K68" s="162"/>
      <c r="L68" s="162"/>
      <c r="M68" s="162"/>
    </row>
    <row r="69" spans="2:13" ht="15" hidden="1" customHeight="1">
      <c r="B69" s="165" t="s">
        <v>2182</v>
      </c>
      <c r="C69" s="151" t="s">
        <v>2183</v>
      </c>
      <c r="D69" s="157" t="s">
        <v>52</v>
      </c>
      <c r="E69" s="119">
        <f>18*E31</f>
        <v>162</v>
      </c>
      <c r="F69" s="156"/>
      <c r="G69" s="120">
        <f t="shared" si="14"/>
        <v>0</v>
      </c>
      <c r="H69" s="156"/>
      <c r="I69" s="120">
        <f t="shared" si="15"/>
        <v>0</v>
      </c>
      <c r="J69" s="162"/>
      <c r="K69" s="162"/>
      <c r="L69" s="162"/>
      <c r="M69" s="162"/>
    </row>
    <row r="70" spans="2:13" ht="15" hidden="1" customHeight="1">
      <c r="B70" s="165" t="s">
        <v>2184</v>
      </c>
      <c r="C70" s="151" t="s">
        <v>4177</v>
      </c>
      <c r="D70" s="157" t="s">
        <v>52</v>
      </c>
      <c r="E70" s="119">
        <f>11*E32</f>
        <v>143</v>
      </c>
      <c r="F70" s="156"/>
      <c r="G70" s="120">
        <f t="shared" si="14"/>
        <v>0</v>
      </c>
      <c r="H70" s="156"/>
      <c r="I70" s="120">
        <f t="shared" si="15"/>
        <v>0</v>
      </c>
      <c r="J70" s="162"/>
      <c r="K70" s="162"/>
      <c r="L70" s="162"/>
      <c r="M70" s="162"/>
    </row>
    <row r="71" spans="2:13" ht="15" hidden="1" customHeight="1">
      <c r="B71" s="165" t="s">
        <v>2186</v>
      </c>
      <c r="C71" s="151" t="s">
        <v>4178</v>
      </c>
      <c r="D71" s="157" t="s">
        <v>52</v>
      </c>
      <c r="E71" s="118"/>
      <c r="F71" s="156"/>
      <c r="G71" s="120">
        <f t="shared" si="14"/>
        <v>0</v>
      </c>
      <c r="H71" s="156"/>
      <c r="I71" s="120">
        <f t="shared" si="15"/>
        <v>0</v>
      </c>
      <c r="J71" s="162"/>
      <c r="K71" s="162"/>
      <c r="L71" s="162"/>
      <c r="M71" s="162"/>
    </row>
    <row r="72" spans="2:13" ht="15" hidden="1" customHeight="1">
      <c r="B72" s="165" t="s">
        <v>3</v>
      </c>
      <c r="C72" s="117" t="s">
        <v>4179</v>
      </c>
      <c r="D72" s="157" t="s">
        <v>52</v>
      </c>
      <c r="E72" s="164"/>
      <c r="F72" s="163"/>
      <c r="G72" s="120">
        <f t="shared" si="14"/>
        <v>0</v>
      </c>
      <c r="H72" s="163"/>
      <c r="I72" s="120">
        <f t="shared" si="15"/>
        <v>0</v>
      </c>
      <c r="J72" s="162"/>
      <c r="K72" s="162"/>
      <c r="L72" s="162"/>
      <c r="M72" s="162"/>
    </row>
    <row r="73" spans="2:13" ht="15" hidden="1" customHeight="1">
      <c r="B73" s="161"/>
      <c r="C73" s="1131" t="s">
        <v>2189</v>
      </c>
      <c r="D73" s="1132"/>
      <c r="E73" s="1132"/>
      <c r="F73" s="1133"/>
      <c r="G73" s="154">
        <f>SUM(G60:G72)</f>
        <v>0</v>
      </c>
      <c r="H73" s="780"/>
      <c r="I73" s="154">
        <f>SUM(I60:I72)</f>
        <v>0</v>
      </c>
      <c r="J73" s="162"/>
      <c r="K73" s="162"/>
      <c r="L73" s="162"/>
      <c r="M73" s="162"/>
    </row>
    <row r="74" spans="2:13" ht="15" hidden="1" customHeight="1">
      <c r="B74" s="165"/>
      <c r="C74" s="164"/>
      <c r="D74" s="164"/>
      <c r="E74" s="164"/>
      <c r="F74" s="163"/>
      <c r="G74" s="156"/>
      <c r="H74" s="163"/>
      <c r="I74" s="156"/>
      <c r="J74" s="162"/>
      <c r="K74" s="162"/>
      <c r="L74" s="162"/>
      <c r="M74" s="162"/>
    </row>
    <row r="75" spans="2:13" ht="15" hidden="1" customHeight="1">
      <c r="B75" s="161">
        <v>3</v>
      </c>
      <c r="C75" s="152" t="s">
        <v>2190</v>
      </c>
      <c r="D75" s="164"/>
      <c r="E75" s="164"/>
      <c r="F75" s="163"/>
      <c r="G75" s="139"/>
      <c r="H75" s="163"/>
      <c r="I75" s="139"/>
      <c r="J75" s="162"/>
      <c r="K75" s="162"/>
      <c r="L75" s="162"/>
      <c r="M75" s="162"/>
    </row>
    <row r="76" spans="2:13" ht="15.75" hidden="1" customHeight="1">
      <c r="B76" s="116" t="s">
        <v>1483</v>
      </c>
      <c r="C76" s="135" t="s">
        <v>4180</v>
      </c>
      <c r="D76" s="157" t="s">
        <v>52</v>
      </c>
      <c r="E76" s="115">
        <f>15*E38</f>
        <v>2790</v>
      </c>
      <c r="F76" s="156"/>
      <c r="G76" s="114">
        <f t="shared" ref="G76:G81" si="18">E76*F76</f>
        <v>0</v>
      </c>
      <c r="H76" s="156"/>
      <c r="I76" s="114">
        <f t="shared" ref="I76:I81" si="19">G76*H76</f>
        <v>0</v>
      </c>
      <c r="J76" s="162"/>
      <c r="K76" s="162"/>
      <c r="L76" s="162"/>
      <c r="M76" s="162"/>
    </row>
    <row r="77" spans="2:13" ht="15.75" hidden="1" customHeight="1">
      <c r="B77" s="116" t="s">
        <v>1499</v>
      </c>
      <c r="C77" s="128" t="s">
        <v>4181</v>
      </c>
      <c r="D77" s="157" t="s">
        <v>52</v>
      </c>
      <c r="E77" s="115">
        <f t="shared" ref="E77:E80" si="20">15*E39</f>
        <v>540</v>
      </c>
      <c r="F77" s="156"/>
      <c r="G77" s="114">
        <f t="shared" si="18"/>
        <v>0</v>
      </c>
      <c r="H77" s="156"/>
      <c r="I77" s="114">
        <f t="shared" si="19"/>
        <v>0</v>
      </c>
      <c r="J77" s="162"/>
      <c r="K77" s="162"/>
      <c r="L77" s="162"/>
      <c r="M77" s="162"/>
    </row>
    <row r="78" spans="2:13" ht="15.75" hidden="1" customHeight="1">
      <c r="B78" s="116" t="s">
        <v>1503</v>
      </c>
      <c r="C78" s="128" t="s">
        <v>4182</v>
      </c>
      <c r="D78" s="157" t="s">
        <v>52</v>
      </c>
      <c r="E78" s="115">
        <f t="shared" si="20"/>
        <v>90</v>
      </c>
      <c r="F78" s="156"/>
      <c r="G78" s="114">
        <f t="shared" si="18"/>
        <v>0</v>
      </c>
      <c r="H78" s="156"/>
      <c r="I78" s="114">
        <f t="shared" si="19"/>
        <v>0</v>
      </c>
      <c r="J78" s="162"/>
      <c r="K78" s="162"/>
      <c r="L78" s="162"/>
      <c r="M78" s="162"/>
    </row>
    <row r="79" spans="2:13" ht="15.75" hidden="1" customHeight="1">
      <c r="B79" s="116" t="s">
        <v>1529</v>
      </c>
      <c r="C79" s="128" t="s">
        <v>4183</v>
      </c>
      <c r="D79" s="157" t="s">
        <v>52</v>
      </c>
      <c r="E79" s="115">
        <f t="shared" si="20"/>
        <v>15210</v>
      </c>
      <c r="F79" s="156"/>
      <c r="G79" s="114">
        <f t="shared" si="18"/>
        <v>0</v>
      </c>
      <c r="H79" s="156"/>
      <c r="I79" s="114">
        <f t="shared" si="19"/>
        <v>0</v>
      </c>
      <c r="J79" s="162"/>
      <c r="K79" s="162"/>
      <c r="L79" s="162"/>
      <c r="M79" s="162"/>
    </row>
    <row r="80" spans="2:13" ht="18" hidden="1" customHeight="1">
      <c r="B80" s="116" t="s">
        <v>1508</v>
      </c>
      <c r="C80" s="128" t="s">
        <v>4184</v>
      </c>
      <c r="D80" s="157" t="s">
        <v>52</v>
      </c>
      <c r="E80" s="115">
        <f t="shared" si="20"/>
        <v>90</v>
      </c>
      <c r="F80" s="156"/>
      <c r="G80" s="114">
        <f t="shared" si="18"/>
        <v>0</v>
      </c>
      <c r="H80" s="156"/>
      <c r="I80" s="114">
        <f t="shared" si="19"/>
        <v>0</v>
      </c>
      <c r="J80" s="162"/>
      <c r="K80" s="162"/>
      <c r="L80" s="162"/>
      <c r="M80" s="162"/>
    </row>
    <row r="81" spans="2:13" ht="15" hidden="1" customHeight="1">
      <c r="B81" s="116" t="s">
        <v>1514</v>
      </c>
      <c r="C81" s="128" t="s">
        <v>4185</v>
      </c>
      <c r="D81" s="157" t="s">
        <v>52</v>
      </c>
      <c r="E81" s="115">
        <f t="shared" ref="E81" si="21">13*E43</f>
        <v>936</v>
      </c>
      <c r="F81" s="156"/>
      <c r="G81" s="114">
        <f t="shared" si="18"/>
        <v>0</v>
      </c>
      <c r="H81" s="156"/>
      <c r="I81" s="114">
        <f t="shared" si="19"/>
        <v>0</v>
      </c>
      <c r="J81" s="162"/>
      <c r="K81" s="162"/>
      <c r="L81" s="162"/>
      <c r="M81" s="162"/>
    </row>
    <row r="82" spans="2:13" ht="15" hidden="1" customHeight="1">
      <c r="B82" s="161"/>
      <c r="C82" s="1131" t="s">
        <v>2198</v>
      </c>
      <c r="D82" s="1132"/>
      <c r="E82" s="1132"/>
      <c r="F82" s="1133"/>
      <c r="G82" s="127">
        <f>SUM(G76:G81)</f>
        <v>0</v>
      </c>
      <c r="H82" s="781"/>
      <c r="I82" s="127">
        <f>SUM(I76:I81)</f>
        <v>0</v>
      </c>
      <c r="J82" s="162"/>
      <c r="K82" s="162"/>
      <c r="L82" s="162"/>
      <c r="M82" s="162"/>
    </row>
    <row r="83" spans="2:13" ht="15" hidden="1" customHeight="1">
      <c r="B83" s="161">
        <v>4</v>
      </c>
      <c r="C83" s="152" t="s">
        <v>2199</v>
      </c>
      <c r="D83" s="164"/>
      <c r="E83" s="164"/>
      <c r="F83" s="163"/>
      <c r="G83" s="125"/>
      <c r="H83" s="163"/>
      <c r="I83" s="125"/>
      <c r="J83" s="162"/>
      <c r="K83" s="162"/>
      <c r="L83" s="162"/>
      <c r="M83" s="162"/>
    </row>
    <row r="84" spans="2:13" ht="15" hidden="1" customHeight="1">
      <c r="B84" s="165"/>
      <c r="C84" s="117" t="s">
        <v>4186</v>
      </c>
      <c r="D84" s="157" t="s">
        <v>52</v>
      </c>
      <c r="E84" s="156">
        <f>6*E46</f>
        <v>0</v>
      </c>
      <c r="F84" s="156"/>
      <c r="G84" s="125">
        <f t="shared" ref="G84:G85" si="22">E84*F84</f>
        <v>0</v>
      </c>
      <c r="H84" s="156"/>
      <c r="I84" s="125">
        <f t="shared" ref="I84:I85" si="23">G84*H84</f>
        <v>0</v>
      </c>
      <c r="J84" s="162"/>
      <c r="K84" s="162"/>
      <c r="L84" s="162"/>
      <c r="M84" s="162"/>
    </row>
    <row r="85" spans="2:13" ht="15" hidden="1" customHeight="1">
      <c r="B85" s="165"/>
      <c r="C85" s="117" t="s">
        <v>4187</v>
      </c>
      <c r="D85" s="157" t="s">
        <v>52</v>
      </c>
      <c r="E85" s="156">
        <f>6*E47</f>
        <v>14220</v>
      </c>
      <c r="F85" s="156"/>
      <c r="G85" s="125">
        <f t="shared" si="22"/>
        <v>0</v>
      </c>
      <c r="H85" s="156"/>
      <c r="I85" s="125">
        <f t="shared" si="23"/>
        <v>0</v>
      </c>
      <c r="J85" s="162"/>
      <c r="K85" s="162"/>
      <c r="L85" s="162"/>
      <c r="M85" s="162"/>
    </row>
    <row r="86" spans="2:13" ht="15" hidden="1" customHeight="1">
      <c r="B86" s="165"/>
      <c r="C86" s="1131" t="s">
        <v>2202</v>
      </c>
      <c r="D86" s="1132"/>
      <c r="E86" s="1132"/>
      <c r="F86" s="1133"/>
      <c r="G86" s="154">
        <f>SUM(G84:G85)</f>
        <v>0</v>
      </c>
      <c r="H86" s="780"/>
      <c r="I86" s="154">
        <f>SUM(I84:I85)</f>
        <v>0</v>
      </c>
      <c r="J86" s="162"/>
      <c r="K86" s="162"/>
      <c r="L86" s="162"/>
      <c r="M86" s="162"/>
    </row>
    <row r="87" spans="2:13" ht="15" hidden="1" customHeight="1">
      <c r="B87" s="122"/>
      <c r="C87" s="1131" t="s">
        <v>4188</v>
      </c>
      <c r="D87" s="1132"/>
      <c r="E87" s="1132"/>
      <c r="F87" s="1133"/>
      <c r="G87" s="154">
        <f>+G57+G73+G82+G86</f>
        <v>0</v>
      </c>
      <c r="H87" s="780"/>
      <c r="I87" s="154">
        <f>+I57+I73+I82+I86</f>
        <v>0</v>
      </c>
      <c r="J87" s="162"/>
      <c r="K87" s="162"/>
      <c r="L87" s="162"/>
      <c r="M87" s="162"/>
    </row>
    <row r="88" spans="2:13" ht="15" hidden="1" customHeight="1">
      <c r="B88" s="165"/>
      <c r="C88" s="164"/>
      <c r="D88" s="164"/>
      <c r="E88" s="164"/>
      <c r="F88" s="163"/>
      <c r="G88" s="156"/>
      <c r="H88" s="163"/>
      <c r="I88" s="156"/>
      <c r="J88" s="162"/>
      <c r="K88" s="1113"/>
      <c r="L88" s="1113"/>
      <c r="M88" s="1113"/>
    </row>
    <row r="89" spans="2:13" ht="16.5">
      <c r="B89" s="113" t="s">
        <v>818</v>
      </c>
      <c r="C89" s="112" t="s">
        <v>4189</v>
      </c>
      <c r="D89" s="111"/>
      <c r="E89" s="110"/>
      <c r="F89" s="109"/>
      <c r="G89" s="108"/>
      <c r="H89" s="109"/>
      <c r="I89" s="108"/>
      <c r="J89" s="176"/>
      <c r="K89" s="176"/>
      <c r="L89" s="176"/>
      <c r="M89" s="176"/>
    </row>
    <row r="90" spans="2:13" ht="16.5">
      <c r="B90" s="107"/>
      <c r="C90" s="106"/>
      <c r="D90" s="106"/>
      <c r="E90" s="105"/>
      <c r="F90" s="104"/>
      <c r="G90" s="103"/>
      <c r="H90" s="104"/>
      <c r="I90" s="103"/>
      <c r="J90" s="176"/>
      <c r="L90" s="1013"/>
      <c r="M90" s="176"/>
    </row>
    <row r="91" spans="2:13" ht="16.5">
      <c r="B91" s="102">
        <v>1</v>
      </c>
      <c r="C91" s="101" t="s">
        <v>4190</v>
      </c>
      <c r="D91" s="100"/>
      <c r="E91" s="99"/>
      <c r="F91" s="104"/>
      <c r="G91" s="98"/>
      <c r="H91" s="104"/>
      <c r="I91" s="98"/>
      <c r="J91" s="97"/>
      <c r="K91" s="176"/>
      <c r="L91" s="96"/>
      <c r="M91" s="95"/>
    </row>
    <row r="92" spans="2:13" ht="16.5">
      <c r="B92" s="94" t="s">
        <v>721</v>
      </c>
      <c r="C92" s="100" t="s">
        <v>4191</v>
      </c>
      <c r="D92" s="157" t="s">
        <v>74</v>
      </c>
      <c r="E92" s="701">
        <v>1</v>
      </c>
      <c r="F92" s="703">
        <f t="shared" ref="F92:F96" si="24">$K$8*H92</f>
        <v>80000000</v>
      </c>
      <c r="G92" s="156">
        <f t="shared" ref="G92:G96" si="25">E92*F92</f>
        <v>80000000</v>
      </c>
      <c r="H92" s="703">
        <f>104000000-24000000</f>
        <v>80000000</v>
      </c>
      <c r="I92" s="156">
        <f t="shared" ref="I92:I96" si="26">E92*H92</f>
        <v>80000000</v>
      </c>
      <c r="J92" s="176"/>
      <c r="K92" s="138" t="s">
        <v>4192</v>
      </c>
      <c r="L92" s="93" t="s">
        <v>4193</v>
      </c>
      <c r="M92" s="1014"/>
    </row>
    <row r="93" spans="2:13" ht="16.5">
      <c r="B93" s="91" t="s">
        <v>2166</v>
      </c>
      <c r="C93" s="100" t="s">
        <v>4194</v>
      </c>
      <c r="D93" s="157" t="s">
        <v>74</v>
      </c>
      <c r="E93" s="702">
        <v>1</v>
      </c>
      <c r="F93" s="704">
        <f t="shared" si="24"/>
        <v>121604946.02801514</v>
      </c>
      <c r="G93" s="156">
        <f t="shared" si="25"/>
        <v>121604946.02801514</v>
      </c>
      <c r="H93" s="704">
        <f>(122*1000000)-395053.971984863</f>
        <v>121604946.02801514</v>
      </c>
      <c r="I93" s="156">
        <f t="shared" si="26"/>
        <v>121604946.02801514</v>
      </c>
      <c r="J93" s="90"/>
      <c r="K93" s="89">
        <v>400</v>
      </c>
      <c r="L93" s="88" t="s">
        <v>4195</v>
      </c>
      <c r="M93" s="92"/>
    </row>
    <row r="94" spans="2:13" ht="16.5">
      <c r="B94" s="91" t="s">
        <v>2168</v>
      </c>
      <c r="C94" s="100" t="s">
        <v>4196</v>
      </c>
      <c r="D94" s="150" t="s">
        <v>918</v>
      </c>
      <c r="E94" s="701">
        <v>4</v>
      </c>
      <c r="F94" s="704">
        <f t="shared" si="24"/>
        <v>22845517.199999999</v>
      </c>
      <c r="G94" s="156">
        <f t="shared" si="25"/>
        <v>91382068.799999997</v>
      </c>
      <c r="H94" s="704">
        <f>'[52]AHS EM'!K378</f>
        <v>22845517.199999999</v>
      </c>
      <c r="I94" s="156">
        <f t="shared" si="26"/>
        <v>91382068.799999997</v>
      </c>
      <c r="J94" s="176"/>
      <c r="K94" s="89">
        <v>196</v>
      </c>
      <c r="L94" s="88" t="s">
        <v>4197</v>
      </c>
      <c r="M94" s="92"/>
    </row>
    <row r="95" spans="2:13" ht="16.5">
      <c r="B95" s="91" t="s">
        <v>2170</v>
      </c>
      <c r="C95" s="100" t="s">
        <v>4198</v>
      </c>
      <c r="D95" s="150" t="s">
        <v>918</v>
      </c>
      <c r="E95" s="701">
        <v>2</v>
      </c>
      <c r="F95" s="704">
        <f t="shared" si="24"/>
        <v>20000000</v>
      </c>
      <c r="G95" s="156">
        <f t="shared" si="25"/>
        <v>40000000</v>
      </c>
      <c r="H95" s="704">
        <v>20000000</v>
      </c>
      <c r="I95" s="156">
        <f t="shared" si="26"/>
        <v>40000000</v>
      </c>
      <c r="J95" s="176"/>
      <c r="K95" s="87" t="e">
        <f>#REF!</f>
        <v>#REF!</v>
      </c>
      <c r="L95" s="93" t="s">
        <v>4199</v>
      </c>
      <c r="M95" s="92"/>
    </row>
    <row r="96" spans="2:13" ht="16.5">
      <c r="B96" s="91" t="s">
        <v>2172</v>
      </c>
      <c r="C96" s="100" t="s">
        <v>4200</v>
      </c>
      <c r="D96" s="150" t="s">
        <v>918</v>
      </c>
      <c r="E96" s="701">
        <v>1</v>
      </c>
      <c r="F96" s="704">
        <f t="shared" si="24"/>
        <v>10000000</v>
      </c>
      <c r="G96" s="156">
        <f t="shared" si="25"/>
        <v>10000000</v>
      </c>
      <c r="H96" s="704">
        <v>10000000</v>
      </c>
      <c r="I96" s="156">
        <f t="shared" si="26"/>
        <v>10000000</v>
      </c>
      <c r="J96" s="176"/>
      <c r="K96" s="89">
        <v>625</v>
      </c>
      <c r="L96" s="88" t="s">
        <v>4201</v>
      </c>
      <c r="M96" s="92"/>
    </row>
    <row r="97" spans="2:13" ht="16.5">
      <c r="B97" s="86"/>
      <c r="C97" s="766" t="s">
        <v>4202</v>
      </c>
      <c r="D97" s="767"/>
      <c r="E97" s="768"/>
      <c r="F97" s="765"/>
      <c r="G97" s="85">
        <f>SUM(G92:G96)</f>
        <v>342987014.82801515</v>
      </c>
      <c r="H97" s="765"/>
      <c r="I97" s="85">
        <f>SUM(I92:I96)</f>
        <v>342987014.82801515</v>
      </c>
      <c r="J97" s="176"/>
      <c r="K97" s="176"/>
      <c r="L97" s="96"/>
      <c r="M97" s="176"/>
    </row>
    <row r="98" spans="2:13" ht="16.5">
      <c r="B98" s="84">
        <v>2</v>
      </c>
      <c r="C98" s="152" t="s">
        <v>2190</v>
      </c>
      <c r="D98" s="157"/>
      <c r="E98" s="83"/>
      <c r="F98" s="104"/>
      <c r="G98" s="98"/>
      <c r="H98" s="104"/>
      <c r="I98" s="98"/>
      <c r="J98" s="176"/>
      <c r="K98" s="176"/>
      <c r="L98" s="96"/>
      <c r="M98" s="176"/>
    </row>
    <row r="99" spans="2:13" s="813" customFormat="1" ht="33">
      <c r="B99" s="82" t="s">
        <v>1483</v>
      </c>
      <c r="C99" s="81" t="s">
        <v>4203</v>
      </c>
      <c r="D99" s="80" t="s">
        <v>918</v>
      </c>
      <c r="E99" s="700">
        <v>186</v>
      </c>
      <c r="F99" s="79">
        <f t="shared" ref="F99:F104" si="27">$K$8*H99</f>
        <v>390908.375</v>
      </c>
      <c r="G99" s="811">
        <f t="shared" ref="G99:G104" si="28">E99*F99</f>
        <v>72708957.75</v>
      </c>
      <c r="H99" s="79">
        <f>AHS!G3320</f>
        <v>390908.375</v>
      </c>
      <c r="I99" s="811">
        <f t="shared" ref="I99:I104" si="29">E99*H99</f>
        <v>72708957.75</v>
      </c>
      <c r="J99" s="1130"/>
      <c r="K99" s="1130"/>
      <c r="L99" s="1130"/>
      <c r="M99" s="812"/>
    </row>
    <row r="100" spans="2:13" s="813" customFormat="1" ht="33">
      <c r="B100" s="82" t="s">
        <v>1499</v>
      </c>
      <c r="C100" s="81" t="s">
        <v>4204</v>
      </c>
      <c r="D100" s="80" t="s">
        <v>918</v>
      </c>
      <c r="E100" s="700">
        <v>36</v>
      </c>
      <c r="F100" s="79">
        <f t="shared" si="27"/>
        <v>576665.375</v>
      </c>
      <c r="G100" s="811">
        <f t="shared" si="28"/>
        <v>20759953.5</v>
      </c>
      <c r="H100" s="79">
        <f>AHS!G3330</f>
        <v>576665.375</v>
      </c>
      <c r="I100" s="811">
        <f t="shared" si="29"/>
        <v>20759953.5</v>
      </c>
      <c r="J100" s="1130"/>
      <c r="K100" s="1130"/>
      <c r="L100" s="1130"/>
      <c r="M100" s="812"/>
    </row>
    <row r="101" spans="2:13" s="813" customFormat="1" ht="33">
      <c r="B101" s="82" t="s">
        <v>1503</v>
      </c>
      <c r="C101" s="81" t="s">
        <v>4205</v>
      </c>
      <c r="D101" s="80" t="s">
        <v>918</v>
      </c>
      <c r="E101" s="700">
        <v>6</v>
      </c>
      <c r="F101" s="79">
        <f t="shared" si="27"/>
        <v>586362.5625</v>
      </c>
      <c r="G101" s="811">
        <f t="shared" si="28"/>
        <v>3518175.375</v>
      </c>
      <c r="H101" s="79">
        <f>AHS!G3300</f>
        <v>586362.5625</v>
      </c>
      <c r="I101" s="811">
        <f t="shared" si="29"/>
        <v>3518175.375</v>
      </c>
      <c r="J101" s="1130"/>
      <c r="K101" s="1130"/>
      <c r="L101" s="1130"/>
      <c r="M101" s="812"/>
    </row>
    <row r="102" spans="2:13" s="813" customFormat="1" ht="33">
      <c r="B102" s="82" t="s">
        <v>1529</v>
      </c>
      <c r="C102" s="81" t="s">
        <v>4206</v>
      </c>
      <c r="D102" s="80" t="s">
        <v>918</v>
      </c>
      <c r="E102" s="700">
        <v>1014</v>
      </c>
      <c r="F102" s="79">
        <f t="shared" si="27"/>
        <v>864998.0625</v>
      </c>
      <c r="G102" s="811">
        <f t="shared" si="28"/>
        <v>877108035.375</v>
      </c>
      <c r="H102" s="79">
        <f>AHS!G3310</f>
        <v>864998.0625</v>
      </c>
      <c r="I102" s="811">
        <f t="shared" si="29"/>
        <v>877108035.375</v>
      </c>
      <c r="J102" s="1130"/>
      <c r="K102" s="1130"/>
      <c r="L102" s="1130"/>
      <c r="M102" s="812"/>
    </row>
    <row r="103" spans="2:13" s="813" customFormat="1" ht="33">
      <c r="B103" s="82" t="s">
        <v>1508</v>
      </c>
      <c r="C103" s="81" t="s">
        <v>4207</v>
      </c>
      <c r="D103" s="80" t="s">
        <v>918</v>
      </c>
      <c r="E103" s="700">
        <v>6</v>
      </c>
      <c r="F103" s="79">
        <f t="shared" si="27"/>
        <v>586362.5625</v>
      </c>
      <c r="G103" s="811">
        <f t="shared" si="28"/>
        <v>3518175.375</v>
      </c>
      <c r="H103" s="79">
        <f>AHS!G3300</f>
        <v>586362.5625</v>
      </c>
      <c r="I103" s="811">
        <f t="shared" si="29"/>
        <v>3518175.375</v>
      </c>
      <c r="J103" s="1130"/>
      <c r="K103" s="1130"/>
      <c r="L103" s="1130"/>
      <c r="M103" s="812"/>
    </row>
    <row r="104" spans="2:13" s="813" customFormat="1" ht="33">
      <c r="B104" s="82" t="s">
        <v>1514</v>
      </c>
      <c r="C104" s="81" t="s">
        <v>4208</v>
      </c>
      <c r="D104" s="80" t="s">
        <v>918</v>
      </c>
      <c r="E104" s="700">
        <v>72</v>
      </c>
      <c r="F104" s="79">
        <f t="shared" si="27"/>
        <v>504390.56250000006</v>
      </c>
      <c r="G104" s="811">
        <f t="shared" si="28"/>
        <v>36316120.500000007</v>
      </c>
      <c r="H104" s="79">
        <f>AHS!G3360</f>
        <v>504390.56250000006</v>
      </c>
      <c r="I104" s="811">
        <f t="shared" si="29"/>
        <v>36316120.500000007</v>
      </c>
      <c r="J104" s="1130"/>
      <c r="K104" s="1130"/>
      <c r="L104" s="1130"/>
      <c r="M104" s="812"/>
    </row>
    <row r="105" spans="2:13" ht="16.5">
      <c r="B105" s="78"/>
      <c r="C105" s="1124" t="s">
        <v>2189</v>
      </c>
      <c r="D105" s="1125"/>
      <c r="E105" s="1126"/>
      <c r="F105" s="765"/>
      <c r="G105" s="85">
        <f>SUM(G99:G104)</f>
        <v>1013929417.875</v>
      </c>
      <c r="H105" s="765"/>
      <c r="I105" s="85">
        <f>SUM(I99:I104)</f>
        <v>1013929417.875</v>
      </c>
      <c r="J105" s="176"/>
      <c r="K105" s="176"/>
      <c r="L105" s="96"/>
      <c r="M105" s="176"/>
    </row>
    <row r="106" spans="2:13" ht="16.5">
      <c r="B106" s="84">
        <v>3</v>
      </c>
      <c r="C106" s="77" t="s">
        <v>4209</v>
      </c>
      <c r="D106" s="157"/>
      <c r="E106" s="76"/>
      <c r="F106" s="104"/>
      <c r="G106" s="98"/>
      <c r="H106" s="104"/>
      <c r="I106" s="98"/>
      <c r="J106" s="176"/>
      <c r="K106" s="176"/>
      <c r="L106" s="96"/>
      <c r="M106" s="176"/>
    </row>
    <row r="107" spans="2:13" ht="16.5">
      <c r="B107" s="75" t="s">
        <v>721</v>
      </c>
      <c r="C107" s="158" t="s">
        <v>4210</v>
      </c>
      <c r="D107" s="157" t="s">
        <v>3</v>
      </c>
      <c r="E107" s="698">
        <f>ROUNDUP('[52]Material Schedule'!P378,0)</f>
        <v>415430</v>
      </c>
      <c r="F107" s="704">
        <f t="shared" ref="F107:F111" si="30">$K$8*H107</f>
        <v>14715.203800000001</v>
      </c>
      <c r="G107" s="156">
        <f t="shared" ref="G107:G111" si="31">E107*F107</f>
        <v>6113137114.6340008</v>
      </c>
      <c r="H107" s="704">
        <f>ahs_stringing_earthing_conductor_1KMR/1000</f>
        <v>14715.203800000001</v>
      </c>
      <c r="I107" s="811">
        <f t="shared" ref="I107:I111" si="32">E107*H107</f>
        <v>6113137114.6340008</v>
      </c>
      <c r="J107" s="1130"/>
      <c r="K107" s="1130"/>
      <c r="L107" s="1130"/>
      <c r="M107" s="176"/>
    </row>
    <row r="108" spans="2:13" ht="16.5">
      <c r="B108" s="75" t="s">
        <v>2166</v>
      </c>
      <c r="C108" s="158" t="s">
        <v>2161</v>
      </c>
      <c r="D108" s="157" t="s">
        <v>3</v>
      </c>
      <c r="E108" s="698">
        <f t="shared" ref="E108:E109" si="33">E17</f>
        <v>34284</v>
      </c>
      <c r="F108" s="704">
        <f t="shared" si="30"/>
        <v>14715.203800000001</v>
      </c>
      <c r="G108" s="156">
        <f t="shared" si="31"/>
        <v>504496047.07920003</v>
      </c>
      <c r="H108" s="704">
        <f>AHS!G3281/1000</f>
        <v>14715.203800000001</v>
      </c>
      <c r="I108" s="811">
        <f t="shared" si="32"/>
        <v>504496047.07920003</v>
      </c>
      <c r="J108" s="1130"/>
      <c r="K108" s="1130"/>
      <c r="L108" s="1130"/>
      <c r="M108" s="176"/>
    </row>
    <row r="109" spans="2:13" ht="16.5">
      <c r="B109" s="74" t="s">
        <v>2168</v>
      </c>
      <c r="C109" s="158" t="s">
        <v>4174</v>
      </c>
      <c r="D109" s="157" t="s">
        <v>3</v>
      </c>
      <c r="E109" s="698">
        <f t="shared" si="33"/>
        <v>34284</v>
      </c>
      <c r="F109" s="704">
        <f t="shared" si="30"/>
        <v>14715.203800000001</v>
      </c>
      <c r="G109" s="156">
        <f t="shared" si="31"/>
        <v>504496047.07920003</v>
      </c>
      <c r="H109" s="704">
        <f>AHS!G3281/1000</f>
        <v>14715.203800000001</v>
      </c>
      <c r="I109" s="811">
        <f t="shared" si="32"/>
        <v>504496047.07920003</v>
      </c>
      <c r="J109" s="1130"/>
      <c r="K109" s="1130"/>
      <c r="L109" s="1130"/>
      <c r="M109" s="176"/>
    </row>
    <row r="110" spans="2:13" ht="16.5">
      <c r="B110" s="73" t="s">
        <v>2170</v>
      </c>
      <c r="C110" s="72" t="s">
        <v>4211</v>
      </c>
      <c r="D110" s="157" t="s">
        <v>74</v>
      </c>
      <c r="E110" s="698">
        <v>1</v>
      </c>
      <c r="F110" s="705">
        <f t="shared" si="30"/>
        <v>469237674.32666665</v>
      </c>
      <c r="G110" s="156">
        <f t="shared" si="31"/>
        <v>469237674.32666665</v>
      </c>
      <c r="H110" s="705">
        <f>(E107+E108+E109)*(AHS!G3290/(12*1000))</f>
        <v>469237674.32666665</v>
      </c>
      <c r="I110" s="811">
        <f t="shared" si="32"/>
        <v>469237674.32666665</v>
      </c>
      <c r="J110" s="1130"/>
      <c r="K110" s="1130"/>
      <c r="L110" s="1130"/>
      <c r="M110" s="176"/>
    </row>
    <row r="111" spans="2:13" ht="16.5">
      <c r="B111" s="73" t="s">
        <v>2172</v>
      </c>
      <c r="C111" s="71" t="s">
        <v>4212</v>
      </c>
      <c r="D111" s="70" t="s">
        <v>74</v>
      </c>
      <c r="E111" s="69">
        <v>1</v>
      </c>
      <c r="F111" s="706">
        <f t="shared" si="30"/>
        <v>50000000</v>
      </c>
      <c r="G111" s="156">
        <f t="shared" si="31"/>
        <v>50000000</v>
      </c>
      <c r="H111" s="706">
        <v>50000000</v>
      </c>
      <c r="I111" s="811">
        <f t="shared" si="32"/>
        <v>50000000</v>
      </c>
      <c r="J111" s="68"/>
      <c r="K111" s="67" t="s">
        <v>4213</v>
      </c>
      <c r="L111" s="68"/>
      <c r="M111" s="176"/>
    </row>
    <row r="112" spans="2:13" ht="16.5">
      <c r="B112" s="78"/>
      <c r="C112" s="1127" t="s">
        <v>2198</v>
      </c>
      <c r="D112" s="1128"/>
      <c r="E112" s="1129"/>
      <c r="F112" s="769"/>
      <c r="G112" s="85">
        <f>SUM(G107:G111)</f>
        <v>7641366883.1190672</v>
      </c>
      <c r="H112" s="769"/>
      <c r="I112" s="85">
        <f>SUM(I107:I111)</f>
        <v>7641366883.1190672</v>
      </c>
      <c r="J112" s="176"/>
      <c r="K112" s="176"/>
      <c r="L112" s="96"/>
      <c r="M112" s="176"/>
    </row>
    <row r="113" spans="2:13" ht="33">
      <c r="B113" s="66">
        <v>4</v>
      </c>
      <c r="C113" s="65" t="s">
        <v>4214</v>
      </c>
      <c r="D113" s="157"/>
      <c r="E113" s="76"/>
      <c r="F113" s="104"/>
      <c r="G113" s="98"/>
      <c r="H113" s="104"/>
      <c r="I113" s="98"/>
      <c r="J113" s="176"/>
      <c r="K113" s="176"/>
      <c r="L113" s="96"/>
      <c r="M113" s="176"/>
    </row>
    <row r="114" spans="2:13" ht="16.5">
      <c r="B114" s="64" t="s">
        <v>721</v>
      </c>
      <c r="C114" s="151" t="s">
        <v>2165</v>
      </c>
      <c r="D114" s="150" t="s">
        <v>918</v>
      </c>
      <c r="E114" s="63">
        <v>37</v>
      </c>
      <c r="F114" s="704">
        <f t="shared" ref="F114:F127" si="34">$K$8*H114</f>
        <v>237851.625</v>
      </c>
      <c r="G114" s="156">
        <f t="shared" ref="G114:G129" si="35">E114*F114</f>
        <v>8800510.125</v>
      </c>
      <c r="H114" s="704">
        <f>AHS!G3340</f>
        <v>237851.625</v>
      </c>
      <c r="I114" s="811">
        <f t="shared" ref="I114:I127" si="36">E114*H114</f>
        <v>8800510.125</v>
      </c>
      <c r="J114" s="1134"/>
      <c r="K114" s="1134"/>
      <c r="L114" s="1134"/>
      <c r="M114" s="176"/>
    </row>
    <row r="115" spans="2:13" ht="16.5">
      <c r="B115" s="64" t="s">
        <v>2166</v>
      </c>
      <c r="C115" s="151" t="s">
        <v>2167</v>
      </c>
      <c r="D115" s="150" t="s">
        <v>918</v>
      </c>
      <c r="E115" s="63">
        <v>37</v>
      </c>
      <c r="F115" s="704">
        <f t="shared" si="34"/>
        <v>237851.625</v>
      </c>
      <c r="G115" s="156">
        <f t="shared" si="35"/>
        <v>8800510.125</v>
      </c>
      <c r="H115" s="704">
        <f>AHS!G3340</f>
        <v>237851.625</v>
      </c>
      <c r="I115" s="811">
        <f t="shared" si="36"/>
        <v>8800510.125</v>
      </c>
      <c r="J115" s="1134"/>
      <c r="K115" s="1134"/>
      <c r="L115" s="1134"/>
      <c r="M115" s="176"/>
    </row>
    <row r="116" spans="2:13" ht="16.5">
      <c r="B116" s="64" t="s">
        <v>2168</v>
      </c>
      <c r="C116" s="151" t="s">
        <v>2169</v>
      </c>
      <c r="D116" s="150" t="s">
        <v>918</v>
      </c>
      <c r="E116" s="63">
        <v>85</v>
      </c>
      <c r="F116" s="704">
        <f t="shared" si="34"/>
        <v>118925.8125</v>
      </c>
      <c r="G116" s="156">
        <f t="shared" si="35"/>
        <v>10108694.0625</v>
      </c>
      <c r="H116" s="704">
        <f>AHS!G3350</f>
        <v>118925.8125</v>
      </c>
      <c r="I116" s="811">
        <f t="shared" si="36"/>
        <v>10108694.0625</v>
      </c>
      <c r="J116" s="1134"/>
      <c r="K116" s="1134"/>
      <c r="L116" s="1134"/>
      <c r="M116" s="176"/>
    </row>
    <row r="117" spans="2:13" ht="16.5">
      <c r="B117" s="64" t="s">
        <v>2170</v>
      </c>
      <c r="C117" s="151" t="s">
        <v>2171</v>
      </c>
      <c r="D117" s="150" t="s">
        <v>918</v>
      </c>
      <c r="E117" s="63">
        <v>85</v>
      </c>
      <c r="F117" s="704">
        <f t="shared" si="34"/>
        <v>118925.8125</v>
      </c>
      <c r="G117" s="156">
        <f t="shared" si="35"/>
        <v>10108694.0625</v>
      </c>
      <c r="H117" s="704">
        <f>AHS!G3350</f>
        <v>118925.8125</v>
      </c>
      <c r="I117" s="811">
        <f t="shared" si="36"/>
        <v>10108694.0625</v>
      </c>
      <c r="J117" s="1134"/>
      <c r="K117" s="1134"/>
      <c r="L117" s="1134"/>
      <c r="M117" s="176"/>
    </row>
    <row r="118" spans="2:13" ht="16.5">
      <c r="B118" s="64" t="s">
        <v>2172</v>
      </c>
      <c r="C118" s="151" t="s">
        <v>4215</v>
      </c>
      <c r="D118" s="148" t="s">
        <v>2084</v>
      </c>
      <c r="E118" s="63">
        <v>3300</v>
      </c>
      <c r="F118" s="704">
        <f t="shared" si="34"/>
        <v>153258.875</v>
      </c>
      <c r="G118" s="156">
        <f t="shared" si="35"/>
        <v>505754287.5</v>
      </c>
      <c r="H118" s="704">
        <f>AHS!G3378</f>
        <v>153258.875</v>
      </c>
      <c r="I118" s="811">
        <f t="shared" si="36"/>
        <v>505754287.5</v>
      </c>
      <c r="J118" s="1134"/>
      <c r="K118" s="1134"/>
      <c r="L118" s="1134"/>
      <c r="M118" s="176"/>
    </row>
    <row r="119" spans="2:13" ht="16.5">
      <c r="B119" s="64" t="s">
        <v>2174</v>
      </c>
      <c r="C119" s="151" t="s">
        <v>2175</v>
      </c>
      <c r="D119" s="148" t="s">
        <v>2084</v>
      </c>
      <c r="E119" s="63">
        <v>275</v>
      </c>
      <c r="F119" s="704">
        <f t="shared" si="34"/>
        <v>143561.6875</v>
      </c>
      <c r="G119" s="156">
        <f t="shared" si="35"/>
        <v>39479464.0625</v>
      </c>
      <c r="H119" s="704">
        <f>AHS!G3394</f>
        <v>143561.6875</v>
      </c>
      <c r="I119" s="811">
        <f t="shared" si="36"/>
        <v>39479464.0625</v>
      </c>
      <c r="J119" s="1134"/>
      <c r="K119" s="1134"/>
      <c r="L119" s="1134"/>
      <c r="M119" s="176"/>
    </row>
    <row r="120" spans="2:13" ht="16.5">
      <c r="B120" s="64" t="s">
        <v>2176</v>
      </c>
      <c r="C120" s="151" t="s">
        <v>2177</v>
      </c>
      <c r="D120" s="148" t="s">
        <v>2084</v>
      </c>
      <c r="E120" s="63">
        <v>275</v>
      </c>
      <c r="F120" s="704">
        <f t="shared" si="34"/>
        <v>143561.6875</v>
      </c>
      <c r="G120" s="156">
        <f t="shared" si="35"/>
        <v>39479464.0625</v>
      </c>
      <c r="H120" s="704">
        <f>H119</f>
        <v>143561.6875</v>
      </c>
      <c r="I120" s="811">
        <f t="shared" si="36"/>
        <v>39479464.0625</v>
      </c>
      <c r="J120" s="1134"/>
      <c r="K120" s="1134"/>
      <c r="L120" s="1134"/>
      <c r="M120" s="176"/>
    </row>
    <row r="121" spans="2:13" ht="16.5">
      <c r="B121" s="64" t="s">
        <v>2178</v>
      </c>
      <c r="C121" s="151" t="s">
        <v>2179</v>
      </c>
      <c r="D121" s="148" t="s">
        <v>2084</v>
      </c>
      <c r="E121" s="63">
        <v>208</v>
      </c>
      <c r="F121" s="704">
        <f t="shared" si="34"/>
        <v>205151.375</v>
      </c>
      <c r="G121" s="156">
        <f t="shared" si="35"/>
        <v>42671486</v>
      </c>
      <c r="H121" s="704">
        <f>AHS!G3402</f>
        <v>205151.375</v>
      </c>
      <c r="I121" s="811">
        <f t="shared" si="36"/>
        <v>42671486</v>
      </c>
      <c r="J121" s="1134"/>
      <c r="K121" s="1134"/>
      <c r="L121" s="1134"/>
      <c r="M121" s="176"/>
    </row>
    <row r="122" spans="2:13" ht="16.5">
      <c r="B122" s="64" t="s">
        <v>2180</v>
      </c>
      <c r="C122" s="151" t="s">
        <v>2181</v>
      </c>
      <c r="D122" s="148" t="s">
        <v>2084</v>
      </c>
      <c r="E122" s="63">
        <v>18</v>
      </c>
      <c r="F122" s="704">
        <f t="shared" si="34"/>
        <v>174356.53125</v>
      </c>
      <c r="G122" s="156">
        <f t="shared" si="35"/>
        <v>3138417.5625</v>
      </c>
      <c r="H122" s="704">
        <f>AHS!G3410</f>
        <v>174356.53125</v>
      </c>
      <c r="I122" s="811">
        <f t="shared" si="36"/>
        <v>3138417.5625</v>
      </c>
      <c r="J122" s="1134"/>
      <c r="K122" s="1134"/>
      <c r="L122" s="1134"/>
      <c r="M122" s="176"/>
    </row>
    <row r="123" spans="2:13" ht="16.5">
      <c r="B123" s="64" t="s">
        <v>2182</v>
      </c>
      <c r="C123" s="151" t="s">
        <v>2183</v>
      </c>
      <c r="D123" s="148" t="s">
        <v>2084</v>
      </c>
      <c r="E123" s="63">
        <v>9</v>
      </c>
      <c r="F123" s="704">
        <f t="shared" si="34"/>
        <v>488671.79166666669</v>
      </c>
      <c r="G123" s="156">
        <f t="shared" si="35"/>
        <v>4398046.125</v>
      </c>
      <c r="H123" s="704">
        <f>AHS!G3469</f>
        <v>488671.79166666669</v>
      </c>
      <c r="I123" s="811">
        <f t="shared" si="36"/>
        <v>4398046.125</v>
      </c>
      <c r="J123" s="1134"/>
      <c r="K123" s="1134"/>
      <c r="L123" s="1134"/>
      <c r="M123" s="176"/>
    </row>
    <row r="124" spans="2:13" ht="16.5">
      <c r="B124" s="64" t="s">
        <v>2184</v>
      </c>
      <c r="C124" s="62" t="s">
        <v>4216</v>
      </c>
      <c r="D124" s="61" t="s">
        <v>2084</v>
      </c>
      <c r="E124" s="63">
        <v>13</v>
      </c>
      <c r="F124" s="707">
        <f t="shared" si="34"/>
        <v>224545.75</v>
      </c>
      <c r="G124" s="156">
        <f t="shared" si="35"/>
        <v>2919094.75</v>
      </c>
      <c r="H124" s="707">
        <f>AHS!G3418</f>
        <v>224545.75</v>
      </c>
      <c r="I124" s="811">
        <f t="shared" si="36"/>
        <v>2919094.75</v>
      </c>
      <c r="J124" s="1134"/>
      <c r="K124" s="1134"/>
      <c r="L124" s="1134"/>
      <c r="M124" s="176"/>
    </row>
    <row r="125" spans="2:13" ht="16.5">
      <c r="B125" s="64" t="s">
        <v>2186</v>
      </c>
      <c r="C125" s="62" t="s">
        <v>4217</v>
      </c>
      <c r="D125" s="61" t="s">
        <v>2084</v>
      </c>
      <c r="E125" s="63">
        <v>1020</v>
      </c>
      <c r="F125" s="707">
        <f t="shared" si="34"/>
        <v>112766.84375</v>
      </c>
      <c r="G125" s="156">
        <f t="shared" si="35"/>
        <v>115022180.625</v>
      </c>
      <c r="H125" s="707">
        <f>AHS!G3386</f>
        <v>112766.84375</v>
      </c>
      <c r="I125" s="811">
        <f t="shared" si="36"/>
        <v>115022180.625</v>
      </c>
      <c r="J125" s="1134"/>
      <c r="K125" s="1134"/>
      <c r="L125" s="1134"/>
      <c r="M125" s="176"/>
    </row>
    <row r="126" spans="2:13" ht="16.5">
      <c r="B126" s="64" t="s">
        <v>3</v>
      </c>
      <c r="C126" s="62" t="s">
        <v>2188</v>
      </c>
      <c r="D126" s="61" t="s">
        <v>2084</v>
      </c>
      <c r="E126" s="63">
        <v>4254</v>
      </c>
      <c r="F126" s="707">
        <f t="shared" si="34"/>
        <v>153258.875</v>
      </c>
      <c r="G126" s="156">
        <f t="shared" si="35"/>
        <v>651963254.25</v>
      </c>
      <c r="H126" s="707">
        <f>AHS!G3378</f>
        <v>153258.875</v>
      </c>
      <c r="I126" s="811">
        <f t="shared" si="36"/>
        <v>651963254.25</v>
      </c>
      <c r="J126" s="1134"/>
      <c r="K126" s="1134"/>
      <c r="L126" s="1134"/>
      <c r="M126" s="176"/>
    </row>
    <row r="127" spans="2:13" ht="16.5">
      <c r="B127" s="60">
        <v>5</v>
      </c>
      <c r="C127" s="59" t="s">
        <v>4218</v>
      </c>
      <c r="D127" s="58" t="s">
        <v>74</v>
      </c>
      <c r="E127" s="57">
        <v>1</v>
      </c>
      <c r="F127" s="817">
        <f t="shared" si="34"/>
        <v>100000000</v>
      </c>
      <c r="G127" s="818">
        <f t="shared" si="35"/>
        <v>100000000</v>
      </c>
      <c r="H127" s="817">
        <v>100000000</v>
      </c>
      <c r="I127" s="819">
        <f t="shared" si="36"/>
        <v>100000000</v>
      </c>
      <c r="J127" s="56"/>
      <c r="K127" s="56"/>
      <c r="L127" s="56"/>
      <c r="M127" s="176"/>
    </row>
    <row r="128" spans="2:13" ht="16.5">
      <c r="B128" s="55"/>
      <c r="C128" s="1139" t="s">
        <v>4219</v>
      </c>
      <c r="D128" s="1140"/>
      <c r="E128" s="1141"/>
      <c r="F128" s="814"/>
      <c r="G128" s="815">
        <f>SUM(G114:G127)</f>
        <v>1542644103.3125</v>
      </c>
      <c r="H128" s="816"/>
      <c r="I128" s="815">
        <f>SUM(I114:I127)</f>
        <v>1542644103.3125</v>
      </c>
      <c r="J128" s="176"/>
      <c r="K128" s="176"/>
      <c r="L128" s="96"/>
      <c r="M128" s="176"/>
    </row>
    <row r="129" spans="2:14" ht="16.5">
      <c r="B129" s="60">
        <v>6</v>
      </c>
      <c r="C129" s="54" t="s">
        <v>4220</v>
      </c>
      <c r="D129" s="53" t="s">
        <v>74</v>
      </c>
      <c r="E129" s="52">
        <v>1</v>
      </c>
      <c r="F129" s="51">
        <f>$K$8*H129</f>
        <v>82231050</v>
      </c>
      <c r="G129" s="156">
        <f t="shared" si="35"/>
        <v>82231050</v>
      </c>
      <c r="H129" s="51">
        <f>122*AHS!G3654</f>
        <v>82231050</v>
      </c>
      <c r="I129" s="811">
        <f t="shared" ref="I129" si="37">E129*H129</f>
        <v>82231050</v>
      </c>
      <c r="J129" s="50"/>
      <c r="K129" s="49" t="s">
        <v>4221</v>
      </c>
      <c r="L129" s="48">
        <f>G49+G97+G105+G112+G128</f>
        <v>24045124864.022083</v>
      </c>
      <c r="M129" s="50"/>
    </row>
    <row r="130" spans="2:14" ht="16.5">
      <c r="B130" s="770"/>
      <c r="C130" s="1142" t="s">
        <v>4222</v>
      </c>
      <c r="D130" s="1143"/>
      <c r="E130" s="1144"/>
      <c r="F130" s="769"/>
      <c r="G130" s="47">
        <f>SUM(G129)</f>
        <v>82231050</v>
      </c>
      <c r="H130" s="769"/>
      <c r="I130" s="47">
        <f>SUM(I129)</f>
        <v>82231050</v>
      </c>
      <c r="J130" s="176"/>
      <c r="K130" s="1135" t="s">
        <v>4223</v>
      </c>
      <c r="L130" s="1136"/>
      <c r="M130" s="176"/>
    </row>
    <row r="131" spans="2:14" ht="16.5">
      <c r="B131" s="771"/>
      <c r="C131" s="1145" t="s">
        <v>4224</v>
      </c>
      <c r="D131" s="1146"/>
      <c r="E131" s="1147"/>
      <c r="F131" s="763"/>
      <c r="G131" s="46">
        <f>G97+G105+G112+G128+G130</f>
        <v>10623158469.134583</v>
      </c>
      <c r="H131" s="763"/>
      <c r="I131" s="46">
        <f>I97+I105+I112+I128+I130</f>
        <v>10623158469.134583</v>
      </c>
      <c r="J131" s="162"/>
      <c r="K131" s="1137"/>
      <c r="L131" s="1138"/>
      <c r="M131" s="162"/>
    </row>
    <row r="132" spans="2:14" ht="16.5">
      <c r="B132" s="772"/>
      <c r="C132" s="1145" t="s">
        <v>4225</v>
      </c>
      <c r="D132" s="1146"/>
      <c r="E132" s="1147"/>
      <c r="F132" s="763"/>
      <c r="G132" s="46">
        <f>G49+G131</f>
        <v>24127355914.022083</v>
      </c>
      <c r="H132" s="763"/>
      <c r="I132" s="46">
        <f>I49+I131</f>
        <v>24127355914.022083</v>
      </c>
      <c r="J132" s="162"/>
      <c r="K132" s="162"/>
      <c r="L132" s="162"/>
      <c r="M132" s="162"/>
    </row>
    <row r="135" spans="2:14">
      <c r="E135" s="1041"/>
      <c r="F135" s="1041"/>
      <c r="G135" s="1041"/>
    </row>
    <row r="136" spans="2:14">
      <c r="I136" s="636">
        <f>2.6*I130</f>
        <v>213800730</v>
      </c>
    </row>
    <row r="137" spans="2:14">
      <c r="E137" s="1041"/>
      <c r="F137" s="1041"/>
      <c r="G137" s="1041"/>
    </row>
    <row r="139" spans="2:14">
      <c r="N139" s="1020">
        <v>42958</v>
      </c>
    </row>
    <row r="140" spans="2:14">
      <c r="E140" s="1041"/>
      <c r="F140" s="1041"/>
      <c r="G140" s="1041"/>
      <c r="N140">
        <v>360</v>
      </c>
    </row>
    <row r="141" spans="2:14">
      <c r="E141" s="1041"/>
      <c r="F141" s="1041"/>
      <c r="G141" s="1041"/>
      <c r="N141" s="1020">
        <f>N139+N140</f>
        <v>43318</v>
      </c>
    </row>
    <row r="144" spans="2:14">
      <c r="E144" s="1041"/>
      <c r="F144" s="1041"/>
      <c r="G144" s="1041"/>
    </row>
    <row r="145" spans="5:7">
      <c r="E145" s="1041"/>
      <c r="F145" s="1041"/>
      <c r="G145" s="1041"/>
    </row>
  </sheetData>
  <mergeCells count="75">
    <mergeCell ref="C19:E19"/>
    <mergeCell ref="C35:E35"/>
    <mergeCell ref="C44:E44"/>
    <mergeCell ref="C48:E48"/>
    <mergeCell ref="C49:E49"/>
    <mergeCell ref="E137:G137"/>
    <mergeCell ref="E140:G140"/>
    <mergeCell ref="E141:G141"/>
    <mergeCell ref="E144:G144"/>
    <mergeCell ref="E145:G145"/>
    <mergeCell ref="E135:G135"/>
    <mergeCell ref="J121:L121"/>
    <mergeCell ref="J122:L122"/>
    <mergeCell ref="J123:L123"/>
    <mergeCell ref="J124:L124"/>
    <mergeCell ref="J125:L125"/>
    <mergeCell ref="J126:L126"/>
    <mergeCell ref="K130:L131"/>
    <mergeCell ref="C128:E128"/>
    <mergeCell ref="C130:E130"/>
    <mergeCell ref="C131:E131"/>
    <mergeCell ref="C132:E132"/>
    <mergeCell ref="J120:L120"/>
    <mergeCell ref="J107:L107"/>
    <mergeCell ref="J108:L108"/>
    <mergeCell ref="J109:L109"/>
    <mergeCell ref="J110:L110"/>
    <mergeCell ref="J115:L115"/>
    <mergeCell ref="J116:L116"/>
    <mergeCell ref="J117:L117"/>
    <mergeCell ref="J118:L118"/>
    <mergeCell ref="J119:L119"/>
    <mergeCell ref="J114:L114"/>
    <mergeCell ref="C105:E105"/>
    <mergeCell ref="C112:E112"/>
    <mergeCell ref="J99:L99"/>
    <mergeCell ref="K46:L46"/>
    <mergeCell ref="K47:L47"/>
    <mergeCell ref="C57:F57"/>
    <mergeCell ref="C73:F73"/>
    <mergeCell ref="C82:F82"/>
    <mergeCell ref="C86:F86"/>
    <mergeCell ref="C87:F87"/>
    <mergeCell ref="K88:M88"/>
    <mergeCell ref="J100:L100"/>
    <mergeCell ref="J101:L101"/>
    <mergeCell ref="J102:L102"/>
    <mergeCell ref="J103:L103"/>
    <mergeCell ref="J104:L104"/>
    <mergeCell ref="J22:L22"/>
    <mergeCell ref="J23:L23"/>
    <mergeCell ref="J24:L24"/>
    <mergeCell ref="J25:L25"/>
    <mergeCell ref="K26:L26"/>
    <mergeCell ref="J28:L28"/>
    <mergeCell ref="K29:L29"/>
    <mergeCell ref="K30:L30"/>
    <mergeCell ref="K33:L33"/>
    <mergeCell ref="K34:L34"/>
    <mergeCell ref="B2:G2"/>
    <mergeCell ref="J2:J3"/>
    <mergeCell ref="B3:G4"/>
    <mergeCell ref="B5:G5"/>
    <mergeCell ref="B6:G6"/>
    <mergeCell ref="B8:B10"/>
    <mergeCell ref="C8:C10"/>
    <mergeCell ref="D8:D10"/>
    <mergeCell ref="E8:E10"/>
    <mergeCell ref="J11:M11"/>
    <mergeCell ref="K14:L14"/>
    <mergeCell ref="K16:L16"/>
    <mergeCell ref="K17:L17"/>
    <mergeCell ref="J18:L18"/>
    <mergeCell ref="F8:G8"/>
    <mergeCell ref="H8:I8"/>
  </mergeCells>
  <printOptions horizontalCentered="1"/>
  <pageMargins left="0.70866141732283472" right="0.70866141732283472" top="0.23622047244094491" bottom="0" header="0.31496062992125984" footer="0.31496062992125984"/>
  <pageSetup paperSize="9" scale="45" fitToHeight="0" orientation="portrait" horizontalDpi="4294967293" verticalDpi="4294967293" r:id="rId1"/>
  <rowBreaks count="1" manualBreakCount="1">
    <brk id="88" min="1" max="6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2060"/>
  </sheetPr>
  <dimension ref="B1:N110"/>
  <sheetViews>
    <sheetView topLeftCell="A85" zoomScale="70" zoomScaleNormal="70" workbookViewId="0">
      <selection activeCell="J98" sqref="J98"/>
    </sheetView>
  </sheetViews>
  <sheetFormatPr defaultRowHeight="15"/>
  <cols>
    <col min="1" max="1" width="4.28515625" customWidth="1"/>
    <col min="2" max="2" width="5.85546875" customWidth="1"/>
    <col min="3" max="3" width="57.140625" customWidth="1"/>
    <col min="4" max="4" width="10.85546875" customWidth="1"/>
    <col min="5" max="5" width="10.7109375" style="676" customWidth="1"/>
    <col min="6" max="6" width="18.5703125" style="655" hidden="1" customWidth="1"/>
    <col min="7" max="7" width="18.5703125" style="676" hidden="1" customWidth="1"/>
    <col min="8" max="8" width="15.85546875" style="634" customWidth="1"/>
    <col min="9" max="10" width="19.140625" style="634" customWidth="1"/>
    <col min="249" max="249" width="4.28515625" customWidth="1"/>
    <col min="250" max="250" width="5.85546875" customWidth="1"/>
    <col min="251" max="251" width="54.85546875" customWidth="1"/>
    <col min="252" max="252" width="10.85546875" customWidth="1"/>
    <col min="253" max="253" width="10.7109375" customWidth="1"/>
    <col min="254" max="254" width="15.85546875" customWidth="1"/>
    <col min="255" max="255" width="19.140625" customWidth="1"/>
    <col min="505" max="505" width="4.28515625" customWidth="1"/>
    <col min="506" max="506" width="5.85546875" customWidth="1"/>
    <col min="507" max="507" width="54.85546875" customWidth="1"/>
    <col min="508" max="508" width="10.85546875" customWidth="1"/>
    <col min="509" max="509" width="10.7109375" customWidth="1"/>
    <col min="510" max="510" width="15.85546875" customWidth="1"/>
    <col min="511" max="511" width="19.140625" customWidth="1"/>
    <col min="761" max="761" width="4.28515625" customWidth="1"/>
    <col min="762" max="762" width="5.85546875" customWidth="1"/>
    <col min="763" max="763" width="54.85546875" customWidth="1"/>
    <col min="764" max="764" width="10.85546875" customWidth="1"/>
    <col min="765" max="765" width="10.7109375" customWidth="1"/>
    <col min="766" max="766" width="15.85546875" customWidth="1"/>
    <col min="767" max="767" width="19.140625" customWidth="1"/>
    <col min="1017" max="1017" width="4.28515625" customWidth="1"/>
    <col min="1018" max="1018" width="5.85546875" customWidth="1"/>
    <col min="1019" max="1019" width="54.85546875" customWidth="1"/>
    <col min="1020" max="1020" width="10.85546875" customWidth="1"/>
    <col min="1021" max="1021" width="10.7109375" customWidth="1"/>
    <col min="1022" max="1022" width="15.85546875" customWidth="1"/>
    <col min="1023" max="1023" width="19.140625" customWidth="1"/>
    <col min="1273" max="1273" width="4.28515625" customWidth="1"/>
    <col min="1274" max="1274" width="5.85546875" customWidth="1"/>
    <col min="1275" max="1275" width="54.85546875" customWidth="1"/>
    <col min="1276" max="1276" width="10.85546875" customWidth="1"/>
    <col min="1277" max="1277" width="10.7109375" customWidth="1"/>
    <col min="1278" max="1278" width="15.85546875" customWidth="1"/>
    <col min="1279" max="1279" width="19.140625" customWidth="1"/>
    <col min="1529" max="1529" width="4.28515625" customWidth="1"/>
    <col min="1530" max="1530" width="5.85546875" customWidth="1"/>
    <col min="1531" max="1531" width="54.85546875" customWidth="1"/>
    <col min="1532" max="1532" width="10.85546875" customWidth="1"/>
    <col min="1533" max="1533" width="10.7109375" customWidth="1"/>
    <col min="1534" max="1534" width="15.85546875" customWidth="1"/>
    <col min="1535" max="1535" width="19.140625" customWidth="1"/>
    <col min="1785" max="1785" width="4.28515625" customWidth="1"/>
    <col min="1786" max="1786" width="5.85546875" customWidth="1"/>
    <col min="1787" max="1787" width="54.85546875" customWidth="1"/>
    <col min="1788" max="1788" width="10.85546875" customWidth="1"/>
    <col min="1789" max="1789" width="10.7109375" customWidth="1"/>
    <col min="1790" max="1790" width="15.85546875" customWidth="1"/>
    <col min="1791" max="1791" width="19.140625" customWidth="1"/>
    <col min="2041" max="2041" width="4.28515625" customWidth="1"/>
    <col min="2042" max="2042" width="5.85546875" customWidth="1"/>
    <col min="2043" max="2043" width="54.85546875" customWidth="1"/>
    <col min="2044" max="2044" width="10.85546875" customWidth="1"/>
    <col min="2045" max="2045" width="10.7109375" customWidth="1"/>
    <col min="2046" max="2046" width="15.85546875" customWidth="1"/>
    <col min="2047" max="2047" width="19.140625" customWidth="1"/>
    <col min="2297" max="2297" width="4.28515625" customWidth="1"/>
    <col min="2298" max="2298" width="5.85546875" customWidth="1"/>
    <col min="2299" max="2299" width="54.85546875" customWidth="1"/>
    <col min="2300" max="2300" width="10.85546875" customWidth="1"/>
    <col min="2301" max="2301" width="10.7109375" customWidth="1"/>
    <col min="2302" max="2302" width="15.85546875" customWidth="1"/>
    <col min="2303" max="2303" width="19.140625" customWidth="1"/>
    <col min="2553" max="2553" width="4.28515625" customWidth="1"/>
    <col min="2554" max="2554" width="5.85546875" customWidth="1"/>
    <col min="2555" max="2555" width="54.85546875" customWidth="1"/>
    <col min="2556" max="2556" width="10.85546875" customWidth="1"/>
    <col min="2557" max="2557" width="10.7109375" customWidth="1"/>
    <col min="2558" max="2558" width="15.85546875" customWidth="1"/>
    <col min="2559" max="2559" width="19.140625" customWidth="1"/>
    <col min="2809" max="2809" width="4.28515625" customWidth="1"/>
    <col min="2810" max="2810" width="5.85546875" customWidth="1"/>
    <col min="2811" max="2811" width="54.85546875" customWidth="1"/>
    <col min="2812" max="2812" width="10.85546875" customWidth="1"/>
    <col min="2813" max="2813" width="10.7109375" customWidth="1"/>
    <col min="2814" max="2814" width="15.85546875" customWidth="1"/>
    <col min="2815" max="2815" width="19.140625" customWidth="1"/>
    <col min="3065" max="3065" width="4.28515625" customWidth="1"/>
    <col min="3066" max="3066" width="5.85546875" customWidth="1"/>
    <col min="3067" max="3067" width="54.85546875" customWidth="1"/>
    <col min="3068" max="3068" width="10.85546875" customWidth="1"/>
    <col min="3069" max="3069" width="10.7109375" customWidth="1"/>
    <col min="3070" max="3070" width="15.85546875" customWidth="1"/>
    <col min="3071" max="3071" width="19.140625" customWidth="1"/>
    <col min="3321" max="3321" width="4.28515625" customWidth="1"/>
    <col min="3322" max="3322" width="5.85546875" customWidth="1"/>
    <col min="3323" max="3323" width="54.85546875" customWidth="1"/>
    <col min="3324" max="3324" width="10.85546875" customWidth="1"/>
    <col min="3325" max="3325" width="10.7109375" customWidth="1"/>
    <col min="3326" max="3326" width="15.85546875" customWidth="1"/>
    <col min="3327" max="3327" width="19.140625" customWidth="1"/>
    <col min="3577" max="3577" width="4.28515625" customWidth="1"/>
    <col min="3578" max="3578" width="5.85546875" customWidth="1"/>
    <col min="3579" max="3579" width="54.85546875" customWidth="1"/>
    <col min="3580" max="3580" width="10.85546875" customWidth="1"/>
    <col min="3581" max="3581" width="10.7109375" customWidth="1"/>
    <col min="3582" max="3582" width="15.85546875" customWidth="1"/>
    <col min="3583" max="3583" width="19.140625" customWidth="1"/>
    <col min="3833" max="3833" width="4.28515625" customWidth="1"/>
    <col min="3834" max="3834" width="5.85546875" customWidth="1"/>
    <col min="3835" max="3835" width="54.85546875" customWidth="1"/>
    <col min="3836" max="3836" width="10.85546875" customWidth="1"/>
    <col min="3837" max="3837" width="10.7109375" customWidth="1"/>
    <col min="3838" max="3838" width="15.85546875" customWidth="1"/>
    <col min="3839" max="3839" width="19.140625" customWidth="1"/>
    <col min="4089" max="4089" width="4.28515625" customWidth="1"/>
    <col min="4090" max="4090" width="5.85546875" customWidth="1"/>
    <col min="4091" max="4091" width="54.85546875" customWidth="1"/>
    <col min="4092" max="4092" width="10.85546875" customWidth="1"/>
    <col min="4093" max="4093" width="10.7109375" customWidth="1"/>
    <col min="4094" max="4094" width="15.85546875" customWidth="1"/>
    <col min="4095" max="4095" width="19.140625" customWidth="1"/>
    <col min="4345" max="4345" width="4.28515625" customWidth="1"/>
    <col min="4346" max="4346" width="5.85546875" customWidth="1"/>
    <col min="4347" max="4347" width="54.85546875" customWidth="1"/>
    <col min="4348" max="4348" width="10.85546875" customWidth="1"/>
    <col min="4349" max="4349" width="10.7109375" customWidth="1"/>
    <col min="4350" max="4350" width="15.85546875" customWidth="1"/>
    <col min="4351" max="4351" width="19.140625" customWidth="1"/>
    <col min="4601" max="4601" width="4.28515625" customWidth="1"/>
    <col min="4602" max="4602" width="5.85546875" customWidth="1"/>
    <col min="4603" max="4603" width="54.85546875" customWidth="1"/>
    <col min="4604" max="4604" width="10.85546875" customWidth="1"/>
    <col min="4605" max="4605" width="10.7109375" customWidth="1"/>
    <col min="4606" max="4606" width="15.85546875" customWidth="1"/>
    <col min="4607" max="4607" width="19.140625" customWidth="1"/>
    <col min="4857" max="4857" width="4.28515625" customWidth="1"/>
    <col min="4858" max="4858" width="5.85546875" customWidth="1"/>
    <col min="4859" max="4859" width="54.85546875" customWidth="1"/>
    <col min="4860" max="4860" width="10.85546875" customWidth="1"/>
    <col min="4861" max="4861" width="10.7109375" customWidth="1"/>
    <col min="4862" max="4862" width="15.85546875" customWidth="1"/>
    <col min="4863" max="4863" width="19.140625" customWidth="1"/>
    <col min="5113" max="5113" width="4.28515625" customWidth="1"/>
    <col min="5114" max="5114" width="5.85546875" customWidth="1"/>
    <col min="5115" max="5115" width="54.85546875" customWidth="1"/>
    <col min="5116" max="5116" width="10.85546875" customWidth="1"/>
    <col min="5117" max="5117" width="10.7109375" customWidth="1"/>
    <col min="5118" max="5118" width="15.85546875" customWidth="1"/>
    <col min="5119" max="5119" width="19.140625" customWidth="1"/>
    <col min="5369" max="5369" width="4.28515625" customWidth="1"/>
    <col min="5370" max="5370" width="5.85546875" customWidth="1"/>
    <col min="5371" max="5371" width="54.85546875" customWidth="1"/>
    <col min="5372" max="5372" width="10.85546875" customWidth="1"/>
    <col min="5373" max="5373" width="10.7109375" customWidth="1"/>
    <col min="5374" max="5374" width="15.85546875" customWidth="1"/>
    <col min="5375" max="5375" width="19.140625" customWidth="1"/>
    <col min="5625" max="5625" width="4.28515625" customWidth="1"/>
    <col min="5626" max="5626" width="5.85546875" customWidth="1"/>
    <col min="5627" max="5627" width="54.85546875" customWidth="1"/>
    <col min="5628" max="5628" width="10.85546875" customWidth="1"/>
    <col min="5629" max="5629" width="10.7109375" customWidth="1"/>
    <col min="5630" max="5630" width="15.85546875" customWidth="1"/>
    <col min="5631" max="5631" width="19.140625" customWidth="1"/>
    <col min="5881" max="5881" width="4.28515625" customWidth="1"/>
    <col min="5882" max="5882" width="5.85546875" customWidth="1"/>
    <col min="5883" max="5883" width="54.85546875" customWidth="1"/>
    <col min="5884" max="5884" width="10.85546875" customWidth="1"/>
    <col min="5885" max="5885" width="10.7109375" customWidth="1"/>
    <col min="5886" max="5886" width="15.85546875" customWidth="1"/>
    <col min="5887" max="5887" width="19.140625" customWidth="1"/>
    <col min="6137" max="6137" width="4.28515625" customWidth="1"/>
    <col min="6138" max="6138" width="5.85546875" customWidth="1"/>
    <col min="6139" max="6139" width="54.85546875" customWidth="1"/>
    <col min="6140" max="6140" width="10.85546875" customWidth="1"/>
    <col min="6141" max="6141" width="10.7109375" customWidth="1"/>
    <col min="6142" max="6142" width="15.85546875" customWidth="1"/>
    <col min="6143" max="6143" width="19.140625" customWidth="1"/>
    <col min="6393" max="6393" width="4.28515625" customWidth="1"/>
    <col min="6394" max="6394" width="5.85546875" customWidth="1"/>
    <col min="6395" max="6395" width="54.85546875" customWidth="1"/>
    <col min="6396" max="6396" width="10.85546875" customWidth="1"/>
    <col min="6397" max="6397" width="10.7109375" customWidth="1"/>
    <col min="6398" max="6398" width="15.85546875" customWidth="1"/>
    <col min="6399" max="6399" width="19.140625" customWidth="1"/>
    <col min="6649" max="6649" width="4.28515625" customWidth="1"/>
    <col min="6650" max="6650" width="5.85546875" customWidth="1"/>
    <col min="6651" max="6651" width="54.85546875" customWidth="1"/>
    <col min="6652" max="6652" width="10.85546875" customWidth="1"/>
    <col min="6653" max="6653" width="10.7109375" customWidth="1"/>
    <col min="6654" max="6654" width="15.85546875" customWidth="1"/>
    <col min="6655" max="6655" width="19.140625" customWidth="1"/>
    <col min="6905" max="6905" width="4.28515625" customWidth="1"/>
    <col min="6906" max="6906" width="5.85546875" customWidth="1"/>
    <col min="6907" max="6907" width="54.85546875" customWidth="1"/>
    <col min="6908" max="6908" width="10.85546875" customWidth="1"/>
    <col min="6909" max="6909" width="10.7109375" customWidth="1"/>
    <col min="6910" max="6910" width="15.85546875" customWidth="1"/>
    <col min="6911" max="6911" width="19.140625" customWidth="1"/>
    <col min="7161" max="7161" width="4.28515625" customWidth="1"/>
    <col min="7162" max="7162" width="5.85546875" customWidth="1"/>
    <col min="7163" max="7163" width="54.85546875" customWidth="1"/>
    <col min="7164" max="7164" width="10.85546875" customWidth="1"/>
    <col min="7165" max="7165" width="10.7109375" customWidth="1"/>
    <col min="7166" max="7166" width="15.85546875" customWidth="1"/>
    <col min="7167" max="7167" width="19.140625" customWidth="1"/>
    <col min="7417" max="7417" width="4.28515625" customWidth="1"/>
    <col min="7418" max="7418" width="5.85546875" customWidth="1"/>
    <col min="7419" max="7419" width="54.85546875" customWidth="1"/>
    <col min="7420" max="7420" width="10.85546875" customWidth="1"/>
    <col min="7421" max="7421" width="10.7109375" customWidth="1"/>
    <col min="7422" max="7422" width="15.85546875" customWidth="1"/>
    <col min="7423" max="7423" width="19.140625" customWidth="1"/>
    <col min="7673" max="7673" width="4.28515625" customWidth="1"/>
    <col min="7674" max="7674" width="5.85546875" customWidth="1"/>
    <col min="7675" max="7675" width="54.85546875" customWidth="1"/>
    <col min="7676" max="7676" width="10.85546875" customWidth="1"/>
    <col min="7677" max="7677" width="10.7109375" customWidth="1"/>
    <col min="7678" max="7678" width="15.85546875" customWidth="1"/>
    <col min="7679" max="7679" width="19.140625" customWidth="1"/>
    <col min="7929" max="7929" width="4.28515625" customWidth="1"/>
    <col min="7930" max="7930" width="5.85546875" customWidth="1"/>
    <col min="7931" max="7931" width="54.85546875" customWidth="1"/>
    <col min="7932" max="7932" width="10.85546875" customWidth="1"/>
    <col min="7933" max="7933" width="10.7109375" customWidth="1"/>
    <col min="7934" max="7934" width="15.85546875" customWidth="1"/>
    <col min="7935" max="7935" width="19.140625" customWidth="1"/>
    <col min="8185" max="8185" width="4.28515625" customWidth="1"/>
    <col min="8186" max="8186" width="5.85546875" customWidth="1"/>
    <col min="8187" max="8187" width="54.85546875" customWidth="1"/>
    <col min="8188" max="8188" width="10.85546875" customWidth="1"/>
    <col min="8189" max="8189" width="10.7109375" customWidth="1"/>
    <col min="8190" max="8190" width="15.85546875" customWidth="1"/>
    <col min="8191" max="8191" width="19.140625" customWidth="1"/>
    <col min="8441" max="8441" width="4.28515625" customWidth="1"/>
    <col min="8442" max="8442" width="5.85546875" customWidth="1"/>
    <col min="8443" max="8443" width="54.85546875" customWidth="1"/>
    <col min="8444" max="8444" width="10.85546875" customWidth="1"/>
    <col min="8445" max="8445" width="10.7109375" customWidth="1"/>
    <col min="8446" max="8446" width="15.85546875" customWidth="1"/>
    <col min="8447" max="8447" width="19.140625" customWidth="1"/>
    <col min="8697" max="8697" width="4.28515625" customWidth="1"/>
    <col min="8698" max="8698" width="5.85546875" customWidth="1"/>
    <col min="8699" max="8699" width="54.85546875" customWidth="1"/>
    <col min="8700" max="8700" width="10.85546875" customWidth="1"/>
    <col min="8701" max="8701" width="10.7109375" customWidth="1"/>
    <col min="8702" max="8702" width="15.85546875" customWidth="1"/>
    <col min="8703" max="8703" width="19.140625" customWidth="1"/>
    <col min="8953" max="8953" width="4.28515625" customWidth="1"/>
    <col min="8954" max="8954" width="5.85546875" customWidth="1"/>
    <col min="8955" max="8955" width="54.85546875" customWidth="1"/>
    <col min="8956" max="8956" width="10.85546875" customWidth="1"/>
    <col min="8957" max="8957" width="10.7109375" customWidth="1"/>
    <col min="8958" max="8958" width="15.85546875" customWidth="1"/>
    <col min="8959" max="8959" width="19.140625" customWidth="1"/>
    <col min="9209" max="9209" width="4.28515625" customWidth="1"/>
    <col min="9210" max="9210" width="5.85546875" customWidth="1"/>
    <col min="9211" max="9211" width="54.85546875" customWidth="1"/>
    <col min="9212" max="9212" width="10.85546875" customWidth="1"/>
    <col min="9213" max="9213" width="10.7109375" customWidth="1"/>
    <col min="9214" max="9214" width="15.85546875" customWidth="1"/>
    <col min="9215" max="9215" width="19.140625" customWidth="1"/>
    <col min="9465" max="9465" width="4.28515625" customWidth="1"/>
    <col min="9466" max="9466" width="5.85546875" customWidth="1"/>
    <col min="9467" max="9467" width="54.85546875" customWidth="1"/>
    <col min="9468" max="9468" width="10.85546875" customWidth="1"/>
    <col min="9469" max="9469" width="10.7109375" customWidth="1"/>
    <col min="9470" max="9470" width="15.85546875" customWidth="1"/>
    <col min="9471" max="9471" width="19.140625" customWidth="1"/>
    <col min="9721" max="9721" width="4.28515625" customWidth="1"/>
    <col min="9722" max="9722" width="5.85546875" customWidth="1"/>
    <col min="9723" max="9723" width="54.85546875" customWidth="1"/>
    <col min="9724" max="9724" width="10.85546875" customWidth="1"/>
    <col min="9725" max="9725" width="10.7109375" customWidth="1"/>
    <col min="9726" max="9726" width="15.85546875" customWidth="1"/>
    <col min="9727" max="9727" width="19.140625" customWidth="1"/>
    <col min="9977" max="9977" width="4.28515625" customWidth="1"/>
    <col min="9978" max="9978" width="5.85546875" customWidth="1"/>
    <col min="9979" max="9979" width="54.85546875" customWidth="1"/>
    <col min="9980" max="9980" width="10.85546875" customWidth="1"/>
    <col min="9981" max="9981" width="10.7109375" customWidth="1"/>
    <col min="9982" max="9982" width="15.85546875" customWidth="1"/>
    <col min="9983" max="9983" width="19.140625" customWidth="1"/>
    <col min="10233" max="10233" width="4.28515625" customWidth="1"/>
    <col min="10234" max="10234" width="5.85546875" customWidth="1"/>
    <col min="10235" max="10235" width="54.85546875" customWidth="1"/>
    <col min="10236" max="10236" width="10.85546875" customWidth="1"/>
    <col min="10237" max="10237" width="10.7109375" customWidth="1"/>
    <col min="10238" max="10238" width="15.85546875" customWidth="1"/>
    <col min="10239" max="10239" width="19.140625" customWidth="1"/>
    <col min="10489" max="10489" width="4.28515625" customWidth="1"/>
    <col min="10490" max="10490" width="5.85546875" customWidth="1"/>
    <col min="10491" max="10491" width="54.85546875" customWidth="1"/>
    <col min="10492" max="10492" width="10.85546875" customWidth="1"/>
    <col min="10493" max="10493" width="10.7109375" customWidth="1"/>
    <col min="10494" max="10494" width="15.85546875" customWidth="1"/>
    <col min="10495" max="10495" width="19.140625" customWidth="1"/>
    <col min="10745" max="10745" width="4.28515625" customWidth="1"/>
    <col min="10746" max="10746" width="5.85546875" customWidth="1"/>
    <col min="10747" max="10747" width="54.85546875" customWidth="1"/>
    <col min="10748" max="10748" width="10.85546875" customWidth="1"/>
    <col min="10749" max="10749" width="10.7109375" customWidth="1"/>
    <col min="10750" max="10750" width="15.85546875" customWidth="1"/>
    <col min="10751" max="10751" width="19.140625" customWidth="1"/>
    <col min="11001" max="11001" width="4.28515625" customWidth="1"/>
    <col min="11002" max="11002" width="5.85546875" customWidth="1"/>
    <col min="11003" max="11003" width="54.85546875" customWidth="1"/>
    <col min="11004" max="11004" width="10.85546875" customWidth="1"/>
    <col min="11005" max="11005" width="10.7109375" customWidth="1"/>
    <col min="11006" max="11006" width="15.85546875" customWidth="1"/>
    <col min="11007" max="11007" width="19.140625" customWidth="1"/>
    <col min="11257" max="11257" width="4.28515625" customWidth="1"/>
    <col min="11258" max="11258" width="5.85546875" customWidth="1"/>
    <col min="11259" max="11259" width="54.85546875" customWidth="1"/>
    <col min="11260" max="11260" width="10.85546875" customWidth="1"/>
    <col min="11261" max="11261" width="10.7109375" customWidth="1"/>
    <col min="11262" max="11262" width="15.85546875" customWidth="1"/>
    <col min="11263" max="11263" width="19.140625" customWidth="1"/>
    <col min="11513" max="11513" width="4.28515625" customWidth="1"/>
    <col min="11514" max="11514" width="5.85546875" customWidth="1"/>
    <col min="11515" max="11515" width="54.85546875" customWidth="1"/>
    <col min="11516" max="11516" width="10.85546875" customWidth="1"/>
    <col min="11517" max="11517" width="10.7109375" customWidth="1"/>
    <col min="11518" max="11518" width="15.85546875" customWidth="1"/>
    <col min="11519" max="11519" width="19.140625" customWidth="1"/>
    <col min="11769" max="11769" width="4.28515625" customWidth="1"/>
    <col min="11770" max="11770" width="5.85546875" customWidth="1"/>
    <col min="11771" max="11771" width="54.85546875" customWidth="1"/>
    <col min="11772" max="11772" width="10.85546875" customWidth="1"/>
    <col min="11773" max="11773" width="10.7109375" customWidth="1"/>
    <col min="11774" max="11774" width="15.85546875" customWidth="1"/>
    <col min="11775" max="11775" width="19.140625" customWidth="1"/>
    <col min="12025" max="12025" width="4.28515625" customWidth="1"/>
    <col min="12026" max="12026" width="5.85546875" customWidth="1"/>
    <col min="12027" max="12027" width="54.85546875" customWidth="1"/>
    <col min="12028" max="12028" width="10.85546875" customWidth="1"/>
    <col min="12029" max="12029" width="10.7109375" customWidth="1"/>
    <col min="12030" max="12030" width="15.85546875" customWidth="1"/>
    <col min="12031" max="12031" width="19.140625" customWidth="1"/>
    <col min="12281" max="12281" width="4.28515625" customWidth="1"/>
    <col min="12282" max="12282" width="5.85546875" customWidth="1"/>
    <col min="12283" max="12283" width="54.85546875" customWidth="1"/>
    <col min="12284" max="12284" width="10.85546875" customWidth="1"/>
    <col min="12285" max="12285" width="10.7109375" customWidth="1"/>
    <col min="12286" max="12286" width="15.85546875" customWidth="1"/>
    <col min="12287" max="12287" width="19.140625" customWidth="1"/>
    <col min="12537" max="12537" width="4.28515625" customWidth="1"/>
    <col min="12538" max="12538" width="5.85546875" customWidth="1"/>
    <col min="12539" max="12539" width="54.85546875" customWidth="1"/>
    <col min="12540" max="12540" width="10.85546875" customWidth="1"/>
    <col min="12541" max="12541" width="10.7109375" customWidth="1"/>
    <col min="12542" max="12542" width="15.85546875" customWidth="1"/>
    <col min="12543" max="12543" width="19.140625" customWidth="1"/>
    <col min="12793" max="12793" width="4.28515625" customWidth="1"/>
    <col min="12794" max="12794" width="5.85546875" customWidth="1"/>
    <col min="12795" max="12795" width="54.85546875" customWidth="1"/>
    <col min="12796" max="12796" width="10.85546875" customWidth="1"/>
    <col min="12797" max="12797" width="10.7109375" customWidth="1"/>
    <col min="12798" max="12798" width="15.85546875" customWidth="1"/>
    <col min="12799" max="12799" width="19.140625" customWidth="1"/>
    <col min="13049" max="13049" width="4.28515625" customWidth="1"/>
    <col min="13050" max="13050" width="5.85546875" customWidth="1"/>
    <col min="13051" max="13051" width="54.85546875" customWidth="1"/>
    <col min="13052" max="13052" width="10.85546875" customWidth="1"/>
    <col min="13053" max="13053" width="10.7109375" customWidth="1"/>
    <col min="13054" max="13054" width="15.85546875" customWidth="1"/>
    <col min="13055" max="13055" width="19.140625" customWidth="1"/>
    <col min="13305" max="13305" width="4.28515625" customWidth="1"/>
    <col min="13306" max="13306" width="5.85546875" customWidth="1"/>
    <col min="13307" max="13307" width="54.85546875" customWidth="1"/>
    <col min="13308" max="13308" width="10.85546875" customWidth="1"/>
    <col min="13309" max="13309" width="10.7109375" customWidth="1"/>
    <col min="13310" max="13310" width="15.85546875" customWidth="1"/>
    <col min="13311" max="13311" width="19.140625" customWidth="1"/>
    <col min="13561" max="13561" width="4.28515625" customWidth="1"/>
    <col min="13562" max="13562" width="5.85546875" customWidth="1"/>
    <col min="13563" max="13563" width="54.85546875" customWidth="1"/>
    <col min="13564" max="13564" width="10.85546875" customWidth="1"/>
    <col min="13565" max="13565" width="10.7109375" customWidth="1"/>
    <col min="13566" max="13566" width="15.85546875" customWidth="1"/>
    <col min="13567" max="13567" width="19.140625" customWidth="1"/>
    <col min="13817" max="13817" width="4.28515625" customWidth="1"/>
    <col min="13818" max="13818" width="5.85546875" customWidth="1"/>
    <col min="13819" max="13819" width="54.85546875" customWidth="1"/>
    <col min="13820" max="13820" width="10.85546875" customWidth="1"/>
    <col min="13821" max="13821" width="10.7109375" customWidth="1"/>
    <col min="13822" max="13822" width="15.85546875" customWidth="1"/>
    <col min="13823" max="13823" width="19.140625" customWidth="1"/>
    <col min="14073" max="14073" width="4.28515625" customWidth="1"/>
    <col min="14074" max="14074" width="5.85546875" customWidth="1"/>
    <col min="14075" max="14075" width="54.85546875" customWidth="1"/>
    <col min="14076" max="14076" width="10.85546875" customWidth="1"/>
    <col min="14077" max="14077" width="10.7109375" customWidth="1"/>
    <col min="14078" max="14078" width="15.85546875" customWidth="1"/>
    <col min="14079" max="14079" width="19.140625" customWidth="1"/>
    <col min="14329" max="14329" width="4.28515625" customWidth="1"/>
    <col min="14330" max="14330" width="5.85546875" customWidth="1"/>
    <col min="14331" max="14331" width="54.85546875" customWidth="1"/>
    <col min="14332" max="14332" width="10.85546875" customWidth="1"/>
    <col min="14333" max="14333" width="10.7109375" customWidth="1"/>
    <col min="14334" max="14334" width="15.85546875" customWidth="1"/>
    <col min="14335" max="14335" width="19.140625" customWidth="1"/>
    <col min="14585" max="14585" width="4.28515625" customWidth="1"/>
    <col min="14586" max="14586" width="5.85546875" customWidth="1"/>
    <col min="14587" max="14587" width="54.85546875" customWidth="1"/>
    <col min="14588" max="14588" width="10.85546875" customWidth="1"/>
    <col min="14589" max="14589" width="10.7109375" customWidth="1"/>
    <col min="14590" max="14590" width="15.85546875" customWidth="1"/>
    <col min="14591" max="14591" width="19.140625" customWidth="1"/>
    <col min="14841" max="14841" width="4.28515625" customWidth="1"/>
    <col min="14842" max="14842" width="5.85546875" customWidth="1"/>
    <col min="14843" max="14843" width="54.85546875" customWidth="1"/>
    <col min="14844" max="14844" width="10.85546875" customWidth="1"/>
    <col min="14845" max="14845" width="10.7109375" customWidth="1"/>
    <col min="14846" max="14846" width="15.85546875" customWidth="1"/>
    <col min="14847" max="14847" width="19.140625" customWidth="1"/>
    <col min="15097" max="15097" width="4.28515625" customWidth="1"/>
    <col min="15098" max="15098" width="5.85546875" customWidth="1"/>
    <col min="15099" max="15099" width="54.85546875" customWidth="1"/>
    <col min="15100" max="15100" width="10.85546875" customWidth="1"/>
    <col min="15101" max="15101" width="10.7109375" customWidth="1"/>
    <col min="15102" max="15102" width="15.85546875" customWidth="1"/>
    <col min="15103" max="15103" width="19.140625" customWidth="1"/>
    <col min="15353" max="15353" width="4.28515625" customWidth="1"/>
    <col min="15354" max="15354" width="5.85546875" customWidth="1"/>
    <col min="15355" max="15355" width="54.85546875" customWidth="1"/>
    <col min="15356" max="15356" width="10.85546875" customWidth="1"/>
    <col min="15357" max="15357" width="10.7109375" customWidth="1"/>
    <col min="15358" max="15358" width="15.85546875" customWidth="1"/>
    <col min="15359" max="15359" width="19.140625" customWidth="1"/>
    <col min="15609" max="15609" width="4.28515625" customWidth="1"/>
    <col min="15610" max="15610" width="5.85546875" customWidth="1"/>
    <col min="15611" max="15611" width="54.85546875" customWidth="1"/>
    <col min="15612" max="15612" width="10.85546875" customWidth="1"/>
    <col min="15613" max="15613" width="10.7109375" customWidth="1"/>
    <col min="15614" max="15614" width="15.85546875" customWidth="1"/>
    <col min="15615" max="15615" width="19.140625" customWidth="1"/>
    <col min="15865" max="15865" width="4.28515625" customWidth="1"/>
    <col min="15866" max="15866" width="5.85546875" customWidth="1"/>
    <col min="15867" max="15867" width="54.85546875" customWidth="1"/>
    <col min="15868" max="15868" width="10.85546875" customWidth="1"/>
    <col min="15869" max="15869" width="10.7109375" customWidth="1"/>
    <col min="15870" max="15870" width="15.85546875" customWidth="1"/>
    <col min="15871" max="15871" width="19.140625" customWidth="1"/>
    <col min="16121" max="16121" width="4.28515625" customWidth="1"/>
    <col min="16122" max="16122" width="5.85546875" customWidth="1"/>
    <col min="16123" max="16123" width="54.85546875" customWidth="1"/>
    <col min="16124" max="16124" width="10.85546875" customWidth="1"/>
    <col min="16125" max="16125" width="10.7109375" customWidth="1"/>
    <col min="16126" max="16126" width="15.85546875" customWidth="1"/>
    <col min="16127" max="16127" width="19.140625" customWidth="1"/>
    <col min="16377" max="16384" width="9.140625" customWidth="1"/>
  </cols>
  <sheetData>
    <row r="1" spans="2:14">
      <c r="B1" s="559"/>
      <c r="C1" s="559"/>
      <c r="D1" s="559"/>
      <c r="E1" s="559"/>
      <c r="F1" s="559"/>
      <c r="G1" s="559"/>
      <c r="H1" s="223"/>
      <c r="I1" s="223"/>
      <c r="J1" s="223"/>
    </row>
    <row r="2" spans="2:14" ht="22.5" customHeight="1">
      <c r="B2" s="1066" t="s">
        <v>2144</v>
      </c>
      <c r="C2" s="1066"/>
      <c r="D2" s="1066"/>
      <c r="E2" s="1066"/>
      <c r="F2" s="1066"/>
      <c r="G2" s="1066"/>
      <c r="H2" s="1066"/>
      <c r="I2" s="1066"/>
      <c r="J2" s="656"/>
    </row>
    <row r="3" spans="2:14" ht="18" customHeight="1">
      <c r="B3" s="1067" t="str">
        <f>Rekapitulasi!B3</f>
        <v>PEMBANGUNAN T/L 150 kV PASAMAN - SIMPANG EMPAT (SECTION 2)</v>
      </c>
      <c r="C3" s="1067"/>
      <c r="D3" s="1067"/>
      <c r="E3" s="1067"/>
      <c r="F3" s="1067"/>
      <c r="G3" s="1067"/>
      <c r="H3" s="1067"/>
      <c r="I3" s="1067"/>
      <c r="J3" s="657"/>
      <c r="M3" s="1041"/>
      <c r="N3" s="1041"/>
    </row>
    <row r="4" spans="2:14" ht="21.75" customHeight="1">
      <c r="B4" s="1077"/>
      <c r="C4" s="1077"/>
      <c r="D4" s="1077"/>
      <c r="E4" s="1077"/>
      <c r="F4" s="1077"/>
      <c r="G4" s="1077"/>
      <c r="H4" s="1077"/>
      <c r="I4" s="1077"/>
      <c r="J4" s="658"/>
      <c r="M4" s="1041"/>
      <c r="N4" s="1041"/>
    </row>
    <row r="5" spans="2:14" ht="18.75">
      <c r="B5" s="1067" t="s">
        <v>4329</v>
      </c>
      <c r="C5" s="1067"/>
      <c r="D5" s="1067"/>
      <c r="E5" s="1067"/>
      <c r="F5" s="1067"/>
      <c r="G5" s="1067"/>
      <c r="H5" s="1067"/>
      <c r="I5" s="1067"/>
      <c r="J5" s="657"/>
    </row>
    <row r="6" spans="2:14" ht="15.75" thickBot="1">
      <c r="B6" s="559"/>
      <c r="C6" s="559"/>
      <c r="D6" s="559"/>
      <c r="E6" s="559"/>
      <c r="F6" s="559"/>
      <c r="G6" s="559"/>
      <c r="H6" s="223"/>
      <c r="I6" s="223"/>
      <c r="J6" s="223"/>
    </row>
    <row r="7" spans="2:14" ht="23.25" customHeight="1" thickTop="1">
      <c r="B7" s="1085" t="s">
        <v>10</v>
      </c>
      <c r="C7" s="1060" t="s">
        <v>4028</v>
      </c>
      <c r="D7" s="1074" t="s">
        <v>4029</v>
      </c>
      <c r="E7" s="1075"/>
      <c r="F7" s="1075"/>
      <c r="G7" s="1075"/>
      <c r="H7" s="1075"/>
      <c r="I7" s="1076"/>
      <c r="J7" s="832"/>
    </row>
    <row r="8" spans="2:14" ht="39">
      <c r="B8" s="1086"/>
      <c r="C8" s="1061"/>
      <c r="D8" s="1163" t="s">
        <v>4030</v>
      </c>
      <c r="E8" s="1165" t="s">
        <v>4338</v>
      </c>
      <c r="F8" s="675" t="s">
        <v>4340</v>
      </c>
      <c r="G8" s="677" t="s">
        <v>4341</v>
      </c>
      <c r="H8" s="675" t="s">
        <v>4347</v>
      </c>
      <c r="I8" s="833" t="s">
        <v>4348</v>
      </c>
      <c r="J8"/>
    </row>
    <row r="9" spans="2:14" ht="16.5">
      <c r="B9" s="1086"/>
      <c r="C9" s="1061"/>
      <c r="D9" s="1164"/>
      <c r="E9" s="1166"/>
      <c r="F9" s="216" t="s">
        <v>2152</v>
      </c>
      <c r="G9" s="678" t="s">
        <v>2152</v>
      </c>
      <c r="H9" s="216" t="s">
        <v>2152</v>
      </c>
      <c r="I9" s="222" t="s">
        <v>2152</v>
      </c>
      <c r="J9"/>
      <c r="K9" s="176">
        <f>95/95</f>
        <v>1</v>
      </c>
    </row>
    <row r="10" spans="2:14">
      <c r="B10" s="834">
        <v>1</v>
      </c>
      <c r="C10" s="835">
        <v>2</v>
      </c>
      <c r="D10" s="836">
        <v>3</v>
      </c>
      <c r="E10" s="188">
        <v>4</v>
      </c>
      <c r="F10" s="188">
        <v>5</v>
      </c>
      <c r="G10" s="837" t="s">
        <v>3271</v>
      </c>
      <c r="H10" s="188">
        <v>7</v>
      </c>
      <c r="I10" s="838" t="s">
        <v>4342</v>
      </c>
      <c r="J10"/>
    </row>
    <row r="11" spans="2:14">
      <c r="B11" s="1167" t="s">
        <v>818</v>
      </c>
      <c r="C11" s="1168" t="s">
        <v>4121</v>
      </c>
      <c r="D11" s="1170"/>
      <c r="E11" s="1170"/>
      <c r="F11" s="1153"/>
      <c r="G11" s="1155"/>
      <c r="H11" s="1153"/>
      <c r="I11" s="1172"/>
      <c r="J11"/>
    </row>
    <row r="12" spans="2:14" ht="11.25" customHeight="1">
      <c r="B12" s="1082"/>
      <c r="C12" s="1169"/>
      <c r="D12" s="1171"/>
      <c r="E12" s="1171"/>
      <c r="F12" s="1154"/>
      <c r="G12" s="1156"/>
      <c r="H12" s="1154"/>
      <c r="I12" s="1173"/>
      <c r="J12"/>
    </row>
    <row r="13" spans="2:14" ht="15" customHeight="1">
      <c r="B13" s="839" t="s">
        <v>504</v>
      </c>
      <c r="C13" s="840" t="s">
        <v>4122</v>
      </c>
      <c r="D13" s="841"/>
      <c r="E13" s="842"/>
      <c r="F13" s="843"/>
      <c r="G13" s="844"/>
      <c r="H13" s="843"/>
      <c r="I13" s="845"/>
      <c r="J13"/>
    </row>
    <row r="14" spans="2:14" ht="15" customHeight="1">
      <c r="B14" s="187"/>
      <c r="C14" s="846" t="s">
        <v>4123</v>
      </c>
      <c r="D14" s="841" t="s">
        <v>74</v>
      </c>
      <c r="E14" s="842">
        <v>1</v>
      </c>
      <c r="F14" s="877">
        <f>$K$9*H14</f>
        <v>148000000</v>
      </c>
      <c r="G14" s="848">
        <f>E14*F14</f>
        <v>148000000</v>
      </c>
      <c r="H14" s="847">
        <f>12*4000000+100000000</f>
        <v>148000000</v>
      </c>
      <c r="I14" s="219">
        <f>E14*H14</f>
        <v>148000000</v>
      </c>
      <c r="J14"/>
    </row>
    <row r="15" spans="2:14" ht="15" customHeight="1">
      <c r="B15" s="303"/>
      <c r="C15" s="849"/>
      <c r="D15" s="841"/>
      <c r="E15" s="842"/>
      <c r="F15" s="877"/>
      <c r="G15" s="848"/>
      <c r="H15" s="847"/>
      <c r="I15" s="219"/>
      <c r="J15"/>
    </row>
    <row r="16" spans="2:14">
      <c r="B16" s="186" t="s">
        <v>717</v>
      </c>
      <c r="C16" s="850" t="s">
        <v>4112</v>
      </c>
      <c r="D16" s="841"/>
      <c r="E16" s="842"/>
      <c r="F16" s="878"/>
      <c r="G16" s="848"/>
      <c r="H16" s="843"/>
      <c r="I16" s="219"/>
      <c r="J16"/>
    </row>
    <row r="17" spans="2:10">
      <c r="B17" s="303"/>
      <c r="C17" s="851" t="s">
        <v>4032</v>
      </c>
      <c r="D17" s="841"/>
      <c r="E17" s="842"/>
      <c r="F17" s="878"/>
      <c r="G17" s="848"/>
      <c r="H17" s="843"/>
      <c r="I17" s="219"/>
      <c r="J17"/>
    </row>
    <row r="18" spans="2:10">
      <c r="B18" s="303"/>
      <c r="C18" s="849" t="s">
        <v>4033</v>
      </c>
      <c r="D18" s="841" t="s">
        <v>918</v>
      </c>
      <c r="E18" s="852">
        <v>0</v>
      </c>
      <c r="F18" s="877">
        <f>'Harga Satuan Erection'!G14</f>
        <v>20107722.562380955</v>
      </c>
      <c r="G18" s="848">
        <f t="shared" ref="G18:G55" si="0">E18*F18</f>
        <v>0</v>
      </c>
      <c r="H18" s="843">
        <f>'Harga Satuan Erection'!I14</f>
        <v>20107722.562380955</v>
      </c>
      <c r="I18" s="219">
        <f t="shared" ref="I18:I23" si="1">E18*H18</f>
        <v>0</v>
      </c>
      <c r="J18"/>
    </row>
    <row r="19" spans="2:10">
      <c r="B19" s="303"/>
      <c r="C19" s="849" t="s">
        <v>4034</v>
      </c>
      <c r="D19" s="841" t="s">
        <v>918</v>
      </c>
      <c r="E19" s="852">
        <v>3</v>
      </c>
      <c r="F19" s="877">
        <f>'Harga Satuan Erection'!G15</f>
        <v>21839007.520000003</v>
      </c>
      <c r="G19" s="848">
        <f t="shared" si="0"/>
        <v>65517022.56000001</v>
      </c>
      <c r="H19" s="843">
        <f>'Harga Satuan Erection'!I15</f>
        <v>21839007.520000003</v>
      </c>
      <c r="I19" s="219">
        <f t="shared" si="1"/>
        <v>65517022.56000001</v>
      </c>
      <c r="J19"/>
    </row>
    <row r="20" spans="2:10">
      <c r="B20" s="303"/>
      <c r="C20" s="849" t="s">
        <v>4035</v>
      </c>
      <c r="D20" s="841" t="s">
        <v>918</v>
      </c>
      <c r="E20" s="852">
        <v>17</v>
      </c>
      <c r="F20" s="877">
        <f>'Harga Satuan Erection'!G16</f>
        <v>24385709.96619048</v>
      </c>
      <c r="G20" s="848">
        <f t="shared" si="0"/>
        <v>414557069.42523813</v>
      </c>
      <c r="H20" s="843">
        <f>'Harga Satuan Erection'!I16</f>
        <v>24385709.96619048</v>
      </c>
      <c r="I20" s="219">
        <f t="shared" si="1"/>
        <v>414557069.42523813</v>
      </c>
      <c r="J20"/>
    </row>
    <row r="21" spans="2:10">
      <c r="B21" s="303"/>
      <c r="C21" s="849" t="s">
        <v>4036</v>
      </c>
      <c r="D21" s="841" t="s">
        <v>918</v>
      </c>
      <c r="E21" s="852">
        <v>10</v>
      </c>
      <c r="F21" s="877">
        <f>'Harga Satuan Erection'!G17</f>
        <v>26081541.989523813</v>
      </c>
      <c r="G21" s="848">
        <f t="shared" si="0"/>
        <v>260815419.89523813</v>
      </c>
      <c r="H21" s="843">
        <f>'Harga Satuan Erection'!I17</f>
        <v>26081541.989523813</v>
      </c>
      <c r="I21" s="219">
        <f t="shared" si="1"/>
        <v>260815419.89523813</v>
      </c>
      <c r="J21"/>
    </row>
    <row r="22" spans="2:10">
      <c r="B22" s="303"/>
      <c r="C22" s="849" t="s">
        <v>4037</v>
      </c>
      <c r="D22" s="841" t="s">
        <v>918</v>
      </c>
      <c r="E22" s="852">
        <v>3</v>
      </c>
      <c r="F22" s="877">
        <f>'Harga Satuan Erection'!G18</f>
        <v>28944366.433095239</v>
      </c>
      <c r="G22" s="848">
        <f t="shared" si="0"/>
        <v>86833099.29928571</v>
      </c>
      <c r="H22" s="843">
        <f>'Harga Satuan Erection'!I18</f>
        <v>28944366.433095239</v>
      </c>
      <c r="I22" s="219">
        <f t="shared" si="1"/>
        <v>86833099.29928571</v>
      </c>
      <c r="J22"/>
    </row>
    <row r="23" spans="2:10">
      <c r="B23" s="303"/>
      <c r="C23" s="849" t="s">
        <v>4038</v>
      </c>
      <c r="D23" s="841" t="s">
        <v>918</v>
      </c>
      <c r="E23" s="852">
        <v>4</v>
      </c>
      <c r="F23" s="877">
        <f>'Harga Satuan Erection'!G19</f>
        <v>31009499.855238099</v>
      </c>
      <c r="G23" s="848">
        <f t="shared" si="0"/>
        <v>124037999.42095239</v>
      </c>
      <c r="H23" s="843">
        <f>'Harga Satuan Erection'!I19</f>
        <v>31009499.855238099</v>
      </c>
      <c r="I23" s="219">
        <f t="shared" si="1"/>
        <v>124037999.42095239</v>
      </c>
      <c r="J23"/>
    </row>
    <row r="24" spans="2:10">
      <c r="B24" s="303"/>
      <c r="C24" s="849"/>
      <c r="D24" s="853"/>
      <c r="E24" s="854"/>
      <c r="F24" s="878"/>
      <c r="G24" s="848"/>
      <c r="H24" s="843"/>
      <c r="I24" s="219"/>
      <c r="J24"/>
    </row>
    <row r="25" spans="2:10">
      <c r="B25" s="303"/>
      <c r="C25" s="851" t="s">
        <v>4039</v>
      </c>
      <c r="D25" s="853"/>
      <c r="E25" s="854"/>
      <c r="F25" s="878"/>
      <c r="G25" s="848"/>
      <c r="H25" s="843"/>
      <c r="I25" s="219"/>
      <c r="J25"/>
    </row>
    <row r="26" spans="2:10">
      <c r="B26" s="303"/>
      <c r="C26" s="849" t="s">
        <v>4040</v>
      </c>
      <c r="D26" s="841" t="s">
        <v>918</v>
      </c>
      <c r="E26" s="852">
        <v>0</v>
      </c>
      <c r="F26" s="877">
        <f>'Harga Satuan Erection'!G22</f>
        <v>25812690.57119048</v>
      </c>
      <c r="G26" s="848">
        <f t="shared" si="0"/>
        <v>0</v>
      </c>
      <c r="H26" s="843">
        <f>'Harga Satuan Erection'!I22</f>
        <v>25812690.57119048</v>
      </c>
      <c r="I26" s="219">
        <f t="shared" ref="I26:I31" si="2">E26*H26</f>
        <v>0</v>
      </c>
      <c r="J26"/>
    </row>
    <row r="27" spans="2:10">
      <c r="B27" s="303"/>
      <c r="C27" s="849" t="s">
        <v>4041</v>
      </c>
      <c r="D27" s="841" t="s">
        <v>918</v>
      </c>
      <c r="E27" s="852">
        <v>9</v>
      </c>
      <c r="F27" s="877">
        <f>'Harga Satuan Erection'!G23</f>
        <v>28569156.211904764</v>
      </c>
      <c r="G27" s="848">
        <f t="shared" si="0"/>
        <v>257122405.90714288</v>
      </c>
      <c r="H27" s="843">
        <f>'Harga Satuan Erection'!I23</f>
        <v>28569156.211904764</v>
      </c>
      <c r="I27" s="219">
        <f t="shared" si="2"/>
        <v>257122405.90714288</v>
      </c>
      <c r="J27"/>
    </row>
    <row r="28" spans="2:10">
      <c r="B28" s="303"/>
      <c r="C28" s="849" t="s">
        <v>4042</v>
      </c>
      <c r="D28" s="841" t="s">
        <v>918</v>
      </c>
      <c r="E28" s="852">
        <v>18</v>
      </c>
      <c r="F28" s="877">
        <f>'Harga Satuan Erection'!G24</f>
        <v>31304940.974285718</v>
      </c>
      <c r="G28" s="848">
        <f t="shared" si="0"/>
        <v>563488937.53714287</v>
      </c>
      <c r="H28" s="843">
        <f>'Harga Satuan Erection'!I24</f>
        <v>31304940.974285718</v>
      </c>
      <c r="I28" s="219">
        <f t="shared" si="2"/>
        <v>563488937.53714287</v>
      </c>
      <c r="J28"/>
    </row>
    <row r="29" spans="2:10">
      <c r="B29" s="303"/>
      <c r="C29" s="849" t="s">
        <v>4043</v>
      </c>
      <c r="D29" s="841" t="s">
        <v>918</v>
      </c>
      <c r="E29" s="852">
        <v>29</v>
      </c>
      <c r="F29" s="877">
        <f>'Harga Satuan Erection'!G25</f>
        <v>34977274.084047623</v>
      </c>
      <c r="G29" s="848">
        <f t="shared" si="0"/>
        <v>1014340948.437381</v>
      </c>
      <c r="H29" s="843">
        <f>'Harga Satuan Erection'!I25</f>
        <v>34977274.084047623</v>
      </c>
      <c r="I29" s="219">
        <f t="shared" si="2"/>
        <v>1014340948.437381</v>
      </c>
      <c r="J29"/>
    </row>
    <row r="30" spans="2:10">
      <c r="B30" s="303"/>
      <c r="C30" s="849" t="s">
        <v>4044</v>
      </c>
      <c r="D30" s="841" t="s">
        <v>918</v>
      </c>
      <c r="E30" s="852">
        <v>16</v>
      </c>
      <c r="F30" s="877">
        <f>'Harga Satuan Erection'!G26</f>
        <v>37911004.396190479</v>
      </c>
      <c r="G30" s="848">
        <f t="shared" si="0"/>
        <v>606576070.33904767</v>
      </c>
      <c r="H30" s="843">
        <f>'Harga Satuan Erection'!I26</f>
        <v>37911004.396190479</v>
      </c>
      <c r="I30" s="219">
        <f t="shared" si="2"/>
        <v>606576070.33904767</v>
      </c>
      <c r="J30"/>
    </row>
    <row r="31" spans="2:10">
      <c r="B31" s="303"/>
      <c r="C31" s="849" t="s">
        <v>4045</v>
      </c>
      <c r="D31" s="841" t="s">
        <v>918</v>
      </c>
      <c r="E31" s="852">
        <v>4</v>
      </c>
      <c r="F31" s="877">
        <f>'Harga Satuan Erection'!G27</f>
        <v>44351620.791428573</v>
      </c>
      <c r="G31" s="848">
        <f t="shared" si="0"/>
        <v>177406483.16571429</v>
      </c>
      <c r="H31" s="843">
        <f>'Harga Satuan Erection'!I27</f>
        <v>44351620.791428573</v>
      </c>
      <c r="I31" s="219">
        <f t="shared" si="2"/>
        <v>177406483.16571429</v>
      </c>
      <c r="J31"/>
    </row>
    <row r="32" spans="2:10">
      <c r="B32" s="303"/>
      <c r="C32" s="849"/>
      <c r="D32" s="841"/>
      <c r="E32" s="852"/>
      <c r="F32" s="878"/>
      <c r="G32" s="848"/>
      <c r="H32" s="843"/>
      <c r="I32" s="219"/>
      <c r="J32"/>
    </row>
    <row r="33" spans="2:10">
      <c r="B33" s="303"/>
      <c r="C33" s="851" t="s">
        <v>4046</v>
      </c>
      <c r="D33" s="853"/>
      <c r="E33" s="852"/>
      <c r="F33" s="878"/>
      <c r="G33" s="848"/>
      <c r="H33" s="843"/>
      <c r="I33" s="219"/>
      <c r="J33"/>
    </row>
    <row r="34" spans="2:10">
      <c r="B34" s="303"/>
      <c r="C34" s="849" t="s">
        <v>4047</v>
      </c>
      <c r="D34" s="841" t="s">
        <v>918</v>
      </c>
      <c r="E34" s="852">
        <v>0</v>
      </c>
      <c r="F34" s="877">
        <f>'Harga Satuan Erection'!G30</f>
        <v>34451388.892142862</v>
      </c>
      <c r="G34" s="848">
        <f t="shared" si="0"/>
        <v>0</v>
      </c>
      <c r="H34" s="843">
        <f>'Harga Satuan Erection'!I30</f>
        <v>34451388.892142862</v>
      </c>
      <c r="I34" s="219">
        <f t="shared" ref="I34:I39" si="3">E34*H34</f>
        <v>0</v>
      </c>
      <c r="J34"/>
    </row>
    <row r="35" spans="2:10">
      <c r="B35" s="303"/>
      <c r="C35" s="849" t="s">
        <v>4048</v>
      </c>
      <c r="D35" s="841" t="s">
        <v>918</v>
      </c>
      <c r="E35" s="852">
        <v>0</v>
      </c>
      <c r="F35" s="877">
        <f>'Harga Satuan Erection'!G31</f>
        <v>40428162.730476193</v>
      </c>
      <c r="G35" s="848">
        <f t="shared" si="0"/>
        <v>0</v>
      </c>
      <c r="H35" s="843">
        <f>'Harga Satuan Erection'!I31</f>
        <v>40428162.730476193</v>
      </c>
      <c r="I35" s="219">
        <f t="shared" si="3"/>
        <v>0</v>
      </c>
      <c r="J35"/>
    </row>
    <row r="36" spans="2:10">
      <c r="B36" s="303"/>
      <c r="C36" s="849" t="s">
        <v>4049</v>
      </c>
      <c r="D36" s="841" t="s">
        <v>918</v>
      </c>
      <c r="E36" s="852">
        <v>0</v>
      </c>
      <c r="F36" s="877">
        <f>'Harga Satuan Erection'!G32</f>
        <v>41214036.107142858</v>
      </c>
      <c r="G36" s="848">
        <f t="shared" si="0"/>
        <v>0</v>
      </c>
      <c r="H36" s="843">
        <f>'Harga Satuan Erection'!I32</f>
        <v>41214036.107142858</v>
      </c>
      <c r="I36" s="219">
        <f t="shared" si="3"/>
        <v>0</v>
      </c>
      <c r="J36"/>
    </row>
    <row r="37" spans="2:10">
      <c r="B37" s="303"/>
      <c r="C37" s="849" t="s">
        <v>4050</v>
      </c>
      <c r="D37" s="841" t="s">
        <v>918</v>
      </c>
      <c r="E37" s="852">
        <v>4</v>
      </c>
      <c r="F37" s="877">
        <f>'Harga Satuan Erection'!G33</f>
        <v>45140448.579285719</v>
      </c>
      <c r="G37" s="848">
        <f t="shared" si="0"/>
        <v>180561794.31714287</v>
      </c>
      <c r="H37" s="843">
        <f>'Harga Satuan Erection'!I33</f>
        <v>45140448.579285719</v>
      </c>
      <c r="I37" s="219">
        <f t="shared" si="3"/>
        <v>180561794.31714287</v>
      </c>
      <c r="J37"/>
    </row>
    <row r="38" spans="2:10">
      <c r="B38" s="303"/>
      <c r="C38" s="849" t="s">
        <v>4051</v>
      </c>
      <c r="D38" s="841" t="s">
        <v>918</v>
      </c>
      <c r="E38" s="852">
        <v>1</v>
      </c>
      <c r="F38" s="877">
        <f>'Harga Satuan Erection'!G34</f>
        <v>48993000.771666668</v>
      </c>
      <c r="G38" s="848">
        <f t="shared" si="0"/>
        <v>48993000.771666668</v>
      </c>
      <c r="H38" s="843">
        <f>'Harga Satuan Erection'!I34</f>
        <v>48993000.771666668</v>
      </c>
      <c r="I38" s="219">
        <f t="shared" si="3"/>
        <v>48993000.771666668</v>
      </c>
      <c r="J38"/>
    </row>
    <row r="39" spans="2:10">
      <c r="B39" s="303"/>
      <c r="C39" s="849" t="s">
        <v>4052</v>
      </c>
      <c r="D39" s="841" t="s">
        <v>918</v>
      </c>
      <c r="E39" s="852">
        <v>0</v>
      </c>
      <c r="F39" s="877">
        <f>'Harga Satuan Erection'!G35</f>
        <v>56249034.655476198</v>
      </c>
      <c r="G39" s="848">
        <f t="shared" si="0"/>
        <v>0</v>
      </c>
      <c r="H39" s="843">
        <f>'Harga Satuan Erection'!I35</f>
        <v>56249034.655476198</v>
      </c>
      <c r="I39" s="219">
        <f t="shared" si="3"/>
        <v>0</v>
      </c>
      <c r="J39"/>
    </row>
    <row r="40" spans="2:10">
      <c r="B40" s="303"/>
      <c r="C40" s="849"/>
      <c r="D40" s="841"/>
      <c r="E40" s="852"/>
      <c r="F40" s="878"/>
      <c r="G40" s="848"/>
      <c r="H40" s="843"/>
      <c r="I40" s="219"/>
      <c r="J40"/>
    </row>
    <row r="41" spans="2:10">
      <c r="B41" s="303"/>
      <c r="C41" s="851" t="s">
        <v>4053</v>
      </c>
      <c r="D41" s="853"/>
      <c r="E41" s="852"/>
      <c r="F41" s="878"/>
      <c r="G41" s="848"/>
      <c r="H41" s="843"/>
      <c r="I41" s="219"/>
      <c r="J41"/>
    </row>
    <row r="42" spans="2:10">
      <c r="B42" s="303"/>
      <c r="C42" s="849" t="s">
        <v>4054</v>
      </c>
      <c r="D42" s="841" t="s">
        <v>918</v>
      </c>
      <c r="E42" s="852">
        <v>0</v>
      </c>
      <c r="F42" s="877">
        <f>'Harga Satuan Erection'!G38</f>
        <v>43166901.904047623</v>
      </c>
      <c r="G42" s="848">
        <f t="shared" si="0"/>
        <v>0</v>
      </c>
      <c r="H42" s="843">
        <f>'Harga Satuan Erection'!I38</f>
        <v>43166901.904047623</v>
      </c>
      <c r="I42" s="219">
        <f t="shared" ref="I42:I46" si="4">E42*H42</f>
        <v>0</v>
      </c>
      <c r="J42"/>
    </row>
    <row r="43" spans="2:10">
      <c r="B43" s="303"/>
      <c r="C43" s="849" t="s">
        <v>4055</v>
      </c>
      <c r="D43" s="841" t="s">
        <v>918</v>
      </c>
      <c r="E43" s="852">
        <v>1</v>
      </c>
      <c r="F43" s="877">
        <f>'Harga Satuan Erection'!G39</f>
        <v>48248489.151666671</v>
      </c>
      <c r="G43" s="848">
        <f t="shared" si="0"/>
        <v>48248489.151666671</v>
      </c>
      <c r="H43" s="843">
        <f>'Harga Satuan Erection'!I39</f>
        <v>48248489.151666671</v>
      </c>
      <c r="I43" s="219">
        <f t="shared" si="4"/>
        <v>48248489.151666671</v>
      </c>
      <c r="J43"/>
    </row>
    <row r="44" spans="2:10">
      <c r="B44" s="303"/>
      <c r="C44" s="849" t="s">
        <v>4056</v>
      </c>
      <c r="D44" s="841" t="s">
        <v>918</v>
      </c>
      <c r="E44" s="852">
        <v>1</v>
      </c>
      <c r="F44" s="877">
        <f>'Harga Satuan Erection'!G40</f>
        <v>52325576.594523817</v>
      </c>
      <c r="G44" s="848">
        <f t="shared" si="0"/>
        <v>52325576.594523817</v>
      </c>
      <c r="H44" s="843">
        <f>'Harga Satuan Erection'!I40</f>
        <v>52325576.594523817</v>
      </c>
      <c r="I44" s="219">
        <f t="shared" si="4"/>
        <v>52325576.594523817</v>
      </c>
      <c r="J44"/>
    </row>
    <row r="45" spans="2:10">
      <c r="B45" s="303"/>
      <c r="C45" s="849" t="s">
        <v>4057</v>
      </c>
      <c r="D45" s="841" t="s">
        <v>918</v>
      </c>
      <c r="E45" s="852">
        <v>1</v>
      </c>
      <c r="F45" s="877">
        <f>'Harga Satuan Erection'!G41</f>
        <v>58367347.479047626</v>
      </c>
      <c r="G45" s="848">
        <f t="shared" si="0"/>
        <v>58367347.479047626</v>
      </c>
      <c r="H45" s="843">
        <f>'Harga Satuan Erection'!I41</f>
        <v>58367347.479047626</v>
      </c>
      <c r="I45" s="219">
        <f t="shared" si="4"/>
        <v>58367347.479047626</v>
      </c>
      <c r="J45"/>
    </row>
    <row r="46" spans="2:10">
      <c r="B46" s="303"/>
      <c r="C46" s="849" t="s">
        <v>4058</v>
      </c>
      <c r="D46" s="841" t="s">
        <v>918</v>
      </c>
      <c r="E46" s="852">
        <v>0</v>
      </c>
      <c r="F46" s="877">
        <f>'Harga Satuan Erection'!G42</f>
        <v>62568520.191904768</v>
      </c>
      <c r="G46" s="848">
        <f t="shared" si="0"/>
        <v>0</v>
      </c>
      <c r="H46" s="843">
        <f>'Harga Satuan Erection'!I42</f>
        <v>62568520.191904768</v>
      </c>
      <c r="I46" s="219">
        <f t="shared" si="4"/>
        <v>0</v>
      </c>
      <c r="J46"/>
    </row>
    <row r="47" spans="2:10">
      <c r="B47" s="303"/>
      <c r="C47" s="849" t="s">
        <v>4059</v>
      </c>
      <c r="D47" s="841" t="s">
        <v>918</v>
      </c>
      <c r="E47" s="852">
        <v>0</v>
      </c>
      <c r="F47" s="877">
        <f>'Harga Satuan Erection'!G43</f>
        <v>70873370.048333347</v>
      </c>
      <c r="G47" s="848">
        <f t="shared" si="0"/>
        <v>0</v>
      </c>
      <c r="H47" s="843">
        <f>'Harga Satuan Erection'!I43</f>
        <v>70873370.048333347</v>
      </c>
      <c r="I47" s="219">
        <f t="shared" ref="I47" si="5">G47*H47</f>
        <v>0</v>
      </c>
      <c r="J47"/>
    </row>
    <row r="48" spans="2:10">
      <c r="B48" s="303"/>
      <c r="C48" s="849"/>
      <c r="D48" s="841"/>
      <c r="E48" s="852"/>
      <c r="F48" s="878"/>
      <c r="G48" s="848"/>
      <c r="H48" s="843"/>
      <c r="I48" s="219"/>
      <c r="J48"/>
    </row>
    <row r="49" spans="2:10">
      <c r="B49" s="303"/>
      <c r="C49" s="851" t="s">
        <v>4060</v>
      </c>
      <c r="D49" s="853"/>
      <c r="E49" s="852"/>
      <c r="F49" s="878"/>
      <c r="G49" s="848"/>
      <c r="H49" s="843"/>
      <c r="I49" s="219"/>
      <c r="J49"/>
    </row>
    <row r="50" spans="2:10">
      <c r="B50" s="303"/>
      <c r="C50" s="849" t="s">
        <v>4061</v>
      </c>
      <c r="D50" s="841" t="s">
        <v>918</v>
      </c>
      <c r="E50" s="852">
        <v>0</v>
      </c>
      <c r="F50" s="877">
        <f>'Harga Satuan Erection'!G46</f>
        <v>52366938.351190485</v>
      </c>
      <c r="G50" s="848">
        <f t="shared" si="0"/>
        <v>0</v>
      </c>
      <c r="H50" s="843">
        <f>'Harga Satuan Erection'!I46</f>
        <v>52366938.351190485</v>
      </c>
      <c r="I50" s="219">
        <f t="shared" ref="I50:I55" si="6">E50*H50</f>
        <v>0</v>
      </c>
      <c r="J50"/>
    </row>
    <row r="51" spans="2:10">
      <c r="B51" s="303"/>
      <c r="C51" s="849" t="s">
        <v>4062</v>
      </c>
      <c r="D51" s="841" t="s">
        <v>918</v>
      </c>
      <c r="E51" s="852">
        <v>1</v>
      </c>
      <c r="F51" s="877">
        <f>'Harga Satuan Erection'!G47</f>
        <v>56253466.27226191</v>
      </c>
      <c r="G51" s="848">
        <f t="shared" si="0"/>
        <v>56253466.27226191</v>
      </c>
      <c r="H51" s="843">
        <f>'Harga Satuan Erection'!I47</f>
        <v>56253466.27226191</v>
      </c>
      <c r="I51" s="219">
        <f t="shared" si="6"/>
        <v>56253466.27226191</v>
      </c>
      <c r="J51"/>
    </row>
    <row r="52" spans="2:10">
      <c r="B52" s="303"/>
      <c r="C52" s="849" t="s">
        <v>4063</v>
      </c>
      <c r="D52" s="841" t="s">
        <v>918</v>
      </c>
      <c r="E52" s="852">
        <v>0</v>
      </c>
      <c r="F52" s="877">
        <f>'Harga Satuan Erection'!G48</f>
        <v>58789828.279285721</v>
      </c>
      <c r="G52" s="848">
        <f t="shared" si="0"/>
        <v>0</v>
      </c>
      <c r="H52" s="843">
        <f>'Harga Satuan Erection'!I48</f>
        <v>58789828.279285721</v>
      </c>
      <c r="I52" s="219">
        <f t="shared" si="6"/>
        <v>0</v>
      </c>
      <c r="J52"/>
    </row>
    <row r="53" spans="2:10">
      <c r="B53" s="303"/>
      <c r="C53" s="849" t="s">
        <v>4064</v>
      </c>
      <c r="D53" s="841" t="s">
        <v>918</v>
      </c>
      <c r="E53" s="852">
        <v>0</v>
      </c>
      <c r="F53" s="877">
        <f>'Harga Satuan Erection'!G49</f>
        <v>62623915.401726194</v>
      </c>
      <c r="G53" s="848">
        <f t="shared" si="0"/>
        <v>0</v>
      </c>
      <c r="H53" s="843">
        <f>'Harga Satuan Erection'!I49</f>
        <v>62623915.401726194</v>
      </c>
      <c r="I53" s="219">
        <f t="shared" si="6"/>
        <v>0</v>
      </c>
      <c r="J53"/>
    </row>
    <row r="54" spans="2:10">
      <c r="B54" s="303"/>
      <c r="C54" s="849" t="s">
        <v>4065</v>
      </c>
      <c r="D54" s="841" t="s">
        <v>918</v>
      </c>
      <c r="E54" s="852">
        <v>0</v>
      </c>
      <c r="F54" s="877">
        <f>'Harga Satuan Erection'!G50</f>
        <v>66086485.316964291</v>
      </c>
      <c r="G54" s="848">
        <f t="shared" si="0"/>
        <v>0</v>
      </c>
      <c r="H54" s="843">
        <f>'Harga Satuan Erection'!I50</f>
        <v>66086485.316964291</v>
      </c>
      <c r="I54" s="219">
        <f t="shared" si="6"/>
        <v>0</v>
      </c>
      <c r="J54"/>
    </row>
    <row r="55" spans="2:10">
      <c r="B55" s="303"/>
      <c r="C55" s="849" t="s">
        <v>4066</v>
      </c>
      <c r="D55" s="841" t="s">
        <v>918</v>
      </c>
      <c r="E55" s="852">
        <v>0</v>
      </c>
      <c r="F55" s="877">
        <f>'Harga Satuan Erection'!G51</f>
        <v>72103143.706369057</v>
      </c>
      <c r="G55" s="848">
        <f t="shared" si="0"/>
        <v>0</v>
      </c>
      <c r="H55" s="843">
        <f>'Harga Satuan Erection'!I51</f>
        <v>72103143.706369057</v>
      </c>
      <c r="I55" s="219">
        <f t="shared" si="6"/>
        <v>0</v>
      </c>
      <c r="J55"/>
    </row>
    <row r="56" spans="2:10">
      <c r="B56" s="303"/>
      <c r="C56" s="185"/>
      <c r="D56" s="841"/>
      <c r="E56" s="854"/>
      <c r="F56" s="878"/>
      <c r="G56" s="848">
        <f>SUM(G18:G55)</f>
        <v>4015445130.5734525</v>
      </c>
      <c r="H56" s="843"/>
      <c r="I56" s="219">
        <f>SUM(I18:I55)</f>
        <v>4015445130.5734525</v>
      </c>
      <c r="J56"/>
    </row>
    <row r="57" spans="2:10" ht="18" customHeight="1">
      <c r="B57" s="855" t="s">
        <v>717</v>
      </c>
      <c r="C57" s="856" t="s">
        <v>4118</v>
      </c>
      <c r="D57" s="237"/>
      <c r="E57" s="857"/>
      <c r="F57" s="879"/>
      <c r="G57" s="859"/>
      <c r="H57" s="858"/>
      <c r="I57" s="860"/>
      <c r="J57"/>
    </row>
    <row r="58" spans="2:10" ht="18" customHeight="1">
      <c r="B58" s="235"/>
      <c r="C58" s="861" t="s">
        <v>4097</v>
      </c>
      <c r="D58" s="862"/>
      <c r="E58" s="863"/>
      <c r="F58" s="878"/>
      <c r="G58" s="848"/>
      <c r="H58" s="843"/>
      <c r="I58" s="219"/>
      <c r="J58"/>
    </row>
    <row r="59" spans="2:10">
      <c r="B59" s="252"/>
      <c r="C59" s="850" t="s">
        <v>4098</v>
      </c>
      <c r="D59" s="864"/>
      <c r="E59" s="865"/>
      <c r="F59" s="880"/>
      <c r="G59" s="848"/>
      <c r="H59" s="866"/>
      <c r="I59" s="219"/>
      <c r="J59"/>
    </row>
    <row r="60" spans="2:10">
      <c r="B60" s="252"/>
      <c r="C60" s="867" t="s">
        <v>4099</v>
      </c>
      <c r="D60" s="864" t="s">
        <v>918</v>
      </c>
      <c r="E60" s="865">
        <v>4</v>
      </c>
      <c r="F60" s="877">
        <f>'Harga Satuan Erection'!G90</f>
        <v>567322.91</v>
      </c>
      <c r="G60" s="848">
        <f t="shared" ref="G60:G97" si="7">E60*F60</f>
        <v>2269291.64</v>
      </c>
      <c r="H60" s="866">
        <f>'Harga Satuan Erection'!I90</f>
        <v>567322.91</v>
      </c>
      <c r="I60" s="219">
        <f t="shared" ref="I60:I65" si="8">E60*H60</f>
        <v>2269291.64</v>
      </c>
      <c r="J60"/>
    </row>
    <row r="61" spans="2:10">
      <c r="B61" s="252"/>
      <c r="C61" s="867" t="s">
        <v>4100</v>
      </c>
      <c r="D61" s="864" t="s">
        <v>918</v>
      </c>
      <c r="E61" s="865">
        <v>11</v>
      </c>
      <c r="F61" s="877">
        <f>'Harga Satuan Erection'!G91</f>
        <v>567322.91</v>
      </c>
      <c r="G61" s="848">
        <f t="shared" si="7"/>
        <v>6240552.0100000007</v>
      </c>
      <c r="H61" s="866">
        <f>'Harga Satuan Erection'!I91</f>
        <v>567322.91</v>
      </c>
      <c r="I61" s="219">
        <f t="shared" si="8"/>
        <v>6240552.0100000007</v>
      </c>
      <c r="J61"/>
    </row>
    <row r="62" spans="2:10">
      <c r="B62" s="252"/>
      <c r="C62" s="867" t="s">
        <v>4101</v>
      </c>
      <c r="D62" s="864" t="s">
        <v>918</v>
      </c>
      <c r="E62" s="865">
        <v>0</v>
      </c>
      <c r="F62" s="877">
        <f>'Harga Satuan Erection'!G92</f>
        <v>567322.91</v>
      </c>
      <c r="G62" s="848">
        <f t="shared" si="7"/>
        <v>0</v>
      </c>
      <c r="H62" s="866">
        <f>'Harga Satuan Erection'!I92</f>
        <v>567322.91</v>
      </c>
      <c r="I62" s="219">
        <f t="shared" si="8"/>
        <v>0</v>
      </c>
      <c r="J62"/>
    </row>
    <row r="63" spans="2:10">
      <c r="B63" s="252"/>
      <c r="C63" s="867" t="s">
        <v>4102</v>
      </c>
      <c r="D63" s="864" t="s">
        <v>918</v>
      </c>
      <c r="E63" s="865">
        <v>14</v>
      </c>
      <c r="F63" s="877">
        <f>'Harga Satuan Erection'!G93</f>
        <v>567322.91</v>
      </c>
      <c r="G63" s="848">
        <f t="shared" si="7"/>
        <v>7942520.7400000002</v>
      </c>
      <c r="H63" s="866">
        <f>'Harga Satuan Erection'!I93</f>
        <v>567322.91</v>
      </c>
      <c r="I63" s="219">
        <f t="shared" si="8"/>
        <v>7942520.7400000002</v>
      </c>
      <c r="J63"/>
    </row>
    <row r="64" spans="2:10">
      <c r="B64" s="252"/>
      <c r="C64" s="867" t="s">
        <v>4103</v>
      </c>
      <c r="D64" s="864" t="s">
        <v>918</v>
      </c>
      <c r="E64" s="865">
        <v>0</v>
      </c>
      <c r="F64" s="877">
        <f>'Harga Satuan Erection'!G94</f>
        <v>567322.91</v>
      </c>
      <c r="G64" s="848">
        <f t="shared" si="7"/>
        <v>0</v>
      </c>
      <c r="H64" s="866">
        <f>'Harga Satuan Erection'!I94</f>
        <v>567322.91</v>
      </c>
      <c r="I64" s="219">
        <f t="shared" si="8"/>
        <v>0</v>
      </c>
      <c r="J64"/>
    </row>
    <row r="65" spans="2:10">
      <c r="B65" s="252"/>
      <c r="C65" s="850" t="s">
        <v>4104</v>
      </c>
      <c r="D65" s="864" t="s">
        <v>918</v>
      </c>
      <c r="E65" s="865">
        <v>8</v>
      </c>
      <c r="F65" s="877">
        <f>'Harga Satuan Erection'!G95</f>
        <v>567322.91</v>
      </c>
      <c r="G65" s="848">
        <f t="shared" si="7"/>
        <v>4538583.28</v>
      </c>
      <c r="H65" s="866">
        <f>'Harga Satuan Erection'!I95</f>
        <v>567322.91</v>
      </c>
      <c r="I65" s="219">
        <f t="shared" si="8"/>
        <v>4538583.28</v>
      </c>
      <c r="J65"/>
    </row>
    <row r="66" spans="2:10" ht="18" customHeight="1">
      <c r="B66" s="235"/>
      <c r="C66" s="861" t="s">
        <v>4105</v>
      </c>
      <c r="D66" s="862"/>
      <c r="E66" s="865"/>
      <c r="F66" s="880"/>
      <c r="G66" s="848"/>
      <c r="H66" s="866"/>
      <c r="I66" s="219"/>
      <c r="J66"/>
    </row>
    <row r="67" spans="2:10">
      <c r="B67" s="252"/>
      <c r="C67" s="850" t="s">
        <v>4098</v>
      </c>
      <c r="D67" s="864"/>
      <c r="E67" s="865"/>
      <c r="F67" s="880"/>
      <c r="G67" s="848"/>
      <c r="H67" s="866"/>
      <c r="I67" s="219"/>
      <c r="J67"/>
    </row>
    <row r="68" spans="2:10">
      <c r="B68" s="252"/>
      <c r="C68" s="867" t="s">
        <v>4099</v>
      </c>
      <c r="D68" s="864" t="s">
        <v>918</v>
      </c>
      <c r="E68" s="865">
        <v>9</v>
      </c>
      <c r="F68" s="877">
        <f>'Harga Satuan Erection'!G98</f>
        <v>567322.91</v>
      </c>
      <c r="G68" s="848">
        <f t="shared" si="7"/>
        <v>5105906.1900000004</v>
      </c>
      <c r="H68" s="866">
        <f>'Harga Satuan Erection'!I98</f>
        <v>567322.91</v>
      </c>
      <c r="I68" s="219">
        <f t="shared" ref="I68:I73" si="9">E68*H68</f>
        <v>5105906.1900000004</v>
      </c>
      <c r="J68"/>
    </row>
    <row r="69" spans="2:10">
      <c r="B69" s="252"/>
      <c r="C69" s="867" t="s">
        <v>4100</v>
      </c>
      <c r="D69" s="864" t="s">
        <v>918</v>
      </c>
      <c r="E69" s="865">
        <v>25</v>
      </c>
      <c r="F69" s="877">
        <f>'Harga Satuan Erection'!G99</f>
        <v>567322.91</v>
      </c>
      <c r="G69" s="848">
        <f t="shared" si="7"/>
        <v>14183072.75</v>
      </c>
      <c r="H69" s="866">
        <f>'Harga Satuan Erection'!I99</f>
        <v>567322.91</v>
      </c>
      <c r="I69" s="219">
        <f t="shared" si="9"/>
        <v>14183072.75</v>
      </c>
      <c r="J69"/>
    </row>
    <row r="70" spans="2:10">
      <c r="B70" s="252"/>
      <c r="C70" s="867" t="s">
        <v>4101</v>
      </c>
      <c r="D70" s="864" t="s">
        <v>918</v>
      </c>
      <c r="E70" s="865">
        <v>0</v>
      </c>
      <c r="F70" s="877">
        <f>'Harga Satuan Erection'!G100</f>
        <v>567322.91</v>
      </c>
      <c r="G70" s="848">
        <f t="shared" si="7"/>
        <v>0</v>
      </c>
      <c r="H70" s="866">
        <f>'Harga Satuan Erection'!I100</f>
        <v>567322.91</v>
      </c>
      <c r="I70" s="219">
        <f t="shared" si="9"/>
        <v>0</v>
      </c>
      <c r="J70"/>
    </row>
    <row r="71" spans="2:10">
      <c r="B71" s="252"/>
      <c r="C71" s="867" t="s">
        <v>4102</v>
      </c>
      <c r="D71" s="864" t="s">
        <v>918</v>
      </c>
      <c r="E71" s="865">
        <v>20</v>
      </c>
      <c r="F71" s="877">
        <f>'Harga Satuan Erection'!G101</f>
        <v>567322.91</v>
      </c>
      <c r="G71" s="848">
        <f t="shared" si="7"/>
        <v>11346458.200000001</v>
      </c>
      <c r="H71" s="866">
        <f>'Harga Satuan Erection'!I101</f>
        <v>567322.91</v>
      </c>
      <c r="I71" s="219">
        <f t="shared" si="9"/>
        <v>11346458.200000001</v>
      </c>
      <c r="J71"/>
    </row>
    <row r="72" spans="2:10">
      <c r="B72" s="252"/>
      <c r="C72" s="867" t="s">
        <v>4103</v>
      </c>
      <c r="D72" s="864" t="s">
        <v>918</v>
      </c>
      <c r="E72" s="865">
        <v>0</v>
      </c>
      <c r="F72" s="877">
        <f>'Harga Satuan Erection'!G102</f>
        <v>567322.91</v>
      </c>
      <c r="G72" s="848">
        <f t="shared" si="7"/>
        <v>0</v>
      </c>
      <c r="H72" s="866">
        <f>'Harga Satuan Erection'!I102</f>
        <v>567322.91</v>
      </c>
      <c r="I72" s="219">
        <f t="shared" si="9"/>
        <v>0</v>
      </c>
      <c r="J72"/>
    </row>
    <row r="73" spans="2:10">
      <c r="B73" s="232"/>
      <c r="C73" s="231" t="s">
        <v>4104</v>
      </c>
      <c r="D73" s="230" t="s">
        <v>918</v>
      </c>
      <c r="E73" s="184">
        <v>22</v>
      </c>
      <c r="F73" s="877">
        <f>'Harga Satuan Erection'!G103</f>
        <v>567322.91</v>
      </c>
      <c r="G73" s="868">
        <f t="shared" si="7"/>
        <v>12481104.020000001</v>
      </c>
      <c r="H73" s="210">
        <f>'Harga Satuan Erection'!I103</f>
        <v>567322.91</v>
      </c>
      <c r="I73" s="219">
        <f t="shared" si="9"/>
        <v>12481104.020000001</v>
      </c>
      <c r="J73"/>
    </row>
    <row r="74" spans="2:10" ht="18" customHeight="1">
      <c r="B74" s="855"/>
      <c r="C74" s="869" t="s">
        <v>4106</v>
      </c>
      <c r="D74" s="237"/>
      <c r="E74" s="870"/>
      <c r="F74" s="881"/>
      <c r="G74" s="859"/>
      <c r="H74" s="871"/>
      <c r="I74" s="860"/>
      <c r="J74"/>
    </row>
    <row r="75" spans="2:10">
      <c r="B75" s="252"/>
      <c r="C75" s="850" t="s">
        <v>4098</v>
      </c>
      <c r="D75" s="864"/>
      <c r="E75" s="865"/>
      <c r="F75" s="880"/>
      <c r="G75" s="848"/>
      <c r="H75" s="866"/>
      <c r="I75" s="219"/>
      <c r="J75"/>
    </row>
    <row r="76" spans="2:10">
      <c r="B76" s="252"/>
      <c r="C76" s="867" t="s">
        <v>4099</v>
      </c>
      <c r="D76" s="864" t="s">
        <v>918</v>
      </c>
      <c r="E76" s="865">
        <v>0</v>
      </c>
      <c r="F76" s="877">
        <f>'Harga Satuan Erection'!G106</f>
        <v>567322.91</v>
      </c>
      <c r="G76" s="848">
        <f t="shared" si="7"/>
        <v>0</v>
      </c>
      <c r="H76" s="866">
        <f>'Harga Satuan Erection'!I106</f>
        <v>567322.91</v>
      </c>
      <c r="I76" s="219">
        <f t="shared" ref="I76:I81" si="10">E76*H76</f>
        <v>0</v>
      </c>
      <c r="J76"/>
    </row>
    <row r="77" spans="2:10">
      <c r="B77" s="252"/>
      <c r="C77" s="867" t="s">
        <v>4100</v>
      </c>
      <c r="D77" s="864" t="s">
        <v>918</v>
      </c>
      <c r="E77" s="865">
        <v>0</v>
      </c>
      <c r="F77" s="877">
        <f>'Harga Satuan Erection'!G107</f>
        <v>567322.91</v>
      </c>
      <c r="G77" s="848">
        <f t="shared" si="7"/>
        <v>0</v>
      </c>
      <c r="H77" s="866">
        <f>'Harga Satuan Erection'!I107</f>
        <v>567322.91</v>
      </c>
      <c r="I77" s="219">
        <f t="shared" si="10"/>
        <v>0</v>
      </c>
      <c r="J77"/>
    </row>
    <row r="78" spans="2:10">
      <c r="B78" s="252"/>
      <c r="C78" s="867" t="s">
        <v>4101</v>
      </c>
      <c r="D78" s="864" t="s">
        <v>918</v>
      </c>
      <c r="E78" s="865">
        <v>0</v>
      </c>
      <c r="F78" s="877">
        <f>'Harga Satuan Erection'!G108</f>
        <v>567322.91</v>
      </c>
      <c r="G78" s="848">
        <f t="shared" si="7"/>
        <v>0</v>
      </c>
      <c r="H78" s="866">
        <f>'Harga Satuan Erection'!I108</f>
        <v>567322.91</v>
      </c>
      <c r="I78" s="219">
        <f t="shared" si="10"/>
        <v>0</v>
      </c>
      <c r="J78"/>
    </row>
    <row r="79" spans="2:10">
      <c r="B79" s="252"/>
      <c r="C79" s="867" t="s">
        <v>4102</v>
      </c>
      <c r="D79" s="864" t="s">
        <v>918</v>
      </c>
      <c r="E79" s="865">
        <v>3</v>
      </c>
      <c r="F79" s="877">
        <f>'Harga Satuan Erection'!G109</f>
        <v>567322.91</v>
      </c>
      <c r="G79" s="848">
        <f t="shared" si="7"/>
        <v>1701968.73</v>
      </c>
      <c r="H79" s="866">
        <f>'Harga Satuan Erection'!I109</f>
        <v>567322.91</v>
      </c>
      <c r="I79" s="219">
        <f t="shared" si="10"/>
        <v>1701968.73</v>
      </c>
      <c r="J79"/>
    </row>
    <row r="80" spans="2:10">
      <c r="B80" s="252"/>
      <c r="C80" s="867" t="s">
        <v>4103</v>
      </c>
      <c r="D80" s="864" t="s">
        <v>918</v>
      </c>
      <c r="E80" s="865">
        <v>0</v>
      </c>
      <c r="F80" s="877">
        <f>'Harga Satuan Erection'!G110</f>
        <v>567322.91</v>
      </c>
      <c r="G80" s="848">
        <f t="shared" si="7"/>
        <v>0</v>
      </c>
      <c r="H80" s="866">
        <f>'Harga Satuan Erection'!I110</f>
        <v>567322.91</v>
      </c>
      <c r="I80" s="219">
        <f t="shared" si="10"/>
        <v>0</v>
      </c>
      <c r="J80"/>
    </row>
    <row r="81" spans="2:10">
      <c r="B81" s="252"/>
      <c r="C81" s="850" t="s">
        <v>4104</v>
      </c>
      <c r="D81" s="864" t="s">
        <v>918</v>
      </c>
      <c r="E81" s="865">
        <v>2</v>
      </c>
      <c r="F81" s="877">
        <f>'Harga Satuan Erection'!G111</f>
        <v>567322.91</v>
      </c>
      <c r="G81" s="848">
        <f t="shared" si="7"/>
        <v>1134645.82</v>
      </c>
      <c r="H81" s="866">
        <f>'Harga Satuan Erection'!I111</f>
        <v>567322.91</v>
      </c>
      <c r="I81" s="219">
        <f t="shared" si="10"/>
        <v>1134645.82</v>
      </c>
      <c r="J81"/>
    </row>
    <row r="82" spans="2:10" ht="18" customHeight="1">
      <c r="B82" s="235"/>
      <c r="C82" s="861" t="s">
        <v>4107</v>
      </c>
      <c r="D82" s="862"/>
      <c r="E82" s="865"/>
      <c r="F82" s="880"/>
      <c r="G82" s="848"/>
      <c r="H82" s="866"/>
      <c r="I82" s="219"/>
      <c r="J82"/>
    </row>
    <row r="83" spans="2:10">
      <c r="B83" s="252"/>
      <c r="C83" s="850" t="s">
        <v>4098</v>
      </c>
      <c r="D83" s="864"/>
      <c r="E83" s="865"/>
      <c r="F83" s="880"/>
      <c r="G83" s="848"/>
      <c r="H83" s="866"/>
      <c r="I83" s="219"/>
      <c r="J83"/>
    </row>
    <row r="84" spans="2:10">
      <c r="B84" s="252"/>
      <c r="C84" s="867" t="s">
        <v>4099</v>
      </c>
      <c r="D84" s="864" t="s">
        <v>918</v>
      </c>
      <c r="E84" s="865">
        <v>1</v>
      </c>
      <c r="F84" s="877">
        <f>'Harga Satuan Erection'!G114</f>
        <v>567322.91</v>
      </c>
      <c r="G84" s="848">
        <f t="shared" si="7"/>
        <v>567322.91</v>
      </c>
      <c r="H84" s="866">
        <f>'Harga Satuan Erection'!I114</f>
        <v>567322.91</v>
      </c>
      <c r="I84" s="219">
        <f t="shared" ref="I84:I89" si="11">E84*H84</f>
        <v>567322.91</v>
      </c>
      <c r="J84"/>
    </row>
    <row r="85" spans="2:10">
      <c r="B85" s="252"/>
      <c r="C85" s="867" t="s">
        <v>4100</v>
      </c>
      <c r="D85" s="864" t="s">
        <v>918</v>
      </c>
      <c r="E85" s="865">
        <v>0</v>
      </c>
      <c r="F85" s="877">
        <f>'Harga Satuan Erection'!G115</f>
        <v>567322.91</v>
      </c>
      <c r="G85" s="848">
        <f t="shared" si="7"/>
        <v>0</v>
      </c>
      <c r="H85" s="866">
        <f>'Harga Satuan Erection'!I115</f>
        <v>567322.91</v>
      </c>
      <c r="I85" s="219">
        <f t="shared" si="11"/>
        <v>0</v>
      </c>
      <c r="J85"/>
    </row>
    <row r="86" spans="2:10">
      <c r="B86" s="252"/>
      <c r="C86" s="867" t="s">
        <v>4101</v>
      </c>
      <c r="D86" s="864" t="s">
        <v>918</v>
      </c>
      <c r="E86" s="865">
        <v>0</v>
      </c>
      <c r="F86" s="877">
        <f>'Harga Satuan Erection'!G116</f>
        <v>567322.91</v>
      </c>
      <c r="G86" s="848">
        <f t="shared" si="7"/>
        <v>0</v>
      </c>
      <c r="H86" s="866">
        <f>'Harga Satuan Erection'!I116</f>
        <v>567322.91</v>
      </c>
      <c r="I86" s="219">
        <f t="shared" si="11"/>
        <v>0</v>
      </c>
      <c r="J86"/>
    </row>
    <row r="87" spans="2:10">
      <c r="B87" s="252"/>
      <c r="C87" s="867" t="s">
        <v>4102</v>
      </c>
      <c r="D87" s="864" t="s">
        <v>918</v>
      </c>
      <c r="E87" s="865">
        <v>1</v>
      </c>
      <c r="F87" s="877">
        <f>'Harga Satuan Erection'!G117</f>
        <v>567322.91</v>
      </c>
      <c r="G87" s="848">
        <f t="shared" si="7"/>
        <v>567322.91</v>
      </c>
      <c r="H87" s="866">
        <f>'Harga Satuan Erection'!I117</f>
        <v>567322.91</v>
      </c>
      <c r="I87" s="219">
        <f t="shared" si="11"/>
        <v>567322.91</v>
      </c>
      <c r="J87"/>
    </row>
    <row r="88" spans="2:10">
      <c r="B88" s="252"/>
      <c r="C88" s="867" t="s">
        <v>4103</v>
      </c>
      <c r="D88" s="864" t="s">
        <v>918</v>
      </c>
      <c r="E88" s="865">
        <v>0</v>
      </c>
      <c r="F88" s="877">
        <f>'Harga Satuan Erection'!G118</f>
        <v>567322.91</v>
      </c>
      <c r="G88" s="848">
        <f t="shared" si="7"/>
        <v>0</v>
      </c>
      <c r="H88" s="866">
        <f>'Harga Satuan Erection'!I118</f>
        <v>567322.91</v>
      </c>
      <c r="I88" s="219">
        <f t="shared" si="11"/>
        <v>0</v>
      </c>
      <c r="J88"/>
    </row>
    <row r="89" spans="2:10">
      <c r="B89" s="252"/>
      <c r="C89" s="850" t="s">
        <v>4104</v>
      </c>
      <c r="D89" s="864" t="s">
        <v>918</v>
      </c>
      <c r="E89" s="865">
        <v>1</v>
      </c>
      <c r="F89" s="877">
        <f>'Harga Satuan Erection'!G119</f>
        <v>567322.91</v>
      </c>
      <c r="G89" s="848">
        <f t="shared" si="7"/>
        <v>567322.91</v>
      </c>
      <c r="H89" s="866">
        <f>'Harga Satuan Erection'!I119</f>
        <v>567322.91</v>
      </c>
      <c r="I89" s="219">
        <f t="shared" si="11"/>
        <v>567322.91</v>
      </c>
      <c r="J89"/>
    </row>
    <row r="90" spans="2:10" ht="18" customHeight="1">
      <c r="B90" s="235"/>
      <c r="C90" s="861" t="s">
        <v>4108</v>
      </c>
      <c r="D90" s="862"/>
      <c r="E90" s="865"/>
      <c r="F90" s="880"/>
      <c r="G90" s="848"/>
      <c r="H90" s="866"/>
      <c r="I90" s="219"/>
      <c r="J90"/>
    </row>
    <row r="91" spans="2:10">
      <c r="B91" s="252"/>
      <c r="C91" s="850" t="s">
        <v>4098</v>
      </c>
      <c r="D91" s="864"/>
      <c r="E91" s="865"/>
      <c r="F91" s="880"/>
      <c r="G91" s="848"/>
      <c r="H91" s="866"/>
      <c r="I91" s="219"/>
      <c r="J91"/>
    </row>
    <row r="92" spans="2:10">
      <c r="B92" s="252"/>
      <c r="C92" s="867" t="s">
        <v>4099</v>
      </c>
      <c r="D92" s="864" t="s">
        <v>918</v>
      </c>
      <c r="E92" s="865">
        <v>0</v>
      </c>
      <c r="F92" s="877">
        <f>'Harga Satuan Erection'!G122</f>
        <v>567322.91</v>
      </c>
      <c r="G92" s="848">
        <f t="shared" si="7"/>
        <v>0</v>
      </c>
      <c r="H92" s="866">
        <f>'Harga Satuan Erection'!I122</f>
        <v>567322.91</v>
      </c>
      <c r="I92" s="219">
        <f t="shared" ref="I92:I97" si="12">E92*H92</f>
        <v>0</v>
      </c>
      <c r="J92"/>
    </row>
    <row r="93" spans="2:10">
      <c r="B93" s="252"/>
      <c r="C93" s="867" t="s">
        <v>4100</v>
      </c>
      <c r="D93" s="864" t="s">
        <v>918</v>
      </c>
      <c r="E93" s="865">
        <v>0</v>
      </c>
      <c r="F93" s="877">
        <f>'Harga Satuan Erection'!G123</f>
        <v>567322.91</v>
      </c>
      <c r="G93" s="848">
        <f t="shared" si="7"/>
        <v>0</v>
      </c>
      <c r="H93" s="866">
        <f>'Harga Satuan Erection'!I123</f>
        <v>567322.91</v>
      </c>
      <c r="I93" s="219">
        <f t="shared" si="12"/>
        <v>0</v>
      </c>
      <c r="J93"/>
    </row>
    <row r="94" spans="2:10">
      <c r="B94" s="252"/>
      <c r="C94" s="867" t="s">
        <v>4101</v>
      </c>
      <c r="D94" s="864" t="s">
        <v>918</v>
      </c>
      <c r="E94" s="865">
        <v>0</v>
      </c>
      <c r="F94" s="877">
        <f>'Harga Satuan Erection'!G124</f>
        <v>567322.91</v>
      </c>
      <c r="G94" s="848">
        <f t="shared" si="7"/>
        <v>0</v>
      </c>
      <c r="H94" s="866">
        <f>'Harga Satuan Erection'!I124</f>
        <v>567322.91</v>
      </c>
      <c r="I94" s="219">
        <f t="shared" si="12"/>
        <v>0</v>
      </c>
      <c r="J94"/>
    </row>
    <row r="95" spans="2:10">
      <c r="B95" s="252"/>
      <c r="C95" s="867" t="s">
        <v>4102</v>
      </c>
      <c r="D95" s="864" t="s">
        <v>918</v>
      </c>
      <c r="E95" s="865">
        <v>1</v>
      </c>
      <c r="F95" s="877">
        <f>'Harga Satuan Erection'!G125</f>
        <v>567322.91</v>
      </c>
      <c r="G95" s="848">
        <f t="shared" si="7"/>
        <v>567322.91</v>
      </c>
      <c r="H95" s="866">
        <f>'Harga Satuan Erection'!I125</f>
        <v>567322.91</v>
      </c>
      <c r="I95" s="219">
        <f t="shared" si="12"/>
        <v>567322.91</v>
      </c>
      <c r="J95"/>
    </row>
    <row r="96" spans="2:10">
      <c r="B96" s="252"/>
      <c r="C96" s="867" t="s">
        <v>4103</v>
      </c>
      <c r="D96" s="864" t="s">
        <v>918</v>
      </c>
      <c r="E96" s="865">
        <v>0</v>
      </c>
      <c r="F96" s="877">
        <f>'Harga Satuan Erection'!G126</f>
        <v>567322.91</v>
      </c>
      <c r="G96" s="848">
        <f t="shared" si="7"/>
        <v>0</v>
      </c>
      <c r="H96" s="866">
        <f>'Harga Satuan Erection'!I126</f>
        <v>567322.91</v>
      </c>
      <c r="I96" s="219">
        <f t="shared" si="12"/>
        <v>0</v>
      </c>
      <c r="J96"/>
    </row>
    <row r="97" spans="2:10">
      <c r="B97" s="252"/>
      <c r="C97" s="850" t="s">
        <v>4104</v>
      </c>
      <c r="D97" s="864" t="s">
        <v>918</v>
      </c>
      <c r="E97" s="865">
        <v>0</v>
      </c>
      <c r="F97" s="877">
        <f>'Harga Satuan Erection'!G127</f>
        <v>567322.91</v>
      </c>
      <c r="G97" s="848">
        <f t="shared" si="7"/>
        <v>0</v>
      </c>
      <c r="H97" s="866">
        <f>'Harga Satuan Erection'!I127</f>
        <v>567322.91</v>
      </c>
      <c r="I97" s="219">
        <f t="shared" si="12"/>
        <v>0</v>
      </c>
      <c r="J97"/>
    </row>
    <row r="98" spans="2:10">
      <c r="B98" s="303"/>
      <c r="C98" s="846"/>
      <c r="D98" s="841"/>
      <c r="E98" s="865"/>
      <c r="F98" s="878"/>
      <c r="G98" s="848">
        <f>SUM(G60:G97)</f>
        <v>69213395.019999996</v>
      </c>
      <c r="H98" s="843"/>
      <c r="I98" s="219">
        <f>SUM(I60:I97)</f>
        <v>69213395.019999996</v>
      </c>
      <c r="J98"/>
    </row>
    <row r="99" spans="2:10">
      <c r="B99" s="839" t="s">
        <v>735</v>
      </c>
      <c r="C99" s="840" t="s">
        <v>4119</v>
      </c>
      <c r="D99" s="197"/>
      <c r="E99" s="872"/>
      <c r="F99" s="879"/>
      <c r="G99" s="859"/>
      <c r="H99" s="858"/>
      <c r="I99" s="860"/>
      <c r="J99"/>
    </row>
    <row r="100" spans="2:10">
      <c r="B100" s="303"/>
      <c r="C100" s="849" t="s">
        <v>2082</v>
      </c>
      <c r="D100" s="841" t="s">
        <v>918</v>
      </c>
      <c r="E100" s="873">
        <v>122</v>
      </c>
      <c r="F100" s="877">
        <f>'Harga Satuan Erection'!G130</f>
        <v>224545.75</v>
      </c>
      <c r="G100" s="848">
        <f>E100*F100</f>
        <v>27394581.5</v>
      </c>
      <c r="H100" s="843">
        <f>'Harga Satuan Erection'!I130</f>
        <v>224545.75</v>
      </c>
      <c r="I100" s="219">
        <f t="shared" ref="I100:I102" si="13">E100*H100</f>
        <v>27394581.5</v>
      </c>
      <c r="J100"/>
    </row>
    <row r="101" spans="2:10">
      <c r="B101" s="303"/>
      <c r="C101" s="849" t="s">
        <v>2083</v>
      </c>
      <c r="D101" s="841" t="s">
        <v>918</v>
      </c>
      <c r="E101" s="873">
        <v>244</v>
      </c>
      <c r="F101" s="877">
        <f>'Harga Satuan Erection'!G131</f>
        <v>224545.75</v>
      </c>
      <c r="G101" s="848">
        <f>E101*F101</f>
        <v>54789163</v>
      </c>
      <c r="H101" s="843">
        <f>'Harga Satuan Erection'!I131</f>
        <v>224545.75</v>
      </c>
      <c r="I101" s="219">
        <f t="shared" si="13"/>
        <v>54789163</v>
      </c>
      <c r="J101"/>
    </row>
    <row r="102" spans="2:10">
      <c r="B102" s="303"/>
      <c r="C102" s="849" t="s">
        <v>4110</v>
      </c>
      <c r="D102" s="841" t="s">
        <v>918</v>
      </c>
      <c r="E102" s="873">
        <v>244</v>
      </c>
      <c r="F102" s="877">
        <f>'Harga Satuan Erection'!G132</f>
        <v>224545.75</v>
      </c>
      <c r="G102" s="848">
        <f>E102*F102</f>
        <v>54789163</v>
      </c>
      <c r="H102" s="843">
        <f>'Harga Satuan Erection'!I132</f>
        <v>224545.75</v>
      </c>
      <c r="I102" s="219">
        <f t="shared" si="13"/>
        <v>54789163</v>
      </c>
      <c r="J102"/>
    </row>
    <row r="103" spans="2:10">
      <c r="B103" s="183"/>
      <c r="C103" s="182"/>
      <c r="D103" s="181"/>
      <c r="E103" s="796"/>
      <c r="F103" s="882"/>
      <c r="G103" s="868">
        <f>SUM(G100:G102)</f>
        <v>136972907.5</v>
      </c>
      <c r="H103" s="179"/>
      <c r="I103" s="217">
        <f>SUM(I100:I102)</f>
        <v>136972907.5</v>
      </c>
      <c r="J103"/>
    </row>
    <row r="104" spans="2:10">
      <c r="B104" s="839" t="s">
        <v>760</v>
      </c>
      <c r="C104" s="840" t="s">
        <v>4124</v>
      </c>
      <c r="D104" s="197"/>
      <c r="E104" s="872"/>
      <c r="F104" s="879"/>
      <c r="G104" s="859"/>
      <c r="H104" s="858"/>
      <c r="I104" s="860"/>
      <c r="J104"/>
    </row>
    <row r="105" spans="2:10">
      <c r="B105" s="303"/>
      <c r="C105" s="853" t="s">
        <v>4120</v>
      </c>
      <c r="D105" s="841" t="s">
        <v>918</v>
      </c>
      <c r="E105" s="873">
        <v>122</v>
      </c>
      <c r="F105" s="877">
        <f>'Harga Satuan Erection'!G135</f>
        <v>2982375</v>
      </c>
      <c r="G105" s="848">
        <f>E105*F105</f>
        <v>363849750</v>
      </c>
      <c r="H105" s="843">
        <f>'Harga Satuan Erection'!I135</f>
        <v>2982375</v>
      </c>
      <c r="I105" s="219">
        <f>E105*H105</f>
        <v>363849750</v>
      </c>
      <c r="J105"/>
    </row>
    <row r="106" spans="2:10">
      <c r="B106" s="303"/>
      <c r="C106" s="849"/>
      <c r="D106" s="841"/>
      <c r="E106" s="874"/>
      <c r="F106" s="843"/>
      <c r="G106" s="848"/>
      <c r="H106" s="843"/>
      <c r="I106" s="219"/>
      <c r="J106"/>
    </row>
    <row r="107" spans="2:10" ht="15.75" thickBot="1">
      <c r="B107" s="1099" t="s">
        <v>4125</v>
      </c>
      <c r="C107" s="1100"/>
      <c r="D107" s="1100"/>
      <c r="E107" s="1100"/>
      <c r="F107" s="1100"/>
      <c r="G107" s="1100"/>
      <c r="H107" s="1101"/>
      <c r="I107" s="180"/>
      <c r="J107" s="875"/>
    </row>
    <row r="108" spans="2:10" ht="13.5" customHeight="1" thickTop="1">
      <c r="B108" s="1157" t="s">
        <v>4126</v>
      </c>
      <c r="C108" s="1158"/>
      <c r="D108" s="1158"/>
      <c r="E108" s="1158"/>
      <c r="F108" s="1158"/>
      <c r="G108" s="1158"/>
      <c r="H108" s="1158"/>
      <c r="I108" s="1159"/>
      <c r="J108" s="876"/>
    </row>
    <row r="109" spans="2:10" ht="15.75" thickBot="1">
      <c r="B109" s="1160"/>
      <c r="C109" s="1161"/>
      <c r="D109" s="1161"/>
      <c r="E109" s="1161"/>
      <c r="F109" s="1161"/>
      <c r="G109" s="1161"/>
      <c r="H109" s="1161"/>
      <c r="I109" s="1162"/>
      <c r="J109" s="876"/>
    </row>
    <row r="110" spans="2:10" ht="15.75" thickTop="1"/>
  </sheetData>
  <mergeCells count="21">
    <mergeCell ref="B2:I2"/>
    <mergeCell ref="B3:I3"/>
    <mergeCell ref="B5:I5"/>
    <mergeCell ref="B108:I109"/>
    <mergeCell ref="B7:B9"/>
    <mergeCell ref="C7:C9"/>
    <mergeCell ref="D8:D9"/>
    <mergeCell ref="E8:E9"/>
    <mergeCell ref="B11:B12"/>
    <mergeCell ref="C11:C12"/>
    <mergeCell ref="D11:D12"/>
    <mergeCell ref="E11:E12"/>
    <mergeCell ref="F11:F12"/>
    <mergeCell ref="B107:H107"/>
    <mergeCell ref="I11:I12"/>
    <mergeCell ref="M3:N3"/>
    <mergeCell ref="B4:I4"/>
    <mergeCell ref="M4:N4"/>
    <mergeCell ref="H11:H12"/>
    <mergeCell ref="G11:G12"/>
    <mergeCell ref="D7:I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7" orientation="portrait" horizontalDpi="4294967293" verticalDpi="4294967293" r:id="rId1"/>
  <rowBreaks count="1" manualBreakCount="1">
    <brk id="73" min="1" max="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2060"/>
  </sheetPr>
  <dimension ref="B1:W136"/>
  <sheetViews>
    <sheetView topLeftCell="A123" zoomScale="85" zoomScaleNormal="85" workbookViewId="0">
      <selection activeCell="K12" sqref="K12"/>
    </sheetView>
  </sheetViews>
  <sheetFormatPr defaultRowHeight="15"/>
  <cols>
    <col min="1" max="1" width="4" customWidth="1"/>
    <col min="2" max="2" width="3.85546875" bestFit="1" customWidth="1"/>
    <col min="3" max="3" width="39.85546875" customWidth="1"/>
    <col min="4" max="4" width="10.7109375" customWidth="1"/>
    <col min="5" max="5" width="17.85546875" customWidth="1"/>
    <col min="6" max="6" width="18.5703125" customWidth="1"/>
    <col min="7" max="7" width="18.5703125" style="634" customWidth="1"/>
    <col min="8" max="8" width="18.5703125" style="791" customWidth="1"/>
    <col min="9" max="9" width="18.5703125" style="634" customWidth="1"/>
    <col min="225" max="225" width="3.85546875" bestFit="1" customWidth="1"/>
    <col min="226" max="226" width="38.7109375" customWidth="1"/>
    <col min="227" max="227" width="10.7109375" customWidth="1"/>
    <col min="228" max="228" width="14.7109375" customWidth="1"/>
    <col min="229" max="229" width="16.7109375" customWidth="1"/>
    <col min="230" max="230" width="18.7109375" customWidth="1"/>
    <col min="233" max="233" width="13.5703125" customWidth="1"/>
    <col min="234" max="234" width="10.5703125" bestFit="1" customWidth="1"/>
    <col min="240" max="240" width="4.140625" bestFit="1" customWidth="1"/>
    <col min="241" max="241" width="27.85546875" bestFit="1" customWidth="1"/>
    <col min="242" max="242" width="7.5703125" bestFit="1" customWidth="1"/>
    <col min="243" max="243" width="13.7109375" bestFit="1" customWidth="1"/>
    <col min="244" max="244" width="22.140625" bestFit="1" customWidth="1"/>
    <col min="245" max="245" width="26.42578125" bestFit="1" customWidth="1"/>
    <col min="246" max="246" width="20.85546875" bestFit="1" customWidth="1"/>
    <col min="247" max="247" width="14.7109375" bestFit="1" customWidth="1"/>
    <col min="248" max="248" width="16.140625" bestFit="1" customWidth="1"/>
    <col min="249" max="249" width="13.140625" bestFit="1" customWidth="1"/>
    <col min="250" max="250" width="23" bestFit="1" customWidth="1"/>
    <col min="251" max="251" width="11.5703125" bestFit="1" customWidth="1"/>
    <col min="259" max="259" width="4" customWidth="1"/>
    <col min="260" max="260" width="3.85546875" bestFit="1" customWidth="1"/>
    <col min="261" max="261" width="38.7109375" customWidth="1"/>
    <col min="262" max="262" width="10.7109375" customWidth="1"/>
    <col min="263" max="263" width="17.85546875" customWidth="1"/>
    <col min="264" max="264" width="18.7109375" customWidth="1"/>
    <col min="265" max="265" width="21.7109375" customWidth="1"/>
    <col min="481" max="481" width="3.85546875" bestFit="1" customWidth="1"/>
    <col min="482" max="482" width="38.7109375" customWidth="1"/>
    <col min="483" max="483" width="10.7109375" customWidth="1"/>
    <col min="484" max="484" width="14.7109375" customWidth="1"/>
    <col min="485" max="485" width="16.7109375" customWidth="1"/>
    <col min="486" max="486" width="18.7109375" customWidth="1"/>
    <col min="489" max="489" width="13.5703125" customWidth="1"/>
    <col min="490" max="490" width="10.5703125" bestFit="1" customWidth="1"/>
    <col min="496" max="496" width="4.140625" bestFit="1" customWidth="1"/>
    <col min="497" max="497" width="27.85546875" bestFit="1" customWidth="1"/>
    <col min="498" max="498" width="7.5703125" bestFit="1" customWidth="1"/>
    <col min="499" max="499" width="13.7109375" bestFit="1" customWidth="1"/>
    <col min="500" max="500" width="22.140625" bestFit="1" customWidth="1"/>
    <col min="501" max="501" width="26.42578125" bestFit="1" customWidth="1"/>
    <col min="502" max="502" width="20.85546875" bestFit="1" customWidth="1"/>
    <col min="503" max="503" width="14.7109375" bestFit="1" customWidth="1"/>
    <col min="504" max="504" width="16.140625" bestFit="1" customWidth="1"/>
    <col min="505" max="505" width="13.140625" bestFit="1" customWidth="1"/>
    <col min="506" max="506" width="23" bestFit="1" customWidth="1"/>
    <col min="507" max="507" width="11.5703125" bestFit="1" customWidth="1"/>
    <col min="515" max="515" width="4" customWidth="1"/>
    <col min="516" max="516" width="3.85546875" bestFit="1" customWidth="1"/>
    <col min="517" max="517" width="38.7109375" customWidth="1"/>
    <col min="518" max="518" width="10.7109375" customWidth="1"/>
    <col min="519" max="519" width="17.85546875" customWidth="1"/>
    <col min="520" max="520" width="18.7109375" customWidth="1"/>
    <col min="521" max="521" width="21.7109375" customWidth="1"/>
    <col min="737" max="737" width="3.85546875" bestFit="1" customWidth="1"/>
    <col min="738" max="738" width="38.7109375" customWidth="1"/>
    <col min="739" max="739" width="10.7109375" customWidth="1"/>
    <col min="740" max="740" width="14.7109375" customWidth="1"/>
    <col min="741" max="741" width="16.7109375" customWidth="1"/>
    <col min="742" max="742" width="18.7109375" customWidth="1"/>
    <col min="745" max="745" width="13.5703125" customWidth="1"/>
    <col min="746" max="746" width="10.5703125" bestFit="1" customWidth="1"/>
    <col min="752" max="752" width="4.140625" bestFit="1" customWidth="1"/>
    <col min="753" max="753" width="27.85546875" bestFit="1" customWidth="1"/>
    <col min="754" max="754" width="7.5703125" bestFit="1" customWidth="1"/>
    <col min="755" max="755" width="13.7109375" bestFit="1" customWidth="1"/>
    <col min="756" max="756" width="22.140625" bestFit="1" customWidth="1"/>
    <col min="757" max="757" width="26.42578125" bestFit="1" customWidth="1"/>
    <col min="758" max="758" width="20.85546875" bestFit="1" customWidth="1"/>
    <col min="759" max="759" width="14.7109375" bestFit="1" customWidth="1"/>
    <col min="760" max="760" width="16.140625" bestFit="1" customWidth="1"/>
    <col min="761" max="761" width="13.140625" bestFit="1" customWidth="1"/>
    <col min="762" max="762" width="23" bestFit="1" customWidth="1"/>
    <col min="763" max="763" width="11.5703125" bestFit="1" customWidth="1"/>
    <col min="771" max="771" width="4" customWidth="1"/>
    <col min="772" max="772" width="3.85546875" bestFit="1" customWidth="1"/>
    <col min="773" max="773" width="38.7109375" customWidth="1"/>
    <col min="774" max="774" width="10.7109375" customWidth="1"/>
    <col min="775" max="775" width="17.85546875" customWidth="1"/>
    <col min="776" max="776" width="18.7109375" customWidth="1"/>
    <col min="777" max="777" width="21.7109375" customWidth="1"/>
    <col min="993" max="993" width="3.85546875" bestFit="1" customWidth="1"/>
    <col min="994" max="994" width="38.7109375" customWidth="1"/>
    <col min="995" max="995" width="10.7109375" customWidth="1"/>
    <col min="996" max="996" width="14.7109375" customWidth="1"/>
    <col min="997" max="997" width="16.7109375" customWidth="1"/>
    <col min="998" max="998" width="18.7109375" customWidth="1"/>
    <col min="1001" max="1001" width="13.5703125" customWidth="1"/>
    <col min="1002" max="1002" width="10.5703125" bestFit="1" customWidth="1"/>
    <col min="1008" max="1008" width="4.140625" bestFit="1" customWidth="1"/>
    <col min="1009" max="1009" width="27.85546875" bestFit="1" customWidth="1"/>
    <col min="1010" max="1010" width="7.5703125" bestFit="1" customWidth="1"/>
    <col min="1011" max="1011" width="13.7109375" bestFit="1" customWidth="1"/>
    <col min="1012" max="1012" width="22.140625" bestFit="1" customWidth="1"/>
    <col min="1013" max="1013" width="26.42578125" bestFit="1" customWidth="1"/>
    <col min="1014" max="1014" width="20.85546875" bestFit="1" customWidth="1"/>
    <col min="1015" max="1015" width="14.7109375" bestFit="1" customWidth="1"/>
    <col min="1016" max="1016" width="16.140625" bestFit="1" customWidth="1"/>
    <col min="1017" max="1017" width="13.140625" bestFit="1" customWidth="1"/>
    <col min="1018" max="1018" width="23" bestFit="1" customWidth="1"/>
    <col min="1019" max="1019" width="11.5703125" bestFit="1" customWidth="1"/>
    <col min="1027" max="1027" width="4" customWidth="1"/>
    <col min="1028" max="1028" width="3.85546875" bestFit="1" customWidth="1"/>
    <col min="1029" max="1029" width="38.7109375" customWidth="1"/>
    <col min="1030" max="1030" width="10.7109375" customWidth="1"/>
    <col min="1031" max="1031" width="17.85546875" customWidth="1"/>
    <col min="1032" max="1032" width="18.7109375" customWidth="1"/>
    <col min="1033" max="1033" width="21.7109375" customWidth="1"/>
    <col min="1249" max="1249" width="3.85546875" bestFit="1" customWidth="1"/>
    <col min="1250" max="1250" width="38.7109375" customWidth="1"/>
    <col min="1251" max="1251" width="10.7109375" customWidth="1"/>
    <col min="1252" max="1252" width="14.7109375" customWidth="1"/>
    <col min="1253" max="1253" width="16.7109375" customWidth="1"/>
    <col min="1254" max="1254" width="18.7109375" customWidth="1"/>
    <col min="1257" max="1257" width="13.5703125" customWidth="1"/>
    <col min="1258" max="1258" width="10.5703125" bestFit="1" customWidth="1"/>
    <col min="1264" max="1264" width="4.140625" bestFit="1" customWidth="1"/>
    <col min="1265" max="1265" width="27.85546875" bestFit="1" customWidth="1"/>
    <col min="1266" max="1266" width="7.5703125" bestFit="1" customWidth="1"/>
    <col min="1267" max="1267" width="13.7109375" bestFit="1" customWidth="1"/>
    <col min="1268" max="1268" width="22.140625" bestFit="1" customWidth="1"/>
    <col min="1269" max="1269" width="26.42578125" bestFit="1" customWidth="1"/>
    <col min="1270" max="1270" width="20.85546875" bestFit="1" customWidth="1"/>
    <col min="1271" max="1271" width="14.7109375" bestFit="1" customWidth="1"/>
    <col min="1272" max="1272" width="16.140625" bestFit="1" customWidth="1"/>
    <col min="1273" max="1273" width="13.140625" bestFit="1" customWidth="1"/>
    <col min="1274" max="1274" width="23" bestFit="1" customWidth="1"/>
    <col min="1275" max="1275" width="11.5703125" bestFit="1" customWidth="1"/>
    <col min="1283" max="1283" width="4" customWidth="1"/>
    <col min="1284" max="1284" width="3.85546875" bestFit="1" customWidth="1"/>
    <col min="1285" max="1285" width="38.7109375" customWidth="1"/>
    <col min="1286" max="1286" width="10.7109375" customWidth="1"/>
    <col min="1287" max="1287" width="17.85546875" customWidth="1"/>
    <col min="1288" max="1288" width="18.7109375" customWidth="1"/>
    <col min="1289" max="1289" width="21.7109375" customWidth="1"/>
    <col min="1505" max="1505" width="3.85546875" bestFit="1" customWidth="1"/>
    <col min="1506" max="1506" width="38.7109375" customWidth="1"/>
    <col min="1507" max="1507" width="10.7109375" customWidth="1"/>
    <col min="1508" max="1508" width="14.7109375" customWidth="1"/>
    <col min="1509" max="1509" width="16.7109375" customWidth="1"/>
    <col min="1510" max="1510" width="18.7109375" customWidth="1"/>
    <col min="1513" max="1513" width="13.5703125" customWidth="1"/>
    <col min="1514" max="1514" width="10.5703125" bestFit="1" customWidth="1"/>
    <col min="1520" max="1520" width="4.140625" bestFit="1" customWidth="1"/>
    <col min="1521" max="1521" width="27.85546875" bestFit="1" customWidth="1"/>
    <col min="1522" max="1522" width="7.5703125" bestFit="1" customWidth="1"/>
    <col min="1523" max="1523" width="13.7109375" bestFit="1" customWidth="1"/>
    <col min="1524" max="1524" width="22.140625" bestFit="1" customWidth="1"/>
    <col min="1525" max="1525" width="26.42578125" bestFit="1" customWidth="1"/>
    <col min="1526" max="1526" width="20.85546875" bestFit="1" customWidth="1"/>
    <col min="1527" max="1527" width="14.7109375" bestFit="1" customWidth="1"/>
    <col min="1528" max="1528" width="16.140625" bestFit="1" customWidth="1"/>
    <col min="1529" max="1529" width="13.140625" bestFit="1" customWidth="1"/>
    <col min="1530" max="1530" width="23" bestFit="1" customWidth="1"/>
    <col min="1531" max="1531" width="11.5703125" bestFit="1" customWidth="1"/>
    <col min="1539" max="1539" width="4" customWidth="1"/>
    <col min="1540" max="1540" width="3.85546875" bestFit="1" customWidth="1"/>
    <col min="1541" max="1541" width="38.7109375" customWidth="1"/>
    <col min="1542" max="1542" width="10.7109375" customWidth="1"/>
    <col min="1543" max="1543" width="17.85546875" customWidth="1"/>
    <col min="1544" max="1544" width="18.7109375" customWidth="1"/>
    <col min="1545" max="1545" width="21.7109375" customWidth="1"/>
    <col min="1761" max="1761" width="3.85546875" bestFit="1" customWidth="1"/>
    <col min="1762" max="1762" width="38.7109375" customWidth="1"/>
    <col min="1763" max="1763" width="10.7109375" customWidth="1"/>
    <col min="1764" max="1764" width="14.7109375" customWidth="1"/>
    <col min="1765" max="1765" width="16.7109375" customWidth="1"/>
    <col min="1766" max="1766" width="18.7109375" customWidth="1"/>
    <col min="1769" max="1769" width="13.5703125" customWidth="1"/>
    <col min="1770" max="1770" width="10.5703125" bestFit="1" customWidth="1"/>
    <col min="1776" max="1776" width="4.140625" bestFit="1" customWidth="1"/>
    <col min="1777" max="1777" width="27.85546875" bestFit="1" customWidth="1"/>
    <col min="1778" max="1778" width="7.5703125" bestFit="1" customWidth="1"/>
    <col min="1779" max="1779" width="13.7109375" bestFit="1" customWidth="1"/>
    <col min="1780" max="1780" width="22.140625" bestFit="1" customWidth="1"/>
    <col min="1781" max="1781" width="26.42578125" bestFit="1" customWidth="1"/>
    <col min="1782" max="1782" width="20.85546875" bestFit="1" customWidth="1"/>
    <col min="1783" max="1783" width="14.7109375" bestFit="1" customWidth="1"/>
    <col min="1784" max="1784" width="16.140625" bestFit="1" customWidth="1"/>
    <col min="1785" max="1785" width="13.140625" bestFit="1" customWidth="1"/>
    <col min="1786" max="1786" width="23" bestFit="1" customWidth="1"/>
    <col min="1787" max="1787" width="11.5703125" bestFit="1" customWidth="1"/>
    <col min="1795" max="1795" width="4" customWidth="1"/>
    <col min="1796" max="1796" width="3.85546875" bestFit="1" customWidth="1"/>
    <col min="1797" max="1797" width="38.7109375" customWidth="1"/>
    <col min="1798" max="1798" width="10.7109375" customWidth="1"/>
    <col min="1799" max="1799" width="17.85546875" customWidth="1"/>
    <col min="1800" max="1800" width="18.7109375" customWidth="1"/>
    <col min="1801" max="1801" width="21.7109375" customWidth="1"/>
    <col min="2017" max="2017" width="3.85546875" bestFit="1" customWidth="1"/>
    <col min="2018" max="2018" width="38.7109375" customWidth="1"/>
    <col min="2019" max="2019" width="10.7109375" customWidth="1"/>
    <col min="2020" max="2020" width="14.7109375" customWidth="1"/>
    <col min="2021" max="2021" width="16.7109375" customWidth="1"/>
    <col min="2022" max="2022" width="18.7109375" customWidth="1"/>
    <col min="2025" max="2025" width="13.5703125" customWidth="1"/>
    <col min="2026" max="2026" width="10.5703125" bestFit="1" customWidth="1"/>
    <col min="2032" max="2032" width="4.140625" bestFit="1" customWidth="1"/>
    <col min="2033" max="2033" width="27.85546875" bestFit="1" customWidth="1"/>
    <col min="2034" max="2034" width="7.5703125" bestFit="1" customWidth="1"/>
    <col min="2035" max="2035" width="13.7109375" bestFit="1" customWidth="1"/>
    <col min="2036" max="2036" width="22.140625" bestFit="1" customWidth="1"/>
    <col min="2037" max="2037" width="26.42578125" bestFit="1" customWidth="1"/>
    <col min="2038" max="2038" width="20.85546875" bestFit="1" customWidth="1"/>
    <col min="2039" max="2039" width="14.7109375" bestFit="1" customWidth="1"/>
    <col min="2040" max="2040" width="16.140625" bestFit="1" customWidth="1"/>
    <col min="2041" max="2041" width="13.140625" bestFit="1" customWidth="1"/>
    <col min="2042" max="2042" width="23" bestFit="1" customWidth="1"/>
    <col min="2043" max="2043" width="11.5703125" bestFit="1" customWidth="1"/>
    <col min="2051" max="2051" width="4" customWidth="1"/>
    <col min="2052" max="2052" width="3.85546875" bestFit="1" customWidth="1"/>
    <col min="2053" max="2053" width="38.7109375" customWidth="1"/>
    <col min="2054" max="2054" width="10.7109375" customWidth="1"/>
    <col min="2055" max="2055" width="17.85546875" customWidth="1"/>
    <col min="2056" max="2056" width="18.7109375" customWidth="1"/>
    <col min="2057" max="2057" width="21.7109375" customWidth="1"/>
    <col min="2273" max="2273" width="3.85546875" bestFit="1" customWidth="1"/>
    <col min="2274" max="2274" width="38.7109375" customWidth="1"/>
    <col min="2275" max="2275" width="10.7109375" customWidth="1"/>
    <col min="2276" max="2276" width="14.7109375" customWidth="1"/>
    <col min="2277" max="2277" width="16.7109375" customWidth="1"/>
    <col min="2278" max="2278" width="18.7109375" customWidth="1"/>
    <col min="2281" max="2281" width="13.5703125" customWidth="1"/>
    <col min="2282" max="2282" width="10.5703125" bestFit="1" customWidth="1"/>
    <col min="2288" max="2288" width="4.140625" bestFit="1" customWidth="1"/>
    <col min="2289" max="2289" width="27.85546875" bestFit="1" customWidth="1"/>
    <col min="2290" max="2290" width="7.5703125" bestFit="1" customWidth="1"/>
    <col min="2291" max="2291" width="13.7109375" bestFit="1" customWidth="1"/>
    <col min="2292" max="2292" width="22.140625" bestFit="1" customWidth="1"/>
    <col min="2293" max="2293" width="26.42578125" bestFit="1" customWidth="1"/>
    <col min="2294" max="2294" width="20.85546875" bestFit="1" customWidth="1"/>
    <col min="2295" max="2295" width="14.7109375" bestFit="1" customWidth="1"/>
    <col min="2296" max="2296" width="16.140625" bestFit="1" customWidth="1"/>
    <col min="2297" max="2297" width="13.140625" bestFit="1" customWidth="1"/>
    <col min="2298" max="2298" width="23" bestFit="1" customWidth="1"/>
    <col min="2299" max="2299" width="11.5703125" bestFit="1" customWidth="1"/>
    <col min="2307" max="2307" width="4" customWidth="1"/>
    <col min="2308" max="2308" width="3.85546875" bestFit="1" customWidth="1"/>
    <col min="2309" max="2309" width="38.7109375" customWidth="1"/>
    <col min="2310" max="2310" width="10.7109375" customWidth="1"/>
    <col min="2311" max="2311" width="17.85546875" customWidth="1"/>
    <col min="2312" max="2312" width="18.7109375" customWidth="1"/>
    <col min="2313" max="2313" width="21.7109375" customWidth="1"/>
    <col min="2529" max="2529" width="3.85546875" bestFit="1" customWidth="1"/>
    <col min="2530" max="2530" width="38.7109375" customWidth="1"/>
    <col min="2531" max="2531" width="10.7109375" customWidth="1"/>
    <col min="2532" max="2532" width="14.7109375" customWidth="1"/>
    <col min="2533" max="2533" width="16.7109375" customWidth="1"/>
    <col min="2534" max="2534" width="18.7109375" customWidth="1"/>
    <col min="2537" max="2537" width="13.5703125" customWidth="1"/>
    <col min="2538" max="2538" width="10.5703125" bestFit="1" customWidth="1"/>
    <col min="2544" max="2544" width="4.140625" bestFit="1" customWidth="1"/>
    <col min="2545" max="2545" width="27.85546875" bestFit="1" customWidth="1"/>
    <col min="2546" max="2546" width="7.5703125" bestFit="1" customWidth="1"/>
    <col min="2547" max="2547" width="13.7109375" bestFit="1" customWidth="1"/>
    <col min="2548" max="2548" width="22.140625" bestFit="1" customWidth="1"/>
    <col min="2549" max="2549" width="26.42578125" bestFit="1" customWidth="1"/>
    <col min="2550" max="2550" width="20.85546875" bestFit="1" customWidth="1"/>
    <col min="2551" max="2551" width="14.7109375" bestFit="1" customWidth="1"/>
    <col min="2552" max="2552" width="16.140625" bestFit="1" customWidth="1"/>
    <col min="2553" max="2553" width="13.140625" bestFit="1" customWidth="1"/>
    <col min="2554" max="2554" width="23" bestFit="1" customWidth="1"/>
    <col min="2555" max="2555" width="11.5703125" bestFit="1" customWidth="1"/>
    <col min="2563" max="2563" width="4" customWidth="1"/>
    <col min="2564" max="2564" width="3.85546875" bestFit="1" customWidth="1"/>
    <col min="2565" max="2565" width="38.7109375" customWidth="1"/>
    <col min="2566" max="2566" width="10.7109375" customWidth="1"/>
    <col min="2567" max="2567" width="17.85546875" customWidth="1"/>
    <col min="2568" max="2568" width="18.7109375" customWidth="1"/>
    <col min="2569" max="2569" width="21.7109375" customWidth="1"/>
    <col min="2785" max="2785" width="3.85546875" bestFit="1" customWidth="1"/>
    <col min="2786" max="2786" width="38.7109375" customWidth="1"/>
    <col min="2787" max="2787" width="10.7109375" customWidth="1"/>
    <col min="2788" max="2788" width="14.7109375" customWidth="1"/>
    <col min="2789" max="2789" width="16.7109375" customWidth="1"/>
    <col min="2790" max="2790" width="18.7109375" customWidth="1"/>
    <col min="2793" max="2793" width="13.5703125" customWidth="1"/>
    <col min="2794" max="2794" width="10.5703125" bestFit="1" customWidth="1"/>
    <col min="2800" max="2800" width="4.140625" bestFit="1" customWidth="1"/>
    <col min="2801" max="2801" width="27.85546875" bestFit="1" customWidth="1"/>
    <col min="2802" max="2802" width="7.5703125" bestFit="1" customWidth="1"/>
    <col min="2803" max="2803" width="13.7109375" bestFit="1" customWidth="1"/>
    <col min="2804" max="2804" width="22.140625" bestFit="1" customWidth="1"/>
    <col min="2805" max="2805" width="26.42578125" bestFit="1" customWidth="1"/>
    <col min="2806" max="2806" width="20.85546875" bestFit="1" customWidth="1"/>
    <col min="2807" max="2807" width="14.7109375" bestFit="1" customWidth="1"/>
    <col min="2808" max="2808" width="16.140625" bestFit="1" customWidth="1"/>
    <col min="2809" max="2809" width="13.140625" bestFit="1" customWidth="1"/>
    <col min="2810" max="2810" width="23" bestFit="1" customWidth="1"/>
    <col min="2811" max="2811" width="11.5703125" bestFit="1" customWidth="1"/>
    <col min="2819" max="2819" width="4" customWidth="1"/>
    <col min="2820" max="2820" width="3.85546875" bestFit="1" customWidth="1"/>
    <col min="2821" max="2821" width="38.7109375" customWidth="1"/>
    <col min="2822" max="2822" width="10.7109375" customWidth="1"/>
    <col min="2823" max="2823" width="17.85546875" customWidth="1"/>
    <col min="2824" max="2824" width="18.7109375" customWidth="1"/>
    <col min="2825" max="2825" width="21.7109375" customWidth="1"/>
    <col min="3041" max="3041" width="3.85546875" bestFit="1" customWidth="1"/>
    <col min="3042" max="3042" width="38.7109375" customWidth="1"/>
    <col min="3043" max="3043" width="10.7109375" customWidth="1"/>
    <col min="3044" max="3044" width="14.7109375" customWidth="1"/>
    <col min="3045" max="3045" width="16.7109375" customWidth="1"/>
    <col min="3046" max="3046" width="18.7109375" customWidth="1"/>
    <col min="3049" max="3049" width="13.5703125" customWidth="1"/>
    <col min="3050" max="3050" width="10.5703125" bestFit="1" customWidth="1"/>
    <col min="3056" max="3056" width="4.140625" bestFit="1" customWidth="1"/>
    <col min="3057" max="3057" width="27.85546875" bestFit="1" customWidth="1"/>
    <col min="3058" max="3058" width="7.5703125" bestFit="1" customWidth="1"/>
    <col min="3059" max="3059" width="13.7109375" bestFit="1" customWidth="1"/>
    <col min="3060" max="3060" width="22.140625" bestFit="1" customWidth="1"/>
    <col min="3061" max="3061" width="26.42578125" bestFit="1" customWidth="1"/>
    <col min="3062" max="3062" width="20.85546875" bestFit="1" customWidth="1"/>
    <col min="3063" max="3063" width="14.7109375" bestFit="1" customWidth="1"/>
    <col min="3064" max="3064" width="16.140625" bestFit="1" customWidth="1"/>
    <col min="3065" max="3065" width="13.140625" bestFit="1" customWidth="1"/>
    <col min="3066" max="3066" width="23" bestFit="1" customWidth="1"/>
    <col min="3067" max="3067" width="11.5703125" bestFit="1" customWidth="1"/>
    <col min="3075" max="3075" width="4" customWidth="1"/>
    <col min="3076" max="3076" width="3.85546875" bestFit="1" customWidth="1"/>
    <col min="3077" max="3077" width="38.7109375" customWidth="1"/>
    <col min="3078" max="3078" width="10.7109375" customWidth="1"/>
    <col min="3079" max="3079" width="17.85546875" customWidth="1"/>
    <col min="3080" max="3080" width="18.7109375" customWidth="1"/>
    <col min="3081" max="3081" width="21.7109375" customWidth="1"/>
    <col min="3297" max="3297" width="3.85546875" bestFit="1" customWidth="1"/>
    <col min="3298" max="3298" width="38.7109375" customWidth="1"/>
    <col min="3299" max="3299" width="10.7109375" customWidth="1"/>
    <col min="3300" max="3300" width="14.7109375" customWidth="1"/>
    <col min="3301" max="3301" width="16.7109375" customWidth="1"/>
    <col min="3302" max="3302" width="18.7109375" customWidth="1"/>
    <col min="3305" max="3305" width="13.5703125" customWidth="1"/>
    <col min="3306" max="3306" width="10.5703125" bestFit="1" customWidth="1"/>
    <col min="3312" max="3312" width="4.140625" bestFit="1" customWidth="1"/>
    <col min="3313" max="3313" width="27.85546875" bestFit="1" customWidth="1"/>
    <col min="3314" max="3314" width="7.5703125" bestFit="1" customWidth="1"/>
    <col min="3315" max="3315" width="13.7109375" bestFit="1" customWidth="1"/>
    <col min="3316" max="3316" width="22.140625" bestFit="1" customWidth="1"/>
    <col min="3317" max="3317" width="26.42578125" bestFit="1" customWidth="1"/>
    <col min="3318" max="3318" width="20.85546875" bestFit="1" customWidth="1"/>
    <col min="3319" max="3319" width="14.7109375" bestFit="1" customWidth="1"/>
    <col min="3320" max="3320" width="16.140625" bestFit="1" customWidth="1"/>
    <col min="3321" max="3321" width="13.140625" bestFit="1" customWidth="1"/>
    <col min="3322" max="3322" width="23" bestFit="1" customWidth="1"/>
    <col min="3323" max="3323" width="11.5703125" bestFit="1" customWidth="1"/>
    <col min="3331" max="3331" width="4" customWidth="1"/>
    <col min="3332" max="3332" width="3.85546875" bestFit="1" customWidth="1"/>
    <col min="3333" max="3333" width="38.7109375" customWidth="1"/>
    <col min="3334" max="3334" width="10.7109375" customWidth="1"/>
    <col min="3335" max="3335" width="17.85546875" customWidth="1"/>
    <col min="3336" max="3336" width="18.7109375" customWidth="1"/>
    <col min="3337" max="3337" width="21.7109375" customWidth="1"/>
    <col min="3553" max="3553" width="3.85546875" bestFit="1" customWidth="1"/>
    <col min="3554" max="3554" width="38.7109375" customWidth="1"/>
    <col min="3555" max="3555" width="10.7109375" customWidth="1"/>
    <col min="3556" max="3556" width="14.7109375" customWidth="1"/>
    <col min="3557" max="3557" width="16.7109375" customWidth="1"/>
    <col min="3558" max="3558" width="18.7109375" customWidth="1"/>
    <col min="3561" max="3561" width="13.5703125" customWidth="1"/>
    <col min="3562" max="3562" width="10.5703125" bestFit="1" customWidth="1"/>
    <col min="3568" max="3568" width="4.140625" bestFit="1" customWidth="1"/>
    <col min="3569" max="3569" width="27.85546875" bestFit="1" customWidth="1"/>
    <col min="3570" max="3570" width="7.5703125" bestFit="1" customWidth="1"/>
    <col min="3571" max="3571" width="13.7109375" bestFit="1" customWidth="1"/>
    <col min="3572" max="3572" width="22.140625" bestFit="1" customWidth="1"/>
    <col min="3573" max="3573" width="26.42578125" bestFit="1" customWidth="1"/>
    <col min="3574" max="3574" width="20.85546875" bestFit="1" customWidth="1"/>
    <col min="3575" max="3575" width="14.7109375" bestFit="1" customWidth="1"/>
    <col min="3576" max="3576" width="16.140625" bestFit="1" customWidth="1"/>
    <col min="3577" max="3577" width="13.140625" bestFit="1" customWidth="1"/>
    <col min="3578" max="3578" width="23" bestFit="1" customWidth="1"/>
    <col min="3579" max="3579" width="11.5703125" bestFit="1" customWidth="1"/>
    <col min="3587" max="3587" width="4" customWidth="1"/>
    <col min="3588" max="3588" width="3.85546875" bestFit="1" customWidth="1"/>
    <col min="3589" max="3589" width="38.7109375" customWidth="1"/>
    <col min="3590" max="3590" width="10.7109375" customWidth="1"/>
    <col min="3591" max="3591" width="17.85546875" customWidth="1"/>
    <col min="3592" max="3592" width="18.7109375" customWidth="1"/>
    <col min="3593" max="3593" width="21.7109375" customWidth="1"/>
    <col min="3809" max="3809" width="3.85546875" bestFit="1" customWidth="1"/>
    <col min="3810" max="3810" width="38.7109375" customWidth="1"/>
    <col min="3811" max="3811" width="10.7109375" customWidth="1"/>
    <col min="3812" max="3812" width="14.7109375" customWidth="1"/>
    <col min="3813" max="3813" width="16.7109375" customWidth="1"/>
    <col min="3814" max="3814" width="18.7109375" customWidth="1"/>
    <col min="3817" max="3817" width="13.5703125" customWidth="1"/>
    <col min="3818" max="3818" width="10.5703125" bestFit="1" customWidth="1"/>
    <col min="3824" max="3824" width="4.140625" bestFit="1" customWidth="1"/>
    <col min="3825" max="3825" width="27.85546875" bestFit="1" customWidth="1"/>
    <col min="3826" max="3826" width="7.5703125" bestFit="1" customWidth="1"/>
    <col min="3827" max="3827" width="13.7109375" bestFit="1" customWidth="1"/>
    <col min="3828" max="3828" width="22.140625" bestFit="1" customWidth="1"/>
    <col min="3829" max="3829" width="26.42578125" bestFit="1" customWidth="1"/>
    <col min="3830" max="3830" width="20.85546875" bestFit="1" customWidth="1"/>
    <col min="3831" max="3831" width="14.7109375" bestFit="1" customWidth="1"/>
    <col min="3832" max="3832" width="16.140625" bestFit="1" customWidth="1"/>
    <col min="3833" max="3833" width="13.140625" bestFit="1" customWidth="1"/>
    <col min="3834" max="3834" width="23" bestFit="1" customWidth="1"/>
    <col min="3835" max="3835" width="11.5703125" bestFit="1" customWidth="1"/>
    <col min="3843" max="3843" width="4" customWidth="1"/>
    <col min="3844" max="3844" width="3.85546875" bestFit="1" customWidth="1"/>
    <col min="3845" max="3845" width="38.7109375" customWidth="1"/>
    <col min="3846" max="3846" width="10.7109375" customWidth="1"/>
    <col min="3847" max="3847" width="17.85546875" customWidth="1"/>
    <col min="3848" max="3848" width="18.7109375" customWidth="1"/>
    <col min="3849" max="3849" width="21.7109375" customWidth="1"/>
    <col min="4065" max="4065" width="3.85546875" bestFit="1" customWidth="1"/>
    <col min="4066" max="4066" width="38.7109375" customWidth="1"/>
    <col min="4067" max="4067" width="10.7109375" customWidth="1"/>
    <col min="4068" max="4068" width="14.7109375" customWidth="1"/>
    <col min="4069" max="4069" width="16.7109375" customWidth="1"/>
    <col min="4070" max="4070" width="18.7109375" customWidth="1"/>
    <col min="4073" max="4073" width="13.5703125" customWidth="1"/>
    <col min="4074" max="4074" width="10.5703125" bestFit="1" customWidth="1"/>
    <col min="4080" max="4080" width="4.140625" bestFit="1" customWidth="1"/>
    <col min="4081" max="4081" width="27.85546875" bestFit="1" customWidth="1"/>
    <col min="4082" max="4082" width="7.5703125" bestFit="1" customWidth="1"/>
    <col min="4083" max="4083" width="13.7109375" bestFit="1" customWidth="1"/>
    <col min="4084" max="4084" width="22.140625" bestFit="1" customWidth="1"/>
    <col min="4085" max="4085" width="26.42578125" bestFit="1" customWidth="1"/>
    <col min="4086" max="4086" width="20.85546875" bestFit="1" customWidth="1"/>
    <col min="4087" max="4087" width="14.7109375" bestFit="1" customWidth="1"/>
    <col min="4088" max="4088" width="16.140625" bestFit="1" customWidth="1"/>
    <col min="4089" max="4089" width="13.140625" bestFit="1" customWidth="1"/>
    <col min="4090" max="4090" width="23" bestFit="1" customWidth="1"/>
    <col min="4091" max="4091" width="11.5703125" bestFit="1" customWidth="1"/>
    <col min="4099" max="4099" width="4" customWidth="1"/>
    <col min="4100" max="4100" width="3.85546875" bestFit="1" customWidth="1"/>
    <col min="4101" max="4101" width="38.7109375" customWidth="1"/>
    <col min="4102" max="4102" width="10.7109375" customWidth="1"/>
    <col min="4103" max="4103" width="17.85546875" customWidth="1"/>
    <col min="4104" max="4104" width="18.7109375" customWidth="1"/>
    <col min="4105" max="4105" width="21.7109375" customWidth="1"/>
    <col min="4321" max="4321" width="3.85546875" bestFit="1" customWidth="1"/>
    <col min="4322" max="4322" width="38.7109375" customWidth="1"/>
    <col min="4323" max="4323" width="10.7109375" customWidth="1"/>
    <col min="4324" max="4324" width="14.7109375" customWidth="1"/>
    <col min="4325" max="4325" width="16.7109375" customWidth="1"/>
    <col min="4326" max="4326" width="18.7109375" customWidth="1"/>
    <col min="4329" max="4329" width="13.5703125" customWidth="1"/>
    <col min="4330" max="4330" width="10.5703125" bestFit="1" customWidth="1"/>
    <col min="4336" max="4336" width="4.140625" bestFit="1" customWidth="1"/>
    <col min="4337" max="4337" width="27.85546875" bestFit="1" customWidth="1"/>
    <col min="4338" max="4338" width="7.5703125" bestFit="1" customWidth="1"/>
    <col min="4339" max="4339" width="13.7109375" bestFit="1" customWidth="1"/>
    <col min="4340" max="4340" width="22.140625" bestFit="1" customWidth="1"/>
    <col min="4341" max="4341" width="26.42578125" bestFit="1" customWidth="1"/>
    <col min="4342" max="4342" width="20.85546875" bestFit="1" customWidth="1"/>
    <col min="4343" max="4343" width="14.7109375" bestFit="1" customWidth="1"/>
    <col min="4344" max="4344" width="16.140625" bestFit="1" customWidth="1"/>
    <col min="4345" max="4345" width="13.140625" bestFit="1" customWidth="1"/>
    <col min="4346" max="4346" width="23" bestFit="1" customWidth="1"/>
    <col min="4347" max="4347" width="11.5703125" bestFit="1" customWidth="1"/>
    <col min="4355" max="4355" width="4" customWidth="1"/>
    <col min="4356" max="4356" width="3.85546875" bestFit="1" customWidth="1"/>
    <col min="4357" max="4357" width="38.7109375" customWidth="1"/>
    <col min="4358" max="4358" width="10.7109375" customWidth="1"/>
    <col min="4359" max="4359" width="17.85546875" customWidth="1"/>
    <col min="4360" max="4360" width="18.7109375" customWidth="1"/>
    <col min="4361" max="4361" width="21.7109375" customWidth="1"/>
    <col min="4577" max="4577" width="3.85546875" bestFit="1" customWidth="1"/>
    <col min="4578" max="4578" width="38.7109375" customWidth="1"/>
    <col min="4579" max="4579" width="10.7109375" customWidth="1"/>
    <col min="4580" max="4580" width="14.7109375" customWidth="1"/>
    <col min="4581" max="4581" width="16.7109375" customWidth="1"/>
    <col min="4582" max="4582" width="18.7109375" customWidth="1"/>
    <col min="4585" max="4585" width="13.5703125" customWidth="1"/>
    <col min="4586" max="4586" width="10.5703125" bestFit="1" customWidth="1"/>
    <col min="4592" max="4592" width="4.140625" bestFit="1" customWidth="1"/>
    <col min="4593" max="4593" width="27.85546875" bestFit="1" customWidth="1"/>
    <col min="4594" max="4594" width="7.5703125" bestFit="1" customWidth="1"/>
    <col min="4595" max="4595" width="13.7109375" bestFit="1" customWidth="1"/>
    <col min="4596" max="4596" width="22.140625" bestFit="1" customWidth="1"/>
    <col min="4597" max="4597" width="26.42578125" bestFit="1" customWidth="1"/>
    <col min="4598" max="4598" width="20.85546875" bestFit="1" customWidth="1"/>
    <col min="4599" max="4599" width="14.7109375" bestFit="1" customWidth="1"/>
    <col min="4600" max="4600" width="16.140625" bestFit="1" customWidth="1"/>
    <col min="4601" max="4601" width="13.140625" bestFit="1" customWidth="1"/>
    <col min="4602" max="4602" width="23" bestFit="1" customWidth="1"/>
    <col min="4603" max="4603" width="11.5703125" bestFit="1" customWidth="1"/>
    <col min="4611" max="4611" width="4" customWidth="1"/>
    <col min="4612" max="4612" width="3.85546875" bestFit="1" customWidth="1"/>
    <col min="4613" max="4613" width="38.7109375" customWidth="1"/>
    <col min="4614" max="4614" width="10.7109375" customWidth="1"/>
    <col min="4615" max="4615" width="17.85546875" customWidth="1"/>
    <col min="4616" max="4616" width="18.7109375" customWidth="1"/>
    <col min="4617" max="4617" width="21.7109375" customWidth="1"/>
    <col min="4833" max="4833" width="3.85546875" bestFit="1" customWidth="1"/>
    <col min="4834" max="4834" width="38.7109375" customWidth="1"/>
    <col min="4835" max="4835" width="10.7109375" customWidth="1"/>
    <col min="4836" max="4836" width="14.7109375" customWidth="1"/>
    <col min="4837" max="4837" width="16.7109375" customWidth="1"/>
    <col min="4838" max="4838" width="18.7109375" customWidth="1"/>
    <col min="4841" max="4841" width="13.5703125" customWidth="1"/>
    <col min="4842" max="4842" width="10.5703125" bestFit="1" customWidth="1"/>
    <col min="4848" max="4848" width="4.140625" bestFit="1" customWidth="1"/>
    <col min="4849" max="4849" width="27.85546875" bestFit="1" customWidth="1"/>
    <col min="4850" max="4850" width="7.5703125" bestFit="1" customWidth="1"/>
    <col min="4851" max="4851" width="13.7109375" bestFit="1" customWidth="1"/>
    <col min="4852" max="4852" width="22.140625" bestFit="1" customWidth="1"/>
    <col min="4853" max="4853" width="26.42578125" bestFit="1" customWidth="1"/>
    <col min="4854" max="4854" width="20.85546875" bestFit="1" customWidth="1"/>
    <col min="4855" max="4855" width="14.7109375" bestFit="1" customWidth="1"/>
    <col min="4856" max="4856" width="16.140625" bestFit="1" customWidth="1"/>
    <col min="4857" max="4857" width="13.140625" bestFit="1" customWidth="1"/>
    <col min="4858" max="4858" width="23" bestFit="1" customWidth="1"/>
    <col min="4859" max="4859" width="11.5703125" bestFit="1" customWidth="1"/>
    <col min="4867" max="4867" width="4" customWidth="1"/>
    <col min="4868" max="4868" width="3.85546875" bestFit="1" customWidth="1"/>
    <col min="4869" max="4869" width="38.7109375" customWidth="1"/>
    <col min="4870" max="4870" width="10.7109375" customWidth="1"/>
    <col min="4871" max="4871" width="17.85546875" customWidth="1"/>
    <col min="4872" max="4872" width="18.7109375" customWidth="1"/>
    <col min="4873" max="4873" width="21.7109375" customWidth="1"/>
    <col min="5089" max="5089" width="3.85546875" bestFit="1" customWidth="1"/>
    <col min="5090" max="5090" width="38.7109375" customWidth="1"/>
    <col min="5091" max="5091" width="10.7109375" customWidth="1"/>
    <col min="5092" max="5092" width="14.7109375" customWidth="1"/>
    <col min="5093" max="5093" width="16.7109375" customWidth="1"/>
    <col min="5094" max="5094" width="18.7109375" customWidth="1"/>
    <col min="5097" max="5097" width="13.5703125" customWidth="1"/>
    <col min="5098" max="5098" width="10.5703125" bestFit="1" customWidth="1"/>
    <col min="5104" max="5104" width="4.140625" bestFit="1" customWidth="1"/>
    <col min="5105" max="5105" width="27.85546875" bestFit="1" customWidth="1"/>
    <col min="5106" max="5106" width="7.5703125" bestFit="1" customWidth="1"/>
    <col min="5107" max="5107" width="13.7109375" bestFit="1" customWidth="1"/>
    <col min="5108" max="5108" width="22.140625" bestFit="1" customWidth="1"/>
    <col min="5109" max="5109" width="26.42578125" bestFit="1" customWidth="1"/>
    <col min="5110" max="5110" width="20.85546875" bestFit="1" customWidth="1"/>
    <col min="5111" max="5111" width="14.7109375" bestFit="1" customWidth="1"/>
    <col min="5112" max="5112" width="16.140625" bestFit="1" customWidth="1"/>
    <col min="5113" max="5113" width="13.140625" bestFit="1" customWidth="1"/>
    <col min="5114" max="5114" width="23" bestFit="1" customWidth="1"/>
    <col min="5115" max="5115" width="11.5703125" bestFit="1" customWidth="1"/>
    <col min="5123" max="5123" width="4" customWidth="1"/>
    <col min="5124" max="5124" width="3.85546875" bestFit="1" customWidth="1"/>
    <col min="5125" max="5125" width="38.7109375" customWidth="1"/>
    <col min="5126" max="5126" width="10.7109375" customWidth="1"/>
    <col min="5127" max="5127" width="17.85546875" customWidth="1"/>
    <col min="5128" max="5128" width="18.7109375" customWidth="1"/>
    <col min="5129" max="5129" width="21.7109375" customWidth="1"/>
    <col min="5345" max="5345" width="3.85546875" bestFit="1" customWidth="1"/>
    <col min="5346" max="5346" width="38.7109375" customWidth="1"/>
    <col min="5347" max="5347" width="10.7109375" customWidth="1"/>
    <col min="5348" max="5348" width="14.7109375" customWidth="1"/>
    <col min="5349" max="5349" width="16.7109375" customWidth="1"/>
    <col min="5350" max="5350" width="18.7109375" customWidth="1"/>
    <col min="5353" max="5353" width="13.5703125" customWidth="1"/>
    <col min="5354" max="5354" width="10.5703125" bestFit="1" customWidth="1"/>
    <col min="5360" max="5360" width="4.140625" bestFit="1" customWidth="1"/>
    <col min="5361" max="5361" width="27.85546875" bestFit="1" customWidth="1"/>
    <col min="5362" max="5362" width="7.5703125" bestFit="1" customWidth="1"/>
    <col min="5363" max="5363" width="13.7109375" bestFit="1" customWidth="1"/>
    <col min="5364" max="5364" width="22.140625" bestFit="1" customWidth="1"/>
    <col min="5365" max="5365" width="26.42578125" bestFit="1" customWidth="1"/>
    <col min="5366" max="5366" width="20.85546875" bestFit="1" customWidth="1"/>
    <col min="5367" max="5367" width="14.7109375" bestFit="1" customWidth="1"/>
    <col min="5368" max="5368" width="16.140625" bestFit="1" customWidth="1"/>
    <col min="5369" max="5369" width="13.140625" bestFit="1" customWidth="1"/>
    <col min="5370" max="5370" width="23" bestFit="1" customWidth="1"/>
    <col min="5371" max="5371" width="11.5703125" bestFit="1" customWidth="1"/>
    <col min="5379" max="5379" width="4" customWidth="1"/>
    <col min="5380" max="5380" width="3.85546875" bestFit="1" customWidth="1"/>
    <col min="5381" max="5381" width="38.7109375" customWidth="1"/>
    <col min="5382" max="5382" width="10.7109375" customWidth="1"/>
    <col min="5383" max="5383" width="17.85546875" customWidth="1"/>
    <col min="5384" max="5384" width="18.7109375" customWidth="1"/>
    <col min="5385" max="5385" width="21.7109375" customWidth="1"/>
    <col min="5601" max="5601" width="3.85546875" bestFit="1" customWidth="1"/>
    <col min="5602" max="5602" width="38.7109375" customWidth="1"/>
    <col min="5603" max="5603" width="10.7109375" customWidth="1"/>
    <col min="5604" max="5604" width="14.7109375" customWidth="1"/>
    <col min="5605" max="5605" width="16.7109375" customWidth="1"/>
    <col min="5606" max="5606" width="18.7109375" customWidth="1"/>
    <col min="5609" max="5609" width="13.5703125" customWidth="1"/>
    <col min="5610" max="5610" width="10.5703125" bestFit="1" customWidth="1"/>
    <col min="5616" max="5616" width="4.140625" bestFit="1" customWidth="1"/>
    <col min="5617" max="5617" width="27.85546875" bestFit="1" customWidth="1"/>
    <col min="5618" max="5618" width="7.5703125" bestFit="1" customWidth="1"/>
    <col min="5619" max="5619" width="13.7109375" bestFit="1" customWidth="1"/>
    <col min="5620" max="5620" width="22.140625" bestFit="1" customWidth="1"/>
    <col min="5621" max="5621" width="26.42578125" bestFit="1" customWidth="1"/>
    <col min="5622" max="5622" width="20.85546875" bestFit="1" customWidth="1"/>
    <col min="5623" max="5623" width="14.7109375" bestFit="1" customWidth="1"/>
    <col min="5624" max="5624" width="16.140625" bestFit="1" customWidth="1"/>
    <col min="5625" max="5625" width="13.140625" bestFit="1" customWidth="1"/>
    <col min="5626" max="5626" width="23" bestFit="1" customWidth="1"/>
    <col min="5627" max="5627" width="11.5703125" bestFit="1" customWidth="1"/>
    <col min="5635" max="5635" width="4" customWidth="1"/>
    <col min="5636" max="5636" width="3.85546875" bestFit="1" customWidth="1"/>
    <col min="5637" max="5637" width="38.7109375" customWidth="1"/>
    <col min="5638" max="5638" width="10.7109375" customWidth="1"/>
    <col min="5639" max="5639" width="17.85546875" customWidth="1"/>
    <col min="5640" max="5640" width="18.7109375" customWidth="1"/>
    <col min="5641" max="5641" width="21.7109375" customWidth="1"/>
    <col min="5857" max="5857" width="3.85546875" bestFit="1" customWidth="1"/>
    <col min="5858" max="5858" width="38.7109375" customWidth="1"/>
    <col min="5859" max="5859" width="10.7109375" customWidth="1"/>
    <col min="5860" max="5860" width="14.7109375" customWidth="1"/>
    <col min="5861" max="5861" width="16.7109375" customWidth="1"/>
    <col min="5862" max="5862" width="18.7109375" customWidth="1"/>
    <col min="5865" max="5865" width="13.5703125" customWidth="1"/>
    <col min="5866" max="5866" width="10.5703125" bestFit="1" customWidth="1"/>
    <col min="5872" max="5872" width="4.140625" bestFit="1" customWidth="1"/>
    <col min="5873" max="5873" width="27.85546875" bestFit="1" customWidth="1"/>
    <col min="5874" max="5874" width="7.5703125" bestFit="1" customWidth="1"/>
    <col min="5875" max="5875" width="13.7109375" bestFit="1" customWidth="1"/>
    <col min="5876" max="5876" width="22.140625" bestFit="1" customWidth="1"/>
    <col min="5877" max="5877" width="26.42578125" bestFit="1" customWidth="1"/>
    <col min="5878" max="5878" width="20.85546875" bestFit="1" customWidth="1"/>
    <col min="5879" max="5879" width="14.7109375" bestFit="1" customWidth="1"/>
    <col min="5880" max="5880" width="16.140625" bestFit="1" customWidth="1"/>
    <col min="5881" max="5881" width="13.140625" bestFit="1" customWidth="1"/>
    <col min="5882" max="5882" width="23" bestFit="1" customWidth="1"/>
    <col min="5883" max="5883" width="11.5703125" bestFit="1" customWidth="1"/>
    <col min="5891" max="5891" width="4" customWidth="1"/>
    <col min="5892" max="5892" width="3.85546875" bestFit="1" customWidth="1"/>
    <col min="5893" max="5893" width="38.7109375" customWidth="1"/>
    <col min="5894" max="5894" width="10.7109375" customWidth="1"/>
    <col min="5895" max="5895" width="17.85546875" customWidth="1"/>
    <col min="5896" max="5896" width="18.7109375" customWidth="1"/>
    <col min="5897" max="5897" width="21.7109375" customWidth="1"/>
    <col min="6113" max="6113" width="3.85546875" bestFit="1" customWidth="1"/>
    <col min="6114" max="6114" width="38.7109375" customWidth="1"/>
    <col min="6115" max="6115" width="10.7109375" customWidth="1"/>
    <col min="6116" max="6116" width="14.7109375" customWidth="1"/>
    <col min="6117" max="6117" width="16.7109375" customWidth="1"/>
    <col min="6118" max="6118" width="18.7109375" customWidth="1"/>
    <col min="6121" max="6121" width="13.5703125" customWidth="1"/>
    <col min="6122" max="6122" width="10.5703125" bestFit="1" customWidth="1"/>
    <col min="6128" max="6128" width="4.140625" bestFit="1" customWidth="1"/>
    <col min="6129" max="6129" width="27.85546875" bestFit="1" customWidth="1"/>
    <col min="6130" max="6130" width="7.5703125" bestFit="1" customWidth="1"/>
    <col min="6131" max="6131" width="13.7109375" bestFit="1" customWidth="1"/>
    <col min="6132" max="6132" width="22.140625" bestFit="1" customWidth="1"/>
    <col min="6133" max="6133" width="26.42578125" bestFit="1" customWidth="1"/>
    <col min="6134" max="6134" width="20.85546875" bestFit="1" customWidth="1"/>
    <col min="6135" max="6135" width="14.7109375" bestFit="1" customWidth="1"/>
    <col min="6136" max="6136" width="16.140625" bestFit="1" customWidth="1"/>
    <col min="6137" max="6137" width="13.140625" bestFit="1" customWidth="1"/>
    <col min="6138" max="6138" width="23" bestFit="1" customWidth="1"/>
    <col min="6139" max="6139" width="11.5703125" bestFit="1" customWidth="1"/>
    <col min="6147" max="6147" width="4" customWidth="1"/>
    <col min="6148" max="6148" width="3.85546875" bestFit="1" customWidth="1"/>
    <col min="6149" max="6149" width="38.7109375" customWidth="1"/>
    <col min="6150" max="6150" width="10.7109375" customWidth="1"/>
    <col min="6151" max="6151" width="17.85546875" customWidth="1"/>
    <col min="6152" max="6152" width="18.7109375" customWidth="1"/>
    <col min="6153" max="6153" width="21.7109375" customWidth="1"/>
    <col min="6369" max="6369" width="3.85546875" bestFit="1" customWidth="1"/>
    <col min="6370" max="6370" width="38.7109375" customWidth="1"/>
    <col min="6371" max="6371" width="10.7109375" customWidth="1"/>
    <col min="6372" max="6372" width="14.7109375" customWidth="1"/>
    <col min="6373" max="6373" width="16.7109375" customWidth="1"/>
    <col min="6374" max="6374" width="18.7109375" customWidth="1"/>
    <col min="6377" max="6377" width="13.5703125" customWidth="1"/>
    <col min="6378" max="6378" width="10.5703125" bestFit="1" customWidth="1"/>
    <col min="6384" max="6384" width="4.140625" bestFit="1" customWidth="1"/>
    <col min="6385" max="6385" width="27.85546875" bestFit="1" customWidth="1"/>
    <col min="6386" max="6386" width="7.5703125" bestFit="1" customWidth="1"/>
    <col min="6387" max="6387" width="13.7109375" bestFit="1" customWidth="1"/>
    <col min="6388" max="6388" width="22.140625" bestFit="1" customWidth="1"/>
    <col min="6389" max="6389" width="26.42578125" bestFit="1" customWidth="1"/>
    <col min="6390" max="6390" width="20.85546875" bestFit="1" customWidth="1"/>
    <col min="6391" max="6391" width="14.7109375" bestFit="1" customWidth="1"/>
    <col min="6392" max="6392" width="16.140625" bestFit="1" customWidth="1"/>
    <col min="6393" max="6393" width="13.140625" bestFit="1" customWidth="1"/>
    <col min="6394" max="6394" width="23" bestFit="1" customWidth="1"/>
    <col min="6395" max="6395" width="11.5703125" bestFit="1" customWidth="1"/>
    <col min="6403" max="6403" width="4" customWidth="1"/>
    <col min="6404" max="6404" width="3.85546875" bestFit="1" customWidth="1"/>
    <col min="6405" max="6405" width="38.7109375" customWidth="1"/>
    <col min="6406" max="6406" width="10.7109375" customWidth="1"/>
    <col min="6407" max="6407" width="17.85546875" customWidth="1"/>
    <col min="6408" max="6408" width="18.7109375" customWidth="1"/>
    <col min="6409" max="6409" width="21.7109375" customWidth="1"/>
    <col min="6625" max="6625" width="3.85546875" bestFit="1" customWidth="1"/>
    <col min="6626" max="6626" width="38.7109375" customWidth="1"/>
    <col min="6627" max="6627" width="10.7109375" customWidth="1"/>
    <col min="6628" max="6628" width="14.7109375" customWidth="1"/>
    <col min="6629" max="6629" width="16.7109375" customWidth="1"/>
    <col min="6630" max="6630" width="18.7109375" customWidth="1"/>
    <col min="6633" max="6633" width="13.5703125" customWidth="1"/>
    <col min="6634" max="6634" width="10.5703125" bestFit="1" customWidth="1"/>
    <col min="6640" max="6640" width="4.140625" bestFit="1" customWidth="1"/>
    <col min="6641" max="6641" width="27.85546875" bestFit="1" customWidth="1"/>
    <col min="6642" max="6642" width="7.5703125" bestFit="1" customWidth="1"/>
    <col min="6643" max="6643" width="13.7109375" bestFit="1" customWidth="1"/>
    <col min="6644" max="6644" width="22.140625" bestFit="1" customWidth="1"/>
    <col min="6645" max="6645" width="26.42578125" bestFit="1" customWidth="1"/>
    <col min="6646" max="6646" width="20.85546875" bestFit="1" customWidth="1"/>
    <col min="6647" max="6647" width="14.7109375" bestFit="1" customWidth="1"/>
    <col min="6648" max="6648" width="16.140625" bestFit="1" customWidth="1"/>
    <col min="6649" max="6649" width="13.140625" bestFit="1" customWidth="1"/>
    <col min="6650" max="6650" width="23" bestFit="1" customWidth="1"/>
    <col min="6651" max="6651" width="11.5703125" bestFit="1" customWidth="1"/>
    <col min="6659" max="6659" width="4" customWidth="1"/>
    <col min="6660" max="6660" width="3.85546875" bestFit="1" customWidth="1"/>
    <col min="6661" max="6661" width="38.7109375" customWidth="1"/>
    <col min="6662" max="6662" width="10.7109375" customWidth="1"/>
    <col min="6663" max="6663" width="17.85546875" customWidth="1"/>
    <col min="6664" max="6664" width="18.7109375" customWidth="1"/>
    <col min="6665" max="6665" width="21.7109375" customWidth="1"/>
    <col min="6881" max="6881" width="3.85546875" bestFit="1" customWidth="1"/>
    <col min="6882" max="6882" width="38.7109375" customWidth="1"/>
    <col min="6883" max="6883" width="10.7109375" customWidth="1"/>
    <col min="6884" max="6884" width="14.7109375" customWidth="1"/>
    <col min="6885" max="6885" width="16.7109375" customWidth="1"/>
    <col min="6886" max="6886" width="18.7109375" customWidth="1"/>
    <col min="6889" max="6889" width="13.5703125" customWidth="1"/>
    <col min="6890" max="6890" width="10.5703125" bestFit="1" customWidth="1"/>
    <col min="6896" max="6896" width="4.140625" bestFit="1" customWidth="1"/>
    <col min="6897" max="6897" width="27.85546875" bestFit="1" customWidth="1"/>
    <col min="6898" max="6898" width="7.5703125" bestFit="1" customWidth="1"/>
    <col min="6899" max="6899" width="13.7109375" bestFit="1" customWidth="1"/>
    <col min="6900" max="6900" width="22.140625" bestFit="1" customWidth="1"/>
    <col min="6901" max="6901" width="26.42578125" bestFit="1" customWidth="1"/>
    <col min="6902" max="6902" width="20.85546875" bestFit="1" customWidth="1"/>
    <col min="6903" max="6903" width="14.7109375" bestFit="1" customWidth="1"/>
    <col min="6904" max="6904" width="16.140625" bestFit="1" customWidth="1"/>
    <col min="6905" max="6905" width="13.140625" bestFit="1" customWidth="1"/>
    <col min="6906" max="6906" width="23" bestFit="1" customWidth="1"/>
    <col min="6907" max="6907" width="11.5703125" bestFit="1" customWidth="1"/>
    <col min="6915" max="6915" width="4" customWidth="1"/>
    <col min="6916" max="6916" width="3.85546875" bestFit="1" customWidth="1"/>
    <col min="6917" max="6917" width="38.7109375" customWidth="1"/>
    <col min="6918" max="6918" width="10.7109375" customWidth="1"/>
    <col min="6919" max="6919" width="17.85546875" customWidth="1"/>
    <col min="6920" max="6920" width="18.7109375" customWidth="1"/>
    <col min="6921" max="6921" width="21.7109375" customWidth="1"/>
    <col min="7137" max="7137" width="3.85546875" bestFit="1" customWidth="1"/>
    <col min="7138" max="7138" width="38.7109375" customWidth="1"/>
    <col min="7139" max="7139" width="10.7109375" customWidth="1"/>
    <col min="7140" max="7140" width="14.7109375" customWidth="1"/>
    <col min="7141" max="7141" width="16.7109375" customWidth="1"/>
    <col min="7142" max="7142" width="18.7109375" customWidth="1"/>
    <col min="7145" max="7145" width="13.5703125" customWidth="1"/>
    <col min="7146" max="7146" width="10.5703125" bestFit="1" customWidth="1"/>
    <col min="7152" max="7152" width="4.140625" bestFit="1" customWidth="1"/>
    <col min="7153" max="7153" width="27.85546875" bestFit="1" customWidth="1"/>
    <col min="7154" max="7154" width="7.5703125" bestFit="1" customWidth="1"/>
    <col min="7155" max="7155" width="13.7109375" bestFit="1" customWidth="1"/>
    <col min="7156" max="7156" width="22.140625" bestFit="1" customWidth="1"/>
    <col min="7157" max="7157" width="26.42578125" bestFit="1" customWidth="1"/>
    <col min="7158" max="7158" width="20.85546875" bestFit="1" customWidth="1"/>
    <col min="7159" max="7159" width="14.7109375" bestFit="1" customWidth="1"/>
    <col min="7160" max="7160" width="16.140625" bestFit="1" customWidth="1"/>
    <col min="7161" max="7161" width="13.140625" bestFit="1" customWidth="1"/>
    <col min="7162" max="7162" width="23" bestFit="1" customWidth="1"/>
    <col min="7163" max="7163" width="11.5703125" bestFit="1" customWidth="1"/>
    <col min="7171" max="7171" width="4" customWidth="1"/>
    <col min="7172" max="7172" width="3.85546875" bestFit="1" customWidth="1"/>
    <col min="7173" max="7173" width="38.7109375" customWidth="1"/>
    <col min="7174" max="7174" width="10.7109375" customWidth="1"/>
    <col min="7175" max="7175" width="17.85546875" customWidth="1"/>
    <col min="7176" max="7176" width="18.7109375" customWidth="1"/>
    <col min="7177" max="7177" width="21.7109375" customWidth="1"/>
    <col min="7393" max="7393" width="3.85546875" bestFit="1" customWidth="1"/>
    <col min="7394" max="7394" width="38.7109375" customWidth="1"/>
    <col min="7395" max="7395" width="10.7109375" customWidth="1"/>
    <col min="7396" max="7396" width="14.7109375" customWidth="1"/>
    <col min="7397" max="7397" width="16.7109375" customWidth="1"/>
    <col min="7398" max="7398" width="18.7109375" customWidth="1"/>
    <col min="7401" max="7401" width="13.5703125" customWidth="1"/>
    <col min="7402" max="7402" width="10.5703125" bestFit="1" customWidth="1"/>
    <col min="7408" max="7408" width="4.140625" bestFit="1" customWidth="1"/>
    <col min="7409" max="7409" width="27.85546875" bestFit="1" customWidth="1"/>
    <col min="7410" max="7410" width="7.5703125" bestFit="1" customWidth="1"/>
    <col min="7411" max="7411" width="13.7109375" bestFit="1" customWidth="1"/>
    <col min="7412" max="7412" width="22.140625" bestFit="1" customWidth="1"/>
    <col min="7413" max="7413" width="26.42578125" bestFit="1" customWidth="1"/>
    <col min="7414" max="7414" width="20.85546875" bestFit="1" customWidth="1"/>
    <col min="7415" max="7415" width="14.7109375" bestFit="1" customWidth="1"/>
    <col min="7416" max="7416" width="16.140625" bestFit="1" customWidth="1"/>
    <col min="7417" max="7417" width="13.140625" bestFit="1" customWidth="1"/>
    <col min="7418" max="7418" width="23" bestFit="1" customWidth="1"/>
    <col min="7419" max="7419" width="11.5703125" bestFit="1" customWidth="1"/>
    <col min="7427" max="7427" width="4" customWidth="1"/>
    <col min="7428" max="7428" width="3.85546875" bestFit="1" customWidth="1"/>
    <col min="7429" max="7429" width="38.7109375" customWidth="1"/>
    <col min="7430" max="7430" width="10.7109375" customWidth="1"/>
    <col min="7431" max="7431" width="17.85546875" customWidth="1"/>
    <col min="7432" max="7432" width="18.7109375" customWidth="1"/>
    <col min="7433" max="7433" width="21.7109375" customWidth="1"/>
    <col min="7649" max="7649" width="3.85546875" bestFit="1" customWidth="1"/>
    <col min="7650" max="7650" width="38.7109375" customWidth="1"/>
    <col min="7651" max="7651" width="10.7109375" customWidth="1"/>
    <col min="7652" max="7652" width="14.7109375" customWidth="1"/>
    <col min="7653" max="7653" width="16.7109375" customWidth="1"/>
    <col min="7654" max="7654" width="18.7109375" customWidth="1"/>
    <col min="7657" max="7657" width="13.5703125" customWidth="1"/>
    <col min="7658" max="7658" width="10.5703125" bestFit="1" customWidth="1"/>
    <col min="7664" max="7664" width="4.140625" bestFit="1" customWidth="1"/>
    <col min="7665" max="7665" width="27.85546875" bestFit="1" customWidth="1"/>
    <col min="7666" max="7666" width="7.5703125" bestFit="1" customWidth="1"/>
    <col min="7667" max="7667" width="13.7109375" bestFit="1" customWidth="1"/>
    <col min="7668" max="7668" width="22.140625" bestFit="1" customWidth="1"/>
    <col min="7669" max="7669" width="26.42578125" bestFit="1" customWidth="1"/>
    <col min="7670" max="7670" width="20.85546875" bestFit="1" customWidth="1"/>
    <col min="7671" max="7671" width="14.7109375" bestFit="1" customWidth="1"/>
    <col min="7672" max="7672" width="16.140625" bestFit="1" customWidth="1"/>
    <col min="7673" max="7673" width="13.140625" bestFit="1" customWidth="1"/>
    <col min="7674" max="7674" width="23" bestFit="1" customWidth="1"/>
    <col min="7675" max="7675" width="11.5703125" bestFit="1" customWidth="1"/>
    <col min="7683" max="7683" width="4" customWidth="1"/>
    <col min="7684" max="7684" width="3.85546875" bestFit="1" customWidth="1"/>
    <col min="7685" max="7685" width="38.7109375" customWidth="1"/>
    <col min="7686" max="7686" width="10.7109375" customWidth="1"/>
    <col min="7687" max="7687" width="17.85546875" customWidth="1"/>
    <col min="7688" max="7688" width="18.7109375" customWidth="1"/>
    <col min="7689" max="7689" width="21.7109375" customWidth="1"/>
    <col min="7905" max="7905" width="3.85546875" bestFit="1" customWidth="1"/>
    <col min="7906" max="7906" width="38.7109375" customWidth="1"/>
    <col min="7907" max="7907" width="10.7109375" customWidth="1"/>
    <col min="7908" max="7908" width="14.7109375" customWidth="1"/>
    <col min="7909" max="7909" width="16.7109375" customWidth="1"/>
    <col min="7910" max="7910" width="18.7109375" customWidth="1"/>
    <col min="7913" max="7913" width="13.5703125" customWidth="1"/>
    <col min="7914" max="7914" width="10.5703125" bestFit="1" customWidth="1"/>
    <col min="7920" max="7920" width="4.140625" bestFit="1" customWidth="1"/>
    <col min="7921" max="7921" width="27.85546875" bestFit="1" customWidth="1"/>
    <col min="7922" max="7922" width="7.5703125" bestFit="1" customWidth="1"/>
    <col min="7923" max="7923" width="13.7109375" bestFit="1" customWidth="1"/>
    <col min="7924" max="7924" width="22.140625" bestFit="1" customWidth="1"/>
    <col min="7925" max="7925" width="26.42578125" bestFit="1" customWidth="1"/>
    <col min="7926" max="7926" width="20.85546875" bestFit="1" customWidth="1"/>
    <col min="7927" max="7927" width="14.7109375" bestFit="1" customWidth="1"/>
    <col min="7928" max="7928" width="16.140625" bestFit="1" customWidth="1"/>
    <col min="7929" max="7929" width="13.140625" bestFit="1" customWidth="1"/>
    <col min="7930" max="7930" width="23" bestFit="1" customWidth="1"/>
    <col min="7931" max="7931" width="11.5703125" bestFit="1" customWidth="1"/>
    <col min="7939" max="7939" width="4" customWidth="1"/>
    <col min="7940" max="7940" width="3.85546875" bestFit="1" customWidth="1"/>
    <col min="7941" max="7941" width="38.7109375" customWidth="1"/>
    <col min="7942" max="7942" width="10.7109375" customWidth="1"/>
    <col min="7943" max="7943" width="17.85546875" customWidth="1"/>
    <col min="7944" max="7944" width="18.7109375" customWidth="1"/>
    <col min="7945" max="7945" width="21.7109375" customWidth="1"/>
    <col min="8161" max="8161" width="3.85546875" bestFit="1" customWidth="1"/>
    <col min="8162" max="8162" width="38.7109375" customWidth="1"/>
    <col min="8163" max="8163" width="10.7109375" customWidth="1"/>
    <col min="8164" max="8164" width="14.7109375" customWidth="1"/>
    <col min="8165" max="8165" width="16.7109375" customWidth="1"/>
    <col min="8166" max="8166" width="18.7109375" customWidth="1"/>
    <col min="8169" max="8169" width="13.5703125" customWidth="1"/>
    <col min="8170" max="8170" width="10.5703125" bestFit="1" customWidth="1"/>
    <col min="8176" max="8176" width="4.140625" bestFit="1" customWidth="1"/>
    <col min="8177" max="8177" width="27.85546875" bestFit="1" customWidth="1"/>
    <col min="8178" max="8178" width="7.5703125" bestFit="1" customWidth="1"/>
    <col min="8179" max="8179" width="13.7109375" bestFit="1" customWidth="1"/>
    <col min="8180" max="8180" width="22.140625" bestFit="1" customWidth="1"/>
    <col min="8181" max="8181" width="26.42578125" bestFit="1" customWidth="1"/>
    <col min="8182" max="8182" width="20.85546875" bestFit="1" customWidth="1"/>
    <col min="8183" max="8183" width="14.7109375" bestFit="1" customWidth="1"/>
    <col min="8184" max="8184" width="16.140625" bestFit="1" customWidth="1"/>
    <col min="8185" max="8185" width="13.140625" bestFit="1" customWidth="1"/>
    <col min="8186" max="8186" width="23" bestFit="1" customWidth="1"/>
    <col min="8187" max="8187" width="11.5703125" bestFit="1" customWidth="1"/>
    <col min="8195" max="8195" width="4" customWidth="1"/>
    <col min="8196" max="8196" width="3.85546875" bestFit="1" customWidth="1"/>
    <col min="8197" max="8197" width="38.7109375" customWidth="1"/>
    <col min="8198" max="8198" width="10.7109375" customWidth="1"/>
    <col min="8199" max="8199" width="17.85546875" customWidth="1"/>
    <col min="8200" max="8200" width="18.7109375" customWidth="1"/>
    <col min="8201" max="8201" width="21.7109375" customWidth="1"/>
    <col min="8417" max="8417" width="3.85546875" bestFit="1" customWidth="1"/>
    <col min="8418" max="8418" width="38.7109375" customWidth="1"/>
    <col min="8419" max="8419" width="10.7109375" customWidth="1"/>
    <col min="8420" max="8420" width="14.7109375" customWidth="1"/>
    <col min="8421" max="8421" width="16.7109375" customWidth="1"/>
    <col min="8422" max="8422" width="18.7109375" customWidth="1"/>
    <col min="8425" max="8425" width="13.5703125" customWidth="1"/>
    <col min="8426" max="8426" width="10.5703125" bestFit="1" customWidth="1"/>
    <col min="8432" max="8432" width="4.140625" bestFit="1" customWidth="1"/>
    <col min="8433" max="8433" width="27.85546875" bestFit="1" customWidth="1"/>
    <col min="8434" max="8434" width="7.5703125" bestFit="1" customWidth="1"/>
    <col min="8435" max="8435" width="13.7109375" bestFit="1" customWidth="1"/>
    <col min="8436" max="8436" width="22.140625" bestFit="1" customWidth="1"/>
    <col min="8437" max="8437" width="26.42578125" bestFit="1" customWidth="1"/>
    <col min="8438" max="8438" width="20.85546875" bestFit="1" customWidth="1"/>
    <col min="8439" max="8439" width="14.7109375" bestFit="1" customWidth="1"/>
    <col min="8440" max="8440" width="16.140625" bestFit="1" customWidth="1"/>
    <col min="8441" max="8441" width="13.140625" bestFit="1" customWidth="1"/>
    <col min="8442" max="8442" width="23" bestFit="1" customWidth="1"/>
    <col min="8443" max="8443" width="11.5703125" bestFit="1" customWidth="1"/>
    <col min="8451" max="8451" width="4" customWidth="1"/>
    <col min="8452" max="8452" width="3.85546875" bestFit="1" customWidth="1"/>
    <col min="8453" max="8453" width="38.7109375" customWidth="1"/>
    <col min="8454" max="8454" width="10.7109375" customWidth="1"/>
    <col min="8455" max="8455" width="17.85546875" customWidth="1"/>
    <col min="8456" max="8456" width="18.7109375" customWidth="1"/>
    <col min="8457" max="8457" width="21.7109375" customWidth="1"/>
    <col min="8673" max="8673" width="3.85546875" bestFit="1" customWidth="1"/>
    <col min="8674" max="8674" width="38.7109375" customWidth="1"/>
    <col min="8675" max="8675" width="10.7109375" customWidth="1"/>
    <col min="8676" max="8676" width="14.7109375" customWidth="1"/>
    <col min="8677" max="8677" width="16.7109375" customWidth="1"/>
    <col min="8678" max="8678" width="18.7109375" customWidth="1"/>
    <col min="8681" max="8681" width="13.5703125" customWidth="1"/>
    <col min="8682" max="8682" width="10.5703125" bestFit="1" customWidth="1"/>
    <col min="8688" max="8688" width="4.140625" bestFit="1" customWidth="1"/>
    <col min="8689" max="8689" width="27.85546875" bestFit="1" customWidth="1"/>
    <col min="8690" max="8690" width="7.5703125" bestFit="1" customWidth="1"/>
    <col min="8691" max="8691" width="13.7109375" bestFit="1" customWidth="1"/>
    <col min="8692" max="8692" width="22.140625" bestFit="1" customWidth="1"/>
    <col min="8693" max="8693" width="26.42578125" bestFit="1" customWidth="1"/>
    <col min="8694" max="8694" width="20.85546875" bestFit="1" customWidth="1"/>
    <col min="8695" max="8695" width="14.7109375" bestFit="1" customWidth="1"/>
    <col min="8696" max="8696" width="16.140625" bestFit="1" customWidth="1"/>
    <col min="8697" max="8697" width="13.140625" bestFit="1" customWidth="1"/>
    <col min="8698" max="8698" width="23" bestFit="1" customWidth="1"/>
    <col min="8699" max="8699" width="11.5703125" bestFit="1" customWidth="1"/>
    <col min="8707" max="8707" width="4" customWidth="1"/>
    <col min="8708" max="8708" width="3.85546875" bestFit="1" customWidth="1"/>
    <col min="8709" max="8709" width="38.7109375" customWidth="1"/>
    <col min="8710" max="8710" width="10.7109375" customWidth="1"/>
    <col min="8711" max="8711" width="17.85546875" customWidth="1"/>
    <col min="8712" max="8712" width="18.7109375" customWidth="1"/>
    <col min="8713" max="8713" width="21.7109375" customWidth="1"/>
    <col min="8929" max="8929" width="3.85546875" bestFit="1" customWidth="1"/>
    <col min="8930" max="8930" width="38.7109375" customWidth="1"/>
    <col min="8931" max="8931" width="10.7109375" customWidth="1"/>
    <col min="8932" max="8932" width="14.7109375" customWidth="1"/>
    <col min="8933" max="8933" width="16.7109375" customWidth="1"/>
    <col min="8934" max="8934" width="18.7109375" customWidth="1"/>
    <col min="8937" max="8937" width="13.5703125" customWidth="1"/>
    <col min="8938" max="8938" width="10.5703125" bestFit="1" customWidth="1"/>
    <col min="8944" max="8944" width="4.140625" bestFit="1" customWidth="1"/>
    <col min="8945" max="8945" width="27.85546875" bestFit="1" customWidth="1"/>
    <col min="8946" max="8946" width="7.5703125" bestFit="1" customWidth="1"/>
    <col min="8947" max="8947" width="13.7109375" bestFit="1" customWidth="1"/>
    <col min="8948" max="8948" width="22.140625" bestFit="1" customWidth="1"/>
    <col min="8949" max="8949" width="26.42578125" bestFit="1" customWidth="1"/>
    <col min="8950" max="8950" width="20.85546875" bestFit="1" customWidth="1"/>
    <col min="8951" max="8951" width="14.7109375" bestFit="1" customWidth="1"/>
    <col min="8952" max="8952" width="16.140625" bestFit="1" customWidth="1"/>
    <col min="8953" max="8953" width="13.140625" bestFit="1" customWidth="1"/>
    <col min="8954" max="8954" width="23" bestFit="1" customWidth="1"/>
    <col min="8955" max="8955" width="11.5703125" bestFit="1" customWidth="1"/>
    <col min="8963" max="8963" width="4" customWidth="1"/>
    <col min="8964" max="8964" width="3.85546875" bestFit="1" customWidth="1"/>
    <col min="8965" max="8965" width="38.7109375" customWidth="1"/>
    <col min="8966" max="8966" width="10.7109375" customWidth="1"/>
    <col min="8967" max="8967" width="17.85546875" customWidth="1"/>
    <col min="8968" max="8968" width="18.7109375" customWidth="1"/>
    <col min="8969" max="8969" width="21.7109375" customWidth="1"/>
    <col min="9185" max="9185" width="3.85546875" bestFit="1" customWidth="1"/>
    <col min="9186" max="9186" width="38.7109375" customWidth="1"/>
    <col min="9187" max="9187" width="10.7109375" customWidth="1"/>
    <col min="9188" max="9188" width="14.7109375" customWidth="1"/>
    <col min="9189" max="9189" width="16.7109375" customWidth="1"/>
    <col min="9190" max="9190" width="18.7109375" customWidth="1"/>
    <col min="9193" max="9193" width="13.5703125" customWidth="1"/>
    <col min="9194" max="9194" width="10.5703125" bestFit="1" customWidth="1"/>
    <col min="9200" max="9200" width="4.140625" bestFit="1" customWidth="1"/>
    <col min="9201" max="9201" width="27.85546875" bestFit="1" customWidth="1"/>
    <col min="9202" max="9202" width="7.5703125" bestFit="1" customWidth="1"/>
    <col min="9203" max="9203" width="13.7109375" bestFit="1" customWidth="1"/>
    <col min="9204" max="9204" width="22.140625" bestFit="1" customWidth="1"/>
    <col min="9205" max="9205" width="26.42578125" bestFit="1" customWidth="1"/>
    <col min="9206" max="9206" width="20.85546875" bestFit="1" customWidth="1"/>
    <col min="9207" max="9207" width="14.7109375" bestFit="1" customWidth="1"/>
    <col min="9208" max="9208" width="16.140625" bestFit="1" customWidth="1"/>
    <col min="9209" max="9209" width="13.140625" bestFit="1" customWidth="1"/>
    <col min="9210" max="9210" width="23" bestFit="1" customWidth="1"/>
    <col min="9211" max="9211" width="11.5703125" bestFit="1" customWidth="1"/>
    <col min="9219" max="9219" width="4" customWidth="1"/>
    <col min="9220" max="9220" width="3.85546875" bestFit="1" customWidth="1"/>
    <col min="9221" max="9221" width="38.7109375" customWidth="1"/>
    <col min="9222" max="9222" width="10.7109375" customWidth="1"/>
    <col min="9223" max="9223" width="17.85546875" customWidth="1"/>
    <col min="9224" max="9224" width="18.7109375" customWidth="1"/>
    <col min="9225" max="9225" width="21.7109375" customWidth="1"/>
    <col min="9441" max="9441" width="3.85546875" bestFit="1" customWidth="1"/>
    <col min="9442" max="9442" width="38.7109375" customWidth="1"/>
    <col min="9443" max="9443" width="10.7109375" customWidth="1"/>
    <col min="9444" max="9444" width="14.7109375" customWidth="1"/>
    <col min="9445" max="9445" width="16.7109375" customWidth="1"/>
    <col min="9446" max="9446" width="18.7109375" customWidth="1"/>
    <col min="9449" max="9449" width="13.5703125" customWidth="1"/>
    <col min="9450" max="9450" width="10.5703125" bestFit="1" customWidth="1"/>
    <col min="9456" max="9456" width="4.140625" bestFit="1" customWidth="1"/>
    <col min="9457" max="9457" width="27.85546875" bestFit="1" customWidth="1"/>
    <col min="9458" max="9458" width="7.5703125" bestFit="1" customWidth="1"/>
    <col min="9459" max="9459" width="13.7109375" bestFit="1" customWidth="1"/>
    <col min="9460" max="9460" width="22.140625" bestFit="1" customWidth="1"/>
    <col min="9461" max="9461" width="26.42578125" bestFit="1" customWidth="1"/>
    <col min="9462" max="9462" width="20.85546875" bestFit="1" customWidth="1"/>
    <col min="9463" max="9463" width="14.7109375" bestFit="1" customWidth="1"/>
    <col min="9464" max="9464" width="16.140625" bestFit="1" customWidth="1"/>
    <col min="9465" max="9465" width="13.140625" bestFit="1" customWidth="1"/>
    <col min="9466" max="9466" width="23" bestFit="1" customWidth="1"/>
    <col min="9467" max="9467" width="11.5703125" bestFit="1" customWidth="1"/>
    <col min="9475" max="9475" width="4" customWidth="1"/>
    <col min="9476" max="9476" width="3.85546875" bestFit="1" customWidth="1"/>
    <col min="9477" max="9477" width="38.7109375" customWidth="1"/>
    <col min="9478" max="9478" width="10.7109375" customWidth="1"/>
    <col min="9479" max="9479" width="17.85546875" customWidth="1"/>
    <col min="9480" max="9480" width="18.7109375" customWidth="1"/>
    <col min="9481" max="9481" width="21.7109375" customWidth="1"/>
    <col min="9697" max="9697" width="3.85546875" bestFit="1" customWidth="1"/>
    <col min="9698" max="9698" width="38.7109375" customWidth="1"/>
    <col min="9699" max="9699" width="10.7109375" customWidth="1"/>
    <col min="9700" max="9700" width="14.7109375" customWidth="1"/>
    <col min="9701" max="9701" width="16.7109375" customWidth="1"/>
    <col min="9702" max="9702" width="18.7109375" customWidth="1"/>
    <col min="9705" max="9705" width="13.5703125" customWidth="1"/>
    <col min="9706" max="9706" width="10.5703125" bestFit="1" customWidth="1"/>
    <col min="9712" max="9712" width="4.140625" bestFit="1" customWidth="1"/>
    <col min="9713" max="9713" width="27.85546875" bestFit="1" customWidth="1"/>
    <col min="9714" max="9714" width="7.5703125" bestFit="1" customWidth="1"/>
    <col min="9715" max="9715" width="13.7109375" bestFit="1" customWidth="1"/>
    <col min="9716" max="9716" width="22.140625" bestFit="1" customWidth="1"/>
    <col min="9717" max="9717" width="26.42578125" bestFit="1" customWidth="1"/>
    <col min="9718" max="9718" width="20.85546875" bestFit="1" customWidth="1"/>
    <col min="9719" max="9719" width="14.7109375" bestFit="1" customWidth="1"/>
    <col min="9720" max="9720" width="16.140625" bestFit="1" customWidth="1"/>
    <col min="9721" max="9721" width="13.140625" bestFit="1" customWidth="1"/>
    <col min="9722" max="9722" width="23" bestFit="1" customWidth="1"/>
    <col min="9723" max="9723" width="11.5703125" bestFit="1" customWidth="1"/>
    <col min="9731" max="9731" width="4" customWidth="1"/>
    <col min="9732" max="9732" width="3.85546875" bestFit="1" customWidth="1"/>
    <col min="9733" max="9733" width="38.7109375" customWidth="1"/>
    <col min="9734" max="9734" width="10.7109375" customWidth="1"/>
    <col min="9735" max="9735" width="17.85546875" customWidth="1"/>
    <col min="9736" max="9736" width="18.7109375" customWidth="1"/>
    <col min="9737" max="9737" width="21.7109375" customWidth="1"/>
    <col min="9953" max="9953" width="3.85546875" bestFit="1" customWidth="1"/>
    <col min="9954" max="9954" width="38.7109375" customWidth="1"/>
    <col min="9955" max="9955" width="10.7109375" customWidth="1"/>
    <col min="9956" max="9956" width="14.7109375" customWidth="1"/>
    <col min="9957" max="9957" width="16.7109375" customWidth="1"/>
    <col min="9958" max="9958" width="18.7109375" customWidth="1"/>
    <col min="9961" max="9961" width="13.5703125" customWidth="1"/>
    <col min="9962" max="9962" width="10.5703125" bestFit="1" customWidth="1"/>
    <col min="9968" max="9968" width="4.140625" bestFit="1" customWidth="1"/>
    <col min="9969" max="9969" width="27.85546875" bestFit="1" customWidth="1"/>
    <col min="9970" max="9970" width="7.5703125" bestFit="1" customWidth="1"/>
    <col min="9971" max="9971" width="13.7109375" bestFit="1" customWidth="1"/>
    <col min="9972" max="9972" width="22.140625" bestFit="1" customWidth="1"/>
    <col min="9973" max="9973" width="26.42578125" bestFit="1" customWidth="1"/>
    <col min="9974" max="9974" width="20.85546875" bestFit="1" customWidth="1"/>
    <col min="9975" max="9975" width="14.7109375" bestFit="1" customWidth="1"/>
    <col min="9976" max="9976" width="16.140625" bestFit="1" customWidth="1"/>
    <col min="9977" max="9977" width="13.140625" bestFit="1" customWidth="1"/>
    <col min="9978" max="9978" width="23" bestFit="1" customWidth="1"/>
    <col min="9979" max="9979" width="11.5703125" bestFit="1" customWidth="1"/>
    <col min="9987" max="9987" width="4" customWidth="1"/>
    <col min="9988" max="9988" width="3.85546875" bestFit="1" customWidth="1"/>
    <col min="9989" max="9989" width="38.7109375" customWidth="1"/>
    <col min="9990" max="9990" width="10.7109375" customWidth="1"/>
    <col min="9991" max="9991" width="17.85546875" customWidth="1"/>
    <col min="9992" max="9992" width="18.7109375" customWidth="1"/>
    <col min="9993" max="9993" width="21.7109375" customWidth="1"/>
    <col min="10209" max="10209" width="3.85546875" bestFit="1" customWidth="1"/>
    <col min="10210" max="10210" width="38.7109375" customWidth="1"/>
    <col min="10211" max="10211" width="10.7109375" customWidth="1"/>
    <col min="10212" max="10212" width="14.7109375" customWidth="1"/>
    <col min="10213" max="10213" width="16.7109375" customWidth="1"/>
    <col min="10214" max="10214" width="18.7109375" customWidth="1"/>
    <col min="10217" max="10217" width="13.5703125" customWidth="1"/>
    <col min="10218" max="10218" width="10.5703125" bestFit="1" customWidth="1"/>
    <col min="10224" max="10224" width="4.140625" bestFit="1" customWidth="1"/>
    <col min="10225" max="10225" width="27.85546875" bestFit="1" customWidth="1"/>
    <col min="10226" max="10226" width="7.5703125" bestFit="1" customWidth="1"/>
    <col min="10227" max="10227" width="13.7109375" bestFit="1" customWidth="1"/>
    <col min="10228" max="10228" width="22.140625" bestFit="1" customWidth="1"/>
    <col min="10229" max="10229" width="26.42578125" bestFit="1" customWidth="1"/>
    <col min="10230" max="10230" width="20.85546875" bestFit="1" customWidth="1"/>
    <col min="10231" max="10231" width="14.7109375" bestFit="1" customWidth="1"/>
    <col min="10232" max="10232" width="16.140625" bestFit="1" customWidth="1"/>
    <col min="10233" max="10233" width="13.140625" bestFit="1" customWidth="1"/>
    <col min="10234" max="10234" width="23" bestFit="1" customWidth="1"/>
    <col min="10235" max="10235" width="11.5703125" bestFit="1" customWidth="1"/>
    <col min="10243" max="10243" width="4" customWidth="1"/>
    <col min="10244" max="10244" width="3.85546875" bestFit="1" customWidth="1"/>
    <col min="10245" max="10245" width="38.7109375" customWidth="1"/>
    <col min="10246" max="10246" width="10.7109375" customWidth="1"/>
    <col min="10247" max="10247" width="17.85546875" customWidth="1"/>
    <col min="10248" max="10248" width="18.7109375" customWidth="1"/>
    <col min="10249" max="10249" width="21.7109375" customWidth="1"/>
    <col min="10465" max="10465" width="3.85546875" bestFit="1" customWidth="1"/>
    <col min="10466" max="10466" width="38.7109375" customWidth="1"/>
    <col min="10467" max="10467" width="10.7109375" customWidth="1"/>
    <col min="10468" max="10468" width="14.7109375" customWidth="1"/>
    <col min="10469" max="10469" width="16.7109375" customWidth="1"/>
    <col min="10470" max="10470" width="18.7109375" customWidth="1"/>
    <col min="10473" max="10473" width="13.5703125" customWidth="1"/>
    <col min="10474" max="10474" width="10.5703125" bestFit="1" customWidth="1"/>
    <col min="10480" max="10480" width="4.140625" bestFit="1" customWidth="1"/>
    <col min="10481" max="10481" width="27.85546875" bestFit="1" customWidth="1"/>
    <col min="10482" max="10482" width="7.5703125" bestFit="1" customWidth="1"/>
    <col min="10483" max="10483" width="13.7109375" bestFit="1" customWidth="1"/>
    <col min="10484" max="10484" width="22.140625" bestFit="1" customWidth="1"/>
    <col min="10485" max="10485" width="26.42578125" bestFit="1" customWidth="1"/>
    <col min="10486" max="10486" width="20.85546875" bestFit="1" customWidth="1"/>
    <col min="10487" max="10487" width="14.7109375" bestFit="1" customWidth="1"/>
    <col min="10488" max="10488" width="16.140625" bestFit="1" customWidth="1"/>
    <col min="10489" max="10489" width="13.140625" bestFit="1" customWidth="1"/>
    <col min="10490" max="10490" width="23" bestFit="1" customWidth="1"/>
    <col min="10491" max="10491" width="11.5703125" bestFit="1" customWidth="1"/>
    <col min="10499" max="10499" width="4" customWidth="1"/>
    <col min="10500" max="10500" width="3.85546875" bestFit="1" customWidth="1"/>
    <col min="10501" max="10501" width="38.7109375" customWidth="1"/>
    <col min="10502" max="10502" width="10.7109375" customWidth="1"/>
    <col min="10503" max="10503" width="17.85546875" customWidth="1"/>
    <col min="10504" max="10504" width="18.7109375" customWidth="1"/>
    <col min="10505" max="10505" width="21.7109375" customWidth="1"/>
    <col min="10721" max="10721" width="3.85546875" bestFit="1" customWidth="1"/>
    <col min="10722" max="10722" width="38.7109375" customWidth="1"/>
    <col min="10723" max="10723" width="10.7109375" customWidth="1"/>
    <col min="10724" max="10724" width="14.7109375" customWidth="1"/>
    <col min="10725" max="10725" width="16.7109375" customWidth="1"/>
    <col min="10726" max="10726" width="18.7109375" customWidth="1"/>
    <col min="10729" max="10729" width="13.5703125" customWidth="1"/>
    <col min="10730" max="10730" width="10.5703125" bestFit="1" customWidth="1"/>
    <col min="10736" max="10736" width="4.140625" bestFit="1" customWidth="1"/>
    <col min="10737" max="10737" width="27.85546875" bestFit="1" customWidth="1"/>
    <col min="10738" max="10738" width="7.5703125" bestFit="1" customWidth="1"/>
    <col min="10739" max="10739" width="13.7109375" bestFit="1" customWidth="1"/>
    <col min="10740" max="10740" width="22.140625" bestFit="1" customWidth="1"/>
    <col min="10741" max="10741" width="26.42578125" bestFit="1" customWidth="1"/>
    <col min="10742" max="10742" width="20.85546875" bestFit="1" customWidth="1"/>
    <col min="10743" max="10743" width="14.7109375" bestFit="1" customWidth="1"/>
    <col min="10744" max="10744" width="16.140625" bestFit="1" customWidth="1"/>
    <col min="10745" max="10745" width="13.140625" bestFit="1" customWidth="1"/>
    <col min="10746" max="10746" width="23" bestFit="1" customWidth="1"/>
    <col min="10747" max="10747" width="11.5703125" bestFit="1" customWidth="1"/>
    <col min="10755" max="10755" width="4" customWidth="1"/>
    <col min="10756" max="10756" width="3.85546875" bestFit="1" customWidth="1"/>
    <col min="10757" max="10757" width="38.7109375" customWidth="1"/>
    <col min="10758" max="10758" width="10.7109375" customWidth="1"/>
    <col min="10759" max="10759" width="17.85546875" customWidth="1"/>
    <col min="10760" max="10760" width="18.7109375" customWidth="1"/>
    <col min="10761" max="10761" width="21.7109375" customWidth="1"/>
    <col min="10977" max="10977" width="3.85546875" bestFit="1" customWidth="1"/>
    <col min="10978" max="10978" width="38.7109375" customWidth="1"/>
    <col min="10979" max="10979" width="10.7109375" customWidth="1"/>
    <col min="10980" max="10980" width="14.7109375" customWidth="1"/>
    <col min="10981" max="10981" width="16.7109375" customWidth="1"/>
    <col min="10982" max="10982" width="18.7109375" customWidth="1"/>
    <col min="10985" max="10985" width="13.5703125" customWidth="1"/>
    <col min="10986" max="10986" width="10.5703125" bestFit="1" customWidth="1"/>
    <col min="10992" max="10992" width="4.140625" bestFit="1" customWidth="1"/>
    <col min="10993" max="10993" width="27.85546875" bestFit="1" customWidth="1"/>
    <col min="10994" max="10994" width="7.5703125" bestFit="1" customWidth="1"/>
    <col min="10995" max="10995" width="13.7109375" bestFit="1" customWidth="1"/>
    <col min="10996" max="10996" width="22.140625" bestFit="1" customWidth="1"/>
    <col min="10997" max="10997" width="26.42578125" bestFit="1" customWidth="1"/>
    <col min="10998" max="10998" width="20.85546875" bestFit="1" customWidth="1"/>
    <col min="10999" max="10999" width="14.7109375" bestFit="1" customWidth="1"/>
    <col min="11000" max="11000" width="16.140625" bestFit="1" customWidth="1"/>
    <col min="11001" max="11001" width="13.140625" bestFit="1" customWidth="1"/>
    <col min="11002" max="11002" width="23" bestFit="1" customWidth="1"/>
    <col min="11003" max="11003" width="11.5703125" bestFit="1" customWidth="1"/>
    <col min="11011" max="11011" width="4" customWidth="1"/>
    <col min="11012" max="11012" width="3.85546875" bestFit="1" customWidth="1"/>
    <col min="11013" max="11013" width="38.7109375" customWidth="1"/>
    <col min="11014" max="11014" width="10.7109375" customWidth="1"/>
    <col min="11015" max="11015" width="17.85546875" customWidth="1"/>
    <col min="11016" max="11016" width="18.7109375" customWidth="1"/>
    <col min="11017" max="11017" width="21.7109375" customWidth="1"/>
    <col min="11233" max="11233" width="3.85546875" bestFit="1" customWidth="1"/>
    <col min="11234" max="11234" width="38.7109375" customWidth="1"/>
    <col min="11235" max="11235" width="10.7109375" customWidth="1"/>
    <col min="11236" max="11236" width="14.7109375" customWidth="1"/>
    <col min="11237" max="11237" width="16.7109375" customWidth="1"/>
    <col min="11238" max="11238" width="18.7109375" customWidth="1"/>
    <col min="11241" max="11241" width="13.5703125" customWidth="1"/>
    <col min="11242" max="11242" width="10.5703125" bestFit="1" customWidth="1"/>
    <col min="11248" max="11248" width="4.140625" bestFit="1" customWidth="1"/>
    <col min="11249" max="11249" width="27.85546875" bestFit="1" customWidth="1"/>
    <col min="11250" max="11250" width="7.5703125" bestFit="1" customWidth="1"/>
    <col min="11251" max="11251" width="13.7109375" bestFit="1" customWidth="1"/>
    <col min="11252" max="11252" width="22.140625" bestFit="1" customWidth="1"/>
    <col min="11253" max="11253" width="26.42578125" bestFit="1" customWidth="1"/>
    <col min="11254" max="11254" width="20.85546875" bestFit="1" customWidth="1"/>
    <col min="11255" max="11255" width="14.7109375" bestFit="1" customWidth="1"/>
    <col min="11256" max="11256" width="16.140625" bestFit="1" customWidth="1"/>
    <col min="11257" max="11257" width="13.140625" bestFit="1" customWidth="1"/>
    <col min="11258" max="11258" width="23" bestFit="1" customWidth="1"/>
    <col min="11259" max="11259" width="11.5703125" bestFit="1" customWidth="1"/>
    <col min="11267" max="11267" width="4" customWidth="1"/>
    <col min="11268" max="11268" width="3.85546875" bestFit="1" customWidth="1"/>
    <col min="11269" max="11269" width="38.7109375" customWidth="1"/>
    <col min="11270" max="11270" width="10.7109375" customWidth="1"/>
    <col min="11271" max="11271" width="17.85546875" customWidth="1"/>
    <col min="11272" max="11272" width="18.7109375" customWidth="1"/>
    <col min="11273" max="11273" width="21.7109375" customWidth="1"/>
    <col min="11489" max="11489" width="3.85546875" bestFit="1" customWidth="1"/>
    <col min="11490" max="11490" width="38.7109375" customWidth="1"/>
    <col min="11491" max="11491" width="10.7109375" customWidth="1"/>
    <col min="11492" max="11492" width="14.7109375" customWidth="1"/>
    <col min="11493" max="11493" width="16.7109375" customWidth="1"/>
    <col min="11494" max="11494" width="18.7109375" customWidth="1"/>
    <col min="11497" max="11497" width="13.5703125" customWidth="1"/>
    <col min="11498" max="11498" width="10.5703125" bestFit="1" customWidth="1"/>
    <col min="11504" max="11504" width="4.140625" bestFit="1" customWidth="1"/>
    <col min="11505" max="11505" width="27.85546875" bestFit="1" customWidth="1"/>
    <col min="11506" max="11506" width="7.5703125" bestFit="1" customWidth="1"/>
    <col min="11507" max="11507" width="13.7109375" bestFit="1" customWidth="1"/>
    <col min="11508" max="11508" width="22.140625" bestFit="1" customWidth="1"/>
    <col min="11509" max="11509" width="26.42578125" bestFit="1" customWidth="1"/>
    <col min="11510" max="11510" width="20.85546875" bestFit="1" customWidth="1"/>
    <col min="11511" max="11511" width="14.7109375" bestFit="1" customWidth="1"/>
    <col min="11512" max="11512" width="16.140625" bestFit="1" customWidth="1"/>
    <col min="11513" max="11513" width="13.140625" bestFit="1" customWidth="1"/>
    <col min="11514" max="11514" width="23" bestFit="1" customWidth="1"/>
    <col min="11515" max="11515" width="11.5703125" bestFit="1" customWidth="1"/>
    <col min="11523" max="11523" width="4" customWidth="1"/>
    <col min="11524" max="11524" width="3.85546875" bestFit="1" customWidth="1"/>
    <col min="11525" max="11525" width="38.7109375" customWidth="1"/>
    <col min="11526" max="11526" width="10.7109375" customWidth="1"/>
    <col min="11527" max="11527" width="17.85546875" customWidth="1"/>
    <col min="11528" max="11528" width="18.7109375" customWidth="1"/>
    <col min="11529" max="11529" width="21.7109375" customWidth="1"/>
    <col min="11745" max="11745" width="3.85546875" bestFit="1" customWidth="1"/>
    <col min="11746" max="11746" width="38.7109375" customWidth="1"/>
    <col min="11747" max="11747" width="10.7109375" customWidth="1"/>
    <col min="11748" max="11748" width="14.7109375" customWidth="1"/>
    <col min="11749" max="11749" width="16.7109375" customWidth="1"/>
    <col min="11750" max="11750" width="18.7109375" customWidth="1"/>
    <col min="11753" max="11753" width="13.5703125" customWidth="1"/>
    <col min="11754" max="11754" width="10.5703125" bestFit="1" customWidth="1"/>
    <col min="11760" max="11760" width="4.140625" bestFit="1" customWidth="1"/>
    <col min="11761" max="11761" width="27.85546875" bestFit="1" customWidth="1"/>
    <col min="11762" max="11762" width="7.5703125" bestFit="1" customWidth="1"/>
    <col min="11763" max="11763" width="13.7109375" bestFit="1" customWidth="1"/>
    <col min="11764" max="11764" width="22.140625" bestFit="1" customWidth="1"/>
    <col min="11765" max="11765" width="26.42578125" bestFit="1" customWidth="1"/>
    <col min="11766" max="11766" width="20.85546875" bestFit="1" customWidth="1"/>
    <col min="11767" max="11767" width="14.7109375" bestFit="1" customWidth="1"/>
    <col min="11768" max="11768" width="16.140625" bestFit="1" customWidth="1"/>
    <col min="11769" max="11769" width="13.140625" bestFit="1" customWidth="1"/>
    <col min="11770" max="11770" width="23" bestFit="1" customWidth="1"/>
    <col min="11771" max="11771" width="11.5703125" bestFit="1" customWidth="1"/>
    <col min="11779" max="11779" width="4" customWidth="1"/>
    <col min="11780" max="11780" width="3.85546875" bestFit="1" customWidth="1"/>
    <col min="11781" max="11781" width="38.7109375" customWidth="1"/>
    <col min="11782" max="11782" width="10.7109375" customWidth="1"/>
    <col min="11783" max="11783" width="17.85546875" customWidth="1"/>
    <col min="11784" max="11784" width="18.7109375" customWidth="1"/>
    <col min="11785" max="11785" width="21.7109375" customWidth="1"/>
    <col min="12001" max="12001" width="3.85546875" bestFit="1" customWidth="1"/>
    <col min="12002" max="12002" width="38.7109375" customWidth="1"/>
    <col min="12003" max="12003" width="10.7109375" customWidth="1"/>
    <col min="12004" max="12004" width="14.7109375" customWidth="1"/>
    <col min="12005" max="12005" width="16.7109375" customWidth="1"/>
    <col min="12006" max="12006" width="18.7109375" customWidth="1"/>
    <col min="12009" max="12009" width="13.5703125" customWidth="1"/>
    <col min="12010" max="12010" width="10.5703125" bestFit="1" customWidth="1"/>
    <col min="12016" max="12016" width="4.140625" bestFit="1" customWidth="1"/>
    <col min="12017" max="12017" width="27.85546875" bestFit="1" customWidth="1"/>
    <col min="12018" max="12018" width="7.5703125" bestFit="1" customWidth="1"/>
    <col min="12019" max="12019" width="13.7109375" bestFit="1" customWidth="1"/>
    <col min="12020" max="12020" width="22.140625" bestFit="1" customWidth="1"/>
    <col min="12021" max="12021" width="26.42578125" bestFit="1" customWidth="1"/>
    <col min="12022" max="12022" width="20.85546875" bestFit="1" customWidth="1"/>
    <col min="12023" max="12023" width="14.7109375" bestFit="1" customWidth="1"/>
    <col min="12024" max="12024" width="16.140625" bestFit="1" customWidth="1"/>
    <col min="12025" max="12025" width="13.140625" bestFit="1" customWidth="1"/>
    <col min="12026" max="12026" width="23" bestFit="1" customWidth="1"/>
    <col min="12027" max="12027" width="11.5703125" bestFit="1" customWidth="1"/>
    <col min="12035" max="12035" width="4" customWidth="1"/>
    <col min="12036" max="12036" width="3.85546875" bestFit="1" customWidth="1"/>
    <col min="12037" max="12037" width="38.7109375" customWidth="1"/>
    <col min="12038" max="12038" width="10.7109375" customWidth="1"/>
    <col min="12039" max="12039" width="17.85546875" customWidth="1"/>
    <col min="12040" max="12040" width="18.7109375" customWidth="1"/>
    <col min="12041" max="12041" width="21.7109375" customWidth="1"/>
    <col min="12257" max="12257" width="3.85546875" bestFit="1" customWidth="1"/>
    <col min="12258" max="12258" width="38.7109375" customWidth="1"/>
    <col min="12259" max="12259" width="10.7109375" customWidth="1"/>
    <col min="12260" max="12260" width="14.7109375" customWidth="1"/>
    <col min="12261" max="12261" width="16.7109375" customWidth="1"/>
    <col min="12262" max="12262" width="18.7109375" customWidth="1"/>
    <col min="12265" max="12265" width="13.5703125" customWidth="1"/>
    <col min="12266" max="12266" width="10.5703125" bestFit="1" customWidth="1"/>
    <col min="12272" max="12272" width="4.140625" bestFit="1" customWidth="1"/>
    <col min="12273" max="12273" width="27.85546875" bestFit="1" customWidth="1"/>
    <col min="12274" max="12274" width="7.5703125" bestFit="1" customWidth="1"/>
    <col min="12275" max="12275" width="13.7109375" bestFit="1" customWidth="1"/>
    <col min="12276" max="12276" width="22.140625" bestFit="1" customWidth="1"/>
    <col min="12277" max="12277" width="26.42578125" bestFit="1" customWidth="1"/>
    <col min="12278" max="12278" width="20.85546875" bestFit="1" customWidth="1"/>
    <col min="12279" max="12279" width="14.7109375" bestFit="1" customWidth="1"/>
    <col min="12280" max="12280" width="16.140625" bestFit="1" customWidth="1"/>
    <col min="12281" max="12281" width="13.140625" bestFit="1" customWidth="1"/>
    <col min="12282" max="12282" width="23" bestFit="1" customWidth="1"/>
    <col min="12283" max="12283" width="11.5703125" bestFit="1" customWidth="1"/>
    <col min="12291" max="12291" width="4" customWidth="1"/>
    <col min="12292" max="12292" width="3.85546875" bestFit="1" customWidth="1"/>
    <col min="12293" max="12293" width="38.7109375" customWidth="1"/>
    <col min="12294" max="12294" width="10.7109375" customWidth="1"/>
    <col min="12295" max="12295" width="17.85546875" customWidth="1"/>
    <col min="12296" max="12296" width="18.7109375" customWidth="1"/>
    <col min="12297" max="12297" width="21.7109375" customWidth="1"/>
    <col min="12513" max="12513" width="3.85546875" bestFit="1" customWidth="1"/>
    <col min="12514" max="12514" width="38.7109375" customWidth="1"/>
    <col min="12515" max="12515" width="10.7109375" customWidth="1"/>
    <col min="12516" max="12516" width="14.7109375" customWidth="1"/>
    <col min="12517" max="12517" width="16.7109375" customWidth="1"/>
    <col min="12518" max="12518" width="18.7109375" customWidth="1"/>
    <col min="12521" max="12521" width="13.5703125" customWidth="1"/>
    <col min="12522" max="12522" width="10.5703125" bestFit="1" customWidth="1"/>
    <col min="12528" max="12528" width="4.140625" bestFit="1" customWidth="1"/>
    <col min="12529" max="12529" width="27.85546875" bestFit="1" customWidth="1"/>
    <col min="12530" max="12530" width="7.5703125" bestFit="1" customWidth="1"/>
    <col min="12531" max="12531" width="13.7109375" bestFit="1" customWidth="1"/>
    <col min="12532" max="12532" width="22.140625" bestFit="1" customWidth="1"/>
    <col min="12533" max="12533" width="26.42578125" bestFit="1" customWidth="1"/>
    <col min="12534" max="12534" width="20.85546875" bestFit="1" customWidth="1"/>
    <col min="12535" max="12535" width="14.7109375" bestFit="1" customWidth="1"/>
    <col min="12536" max="12536" width="16.140625" bestFit="1" customWidth="1"/>
    <col min="12537" max="12537" width="13.140625" bestFit="1" customWidth="1"/>
    <col min="12538" max="12538" width="23" bestFit="1" customWidth="1"/>
    <col min="12539" max="12539" width="11.5703125" bestFit="1" customWidth="1"/>
    <col min="12547" max="12547" width="4" customWidth="1"/>
    <col min="12548" max="12548" width="3.85546875" bestFit="1" customWidth="1"/>
    <col min="12549" max="12549" width="38.7109375" customWidth="1"/>
    <col min="12550" max="12550" width="10.7109375" customWidth="1"/>
    <col min="12551" max="12551" width="17.85546875" customWidth="1"/>
    <col min="12552" max="12552" width="18.7109375" customWidth="1"/>
    <col min="12553" max="12553" width="21.7109375" customWidth="1"/>
    <col min="12769" max="12769" width="3.85546875" bestFit="1" customWidth="1"/>
    <col min="12770" max="12770" width="38.7109375" customWidth="1"/>
    <col min="12771" max="12771" width="10.7109375" customWidth="1"/>
    <col min="12772" max="12772" width="14.7109375" customWidth="1"/>
    <col min="12773" max="12773" width="16.7109375" customWidth="1"/>
    <col min="12774" max="12774" width="18.7109375" customWidth="1"/>
    <col min="12777" max="12777" width="13.5703125" customWidth="1"/>
    <col min="12778" max="12778" width="10.5703125" bestFit="1" customWidth="1"/>
    <col min="12784" max="12784" width="4.140625" bestFit="1" customWidth="1"/>
    <col min="12785" max="12785" width="27.85546875" bestFit="1" customWidth="1"/>
    <col min="12786" max="12786" width="7.5703125" bestFit="1" customWidth="1"/>
    <col min="12787" max="12787" width="13.7109375" bestFit="1" customWidth="1"/>
    <col min="12788" max="12788" width="22.140625" bestFit="1" customWidth="1"/>
    <col min="12789" max="12789" width="26.42578125" bestFit="1" customWidth="1"/>
    <col min="12790" max="12790" width="20.85546875" bestFit="1" customWidth="1"/>
    <col min="12791" max="12791" width="14.7109375" bestFit="1" customWidth="1"/>
    <col min="12792" max="12792" width="16.140625" bestFit="1" customWidth="1"/>
    <col min="12793" max="12793" width="13.140625" bestFit="1" customWidth="1"/>
    <col min="12794" max="12794" width="23" bestFit="1" customWidth="1"/>
    <col min="12795" max="12795" width="11.5703125" bestFit="1" customWidth="1"/>
    <col min="12803" max="12803" width="4" customWidth="1"/>
    <col min="12804" max="12804" width="3.85546875" bestFit="1" customWidth="1"/>
    <col min="12805" max="12805" width="38.7109375" customWidth="1"/>
    <col min="12806" max="12806" width="10.7109375" customWidth="1"/>
    <col min="12807" max="12807" width="17.85546875" customWidth="1"/>
    <col min="12808" max="12808" width="18.7109375" customWidth="1"/>
    <col min="12809" max="12809" width="21.7109375" customWidth="1"/>
    <col min="13025" max="13025" width="3.85546875" bestFit="1" customWidth="1"/>
    <col min="13026" max="13026" width="38.7109375" customWidth="1"/>
    <col min="13027" max="13027" width="10.7109375" customWidth="1"/>
    <col min="13028" max="13028" width="14.7109375" customWidth="1"/>
    <col min="13029" max="13029" width="16.7109375" customWidth="1"/>
    <col min="13030" max="13030" width="18.7109375" customWidth="1"/>
    <col min="13033" max="13033" width="13.5703125" customWidth="1"/>
    <col min="13034" max="13034" width="10.5703125" bestFit="1" customWidth="1"/>
    <col min="13040" max="13040" width="4.140625" bestFit="1" customWidth="1"/>
    <col min="13041" max="13041" width="27.85546875" bestFit="1" customWidth="1"/>
    <col min="13042" max="13042" width="7.5703125" bestFit="1" customWidth="1"/>
    <col min="13043" max="13043" width="13.7109375" bestFit="1" customWidth="1"/>
    <col min="13044" max="13044" width="22.140625" bestFit="1" customWidth="1"/>
    <col min="13045" max="13045" width="26.42578125" bestFit="1" customWidth="1"/>
    <col min="13046" max="13046" width="20.85546875" bestFit="1" customWidth="1"/>
    <col min="13047" max="13047" width="14.7109375" bestFit="1" customWidth="1"/>
    <col min="13048" max="13048" width="16.140625" bestFit="1" customWidth="1"/>
    <col min="13049" max="13049" width="13.140625" bestFit="1" customWidth="1"/>
    <col min="13050" max="13050" width="23" bestFit="1" customWidth="1"/>
    <col min="13051" max="13051" width="11.5703125" bestFit="1" customWidth="1"/>
    <col min="13059" max="13059" width="4" customWidth="1"/>
    <col min="13060" max="13060" width="3.85546875" bestFit="1" customWidth="1"/>
    <col min="13061" max="13061" width="38.7109375" customWidth="1"/>
    <col min="13062" max="13062" width="10.7109375" customWidth="1"/>
    <col min="13063" max="13063" width="17.85546875" customWidth="1"/>
    <col min="13064" max="13064" width="18.7109375" customWidth="1"/>
    <col min="13065" max="13065" width="21.7109375" customWidth="1"/>
    <col min="13281" max="13281" width="3.85546875" bestFit="1" customWidth="1"/>
    <col min="13282" max="13282" width="38.7109375" customWidth="1"/>
    <col min="13283" max="13283" width="10.7109375" customWidth="1"/>
    <col min="13284" max="13284" width="14.7109375" customWidth="1"/>
    <col min="13285" max="13285" width="16.7109375" customWidth="1"/>
    <col min="13286" max="13286" width="18.7109375" customWidth="1"/>
    <col min="13289" max="13289" width="13.5703125" customWidth="1"/>
    <col min="13290" max="13290" width="10.5703125" bestFit="1" customWidth="1"/>
    <col min="13296" max="13296" width="4.140625" bestFit="1" customWidth="1"/>
    <col min="13297" max="13297" width="27.85546875" bestFit="1" customWidth="1"/>
    <col min="13298" max="13298" width="7.5703125" bestFit="1" customWidth="1"/>
    <col min="13299" max="13299" width="13.7109375" bestFit="1" customWidth="1"/>
    <col min="13300" max="13300" width="22.140625" bestFit="1" customWidth="1"/>
    <col min="13301" max="13301" width="26.42578125" bestFit="1" customWidth="1"/>
    <col min="13302" max="13302" width="20.85546875" bestFit="1" customWidth="1"/>
    <col min="13303" max="13303" width="14.7109375" bestFit="1" customWidth="1"/>
    <col min="13304" max="13304" width="16.140625" bestFit="1" customWidth="1"/>
    <col min="13305" max="13305" width="13.140625" bestFit="1" customWidth="1"/>
    <col min="13306" max="13306" width="23" bestFit="1" customWidth="1"/>
    <col min="13307" max="13307" width="11.5703125" bestFit="1" customWidth="1"/>
    <col min="13315" max="13315" width="4" customWidth="1"/>
    <col min="13316" max="13316" width="3.85546875" bestFit="1" customWidth="1"/>
    <col min="13317" max="13317" width="38.7109375" customWidth="1"/>
    <col min="13318" max="13318" width="10.7109375" customWidth="1"/>
    <col min="13319" max="13319" width="17.85546875" customWidth="1"/>
    <col min="13320" max="13320" width="18.7109375" customWidth="1"/>
    <col min="13321" max="13321" width="21.7109375" customWidth="1"/>
    <col min="13537" max="13537" width="3.85546875" bestFit="1" customWidth="1"/>
    <col min="13538" max="13538" width="38.7109375" customWidth="1"/>
    <col min="13539" max="13539" width="10.7109375" customWidth="1"/>
    <col min="13540" max="13540" width="14.7109375" customWidth="1"/>
    <col min="13541" max="13541" width="16.7109375" customWidth="1"/>
    <col min="13542" max="13542" width="18.7109375" customWidth="1"/>
    <col min="13545" max="13545" width="13.5703125" customWidth="1"/>
    <col min="13546" max="13546" width="10.5703125" bestFit="1" customWidth="1"/>
    <col min="13552" max="13552" width="4.140625" bestFit="1" customWidth="1"/>
    <col min="13553" max="13553" width="27.85546875" bestFit="1" customWidth="1"/>
    <col min="13554" max="13554" width="7.5703125" bestFit="1" customWidth="1"/>
    <col min="13555" max="13555" width="13.7109375" bestFit="1" customWidth="1"/>
    <col min="13556" max="13556" width="22.140625" bestFit="1" customWidth="1"/>
    <col min="13557" max="13557" width="26.42578125" bestFit="1" customWidth="1"/>
    <col min="13558" max="13558" width="20.85546875" bestFit="1" customWidth="1"/>
    <col min="13559" max="13559" width="14.7109375" bestFit="1" customWidth="1"/>
    <col min="13560" max="13560" width="16.140625" bestFit="1" customWidth="1"/>
    <col min="13561" max="13561" width="13.140625" bestFit="1" customWidth="1"/>
    <col min="13562" max="13562" width="23" bestFit="1" customWidth="1"/>
    <col min="13563" max="13563" width="11.5703125" bestFit="1" customWidth="1"/>
    <col min="13571" max="13571" width="4" customWidth="1"/>
    <col min="13572" max="13572" width="3.85546875" bestFit="1" customWidth="1"/>
    <col min="13573" max="13573" width="38.7109375" customWidth="1"/>
    <col min="13574" max="13574" width="10.7109375" customWidth="1"/>
    <col min="13575" max="13575" width="17.85546875" customWidth="1"/>
    <col min="13576" max="13576" width="18.7109375" customWidth="1"/>
    <col min="13577" max="13577" width="21.7109375" customWidth="1"/>
    <col min="13793" max="13793" width="3.85546875" bestFit="1" customWidth="1"/>
    <col min="13794" max="13794" width="38.7109375" customWidth="1"/>
    <col min="13795" max="13795" width="10.7109375" customWidth="1"/>
    <col min="13796" max="13796" width="14.7109375" customWidth="1"/>
    <col min="13797" max="13797" width="16.7109375" customWidth="1"/>
    <col min="13798" max="13798" width="18.7109375" customWidth="1"/>
    <col min="13801" max="13801" width="13.5703125" customWidth="1"/>
    <col min="13802" max="13802" width="10.5703125" bestFit="1" customWidth="1"/>
    <col min="13808" max="13808" width="4.140625" bestFit="1" customWidth="1"/>
    <col min="13809" max="13809" width="27.85546875" bestFit="1" customWidth="1"/>
    <col min="13810" max="13810" width="7.5703125" bestFit="1" customWidth="1"/>
    <col min="13811" max="13811" width="13.7109375" bestFit="1" customWidth="1"/>
    <col min="13812" max="13812" width="22.140625" bestFit="1" customWidth="1"/>
    <col min="13813" max="13813" width="26.42578125" bestFit="1" customWidth="1"/>
    <col min="13814" max="13814" width="20.85546875" bestFit="1" customWidth="1"/>
    <col min="13815" max="13815" width="14.7109375" bestFit="1" customWidth="1"/>
    <col min="13816" max="13816" width="16.140625" bestFit="1" customWidth="1"/>
    <col min="13817" max="13817" width="13.140625" bestFit="1" customWidth="1"/>
    <col min="13818" max="13818" width="23" bestFit="1" customWidth="1"/>
    <col min="13819" max="13819" width="11.5703125" bestFit="1" customWidth="1"/>
    <col min="13827" max="13827" width="4" customWidth="1"/>
    <col min="13828" max="13828" width="3.85546875" bestFit="1" customWidth="1"/>
    <col min="13829" max="13829" width="38.7109375" customWidth="1"/>
    <col min="13830" max="13830" width="10.7109375" customWidth="1"/>
    <col min="13831" max="13831" width="17.85546875" customWidth="1"/>
    <col min="13832" max="13832" width="18.7109375" customWidth="1"/>
    <col min="13833" max="13833" width="21.7109375" customWidth="1"/>
    <col min="14049" max="14049" width="3.85546875" bestFit="1" customWidth="1"/>
    <col min="14050" max="14050" width="38.7109375" customWidth="1"/>
    <col min="14051" max="14051" width="10.7109375" customWidth="1"/>
    <col min="14052" max="14052" width="14.7109375" customWidth="1"/>
    <col min="14053" max="14053" width="16.7109375" customWidth="1"/>
    <col min="14054" max="14054" width="18.7109375" customWidth="1"/>
    <col min="14057" max="14057" width="13.5703125" customWidth="1"/>
    <col min="14058" max="14058" width="10.5703125" bestFit="1" customWidth="1"/>
    <col min="14064" max="14064" width="4.140625" bestFit="1" customWidth="1"/>
    <col min="14065" max="14065" width="27.85546875" bestFit="1" customWidth="1"/>
    <col min="14066" max="14066" width="7.5703125" bestFit="1" customWidth="1"/>
    <col min="14067" max="14067" width="13.7109375" bestFit="1" customWidth="1"/>
    <col min="14068" max="14068" width="22.140625" bestFit="1" customWidth="1"/>
    <col min="14069" max="14069" width="26.42578125" bestFit="1" customWidth="1"/>
    <col min="14070" max="14070" width="20.85546875" bestFit="1" customWidth="1"/>
    <col min="14071" max="14071" width="14.7109375" bestFit="1" customWidth="1"/>
    <col min="14072" max="14072" width="16.140625" bestFit="1" customWidth="1"/>
    <col min="14073" max="14073" width="13.140625" bestFit="1" customWidth="1"/>
    <col min="14074" max="14074" width="23" bestFit="1" customWidth="1"/>
    <col min="14075" max="14075" width="11.5703125" bestFit="1" customWidth="1"/>
    <col min="14083" max="14083" width="4" customWidth="1"/>
    <col min="14084" max="14084" width="3.85546875" bestFit="1" customWidth="1"/>
    <col min="14085" max="14085" width="38.7109375" customWidth="1"/>
    <col min="14086" max="14086" width="10.7109375" customWidth="1"/>
    <col min="14087" max="14087" width="17.85546875" customWidth="1"/>
    <col min="14088" max="14088" width="18.7109375" customWidth="1"/>
    <col min="14089" max="14089" width="21.7109375" customWidth="1"/>
    <col min="14305" max="14305" width="3.85546875" bestFit="1" customWidth="1"/>
    <col min="14306" max="14306" width="38.7109375" customWidth="1"/>
    <col min="14307" max="14307" width="10.7109375" customWidth="1"/>
    <col min="14308" max="14308" width="14.7109375" customWidth="1"/>
    <col min="14309" max="14309" width="16.7109375" customWidth="1"/>
    <col min="14310" max="14310" width="18.7109375" customWidth="1"/>
    <col min="14313" max="14313" width="13.5703125" customWidth="1"/>
    <col min="14314" max="14314" width="10.5703125" bestFit="1" customWidth="1"/>
    <col min="14320" max="14320" width="4.140625" bestFit="1" customWidth="1"/>
    <col min="14321" max="14321" width="27.85546875" bestFit="1" customWidth="1"/>
    <col min="14322" max="14322" width="7.5703125" bestFit="1" customWidth="1"/>
    <col min="14323" max="14323" width="13.7109375" bestFit="1" customWidth="1"/>
    <col min="14324" max="14324" width="22.140625" bestFit="1" customWidth="1"/>
    <col min="14325" max="14325" width="26.42578125" bestFit="1" customWidth="1"/>
    <col min="14326" max="14326" width="20.85546875" bestFit="1" customWidth="1"/>
    <col min="14327" max="14327" width="14.7109375" bestFit="1" customWidth="1"/>
    <col min="14328" max="14328" width="16.140625" bestFit="1" customWidth="1"/>
    <col min="14329" max="14329" width="13.140625" bestFit="1" customWidth="1"/>
    <col min="14330" max="14330" width="23" bestFit="1" customWidth="1"/>
    <col min="14331" max="14331" width="11.5703125" bestFit="1" customWidth="1"/>
    <col min="14339" max="14339" width="4" customWidth="1"/>
    <col min="14340" max="14340" width="3.85546875" bestFit="1" customWidth="1"/>
    <col min="14341" max="14341" width="38.7109375" customWidth="1"/>
    <col min="14342" max="14342" width="10.7109375" customWidth="1"/>
    <col min="14343" max="14343" width="17.85546875" customWidth="1"/>
    <col min="14344" max="14344" width="18.7109375" customWidth="1"/>
    <col min="14345" max="14345" width="21.7109375" customWidth="1"/>
    <col min="14561" max="14561" width="3.85546875" bestFit="1" customWidth="1"/>
    <col min="14562" max="14562" width="38.7109375" customWidth="1"/>
    <col min="14563" max="14563" width="10.7109375" customWidth="1"/>
    <col min="14564" max="14564" width="14.7109375" customWidth="1"/>
    <col min="14565" max="14565" width="16.7109375" customWidth="1"/>
    <col min="14566" max="14566" width="18.7109375" customWidth="1"/>
    <col min="14569" max="14569" width="13.5703125" customWidth="1"/>
    <col min="14570" max="14570" width="10.5703125" bestFit="1" customWidth="1"/>
    <col min="14576" max="14576" width="4.140625" bestFit="1" customWidth="1"/>
    <col min="14577" max="14577" width="27.85546875" bestFit="1" customWidth="1"/>
    <col min="14578" max="14578" width="7.5703125" bestFit="1" customWidth="1"/>
    <col min="14579" max="14579" width="13.7109375" bestFit="1" customWidth="1"/>
    <col min="14580" max="14580" width="22.140625" bestFit="1" customWidth="1"/>
    <col min="14581" max="14581" width="26.42578125" bestFit="1" customWidth="1"/>
    <col min="14582" max="14582" width="20.85546875" bestFit="1" customWidth="1"/>
    <col min="14583" max="14583" width="14.7109375" bestFit="1" customWidth="1"/>
    <col min="14584" max="14584" width="16.140625" bestFit="1" customWidth="1"/>
    <col min="14585" max="14585" width="13.140625" bestFit="1" customWidth="1"/>
    <col min="14586" max="14586" width="23" bestFit="1" customWidth="1"/>
    <col min="14587" max="14587" width="11.5703125" bestFit="1" customWidth="1"/>
    <col min="14595" max="14595" width="4" customWidth="1"/>
    <col min="14596" max="14596" width="3.85546875" bestFit="1" customWidth="1"/>
    <col min="14597" max="14597" width="38.7109375" customWidth="1"/>
    <col min="14598" max="14598" width="10.7109375" customWidth="1"/>
    <col min="14599" max="14599" width="17.85546875" customWidth="1"/>
    <col min="14600" max="14600" width="18.7109375" customWidth="1"/>
    <col min="14601" max="14601" width="21.7109375" customWidth="1"/>
    <col min="14817" max="14817" width="3.85546875" bestFit="1" customWidth="1"/>
    <col min="14818" max="14818" width="38.7109375" customWidth="1"/>
    <col min="14819" max="14819" width="10.7109375" customWidth="1"/>
    <col min="14820" max="14820" width="14.7109375" customWidth="1"/>
    <col min="14821" max="14821" width="16.7109375" customWidth="1"/>
    <col min="14822" max="14822" width="18.7109375" customWidth="1"/>
    <col min="14825" max="14825" width="13.5703125" customWidth="1"/>
    <col min="14826" max="14826" width="10.5703125" bestFit="1" customWidth="1"/>
    <col min="14832" max="14832" width="4.140625" bestFit="1" customWidth="1"/>
    <col min="14833" max="14833" width="27.85546875" bestFit="1" customWidth="1"/>
    <col min="14834" max="14834" width="7.5703125" bestFit="1" customWidth="1"/>
    <col min="14835" max="14835" width="13.7109375" bestFit="1" customWidth="1"/>
    <col min="14836" max="14836" width="22.140625" bestFit="1" customWidth="1"/>
    <col min="14837" max="14837" width="26.42578125" bestFit="1" customWidth="1"/>
    <col min="14838" max="14838" width="20.85546875" bestFit="1" customWidth="1"/>
    <col min="14839" max="14839" width="14.7109375" bestFit="1" customWidth="1"/>
    <col min="14840" max="14840" width="16.140625" bestFit="1" customWidth="1"/>
    <col min="14841" max="14841" width="13.140625" bestFit="1" customWidth="1"/>
    <col min="14842" max="14842" width="23" bestFit="1" customWidth="1"/>
    <col min="14843" max="14843" width="11.5703125" bestFit="1" customWidth="1"/>
    <col min="14851" max="14851" width="4" customWidth="1"/>
    <col min="14852" max="14852" width="3.85546875" bestFit="1" customWidth="1"/>
    <col min="14853" max="14853" width="38.7109375" customWidth="1"/>
    <col min="14854" max="14854" width="10.7109375" customWidth="1"/>
    <col min="14855" max="14855" width="17.85546875" customWidth="1"/>
    <col min="14856" max="14856" width="18.7109375" customWidth="1"/>
    <col min="14857" max="14857" width="21.7109375" customWidth="1"/>
    <col min="15073" max="15073" width="3.85546875" bestFit="1" customWidth="1"/>
    <col min="15074" max="15074" width="38.7109375" customWidth="1"/>
    <col min="15075" max="15075" width="10.7109375" customWidth="1"/>
    <col min="15076" max="15076" width="14.7109375" customWidth="1"/>
    <col min="15077" max="15077" width="16.7109375" customWidth="1"/>
    <col min="15078" max="15078" width="18.7109375" customWidth="1"/>
    <col min="15081" max="15081" width="13.5703125" customWidth="1"/>
    <col min="15082" max="15082" width="10.5703125" bestFit="1" customWidth="1"/>
    <col min="15088" max="15088" width="4.140625" bestFit="1" customWidth="1"/>
    <col min="15089" max="15089" width="27.85546875" bestFit="1" customWidth="1"/>
    <col min="15090" max="15090" width="7.5703125" bestFit="1" customWidth="1"/>
    <col min="15091" max="15091" width="13.7109375" bestFit="1" customWidth="1"/>
    <col min="15092" max="15092" width="22.140625" bestFit="1" customWidth="1"/>
    <col min="15093" max="15093" width="26.42578125" bestFit="1" customWidth="1"/>
    <col min="15094" max="15094" width="20.85546875" bestFit="1" customWidth="1"/>
    <col min="15095" max="15095" width="14.7109375" bestFit="1" customWidth="1"/>
    <col min="15096" max="15096" width="16.140625" bestFit="1" customWidth="1"/>
    <col min="15097" max="15097" width="13.140625" bestFit="1" customWidth="1"/>
    <col min="15098" max="15098" width="23" bestFit="1" customWidth="1"/>
    <col min="15099" max="15099" width="11.5703125" bestFit="1" customWidth="1"/>
    <col min="15107" max="15107" width="4" customWidth="1"/>
    <col min="15108" max="15108" width="3.85546875" bestFit="1" customWidth="1"/>
    <col min="15109" max="15109" width="38.7109375" customWidth="1"/>
    <col min="15110" max="15110" width="10.7109375" customWidth="1"/>
    <col min="15111" max="15111" width="17.85546875" customWidth="1"/>
    <col min="15112" max="15112" width="18.7109375" customWidth="1"/>
    <col min="15113" max="15113" width="21.7109375" customWidth="1"/>
    <col min="15329" max="15329" width="3.85546875" bestFit="1" customWidth="1"/>
    <col min="15330" max="15330" width="38.7109375" customWidth="1"/>
    <col min="15331" max="15331" width="10.7109375" customWidth="1"/>
    <col min="15332" max="15332" width="14.7109375" customWidth="1"/>
    <col min="15333" max="15333" width="16.7109375" customWidth="1"/>
    <col min="15334" max="15334" width="18.7109375" customWidth="1"/>
    <col min="15337" max="15337" width="13.5703125" customWidth="1"/>
    <col min="15338" max="15338" width="10.5703125" bestFit="1" customWidth="1"/>
    <col min="15344" max="15344" width="4.140625" bestFit="1" customWidth="1"/>
    <col min="15345" max="15345" width="27.85546875" bestFit="1" customWidth="1"/>
    <col min="15346" max="15346" width="7.5703125" bestFit="1" customWidth="1"/>
    <col min="15347" max="15347" width="13.7109375" bestFit="1" customWidth="1"/>
    <col min="15348" max="15348" width="22.140625" bestFit="1" customWidth="1"/>
    <col min="15349" max="15349" width="26.42578125" bestFit="1" customWidth="1"/>
    <col min="15350" max="15350" width="20.85546875" bestFit="1" customWidth="1"/>
    <col min="15351" max="15351" width="14.7109375" bestFit="1" customWidth="1"/>
    <col min="15352" max="15352" width="16.140625" bestFit="1" customWidth="1"/>
    <col min="15353" max="15353" width="13.140625" bestFit="1" customWidth="1"/>
    <col min="15354" max="15354" width="23" bestFit="1" customWidth="1"/>
    <col min="15355" max="15355" width="11.5703125" bestFit="1" customWidth="1"/>
    <col min="15363" max="15363" width="4" customWidth="1"/>
    <col min="15364" max="15364" width="3.85546875" bestFit="1" customWidth="1"/>
    <col min="15365" max="15365" width="38.7109375" customWidth="1"/>
    <col min="15366" max="15366" width="10.7109375" customWidth="1"/>
    <col min="15367" max="15367" width="17.85546875" customWidth="1"/>
    <col min="15368" max="15368" width="18.7109375" customWidth="1"/>
    <col min="15369" max="15369" width="21.7109375" customWidth="1"/>
    <col min="15585" max="15585" width="3.85546875" bestFit="1" customWidth="1"/>
    <col min="15586" max="15586" width="38.7109375" customWidth="1"/>
    <col min="15587" max="15587" width="10.7109375" customWidth="1"/>
    <col min="15588" max="15588" width="14.7109375" customWidth="1"/>
    <col min="15589" max="15589" width="16.7109375" customWidth="1"/>
    <col min="15590" max="15590" width="18.7109375" customWidth="1"/>
    <col min="15593" max="15593" width="13.5703125" customWidth="1"/>
    <col min="15594" max="15594" width="10.5703125" bestFit="1" customWidth="1"/>
    <col min="15600" max="15600" width="4.140625" bestFit="1" customWidth="1"/>
    <col min="15601" max="15601" width="27.85546875" bestFit="1" customWidth="1"/>
    <col min="15602" max="15602" width="7.5703125" bestFit="1" customWidth="1"/>
    <col min="15603" max="15603" width="13.7109375" bestFit="1" customWidth="1"/>
    <col min="15604" max="15604" width="22.140625" bestFit="1" customWidth="1"/>
    <col min="15605" max="15605" width="26.42578125" bestFit="1" customWidth="1"/>
    <col min="15606" max="15606" width="20.85546875" bestFit="1" customWidth="1"/>
    <col min="15607" max="15607" width="14.7109375" bestFit="1" customWidth="1"/>
    <col min="15608" max="15608" width="16.140625" bestFit="1" customWidth="1"/>
    <col min="15609" max="15609" width="13.140625" bestFit="1" customWidth="1"/>
    <col min="15610" max="15610" width="23" bestFit="1" customWidth="1"/>
    <col min="15611" max="15611" width="11.5703125" bestFit="1" customWidth="1"/>
    <col min="15619" max="15619" width="4" customWidth="1"/>
    <col min="15620" max="15620" width="3.85546875" bestFit="1" customWidth="1"/>
    <col min="15621" max="15621" width="38.7109375" customWidth="1"/>
    <col min="15622" max="15622" width="10.7109375" customWidth="1"/>
    <col min="15623" max="15623" width="17.85546875" customWidth="1"/>
    <col min="15624" max="15624" width="18.7109375" customWidth="1"/>
    <col min="15625" max="15625" width="21.7109375" customWidth="1"/>
    <col min="15841" max="15841" width="3.85546875" bestFit="1" customWidth="1"/>
    <col min="15842" max="15842" width="38.7109375" customWidth="1"/>
    <col min="15843" max="15843" width="10.7109375" customWidth="1"/>
    <col min="15844" max="15844" width="14.7109375" customWidth="1"/>
    <col min="15845" max="15845" width="16.7109375" customWidth="1"/>
    <col min="15846" max="15846" width="18.7109375" customWidth="1"/>
    <col min="15849" max="15849" width="13.5703125" customWidth="1"/>
    <col min="15850" max="15850" width="10.5703125" bestFit="1" customWidth="1"/>
    <col min="15856" max="15856" width="4.140625" bestFit="1" customWidth="1"/>
    <col min="15857" max="15857" width="27.85546875" bestFit="1" customWidth="1"/>
    <col min="15858" max="15858" width="7.5703125" bestFit="1" customWidth="1"/>
    <col min="15859" max="15859" width="13.7109375" bestFit="1" customWidth="1"/>
    <col min="15860" max="15860" width="22.140625" bestFit="1" customWidth="1"/>
    <col min="15861" max="15861" width="26.42578125" bestFit="1" customWidth="1"/>
    <col min="15862" max="15862" width="20.85546875" bestFit="1" customWidth="1"/>
    <col min="15863" max="15863" width="14.7109375" bestFit="1" customWidth="1"/>
    <col min="15864" max="15864" width="16.140625" bestFit="1" customWidth="1"/>
    <col min="15865" max="15865" width="13.140625" bestFit="1" customWidth="1"/>
    <col min="15866" max="15866" width="23" bestFit="1" customWidth="1"/>
    <col min="15867" max="15867" width="11.5703125" bestFit="1" customWidth="1"/>
    <col min="15875" max="15875" width="4" customWidth="1"/>
    <col min="15876" max="15876" width="3.85546875" bestFit="1" customWidth="1"/>
    <col min="15877" max="15877" width="38.7109375" customWidth="1"/>
    <col min="15878" max="15878" width="10.7109375" customWidth="1"/>
    <col min="15879" max="15879" width="17.85546875" customWidth="1"/>
    <col min="15880" max="15880" width="18.7109375" customWidth="1"/>
    <col min="15881" max="15881" width="21.7109375" customWidth="1"/>
    <col min="16097" max="16097" width="3.85546875" bestFit="1" customWidth="1"/>
    <col min="16098" max="16098" width="38.7109375" customWidth="1"/>
    <col min="16099" max="16099" width="10.7109375" customWidth="1"/>
    <col min="16100" max="16100" width="14.7109375" customWidth="1"/>
    <col min="16101" max="16101" width="16.7109375" customWidth="1"/>
    <col min="16102" max="16102" width="18.7109375" customWidth="1"/>
    <col min="16105" max="16105" width="13.5703125" customWidth="1"/>
    <col min="16106" max="16106" width="10.5703125" bestFit="1" customWidth="1"/>
    <col min="16112" max="16112" width="4.140625" bestFit="1" customWidth="1"/>
    <col min="16113" max="16113" width="27.85546875" bestFit="1" customWidth="1"/>
    <col min="16114" max="16114" width="7.5703125" bestFit="1" customWidth="1"/>
    <col min="16115" max="16115" width="13.7109375" bestFit="1" customWidth="1"/>
    <col min="16116" max="16116" width="22.140625" bestFit="1" customWidth="1"/>
    <col min="16117" max="16117" width="26.42578125" bestFit="1" customWidth="1"/>
    <col min="16118" max="16118" width="20.85546875" bestFit="1" customWidth="1"/>
    <col min="16119" max="16119" width="14.7109375" bestFit="1" customWidth="1"/>
    <col min="16120" max="16120" width="16.140625" bestFit="1" customWidth="1"/>
    <col min="16121" max="16121" width="13.140625" bestFit="1" customWidth="1"/>
    <col min="16122" max="16122" width="23" bestFit="1" customWidth="1"/>
    <col min="16123" max="16123" width="11.5703125" bestFit="1" customWidth="1"/>
    <col min="16131" max="16131" width="4" customWidth="1"/>
    <col min="16132" max="16132" width="3.85546875" bestFit="1" customWidth="1"/>
    <col min="16133" max="16133" width="38.7109375" customWidth="1"/>
    <col min="16134" max="16134" width="10.7109375" customWidth="1"/>
    <col min="16135" max="16135" width="17.85546875" customWidth="1"/>
    <col min="16136" max="16136" width="18.7109375" customWidth="1"/>
    <col min="16137" max="16137" width="21.7109375" customWidth="1"/>
    <col min="16353" max="16353" width="3.85546875" bestFit="1" customWidth="1"/>
    <col min="16354" max="16354" width="38.7109375" customWidth="1"/>
    <col min="16355" max="16355" width="10.7109375" customWidth="1"/>
    <col min="16356" max="16356" width="14.7109375" customWidth="1"/>
    <col min="16357" max="16357" width="16.7109375" customWidth="1"/>
    <col min="16358" max="16358" width="18.7109375" customWidth="1"/>
    <col min="16361" max="16361" width="13.5703125" customWidth="1"/>
    <col min="16362" max="16362" width="10.5703125" bestFit="1" customWidth="1"/>
    <col min="16368" max="16368" width="4.140625" bestFit="1" customWidth="1"/>
    <col min="16369" max="16369" width="27.85546875" bestFit="1" customWidth="1"/>
    <col min="16370" max="16370" width="7.5703125" bestFit="1" customWidth="1"/>
    <col min="16371" max="16371" width="13.7109375" bestFit="1" customWidth="1"/>
    <col min="16372" max="16372" width="22.140625" bestFit="1" customWidth="1"/>
    <col min="16373" max="16373" width="26.42578125" bestFit="1" customWidth="1"/>
    <col min="16374" max="16374" width="20.85546875" bestFit="1" customWidth="1"/>
    <col min="16375" max="16375" width="14.7109375" bestFit="1" customWidth="1"/>
    <col min="16376" max="16376" width="16.140625" bestFit="1" customWidth="1"/>
    <col min="16377" max="16377" width="13.140625" bestFit="1" customWidth="1"/>
    <col min="16378" max="16378" width="23" bestFit="1" customWidth="1"/>
    <col min="16379" max="16379" width="11.5703125" bestFit="1" customWidth="1"/>
  </cols>
  <sheetData>
    <row r="1" spans="2:23">
      <c r="B1" s="559"/>
      <c r="C1" s="559"/>
      <c r="D1" s="559"/>
      <c r="E1" s="559"/>
      <c r="F1" s="559"/>
      <c r="G1" s="223"/>
      <c r="H1" s="559"/>
      <c r="I1" s="223"/>
    </row>
    <row r="2" spans="2:23" ht="21">
      <c r="B2" s="1066" t="s">
        <v>4111</v>
      </c>
      <c r="C2" s="1066"/>
      <c r="D2" s="1066"/>
      <c r="E2" s="1066"/>
      <c r="F2" s="1066"/>
      <c r="G2" s="1066"/>
      <c r="H2" s="792"/>
      <c r="I2" s="792"/>
    </row>
    <row r="3" spans="2:23" ht="18" customHeight="1">
      <c r="B3" s="1067" t="s">
        <v>4253</v>
      </c>
      <c r="C3" s="1067"/>
      <c r="D3" s="1067"/>
      <c r="E3" s="1067"/>
      <c r="F3" s="1067"/>
      <c r="G3" s="1067"/>
      <c r="H3" s="793"/>
      <c r="I3" s="793"/>
      <c r="V3" s="1041"/>
      <c r="W3" s="1041"/>
    </row>
    <row r="4" spans="2:23" ht="21.75" customHeight="1">
      <c r="B4" s="1077"/>
      <c r="C4" s="1077"/>
      <c r="D4" s="1077"/>
      <c r="E4" s="1077"/>
      <c r="F4" s="1077"/>
      <c r="G4" s="1077"/>
      <c r="H4" s="794"/>
      <c r="I4" s="794"/>
      <c r="V4" s="1041"/>
      <c r="W4" s="1041"/>
    </row>
    <row r="5" spans="2:23" ht="21.75" customHeight="1">
      <c r="B5" s="1077" t="s">
        <v>4329</v>
      </c>
      <c r="C5" s="1077"/>
      <c r="D5" s="1077"/>
      <c r="E5" s="1077"/>
      <c r="F5" s="1077"/>
      <c r="G5" s="1077"/>
      <c r="H5" s="794"/>
      <c r="I5" s="794"/>
    </row>
    <row r="6" spans="2:23" ht="15.75" thickBot="1">
      <c r="B6" s="559"/>
      <c r="C6" s="559"/>
      <c r="D6" s="559"/>
      <c r="E6" s="559"/>
      <c r="F6" s="559"/>
      <c r="G6" s="223"/>
      <c r="H6" s="559"/>
      <c r="I6" s="223"/>
    </row>
    <row r="7" spans="2:23" ht="15.75" thickTop="1">
      <c r="B7" s="1085" t="s">
        <v>10</v>
      </c>
      <c r="C7" s="1060" t="s">
        <v>4028</v>
      </c>
      <c r="D7" s="1179" t="s">
        <v>4029</v>
      </c>
      <c r="E7" s="1180"/>
      <c r="F7" s="1180"/>
      <c r="G7" s="1180"/>
      <c r="H7" s="1180"/>
      <c r="I7" s="1181"/>
    </row>
    <row r="8" spans="2:23" s="791" customFormat="1">
      <c r="B8" s="1174"/>
      <c r="C8" s="1164"/>
      <c r="D8" s="1182" t="s">
        <v>4030</v>
      </c>
      <c r="E8" s="1182"/>
      <c r="F8" s="1175" t="s">
        <v>2151</v>
      </c>
      <c r="G8" s="1176"/>
      <c r="H8" s="1177" t="s">
        <v>4349</v>
      </c>
      <c r="I8" s="1178"/>
    </row>
    <row r="9" spans="2:23">
      <c r="B9" s="1086"/>
      <c r="C9" s="1061"/>
      <c r="D9" s="1182"/>
      <c r="E9" s="1182" t="s">
        <v>2080</v>
      </c>
      <c r="F9" s="263" t="s">
        <v>1785</v>
      </c>
      <c r="G9" s="222" t="s">
        <v>3270</v>
      </c>
      <c r="H9" s="795" t="s">
        <v>1785</v>
      </c>
      <c r="I9" s="222" t="s">
        <v>3270</v>
      </c>
    </row>
    <row r="10" spans="2:23">
      <c r="B10" s="1086"/>
      <c r="C10" s="1061"/>
      <c r="D10" s="1164"/>
      <c r="E10" s="1164"/>
      <c r="F10" s="263" t="s">
        <v>2152</v>
      </c>
      <c r="G10" s="222" t="s">
        <v>2152</v>
      </c>
      <c r="H10" s="795" t="s">
        <v>2152</v>
      </c>
      <c r="I10" s="222" t="s">
        <v>2152</v>
      </c>
    </row>
    <row r="11" spans="2:23" ht="16.5">
      <c r="B11" s="262">
        <v>1</v>
      </c>
      <c r="C11" s="261">
        <v>2</v>
      </c>
      <c r="D11" s="260">
        <v>3</v>
      </c>
      <c r="E11" s="259">
        <v>4</v>
      </c>
      <c r="F11" s="258">
        <v>5</v>
      </c>
      <c r="G11" s="221" t="s">
        <v>3271</v>
      </c>
      <c r="H11" s="258">
        <v>7</v>
      </c>
      <c r="I11" s="221" t="s">
        <v>4342</v>
      </c>
      <c r="K11" s="176">
        <f>95/95</f>
        <v>1</v>
      </c>
    </row>
    <row r="12" spans="2:23" ht="21" customHeight="1">
      <c r="B12" s="257" t="s">
        <v>504</v>
      </c>
      <c r="C12" s="256" t="s">
        <v>4112</v>
      </c>
      <c r="D12" s="255"/>
      <c r="E12" s="254"/>
      <c r="F12" s="253"/>
      <c r="G12" s="220"/>
      <c r="H12" s="253"/>
      <c r="I12" s="220"/>
    </row>
    <row r="13" spans="2:23">
      <c r="B13" s="252"/>
      <c r="C13" s="251" t="s">
        <v>4032</v>
      </c>
      <c r="D13" s="250"/>
      <c r="E13" s="249"/>
      <c r="F13" s="302"/>
      <c r="G13" s="219"/>
      <c r="H13" s="302"/>
      <c r="I13" s="219"/>
      <c r="J13" s="1041"/>
      <c r="K13" s="1041"/>
    </row>
    <row r="14" spans="2:23">
      <c r="B14" s="252"/>
      <c r="C14" s="291" t="s">
        <v>4033</v>
      </c>
      <c r="D14" s="248" t="s">
        <v>52</v>
      </c>
      <c r="E14" s="247">
        <v>6806</v>
      </c>
      <c r="F14" s="202">
        <f>$K$11*H14</f>
        <v>2954.4111904761908</v>
      </c>
      <c r="G14" s="219">
        <f>E14*F14</f>
        <v>20107722.562380955</v>
      </c>
      <c r="H14" s="202">
        <f t="shared" ref="H14:H19" si="0">(ahs_sortir_material_tower_ton+ahs_erection_tower_ton)/1000</f>
        <v>2954.4111904761908</v>
      </c>
      <c r="I14" s="219">
        <f>E14*H14</f>
        <v>20107722.562380955</v>
      </c>
      <c r="J14" s="1041"/>
      <c r="K14" s="1041"/>
    </row>
    <row r="15" spans="2:23">
      <c r="B15" s="252"/>
      <c r="C15" s="291" t="s">
        <v>4034</v>
      </c>
      <c r="D15" s="248" t="s">
        <v>52</v>
      </c>
      <c r="E15" s="247">
        <v>7392</v>
      </c>
      <c r="F15" s="202">
        <f t="shared" ref="F15:F19" si="1">$K$11*H15</f>
        <v>2954.4111904761908</v>
      </c>
      <c r="G15" s="219">
        <f t="shared" ref="G15:G19" si="2">E15*F15</f>
        <v>21839007.520000003</v>
      </c>
      <c r="H15" s="202">
        <f t="shared" si="0"/>
        <v>2954.4111904761908</v>
      </c>
      <c r="I15" s="219">
        <f t="shared" ref="I15:I19" si="3">E15*H15</f>
        <v>21839007.520000003</v>
      </c>
    </row>
    <row r="16" spans="2:23">
      <c r="B16" s="252"/>
      <c r="C16" s="291" t="s">
        <v>4035</v>
      </c>
      <c r="D16" s="248" t="s">
        <v>52</v>
      </c>
      <c r="E16" s="247">
        <v>8254</v>
      </c>
      <c r="F16" s="202">
        <f t="shared" si="1"/>
        <v>2954.4111904761908</v>
      </c>
      <c r="G16" s="219">
        <f t="shared" si="2"/>
        <v>24385709.96619048</v>
      </c>
      <c r="H16" s="202">
        <f t="shared" si="0"/>
        <v>2954.4111904761908</v>
      </c>
      <c r="I16" s="219">
        <f t="shared" si="3"/>
        <v>24385709.96619048</v>
      </c>
    </row>
    <row r="17" spans="2:9">
      <c r="B17" s="252"/>
      <c r="C17" s="291" t="s">
        <v>4036</v>
      </c>
      <c r="D17" s="248" t="s">
        <v>52</v>
      </c>
      <c r="E17" s="247">
        <v>8828</v>
      </c>
      <c r="F17" s="202">
        <f t="shared" si="1"/>
        <v>2954.4111904761908</v>
      </c>
      <c r="G17" s="219">
        <f t="shared" si="2"/>
        <v>26081541.989523813</v>
      </c>
      <c r="H17" s="202">
        <f t="shared" si="0"/>
        <v>2954.4111904761908</v>
      </c>
      <c r="I17" s="219">
        <f t="shared" si="3"/>
        <v>26081541.989523813</v>
      </c>
    </row>
    <row r="18" spans="2:9">
      <c r="B18" s="252"/>
      <c r="C18" s="291" t="s">
        <v>4037</v>
      </c>
      <c r="D18" s="248" t="s">
        <v>52</v>
      </c>
      <c r="E18" s="247">
        <v>9797</v>
      </c>
      <c r="F18" s="202">
        <f t="shared" si="1"/>
        <v>2954.4111904761908</v>
      </c>
      <c r="G18" s="219">
        <f t="shared" si="2"/>
        <v>28944366.433095239</v>
      </c>
      <c r="H18" s="202">
        <f t="shared" si="0"/>
        <v>2954.4111904761908</v>
      </c>
      <c r="I18" s="219">
        <f t="shared" si="3"/>
        <v>28944366.433095239</v>
      </c>
    </row>
    <row r="19" spans="2:9">
      <c r="B19" s="252"/>
      <c r="C19" s="291" t="s">
        <v>4038</v>
      </c>
      <c r="D19" s="248" t="s">
        <v>52</v>
      </c>
      <c r="E19" s="247">
        <v>10496</v>
      </c>
      <c r="F19" s="202">
        <f t="shared" si="1"/>
        <v>2954.4111904761908</v>
      </c>
      <c r="G19" s="219">
        <f t="shared" si="2"/>
        <v>31009499.855238099</v>
      </c>
      <c r="H19" s="202">
        <f t="shared" si="0"/>
        <v>2954.4111904761908</v>
      </c>
      <c r="I19" s="219">
        <f t="shared" si="3"/>
        <v>31009499.855238099</v>
      </c>
    </row>
    <row r="20" spans="2:9">
      <c r="B20" s="252"/>
      <c r="C20" s="291"/>
      <c r="D20" s="250"/>
      <c r="E20" s="247"/>
      <c r="F20" s="246"/>
      <c r="G20" s="219"/>
      <c r="H20" s="246"/>
      <c r="I20" s="219"/>
    </row>
    <row r="21" spans="2:9">
      <c r="B21" s="252"/>
      <c r="C21" s="251" t="s">
        <v>4039</v>
      </c>
      <c r="D21" s="250"/>
      <c r="E21" s="247"/>
      <c r="F21" s="246"/>
      <c r="G21" s="219"/>
      <c r="H21" s="246"/>
      <c r="I21" s="219"/>
    </row>
    <row r="22" spans="2:9">
      <c r="B22" s="252"/>
      <c r="C22" s="291" t="s">
        <v>4040</v>
      </c>
      <c r="D22" s="248" t="s">
        <v>52</v>
      </c>
      <c r="E22" s="247">
        <v>8737</v>
      </c>
      <c r="F22" s="202">
        <f t="shared" ref="F22:F27" si="4">$K$11*H22</f>
        <v>2954.4111904761908</v>
      </c>
      <c r="G22" s="219">
        <f t="shared" ref="G22" si="5">E22*F22</f>
        <v>25812690.57119048</v>
      </c>
      <c r="H22" s="202">
        <f t="shared" ref="H22:H27" si="6">(ahs_sortir_material_tower_ton+ahs_erection_tower_ton)/1000</f>
        <v>2954.4111904761908</v>
      </c>
      <c r="I22" s="219">
        <f t="shared" ref="I22:I27" si="7">E22*H22</f>
        <v>25812690.57119048</v>
      </c>
    </row>
    <row r="23" spans="2:9">
      <c r="B23" s="252"/>
      <c r="C23" s="291" t="s">
        <v>4041</v>
      </c>
      <c r="D23" s="248" t="s">
        <v>52</v>
      </c>
      <c r="E23" s="247">
        <v>9670</v>
      </c>
      <c r="F23" s="202">
        <f t="shared" si="4"/>
        <v>2954.4111904761908</v>
      </c>
      <c r="G23" s="219">
        <f t="shared" ref="G23:G27" si="8">E23*F23</f>
        <v>28569156.211904764</v>
      </c>
      <c r="H23" s="202">
        <f t="shared" si="6"/>
        <v>2954.4111904761908</v>
      </c>
      <c r="I23" s="219">
        <f t="shared" si="7"/>
        <v>28569156.211904764</v>
      </c>
    </row>
    <row r="24" spans="2:9">
      <c r="B24" s="252"/>
      <c r="C24" s="291" t="s">
        <v>4042</v>
      </c>
      <c r="D24" s="248" t="s">
        <v>52</v>
      </c>
      <c r="E24" s="247">
        <v>10596</v>
      </c>
      <c r="F24" s="202">
        <f t="shared" si="4"/>
        <v>2954.4111904761908</v>
      </c>
      <c r="G24" s="219">
        <f t="shared" si="8"/>
        <v>31304940.974285718</v>
      </c>
      <c r="H24" s="202">
        <f t="shared" si="6"/>
        <v>2954.4111904761908</v>
      </c>
      <c r="I24" s="219">
        <f t="shared" si="7"/>
        <v>31304940.974285718</v>
      </c>
    </row>
    <row r="25" spans="2:9">
      <c r="B25" s="252"/>
      <c r="C25" s="291" t="s">
        <v>4043</v>
      </c>
      <c r="D25" s="248" t="s">
        <v>52</v>
      </c>
      <c r="E25" s="247">
        <v>11839</v>
      </c>
      <c r="F25" s="202">
        <f t="shared" si="4"/>
        <v>2954.4111904761908</v>
      </c>
      <c r="G25" s="219">
        <f t="shared" si="8"/>
        <v>34977274.084047623</v>
      </c>
      <c r="H25" s="202">
        <f t="shared" si="6"/>
        <v>2954.4111904761908</v>
      </c>
      <c r="I25" s="219">
        <f t="shared" si="7"/>
        <v>34977274.084047623</v>
      </c>
    </row>
    <row r="26" spans="2:9">
      <c r="B26" s="252"/>
      <c r="C26" s="291" t="s">
        <v>4044</v>
      </c>
      <c r="D26" s="248" t="s">
        <v>52</v>
      </c>
      <c r="E26" s="247">
        <v>12832</v>
      </c>
      <c r="F26" s="202">
        <f t="shared" si="4"/>
        <v>2954.4111904761908</v>
      </c>
      <c r="G26" s="219">
        <f t="shared" si="8"/>
        <v>37911004.396190479</v>
      </c>
      <c r="H26" s="202">
        <f t="shared" si="6"/>
        <v>2954.4111904761908</v>
      </c>
      <c r="I26" s="219">
        <f t="shared" si="7"/>
        <v>37911004.396190479</v>
      </c>
    </row>
    <row r="27" spans="2:9">
      <c r="B27" s="252"/>
      <c r="C27" s="291" t="s">
        <v>4045</v>
      </c>
      <c r="D27" s="248" t="s">
        <v>52</v>
      </c>
      <c r="E27" s="247">
        <v>15012</v>
      </c>
      <c r="F27" s="202">
        <f t="shared" si="4"/>
        <v>2954.4111904761908</v>
      </c>
      <c r="G27" s="219">
        <f t="shared" si="8"/>
        <v>44351620.791428573</v>
      </c>
      <c r="H27" s="202">
        <f t="shared" si="6"/>
        <v>2954.4111904761908</v>
      </c>
      <c r="I27" s="219">
        <f t="shared" si="7"/>
        <v>44351620.791428573</v>
      </c>
    </row>
    <row r="28" spans="2:9">
      <c r="B28" s="252"/>
      <c r="C28" s="291"/>
      <c r="D28" s="250"/>
      <c r="E28" s="247"/>
      <c r="F28" s="246"/>
      <c r="G28" s="219"/>
      <c r="H28" s="246"/>
      <c r="I28" s="219"/>
    </row>
    <row r="29" spans="2:9">
      <c r="B29" s="252"/>
      <c r="C29" s="251" t="s">
        <v>4046</v>
      </c>
      <c r="D29" s="250"/>
      <c r="E29" s="247"/>
      <c r="F29" s="246"/>
      <c r="G29" s="219"/>
      <c r="H29" s="246"/>
      <c r="I29" s="219"/>
    </row>
    <row r="30" spans="2:9">
      <c r="B30" s="252"/>
      <c r="C30" s="291" t="s">
        <v>4047</v>
      </c>
      <c r="D30" s="248" t="s">
        <v>52</v>
      </c>
      <c r="E30" s="247">
        <v>11661</v>
      </c>
      <c r="F30" s="202">
        <f t="shared" ref="F30:F35" si="9">$K$11*H30</f>
        <v>2954.4111904761908</v>
      </c>
      <c r="G30" s="219">
        <f t="shared" ref="G30" si="10">E30*F30</f>
        <v>34451388.892142862</v>
      </c>
      <c r="H30" s="202">
        <f t="shared" ref="H30:H35" si="11">(ahs_sortir_material_tower_ton+ahs_erection_tower_ton)/1000</f>
        <v>2954.4111904761908</v>
      </c>
      <c r="I30" s="219">
        <f t="shared" ref="I30:I35" si="12">E30*H30</f>
        <v>34451388.892142862</v>
      </c>
    </row>
    <row r="31" spans="2:9">
      <c r="B31" s="252"/>
      <c r="C31" s="291" t="s">
        <v>4048</v>
      </c>
      <c r="D31" s="248" t="s">
        <v>52</v>
      </c>
      <c r="E31" s="247">
        <v>13684</v>
      </c>
      <c r="F31" s="202">
        <f t="shared" si="9"/>
        <v>2954.4111904761908</v>
      </c>
      <c r="G31" s="219">
        <f t="shared" ref="G31:G35" si="13">E31*F31</f>
        <v>40428162.730476193</v>
      </c>
      <c r="H31" s="202">
        <f t="shared" si="11"/>
        <v>2954.4111904761908</v>
      </c>
      <c r="I31" s="219">
        <f t="shared" si="12"/>
        <v>40428162.730476193</v>
      </c>
    </row>
    <row r="32" spans="2:9">
      <c r="B32" s="252"/>
      <c r="C32" s="291" t="s">
        <v>4049</v>
      </c>
      <c r="D32" s="248" t="s">
        <v>52</v>
      </c>
      <c r="E32" s="247">
        <v>13950</v>
      </c>
      <c r="F32" s="202">
        <f t="shared" si="9"/>
        <v>2954.4111904761908</v>
      </c>
      <c r="G32" s="219">
        <f t="shared" si="13"/>
        <v>41214036.107142858</v>
      </c>
      <c r="H32" s="202">
        <f t="shared" si="11"/>
        <v>2954.4111904761908</v>
      </c>
      <c r="I32" s="219">
        <f t="shared" si="12"/>
        <v>41214036.107142858</v>
      </c>
    </row>
    <row r="33" spans="2:9">
      <c r="B33" s="252"/>
      <c r="C33" s="291" t="s">
        <v>4050</v>
      </c>
      <c r="D33" s="248" t="s">
        <v>52</v>
      </c>
      <c r="E33" s="247">
        <v>15279</v>
      </c>
      <c r="F33" s="202">
        <f t="shared" si="9"/>
        <v>2954.4111904761908</v>
      </c>
      <c r="G33" s="219">
        <f t="shared" si="13"/>
        <v>45140448.579285719</v>
      </c>
      <c r="H33" s="202">
        <f t="shared" si="11"/>
        <v>2954.4111904761908</v>
      </c>
      <c r="I33" s="219">
        <f t="shared" si="12"/>
        <v>45140448.579285719</v>
      </c>
    </row>
    <row r="34" spans="2:9">
      <c r="B34" s="252"/>
      <c r="C34" s="291" t="s">
        <v>4051</v>
      </c>
      <c r="D34" s="248" t="s">
        <v>52</v>
      </c>
      <c r="E34" s="247">
        <v>16583</v>
      </c>
      <c r="F34" s="202">
        <f t="shared" si="9"/>
        <v>2954.4111904761908</v>
      </c>
      <c r="G34" s="219">
        <f t="shared" si="13"/>
        <v>48993000.771666668</v>
      </c>
      <c r="H34" s="202">
        <f t="shared" si="11"/>
        <v>2954.4111904761908</v>
      </c>
      <c r="I34" s="219">
        <f t="shared" si="12"/>
        <v>48993000.771666668</v>
      </c>
    </row>
    <row r="35" spans="2:9">
      <c r="B35" s="252"/>
      <c r="C35" s="291" t="s">
        <v>4052</v>
      </c>
      <c r="D35" s="248" t="s">
        <v>52</v>
      </c>
      <c r="E35" s="247">
        <v>19039</v>
      </c>
      <c r="F35" s="202">
        <f t="shared" si="9"/>
        <v>2954.4111904761908</v>
      </c>
      <c r="G35" s="219">
        <f t="shared" si="13"/>
        <v>56249034.655476198</v>
      </c>
      <c r="H35" s="202">
        <f t="shared" si="11"/>
        <v>2954.4111904761908</v>
      </c>
      <c r="I35" s="219">
        <f t="shared" si="12"/>
        <v>56249034.655476198</v>
      </c>
    </row>
    <row r="36" spans="2:9">
      <c r="B36" s="252"/>
      <c r="C36" s="291"/>
      <c r="D36" s="250"/>
      <c r="E36" s="247"/>
      <c r="F36" s="246"/>
      <c r="G36" s="219"/>
      <c r="H36" s="246"/>
      <c r="I36" s="219"/>
    </row>
    <row r="37" spans="2:9">
      <c r="B37" s="252"/>
      <c r="C37" s="251" t="s">
        <v>4053</v>
      </c>
      <c r="D37" s="250"/>
      <c r="E37" s="247"/>
      <c r="F37" s="246"/>
      <c r="G37" s="219"/>
      <c r="H37" s="246"/>
      <c r="I37" s="219"/>
    </row>
    <row r="38" spans="2:9">
      <c r="B38" s="252"/>
      <c r="C38" s="291" t="s">
        <v>4054</v>
      </c>
      <c r="D38" s="248" t="s">
        <v>52</v>
      </c>
      <c r="E38" s="247">
        <v>14611</v>
      </c>
      <c r="F38" s="202">
        <f t="shared" ref="F38:F43" si="14">$K$11*H38</f>
        <v>2954.4111904761908</v>
      </c>
      <c r="G38" s="219">
        <f t="shared" ref="G38" si="15">E38*F38</f>
        <v>43166901.904047623</v>
      </c>
      <c r="H38" s="202">
        <f t="shared" ref="H38:H43" si="16">(ahs_sortir_material_tower_ton+ahs_erection_tower_ton)/1000</f>
        <v>2954.4111904761908</v>
      </c>
      <c r="I38" s="219">
        <f t="shared" ref="I38:I43" si="17">E38*H38</f>
        <v>43166901.904047623</v>
      </c>
    </row>
    <row r="39" spans="2:9">
      <c r="B39" s="252"/>
      <c r="C39" s="291" t="s">
        <v>4055</v>
      </c>
      <c r="D39" s="248" t="s">
        <v>52</v>
      </c>
      <c r="E39" s="247">
        <v>16331</v>
      </c>
      <c r="F39" s="202">
        <f t="shared" si="14"/>
        <v>2954.4111904761908</v>
      </c>
      <c r="G39" s="219">
        <f t="shared" ref="G39:G43" si="18">E39*F39</f>
        <v>48248489.151666671</v>
      </c>
      <c r="H39" s="202">
        <f t="shared" si="16"/>
        <v>2954.4111904761908</v>
      </c>
      <c r="I39" s="219">
        <f t="shared" si="17"/>
        <v>48248489.151666671</v>
      </c>
    </row>
    <row r="40" spans="2:9">
      <c r="B40" s="252"/>
      <c r="C40" s="291" t="s">
        <v>4056</v>
      </c>
      <c r="D40" s="248" t="s">
        <v>52</v>
      </c>
      <c r="E40" s="247">
        <v>17711</v>
      </c>
      <c r="F40" s="202">
        <f t="shared" si="14"/>
        <v>2954.4111904761908</v>
      </c>
      <c r="G40" s="219">
        <f t="shared" si="18"/>
        <v>52325576.594523817</v>
      </c>
      <c r="H40" s="202">
        <f t="shared" si="16"/>
        <v>2954.4111904761908</v>
      </c>
      <c r="I40" s="219">
        <f t="shared" si="17"/>
        <v>52325576.594523817</v>
      </c>
    </row>
    <row r="41" spans="2:9">
      <c r="B41" s="252"/>
      <c r="C41" s="291" t="s">
        <v>4057</v>
      </c>
      <c r="D41" s="248" t="s">
        <v>52</v>
      </c>
      <c r="E41" s="247">
        <v>19756</v>
      </c>
      <c r="F41" s="202">
        <f t="shared" si="14"/>
        <v>2954.4111904761908</v>
      </c>
      <c r="G41" s="219">
        <f t="shared" si="18"/>
        <v>58367347.479047626</v>
      </c>
      <c r="H41" s="202">
        <f t="shared" si="16"/>
        <v>2954.4111904761908</v>
      </c>
      <c r="I41" s="219">
        <f t="shared" si="17"/>
        <v>58367347.479047626</v>
      </c>
    </row>
    <row r="42" spans="2:9">
      <c r="B42" s="252"/>
      <c r="C42" s="291" t="s">
        <v>4058</v>
      </c>
      <c r="D42" s="248" t="s">
        <v>52</v>
      </c>
      <c r="E42" s="247">
        <v>21178</v>
      </c>
      <c r="F42" s="202">
        <f t="shared" si="14"/>
        <v>2954.4111904761908</v>
      </c>
      <c r="G42" s="219">
        <f t="shared" si="18"/>
        <v>62568520.191904768</v>
      </c>
      <c r="H42" s="202">
        <f t="shared" si="16"/>
        <v>2954.4111904761908</v>
      </c>
      <c r="I42" s="219">
        <f t="shared" si="17"/>
        <v>62568520.191904768</v>
      </c>
    </row>
    <row r="43" spans="2:9">
      <c r="B43" s="252"/>
      <c r="C43" s="291" t="s">
        <v>4059</v>
      </c>
      <c r="D43" s="248" t="s">
        <v>52</v>
      </c>
      <c r="E43" s="247">
        <v>23989</v>
      </c>
      <c r="F43" s="202">
        <f t="shared" si="14"/>
        <v>2954.4111904761908</v>
      </c>
      <c r="G43" s="219">
        <f t="shared" si="18"/>
        <v>70873370.048333347</v>
      </c>
      <c r="H43" s="202">
        <f t="shared" si="16"/>
        <v>2954.4111904761908</v>
      </c>
      <c r="I43" s="219">
        <f t="shared" si="17"/>
        <v>70873370.048333347</v>
      </c>
    </row>
    <row r="44" spans="2:9">
      <c r="B44" s="252"/>
      <c r="C44" s="291"/>
      <c r="D44" s="250"/>
      <c r="E44" s="247"/>
      <c r="F44" s="246"/>
      <c r="G44" s="219"/>
      <c r="H44" s="246"/>
      <c r="I44" s="219"/>
    </row>
    <row r="45" spans="2:9">
      <c r="B45" s="252"/>
      <c r="C45" s="251" t="s">
        <v>4060</v>
      </c>
      <c r="D45" s="250"/>
      <c r="E45" s="247"/>
      <c r="F45" s="246"/>
      <c r="G45" s="219"/>
      <c r="H45" s="246"/>
      <c r="I45" s="219"/>
    </row>
    <row r="46" spans="2:9">
      <c r="B46" s="252"/>
      <c r="C46" s="291" t="s">
        <v>4061</v>
      </c>
      <c r="D46" s="248" t="s">
        <v>52</v>
      </c>
      <c r="E46" s="247">
        <v>17725</v>
      </c>
      <c r="F46" s="202">
        <f t="shared" ref="F46:F51" si="19">$K$11*H46</f>
        <v>2954.4111904761908</v>
      </c>
      <c r="G46" s="219">
        <f t="shared" ref="G46" si="20">E46*F46</f>
        <v>52366938.351190485</v>
      </c>
      <c r="H46" s="202">
        <f t="shared" ref="H46:H51" si="21">(ahs_sortir_material_tower_ton+ahs_erection_tower_ton)/1000</f>
        <v>2954.4111904761908</v>
      </c>
      <c r="I46" s="219">
        <f t="shared" ref="I46:I51" si="22">E46*H46</f>
        <v>52366938.351190485</v>
      </c>
    </row>
    <row r="47" spans="2:9">
      <c r="B47" s="252"/>
      <c r="C47" s="291" t="s">
        <v>4062</v>
      </c>
      <c r="D47" s="248" t="s">
        <v>52</v>
      </c>
      <c r="E47" s="247">
        <v>19040.5</v>
      </c>
      <c r="F47" s="202">
        <f t="shared" si="19"/>
        <v>2954.4111904761908</v>
      </c>
      <c r="G47" s="219">
        <f t="shared" ref="G47:G51" si="23">E47*F47</f>
        <v>56253466.27226191</v>
      </c>
      <c r="H47" s="202">
        <f t="shared" si="21"/>
        <v>2954.4111904761908</v>
      </c>
      <c r="I47" s="219">
        <f t="shared" si="22"/>
        <v>56253466.27226191</v>
      </c>
    </row>
    <row r="48" spans="2:9">
      <c r="B48" s="252"/>
      <c r="C48" s="291" t="s">
        <v>4063</v>
      </c>
      <c r="D48" s="248" t="s">
        <v>52</v>
      </c>
      <c r="E48" s="247">
        <v>19899</v>
      </c>
      <c r="F48" s="202">
        <f t="shared" si="19"/>
        <v>2954.4111904761908</v>
      </c>
      <c r="G48" s="219">
        <f t="shared" si="23"/>
        <v>58789828.279285721</v>
      </c>
      <c r="H48" s="202">
        <f t="shared" si="21"/>
        <v>2954.4111904761908</v>
      </c>
      <c r="I48" s="219">
        <f t="shared" si="22"/>
        <v>58789828.279285721</v>
      </c>
    </row>
    <row r="49" spans="2:9">
      <c r="B49" s="252"/>
      <c r="C49" s="291" t="s">
        <v>4064</v>
      </c>
      <c r="D49" s="248" t="s">
        <v>52</v>
      </c>
      <c r="E49" s="247">
        <v>21196.75</v>
      </c>
      <c r="F49" s="202">
        <f t="shared" si="19"/>
        <v>2954.4111904761908</v>
      </c>
      <c r="G49" s="219">
        <f t="shared" si="23"/>
        <v>62623915.401726194</v>
      </c>
      <c r="H49" s="202">
        <f t="shared" si="21"/>
        <v>2954.4111904761908</v>
      </c>
      <c r="I49" s="219">
        <f t="shared" si="22"/>
        <v>62623915.401726194</v>
      </c>
    </row>
    <row r="50" spans="2:9">
      <c r="B50" s="252"/>
      <c r="C50" s="291" t="s">
        <v>4065</v>
      </c>
      <c r="D50" s="248" t="s">
        <v>52</v>
      </c>
      <c r="E50" s="247">
        <v>22368.75</v>
      </c>
      <c r="F50" s="202">
        <f t="shared" si="19"/>
        <v>2954.4111904761908</v>
      </c>
      <c r="G50" s="219">
        <f t="shared" si="23"/>
        <v>66086485.316964291</v>
      </c>
      <c r="H50" s="202">
        <f t="shared" si="21"/>
        <v>2954.4111904761908</v>
      </c>
      <c r="I50" s="219">
        <f t="shared" si="22"/>
        <v>66086485.316964291</v>
      </c>
    </row>
    <row r="51" spans="2:9">
      <c r="B51" s="252"/>
      <c r="C51" s="291" t="s">
        <v>4066</v>
      </c>
      <c r="D51" s="248" t="s">
        <v>52</v>
      </c>
      <c r="E51" s="247">
        <v>24405.25</v>
      </c>
      <c r="F51" s="202">
        <f t="shared" si="19"/>
        <v>2954.4111904761908</v>
      </c>
      <c r="G51" s="219">
        <f t="shared" si="23"/>
        <v>72103143.706369057</v>
      </c>
      <c r="H51" s="202">
        <f t="shared" si="21"/>
        <v>2954.4111904761908</v>
      </c>
      <c r="I51" s="219">
        <f t="shared" si="22"/>
        <v>72103143.706369057</v>
      </c>
    </row>
    <row r="52" spans="2:9">
      <c r="B52" s="232"/>
      <c r="C52" s="201"/>
      <c r="D52" s="230"/>
      <c r="E52" s="229"/>
      <c r="F52" s="200"/>
      <c r="G52" s="217"/>
      <c r="H52" s="200"/>
      <c r="I52" s="217"/>
    </row>
    <row r="53" spans="2:9" ht="15" hidden="1" customHeight="1">
      <c r="B53" s="199" t="s">
        <v>717</v>
      </c>
      <c r="C53" s="198" t="s">
        <v>4113</v>
      </c>
      <c r="D53" s="197"/>
      <c r="E53" s="196"/>
      <c r="F53" s="276"/>
      <c r="G53" s="218"/>
      <c r="H53" s="276"/>
      <c r="I53" s="218"/>
    </row>
    <row r="54" spans="2:9" ht="15" hidden="1" customHeight="1">
      <c r="B54" s="303"/>
      <c r="C54" s="251" t="s">
        <v>4114</v>
      </c>
      <c r="D54" s="244"/>
      <c r="E54" s="243"/>
      <c r="F54" s="299"/>
      <c r="G54" s="219"/>
      <c r="H54" s="299"/>
      <c r="I54" s="219"/>
    </row>
    <row r="55" spans="2:9" ht="15" hidden="1" customHeight="1">
      <c r="B55" s="303"/>
      <c r="C55" s="242" t="s">
        <v>4068</v>
      </c>
      <c r="D55" s="248" t="s">
        <v>52</v>
      </c>
      <c r="E55" s="247">
        <v>7316</v>
      </c>
      <c r="F55" s="299"/>
      <c r="G55" s="219"/>
      <c r="H55" s="299"/>
      <c r="I55" s="219"/>
    </row>
    <row r="56" spans="2:9" ht="15" hidden="1" customHeight="1">
      <c r="B56" s="303"/>
      <c r="C56" s="242" t="s">
        <v>4069</v>
      </c>
      <c r="D56" s="248" t="s">
        <v>52</v>
      </c>
      <c r="E56" s="247">
        <v>8384</v>
      </c>
      <c r="F56" s="299"/>
      <c r="G56" s="219"/>
      <c r="H56" s="299"/>
      <c r="I56" s="219"/>
    </row>
    <row r="57" spans="2:9" ht="15" hidden="1" customHeight="1">
      <c r="B57" s="303"/>
      <c r="C57" s="242" t="s">
        <v>4070</v>
      </c>
      <c r="D57" s="248" t="s">
        <v>52</v>
      </c>
      <c r="E57" s="247">
        <v>8656</v>
      </c>
      <c r="F57" s="299"/>
      <c r="G57" s="219"/>
      <c r="H57" s="299"/>
      <c r="I57" s="219"/>
    </row>
    <row r="58" spans="2:9" ht="15" hidden="1" customHeight="1">
      <c r="B58" s="303"/>
      <c r="C58" s="242" t="s">
        <v>4071</v>
      </c>
      <c r="D58" s="248" t="s">
        <v>52</v>
      </c>
      <c r="E58" s="247">
        <v>8197</v>
      </c>
      <c r="F58" s="299"/>
      <c r="G58" s="219"/>
      <c r="H58" s="299"/>
      <c r="I58" s="219"/>
    </row>
    <row r="59" spans="2:9" ht="15" hidden="1" customHeight="1">
      <c r="B59" s="303"/>
      <c r="C59" s="242" t="s">
        <v>4072</v>
      </c>
      <c r="D59" s="248" t="s">
        <v>52</v>
      </c>
      <c r="E59" s="247">
        <v>9331</v>
      </c>
      <c r="F59" s="299"/>
      <c r="G59" s="219"/>
      <c r="H59" s="299"/>
      <c r="I59" s="219"/>
    </row>
    <row r="60" spans="2:9" ht="15" hidden="1" customHeight="1">
      <c r="B60" s="303"/>
      <c r="C60" s="242" t="s">
        <v>4073</v>
      </c>
      <c r="D60" s="248" t="s">
        <v>52</v>
      </c>
      <c r="E60" s="247">
        <v>9603</v>
      </c>
      <c r="F60" s="299"/>
      <c r="G60" s="219"/>
      <c r="H60" s="299"/>
      <c r="I60" s="219"/>
    </row>
    <row r="61" spans="2:9" ht="15" hidden="1" customHeight="1">
      <c r="B61" s="303"/>
      <c r="C61" s="242" t="s">
        <v>4074</v>
      </c>
      <c r="D61" s="241" t="s">
        <v>52</v>
      </c>
      <c r="E61" s="247">
        <v>9869</v>
      </c>
      <c r="F61" s="299"/>
      <c r="G61" s="219"/>
      <c r="H61" s="299"/>
      <c r="I61" s="219"/>
    </row>
    <row r="62" spans="2:9" ht="15" hidden="1" customHeight="1">
      <c r="B62" s="303"/>
      <c r="C62" s="291"/>
      <c r="D62" s="244"/>
      <c r="E62" s="247"/>
      <c r="F62" s="299"/>
      <c r="G62" s="219"/>
      <c r="H62" s="299"/>
      <c r="I62" s="219"/>
    </row>
    <row r="63" spans="2:9" ht="15" hidden="1" customHeight="1">
      <c r="B63" s="303"/>
      <c r="C63" s="251" t="s">
        <v>4115</v>
      </c>
      <c r="D63" s="244"/>
      <c r="E63" s="247"/>
      <c r="F63" s="299"/>
      <c r="G63" s="219"/>
      <c r="H63" s="299"/>
      <c r="I63" s="219"/>
    </row>
    <row r="64" spans="2:9" ht="15" hidden="1" customHeight="1">
      <c r="B64" s="303"/>
      <c r="C64" s="242" t="s">
        <v>4076</v>
      </c>
      <c r="D64" s="248" t="s">
        <v>52</v>
      </c>
      <c r="E64" s="247">
        <v>8317</v>
      </c>
      <c r="F64" s="299"/>
      <c r="G64" s="219"/>
      <c r="H64" s="299"/>
      <c r="I64" s="219"/>
    </row>
    <row r="65" spans="2:9" ht="15" hidden="1" customHeight="1">
      <c r="B65" s="303"/>
      <c r="C65" s="242" t="s">
        <v>4077</v>
      </c>
      <c r="D65" s="248" t="s">
        <v>52</v>
      </c>
      <c r="E65" s="247">
        <v>8613</v>
      </c>
      <c r="F65" s="299"/>
      <c r="G65" s="219"/>
      <c r="H65" s="299"/>
      <c r="I65" s="219"/>
    </row>
    <row r="66" spans="2:9" ht="15" hidden="1" customHeight="1">
      <c r="B66" s="303"/>
      <c r="C66" s="242" t="s">
        <v>4078</v>
      </c>
      <c r="D66" s="248" t="s">
        <v>52</v>
      </c>
      <c r="E66" s="247">
        <v>9867</v>
      </c>
      <c r="F66" s="299"/>
      <c r="G66" s="219"/>
      <c r="H66" s="299"/>
      <c r="I66" s="219"/>
    </row>
    <row r="67" spans="2:9" ht="15" hidden="1" customHeight="1">
      <c r="B67" s="303"/>
      <c r="C67" s="242" t="s">
        <v>4079</v>
      </c>
      <c r="D67" s="248" t="s">
        <v>52</v>
      </c>
      <c r="E67" s="247">
        <v>10189</v>
      </c>
      <c r="F67" s="299"/>
      <c r="G67" s="219"/>
      <c r="H67" s="299"/>
      <c r="I67" s="219"/>
    </row>
    <row r="68" spans="2:9" ht="15" hidden="1" customHeight="1">
      <c r="B68" s="303"/>
      <c r="C68" s="242" t="s">
        <v>4080</v>
      </c>
      <c r="D68" s="248" t="s">
        <v>52</v>
      </c>
      <c r="E68" s="247">
        <v>10898</v>
      </c>
      <c r="F68" s="299"/>
      <c r="G68" s="219"/>
      <c r="H68" s="299"/>
      <c r="I68" s="219"/>
    </row>
    <row r="69" spans="2:9" ht="15" hidden="1" customHeight="1">
      <c r="B69" s="303"/>
      <c r="C69" s="242" t="s">
        <v>4081</v>
      </c>
      <c r="D69" s="248" t="s">
        <v>52</v>
      </c>
      <c r="E69" s="247">
        <v>11261</v>
      </c>
      <c r="F69" s="299"/>
      <c r="G69" s="219"/>
      <c r="H69" s="299"/>
      <c r="I69" s="219"/>
    </row>
    <row r="70" spans="2:9" ht="15" hidden="1" customHeight="1">
      <c r="B70" s="303"/>
      <c r="C70" s="291"/>
      <c r="D70" s="241"/>
      <c r="E70" s="247"/>
      <c r="F70" s="299"/>
      <c r="G70" s="219"/>
      <c r="H70" s="299"/>
      <c r="I70" s="219"/>
    </row>
    <row r="71" spans="2:9" ht="15" hidden="1" customHeight="1">
      <c r="B71" s="303"/>
      <c r="C71" s="251" t="s">
        <v>4116</v>
      </c>
      <c r="D71" s="244"/>
      <c r="E71" s="247"/>
      <c r="F71" s="299"/>
      <c r="G71" s="219"/>
      <c r="H71" s="299"/>
      <c r="I71" s="219"/>
    </row>
    <row r="72" spans="2:9" ht="15" hidden="1" customHeight="1">
      <c r="B72" s="303"/>
      <c r="C72" s="242" t="s">
        <v>4083</v>
      </c>
      <c r="D72" s="248" t="s">
        <v>52</v>
      </c>
      <c r="E72" s="247">
        <v>10141</v>
      </c>
      <c r="F72" s="299"/>
      <c r="G72" s="219"/>
      <c r="H72" s="299"/>
      <c r="I72" s="219"/>
    </row>
    <row r="73" spans="2:9" ht="15" hidden="1" customHeight="1">
      <c r="B73" s="303"/>
      <c r="C73" s="242" t="s">
        <v>4084</v>
      </c>
      <c r="D73" s="248" t="s">
        <v>52</v>
      </c>
      <c r="E73" s="247">
        <v>10517</v>
      </c>
      <c r="F73" s="299"/>
      <c r="G73" s="219"/>
      <c r="H73" s="299"/>
      <c r="I73" s="219"/>
    </row>
    <row r="74" spans="2:9" ht="15" hidden="1" customHeight="1">
      <c r="B74" s="303"/>
      <c r="C74" s="242" t="s">
        <v>4085</v>
      </c>
      <c r="D74" s="248" t="s">
        <v>52</v>
      </c>
      <c r="E74" s="247">
        <v>12983</v>
      </c>
      <c r="F74" s="299"/>
      <c r="G74" s="219"/>
      <c r="H74" s="299"/>
      <c r="I74" s="219"/>
    </row>
    <row r="75" spans="2:9" ht="15" hidden="1" customHeight="1">
      <c r="B75" s="303"/>
      <c r="C75" s="242" t="s">
        <v>4086</v>
      </c>
      <c r="D75" s="248" t="s">
        <v>52</v>
      </c>
      <c r="E75" s="247">
        <v>13487</v>
      </c>
      <c r="F75" s="299"/>
      <c r="G75" s="219"/>
      <c r="H75" s="299"/>
      <c r="I75" s="219"/>
    </row>
    <row r="76" spans="2:9" ht="15" hidden="1" customHeight="1">
      <c r="B76" s="303"/>
      <c r="C76" s="242" t="s">
        <v>4087</v>
      </c>
      <c r="D76" s="248" t="s">
        <v>52</v>
      </c>
      <c r="E76" s="247">
        <v>14834</v>
      </c>
      <c r="F76" s="299"/>
      <c r="G76" s="219"/>
      <c r="H76" s="299"/>
      <c r="I76" s="219"/>
    </row>
    <row r="77" spans="2:9" ht="15" hidden="1" customHeight="1">
      <c r="B77" s="303"/>
      <c r="C77" s="242" t="s">
        <v>4088</v>
      </c>
      <c r="D77" s="248" t="s">
        <v>52</v>
      </c>
      <c r="E77" s="247">
        <v>15338</v>
      </c>
      <c r="F77" s="299"/>
      <c r="G77" s="219"/>
      <c r="H77" s="299"/>
      <c r="I77" s="219"/>
    </row>
    <row r="78" spans="2:9" ht="15" hidden="1" customHeight="1">
      <c r="B78" s="303"/>
      <c r="C78" s="291"/>
      <c r="D78" s="241"/>
      <c r="E78" s="247"/>
      <c r="F78" s="299"/>
      <c r="G78" s="219"/>
      <c r="H78" s="299"/>
      <c r="I78" s="219"/>
    </row>
    <row r="79" spans="2:9" ht="15" hidden="1" customHeight="1">
      <c r="B79" s="303"/>
      <c r="C79" s="251" t="s">
        <v>4117</v>
      </c>
      <c r="D79" s="244"/>
      <c r="E79" s="247"/>
      <c r="F79" s="299"/>
      <c r="G79" s="219"/>
      <c r="H79" s="299"/>
      <c r="I79" s="219"/>
    </row>
    <row r="80" spans="2:9" ht="15" hidden="1" customHeight="1">
      <c r="B80" s="303"/>
      <c r="C80" s="242" t="s">
        <v>4090</v>
      </c>
      <c r="D80" s="248" t="s">
        <v>52</v>
      </c>
      <c r="E80" s="247">
        <v>13508</v>
      </c>
      <c r="F80" s="299"/>
      <c r="G80" s="219"/>
      <c r="H80" s="299"/>
      <c r="I80" s="219"/>
    </row>
    <row r="81" spans="2:14" ht="15" hidden="1" customHeight="1">
      <c r="B81" s="303"/>
      <c r="C81" s="242" t="s">
        <v>4091</v>
      </c>
      <c r="D81" s="248" t="s">
        <v>52</v>
      </c>
      <c r="E81" s="247">
        <v>14013</v>
      </c>
      <c r="F81" s="299"/>
      <c r="G81" s="219"/>
      <c r="H81" s="299"/>
      <c r="I81" s="219"/>
    </row>
    <row r="82" spans="2:14" ht="15" hidden="1" customHeight="1">
      <c r="B82" s="303"/>
      <c r="C82" s="242" t="s">
        <v>4092</v>
      </c>
      <c r="D82" s="248" t="s">
        <v>52</v>
      </c>
      <c r="E82" s="247">
        <v>16329</v>
      </c>
      <c r="F82" s="299"/>
      <c r="G82" s="219"/>
      <c r="H82" s="299"/>
      <c r="I82" s="219"/>
    </row>
    <row r="83" spans="2:14" ht="15" hidden="1" customHeight="1">
      <c r="B83" s="303"/>
      <c r="C83" s="242" t="s">
        <v>4093</v>
      </c>
      <c r="D83" s="248" t="s">
        <v>52</v>
      </c>
      <c r="E83" s="247">
        <v>16872</v>
      </c>
      <c r="F83" s="299"/>
      <c r="G83" s="219"/>
      <c r="H83" s="299"/>
      <c r="I83" s="219"/>
    </row>
    <row r="84" spans="2:14" ht="15" hidden="1" customHeight="1">
      <c r="B84" s="303"/>
      <c r="C84" s="242" t="s">
        <v>4094</v>
      </c>
      <c r="D84" s="248" t="s">
        <v>52</v>
      </c>
      <c r="E84" s="247">
        <v>18348</v>
      </c>
      <c r="F84" s="299"/>
      <c r="G84" s="219"/>
      <c r="H84" s="299"/>
      <c r="I84" s="219"/>
    </row>
    <row r="85" spans="2:14" ht="15" hidden="1" customHeight="1">
      <c r="B85" s="303"/>
      <c r="C85" s="242" t="s">
        <v>4095</v>
      </c>
      <c r="D85" s="248" t="s">
        <v>52</v>
      </c>
      <c r="E85" s="247">
        <v>18890</v>
      </c>
      <c r="F85" s="299"/>
      <c r="G85" s="219"/>
      <c r="H85" s="299"/>
      <c r="I85" s="219"/>
    </row>
    <row r="86" spans="2:14" ht="15" hidden="1" customHeight="1">
      <c r="B86" s="252"/>
      <c r="C86" s="291"/>
      <c r="D86" s="241"/>
      <c r="E86" s="247"/>
      <c r="F86" s="240"/>
      <c r="G86" s="219"/>
      <c r="H86" s="240"/>
      <c r="I86" s="219"/>
      <c r="N86">
        <f>SUM(N14:N51)</f>
        <v>0</v>
      </c>
    </row>
    <row r="87" spans="2:14" ht="18" customHeight="1">
      <c r="B87" s="239" t="s">
        <v>717</v>
      </c>
      <c r="C87" s="238" t="s">
        <v>4118</v>
      </c>
      <c r="D87" s="237"/>
      <c r="E87" s="236"/>
      <c r="F87" s="279"/>
      <c r="G87" s="218"/>
      <c r="H87" s="279"/>
      <c r="I87" s="218"/>
    </row>
    <row r="88" spans="2:14" ht="18" customHeight="1">
      <c r="B88" s="235"/>
      <c r="C88" s="234" t="s">
        <v>4097</v>
      </c>
      <c r="D88" s="250"/>
      <c r="E88" s="249"/>
      <c r="F88" s="302"/>
      <c r="G88" s="219"/>
      <c r="H88" s="302"/>
      <c r="I88" s="219"/>
    </row>
    <row r="89" spans="2:14">
      <c r="B89" s="252"/>
      <c r="C89" s="233" t="s">
        <v>4098</v>
      </c>
      <c r="D89" s="248"/>
      <c r="E89" s="247"/>
      <c r="F89" s="240"/>
      <c r="G89" s="219"/>
      <c r="H89" s="240"/>
      <c r="I89" s="219"/>
    </row>
    <row r="90" spans="2:14">
      <c r="B90" s="252"/>
      <c r="C90" s="302" t="s">
        <v>4099</v>
      </c>
      <c r="D90" s="248" t="s">
        <v>52</v>
      </c>
      <c r="E90" s="247">
        <v>251.56</v>
      </c>
      <c r="F90" s="202">
        <f t="shared" ref="F90:F95" si="24">$K$11*H90</f>
        <v>2255.2190729845765</v>
      </c>
      <c r="G90" s="219">
        <f>E90*F90</f>
        <v>567322.91</v>
      </c>
      <c r="H90" s="202">
        <f t="shared" ref="H90:H95" si="25">ahs_setting_stub/E90</f>
        <v>2255.2190729845765</v>
      </c>
      <c r="I90" s="219">
        <f t="shared" ref="I90:I95" si="26">E90*H90</f>
        <v>567322.91</v>
      </c>
    </row>
    <row r="91" spans="2:14">
      <c r="B91" s="252"/>
      <c r="C91" s="302" t="s">
        <v>4100</v>
      </c>
      <c r="D91" s="248" t="s">
        <v>52</v>
      </c>
      <c r="E91" s="247">
        <v>251.56</v>
      </c>
      <c r="F91" s="202">
        <f t="shared" si="24"/>
        <v>2255.2190729845765</v>
      </c>
      <c r="G91" s="219">
        <f t="shared" ref="G91:G95" si="27">E91*F91</f>
        <v>567322.91</v>
      </c>
      <c r="H91" s="202">
        <f t="shared" si="25"/>
        <v>2255.2190729845765</v>
      </c>
      <c r="I91" s="219">
        <f t="shared" si="26"/>
        <v>567322.91</v>
      </c>
    </row>
    <row r="92" spans="2:14">
      <c r="B92" s="252"/>
      <c r="C92" s="302" t="s">
        <v>4101</v>
      </c>
      <c r="D92" s="248" t="s">
        <v>52</v>
      </c>
      <c r="E92" s="247">
        <v>251.56</v>
      </c>
      <c r="F92" s="202">
        <f t="shared" si="24"/>
        <v>2255.2190729845765</v>
      </c>
      <c r="G92" s="219">
        <f t="shared" si="27"/>
        <v>567322.91</v>
      </c>
      <c r="H92" s="202">
        <f t="shared" si="25"/>
        <v>2255.2190729845765</v>
      </c>
      <c r="I92" s="219">
        <f t="shared" si="26"/>
        <v>567322.91</v>
      </c>
    </row>
    <row r="93" spans="2:14">
      <c r="B93" s="252"/>
      <c r="C93" s="302" t="s">
        <v>4102</v>
      </c>
      <c r="D93" s="248" t="s">
        <v>52</v>
      </c>
      <c r="E93" s="247">
        <v>251.56</v>
      </c>
      <c r="F93" s="202">
        <f t="shared" si="24"/>
        <v>2255.2190729845765</v>
      </c>
      <c r="G93" s="219">
        <f t="shared" si="27"/>
        <v>567322.91</v>
      </c>
      <c r="H93" s="202">
        <f t="shared" si="25"/>
        <v>2255.2190729845765</v>
      </c>
      <c r="I93" s="219">
        <f t="shared" si="26"/>
        <v>567322.91</v>
      </c>
    </row>
    <row r="94" spans="2:14">
      <c r="B94" s="252"/>
      <c r="C94" s="302" t="s">
        <v>4103</v>
      </c>
      <c r="D94" s="248" t="s">
        <v>52</v>
      </c>
      <c r="E94" s="247">
        <v>251.56</v>
      </c>
      <c r="F94" s="202">
        <f t="shared" si="24"/>
        <v>2255.2190729845765</v>
      </c>
      <c r="G94" s="219">
        <f t="shared" si="27"/>
        <v>567322.91</v>
      </c>
      <c r="H94" s="202">
        <f t="shared" si="25"/>
        <v>2255.2190729845765</v>
      </c>
      <c r="I94" s="219">
        <f t="shared" si="26"/>
        <v>567322.91</v>
      </c>
    </row>
    <row r="95" spans="2:14">
      <c r="B95" s="252"/>
      <c r="C95" s="233" t="s">
        <v>4104</v>
      </c>
      <c r="D95" s="248" t="s">
        <v>52</v>
      </c>
      <c r="E95" s="247">
        <v>150.93599999999998</v>
      </c>
      <c r="F95" s="202">
        <f t="shared" si="24"/>
        <v>3758.6984549742947</v>
      </c>
      <c r="G95" s="219">
        <f t="shared" si="27"/>
        <v>567322.91</v>
      </c>
      <c r="H95" s="202">
        <f t="shared" si="25"/>
        <v>3758.6984549742947</v>
      </c>
      <c r="I95" s="219">
        <f t="shared" si="26"/>
        <v>567322.91</v>
      </c>
    </row>
    <row r="96" spans="2:14" ht="18" customHeight="1">
      <c r="B96" s="235"/>
      <c r="C96" s="234" t="s">
        <v>4105</v>
      </c>
      <c r="D96" s="250"/>
      <c r="E96" s="247"/>
      <c r="F96" s="302"/>
      <c r="G96" s="219"/>
      <c r="H96" s="302"/>
      <c r="I96" s="219"/>
    </row>
    <row r="97" spans="2:9">
      <c r="B97" s="252"/>
      <c r="C97" s="233" t="s">
        <v>4098</v>
      </c>
      <c r="D97" s="248"/>
      <c r="E97" s="247"/>
      <c r="F97" s="240"/>
      <c r="G97" s="219"/>
      <c r="H97" s="240"/>
      <c r="I97" s="219"/>
    </row>
    <row r="98" spans="2:9">
      <c r="B98" s="252"/>
      <c r="C98" s="302" t="s">
        <v>4099</v>
      </c>
      <c r="D98" s="248" t="s">
        <v>52</v>
      </c>
      <c r="E98" s="247">
        <v>399.36</v>
      </c>
      <c r="F98" s="202">
        <f t="shared" ref="F98:F103" si="28">$K$11*H98</f>
        <v>1420.5802033253206</v>
      </c>
      <c r="G98" s="219">
        <f t="shared" ref="G98" si="29">E98*F98</f>
        <v>567322.91</v>
      </c>
      <c r="H98" s="202">
        <f t="shared" ref="H98:H103" si="30">ahs_setting_stub/E98</f>
        <v>1420.5802033253206</v>
      </c>
      <c r="I98" s="219">
        <f t="shared" ref="I98:I103" si="31">E98*H98</f>
        <v>567322.91</v>
      </c>
    </row>
    <row r="99" spans="2:9">
      <c r="B99" s="252"/>
      <c r="C99" s="302" t="s">
        <v>4100</v>
      </c>
      <c r="D99" s="248" t="s">
        <v>52</v>
      </c>
      <c r="E99" s="247">
        <v>399.36</v>
      </c>
      <c r="F99" s="202">
        <f t="shared" si="28"/>
        <v>1420.5802033253206</v>
      </c>
      <c r="G99" s="219">
        <f t="shared" ref="G99:G103" si="32">E99*F99</f>
        <v>567322.91</v>
      </c>
      <c r="H99" s="202">
        <f t="shared" si="30"/>
        <v>1420.5802033253206</v>
      </c>
      <c r="I99" s="219">
        <f t="shared" si="31"/>
        <v>567322.91</v>
      </c>
    </row>
    <row r="100" spans="2:9">
      <c r="B100" s="252"/>
      <c r="C100" s="302" t="s">
        <v>4101</v>
      </c>
      <c r="D100" s="248" t="s">
        <v>52</v>
      </c>
      <c r="E100" s="247">
        <v>399.36</v>
      </c>
      <c r="F100" s="202">
        <f t="shared" si="28"/>
        <v>1420.5802033253206</v>
      </c>
      <c r="G100" s="219">
        <f t="shared" si="32"/>
        <v>567322.91</v>
      </c>
      <c r="H100" s="202">
        <f t="shared" si="30"/>
        <v>1420.5802033253206</v>
      </c>
      <c r="I100" s="219">
        <f t="shared" si="31"/>
        <v>567322.91</v>
      </c>
    </row>
    <row r="101" spans="2:9">
      <c r="B101" s="252"/>
      <c r="C101" s="302" t="s">
        <v>4102</v>
      </c>
      <c r="D101" s="248" t="s">
        <v>52</v>
      </c>
      <c r="E101" s="247">
        <v>399.36</v>
      </c>
      <c r="F101" s="202">
        <f t="shared" si="28"/>
        <v>1420.5802033253206</v>
      </c>
      <c r="G101" s="219">
        <f t="shared" si="32"/>
        <v>567322.91</v>
      </c>
      <c r="H101" s="202">
        <f t="shared" si="30"/>
        <v>1420.5802033253206</v>
      </c>
      <c r="I101" s="219">
        <f t="shared" si="31"/>
        <v>567322.91</v>
      </c>
    </row>
    <row r="102" spans="2:9">
      <c r="B102" s="252"/>
      <c r="C102" s="302" t="s">
        <v>4103</v>
      </c>
      <c r="D102" s="248" t="s">
        <v>52</v>
      </c>
      <c r="E102" s="247">
        <v>399.36</v>
      </c>
      <c r="F102" s="202">
        <f t="shared" si="28"/>
        <v>1420.5802033253206</v>
      </c>
      <c r="G102" s="219">
        <f t="shared" si="32"/>
        <v>567322.91</v>
      </c>
      <c r="H102" s="202">
        <f t="shared" si="30"/>
        <v>1420.5802033253206</v>
      </c>
      <c r="I102" s="219">
        <f t="shared" si="31"/>
        <v>567322.91</v>
      </c>
    </row>
    <row r="103" spans="2:9">
      <c r="B103" s="252"/>
      <c r="C103" s="233" t="s">
        <v>4104</v>
      </c>
      <c r="D103" s="248" t="s">
        <v>52</v>
      </c>
      <c r="E103" s="247">
        <v>239.61599999999999</v>
      </c>
      <c r="F103" s="202">
        <f t="shared" si="28"/>
        <v>2367.6336722088677</v>
      </c>
      <c r="G103" s="219">
        <f t="shared" si="32"/>
        <v>567322.91</v>
      </c>
      <c r="H103" s="202">
        <f t="shared" si="30"/>
        <v>2367.6336722088677</v>
      </c>
      <c r="I103" s="219">
        <f t="shared" si="31"/>
        <v>567322.91</v>
      </c>
    </row>
    <row r="104" spans="2:9" ht="18" customHeight="1">
      <c r="B104" s="235"/>
      <c r="C104" s="234" t="s">
        <v>4106</v>
      </c>
      <c r="D104" s="250"/>
      <c r="E104" s="247"/>
      <c r="F104" s="302"/>
      <c r="G104" s="219"/>
      <c r="H104" s="302"/>
      <c r="I104" s="219"/>
    </row>
    <row r="105" spans="2:9">
      <c r="B105" s="252"/>
      <c r="C105" s="233" t="s">
        <v>4098</v>
      </c>
      <c r="D105" s="248"/>
      <c r="E105" s="247"/>
      <c r="F105" s="240"/>
      <c r="G105" s="219"/>
      <c r="H105" s="240"/>
      <c r="I105" s="219"/>
    </row>
    <row r="106" spans="2:9">
      <c r="B106" s="252"/>
      <c r="C106" s="302" t="s">
        <v>4099</v>
      </c>
      <c r="D106" s="248" t="s">
        <v>52</v>
      </c>
      <c r="E106" s="247">
        <v>519.12</v>
      </c>
      <c r="F106" s="202">
        <f t="shared" ref="F106:F111" si="33">$K$11*H106</f>
        <v>1092.8550431499461</v>
      </c>
      <c r="G106" s="219">
        <f t="shared" ref="G106:G111" si="34">E106*F106</f>
        <v>567322.91</v>
      </c>
      <c r="H106" s="202">
        <f t="shared" ref="H106:H111" si="35">ahs_setting_stub/E106</f>
        <v>1092.8550431499461</v>
      </c>
      <c r="I106" s="219">
        <f t="shared" ref="I106:I111" si="36">E106*H106</f>
        <v>567322.91</v>
      </c>
    </row>
    <row r="107" spans="2:9">
      <c r="B107" s="252"/>
      <c r="C107" s="302" t="s">
        <v>4100</v>
      </c>
      <c r="D107" s="248" t="s">
        <v>52</v>
      </c>
      <c r="E107" s="247">
        <v>519.12</v>
      </c>
      <c r="F107" s="202">
        <f t="shared" si="33"/>
        <v>1092.8550431499461</v>
      </c>
      <c r="G107" s="219">
        <f t="shared" si="34"/>
        <v>567322.91</v>
      </c>
      <c r="H107" s="202">
        <f t="shared" si="35"/>
        <v>1092.8550431499461</v>
      </c>
      <c r="I107" s="219">
        <f t="shared" si="36"/>
        <v>567322.91</v>
      </c>
    </row>
    <row r="108" spans="2:9">
      <c r="B108" s="252"/>
      <c r="C108" s="302" t="s">
        <v>4101</v>
      </c>
      <c r="D108" s="248" t="s">
        <v>52</v>
      </c>
      <c r="E108" s="247">
        <v>519.12</v>
      </c>
      <c r="F108" s="202">
        <f t="shared" si="33"/>
        <v>1092.8550431499461</v>
      </c>
      <c r="G108" s="219">
        <f t="shared" si="34"/>
        <v>567322.91</v>
      </c>
      <c r="H108" s="202">
        <f t="shared" si="35"/>
        <v>1092.8550431499461</v>
      </c>
      <c r="I108" s="219">
        <f t="shared" si="36"/>
        <v>567322.91</v>
      </c>
    </row>
    <row r="109" spans="2:9">
      <c r="B109" s="252"/>
      <c r="C109" s="302" t="s">
        <v>4102</v>
      </c>
      <c r="D109" s="248" t="s">
        <v>52</v>
      </c>
      <c r="E109" s="247">
        <v>519.12</v>
      </c>
      <c r="F109" s="202">
        <f t="shared" si="33"/>
        <v>1092.8550431499461</v>
      </c>
      <c r="G109" s="219">
        <f t="shared" si="34"/>
        <v>567322.91</v>
      </c>
      <c r="H109" s="202">
        <f t="shared" si="35"/>
        <v>1092.8550431499461</v>
      </c>
      <c r="I109" s="219">
        <f t="shared" si="36"/>
        <v>567322.91</v>
      </c>
    </row>
    <row r="110" spans="2:9">
      <c r="B110" s="252"/>
      <c r="C110" s="302" t="s">
        <v>4103</v>
      </c>
      <c r="D110" s="248" t="s">
        <v>52</v>
      </c>
      <c r="E110" s="247">
        <v>519.12</v>
      </c>
      <c r="F110" s="202">
        <f t="shared" si="33"/>
        <v>1092.8550431499461</v>
      </c>
      <c r="G110" s="219">
        <f t="shared" si="34"/>
        <v>567322.91</v>
      </c>
      <c r="H110" s="202">
        <f t="shared" si="35"/>
        <v>1092.8550431499461</v>
      </c>
      <c r="I110" s="219">
        <f t="shared" si="36"/>
        <v>567322.91</v>
      </c>
    </row>
    <row r="111" spans="2:9">
      <c r="B111" s="252"/>
      <c r="C111" s="233" t="s">
        <v>4104</v>
      </c>
      <c r="D111" s="248" t="s">
        <v>52</v>
      </c>
      <c r="E111" s="247">
        <v>311.47199999999998</v>
      </c>
      <c r="F111" s="202">
        <f t="shared" si="33"/>
        <v>1821.4250719165771</v>
      </c>
      <c r="G111" s="219">
        <f t="shared" si="34"/>
        <v>567322.91</v>
      </c>
      <c r="H111" s="202">
        <f t="shared" si="35"/>
        <v>1821.4250719165771</v>
      </c>
      <c r="I111" s="219">
        <f t="shared" si="36"/>
        <v>567322.91</v>
      </c>
    </row>
    <row r="112" spans="2:9" ht="18" customHeight="1">
      <c r="B112" s="235"/>
      <c r="C112" s="234" t="s">
        <v>4107</v>
      </c>
      <c r="D112" s="250"/>
      <c r="E112" s="247"/>
      <c r="F112" s="302"/>
      <c r="G112" s="219"/>
      <c r="H112" s="302"/>
      <c r="I112" s="219"/>
    </row>
    <row r="113" spans="2:9">
      <c r="B113" s="252"/>
      <c r="C113" s="233" t="s">
        <v>4098</v>
      </c>
      <c r="D113" s="248"/>
      <c r="E113" s="247"/>
      <c r="F113" s="240"/>
      <c r="G113" s="219"/>
      <c r="H113" s="240"/>
      <c r="I113" s="219"/>
    </row>
    <row r="114" spans="2:9">
      <c r="B114" s="252"/>
      <c r="C114" s="302" t="s">
        <v>4099</v>
      </c>
      <c r="D114" s="248" t="s">
        <v>52</v>
      </c>
      <c r="E114" s="247">
        <v>671.96</v>
      </c>
      <c r="F114" s="202">
        <f t="shared" ref="F114:F119" si="37">$K$11*H114</f>
        <v>844.28077564140722</v>
      </c>
      <c r="G114" s="219">
        <f t="shared" ref="G114:G119" si="38">E114*F114</f>
        <v>567322.91</v>
      </c>
      <c r="H114" s="202">
        <f t="shared" ref="H114:H119" si="39">ahs_setting_stub/E114</f>
        <v>844.28077564140722</v>
      </c>
      <c r="I114" s="219">
        <f t="shared" ref="I114:I118" si="40">E114*H114</f>
        <v>567322.91</v>
      </c>
    </row>
    <row r="115" spans="2:9">
      <c r="B115" s="252"/>
      <c r="C115" s="302" t="s">
        <v>4100</v>
      </c>
      <c r="D115" s="248" t="s">
        <v>52</v>
      </c>
      <c r="E115" s="247">
        <v>671.96</v>
      </c>
      <c r="F115" s="202">
        <f t="shared" si="37"/>
        <v>844.28077564140722</v>
      </c>
      <c r="G115" s="219">
        <f t="shared" si="38"/>
        <v>567322.91</v>
      </c>
      <c r="H115" s="202">
        <f t="shared" si="39"/>
        <v>844.28077564140722</v>
      </c>
      <c r="I115" s="219">
        <f t="shared" si="40"/>
        <v>567322.91</v>
      </c>
    </row>
    <row r="116" spans="2:9">
      <c r="B116" s="252"/>
      <c r="C116" s="302" t="s">
        <v>4101</v>
      </c>
      <c r="D116" s="248" t="s">
        <v>52</v>
      </c>
      <c r="E116" s="247">
        <v>671.96</v>
      </c>
      <c r="F116" s="202">
        <f t="shared" si="37"/>
        <v>844.28077564140722</v>
      </c>
      <c r="G116" s="219">
        <f t="shared" si="38"/>
        <v>567322.91</v>
      </c>
      <c r="H116" s="202">
        <f t="shared" si="39"/>
        <v>844.28077564140722</v>
      </c>
      <c r="I116" s="219">
        <f t="shared" si="40"/>
        <v>567322.91</v>
      </c>
    </row>
    <row r="117" spans="2:9">
      <c r="B117" s="252"/>
      <c r="C117" s="302" t="s">
        <v>4102</v>
      </c>
      <c r="D117" s="248" t="s">
        <v>52</v>
      </c>
      <c r="E117" s="247">
        <v>671.96</v>
      </c>
      <c r="F117" s="202">
        <f t="shared" si="37"/>
        <v>844.28077564140722</v>
      </c>
      <c r="G117" s="219">
        <f t="shared" si="38"/>
        <v>567322.91</v>
      </c>
      <c r="H117" s="202">
        <f t="shared" si="39"/>
        <v>844.28077564140722</v>
      </c>
      <c r="I117" s="219">
        <f t="shared" si="40"/>
        <v>567322.91</v>
      </c>
    </row>
    <row r="118" spans="2:9">
      <c r="B118" s="252"/>
      <c r="C118" s="302" t="s">
        <v>4103</v>
      </c>
      <c r="D118" s="248" t="s">
        <v>52</v>
      </c>
      <c r="E118" s="247">
        <v>671.96</v>
      </c>
      <c r="F118" s="202">
        <f t="shared" si="37"/>
        <v>844.28077564140722</v>
      </c>
      <c r="G118" s="219">
        <f t="shared" si="38"/>
        <v>567322.91</v>
      </c>
      <c r="H118" s="202">
        <f t="shared" si="39"/>
        <v>844.28077564140722</v>
      </c>
      <c r="I118" s="219">
        <f t="shared" si="40"/>
        <v>567322.91</v>
      </c>
    </row>
    <row r="119" spans="2:9">
      <c r="B119" s="252"/>
      <c r="C119" s="233" t="s">
        <v>4104</v>
      </c>
      <c r="D119" s="248" t="s">
        <v>52</v>
      </c>
      <c r="E119" s="247">
        <v>403.17599999999999</v>
      </c>
      <c r="F119" s="202">
        <f t="shared" si="37"/>
        <v>1407.1346260690123</v>
      </c>
      <c r="G119" s="219">
        <f t="shared" si="38"/>
        <v>567322.91</v>
      </c>
      <c r="H119" s="202">
        <f t="shared" si="39"/>
        <v>1407.1346260690123</v>
      </c>
      <c r="I119" s="219">
        <f>E119*H119</f>
        <v>567322.91</v>
      </c>
    </row>
    <row r="120" spans="2:9" ht="18" customHeight="1">
      <c r="B120" s="235"/>
      <c r="C120" s="234" t="s">
        <v>4108</v>
      </c>
      <c r="D120" s="250"/>
      <c r="E120" s="247"/>
      <c r="F120" s="302"/>
      <c r="G120" s="219"/>
      <c r="H120" s="302"/>
      <c r="I120" s="219"/>
    </row>
    <row r="121" spans="2:9">
      <c r="B121" s="252"/>
      <c r="C121" s="233" t="s">
        <v>4098</v>
      </c>
      <c r="D121" s="248"/>
      <c r="E121" s="247"/>
      <c r="F121" s="240"/>
      <c r="G121" s="219"/>
      <c r="H121" s="240"/>
      <c r="I121" s="219"/>
    </row>
    <row r="122" spans="2:9">
      <c r="B122" s="252"/>
      <c r="C122" s="302" t="s">
        <v>4099</v>
      </c>
      <c r="D122" s="248" t="s">
        <v>52</v>
      </c>
      <c r="E122" s="247">
        <v>671.96</v>
      </c>
      <c r="F122" s="202">
        <f t="shared" ref="F122:F127" si="41">$K$11*H122</f>
        <v>844.28077564140722</v>
      </c>
      <c r="G122" s="219">
        <f t="shared" ref="G122:G127" si="42">E122*F122</f>
        <v>567322.91</v>
      </c>
      <c r="H122" s="202">
        <f t="shared" ref="H122:H127" si="43">ahs_setting_stub/E122</f>
        <v>844.28077564140722</v>
      </c>
      <c r="I122" s="219">
        <f t="shared" ref="I122:I127" si="44">E122*H122</f>
        <v>567322.91</v>
      </c>
    </row>
    <row r="123" spans="2:9">
      <c r="B123" s="252"/>
      <c r="C123" s="302" t="s">
        <v>4100</v>
      </c>
      <c r="D123" s="248" t="s">
        <v>52</v>
      </c>
      <c r="E123" s="247">
        <v>671.96</v>
      </c>
      <c r="F123" s="202">
        <f t="shared" si="41"/>
        <v>844.28077564140722</v>
      </c>
      <c r="G123" s="219">
        <f t="shared" si="42"/>
        <v>567322.91</v>
      </c>
      <c r="H123" s="202">
        <f t="shared" si="43"/>
        <v>844.28077564140722</v>
      </c>
      <c r="I123" s="219">
        <f t="shared" si="44"/>
        <v>567322.91</v>
      </c>
    </row>
    <row r="124" spans="2:9">
      <c r="B124" s="252"/>
      <c r="C124" s="302" t="s">
        <v>4101</v>
      </c>
      <c r="D124" s="248" t="s">
        <v>52</v>
      </c>
      <c r="E124" s="247">
        <v>671.96</v>
      </c>
      <c r="F124" s="202">
        <f t="shared" si="41"/>
        <v>844.28077564140722</v>
      </c>
      <c r="G124" s="219">
        <f t="shared" si="42"/>
        <v>567322.91</v>
      </c>
      <c r="H124" s="202">
        <f t="shared" si="43"/>
        <v>844.28077564140722</v>
      </c>
      <c r="I124" s="219">
        <f t="shared" si="44"/>
        <v>567322.91</v>
      </c>
    </row>
    <row r="125" spans="2:9">
      <c r="B125" s="252"/>
      <c r="C125" s="302" t="s">
        <v>4102</v>
      </c>
      <c r="D125" s="248" t="s">
        <v>52</v>
      </c>
      <c r="E125" s="247">
        <v>671.96</v>
      </c>
      <c r="F125" s="202">
        <f t="shared" si="41"/>
        <v>844.28077564140722</v>
      </c>
      <c r="G125" s="219">
        <f t="shared" si="42"/>
        <v>567322.91</v>
      </c>
      <c r="H125" s="202">
        <f t="shared" si="43"/>
        <v>844.28077564140722</v>
      </c>
      <c r="I125" s="219">
        <f t="shared" si="44"/>
        <v>567322.91</v>
      </c>
    </row>
    <row r="126" spans="2:9">
      <c r="B126" s="252"/>
      <c r="C126" s="302" t="s">
        <v>4103</v>
      </c>
      <c r="D126" s="248" t="s">
        <v>52</v>
      </c>
      <c r="E126" s="247">
        <v>671.96</v>
      </c>
      <c r="F126" s="202">
        <f t="shared" si="41"/>
        <v>844.28077564140722</v>
      </c>
      <c r="G126" s="219">
        <f t="shared" si="42"/>
        <v>567322.91</v>
      </c>
      <c r="H126" s="202">
        <f t="shared" si="43"/>
        <v>844.28077564140722</v>
      </c>
      <c r="I126" s="219">
        <f t="shared" si="44"/>
        <v>567322.91</v>
      </c>
    </row>
    <row r="127" spans="2:9">
      <c r="B127" s="252"/>
      <c r="C127" s="233" t="s">
        <v>4104</v>
      </c>
      <c r="D127" s="248" t="s">
        <v>52</v>
      </c>
      <c r="E127" s="247">
        <v>403.17599999999999</v>
      </c>
      <c r="F127" s="202">
        <f t="shared" si="41"/>
        <v>1407.1346260690123</v>
      </c>
      <c r="G127" s="219">
        <f t="shared" si="42"/>
        <v>567322.91</v>
      </c>
      <c r="H127" s="202">
        <f t="shared" si="43"/>
        <v>1407.1346260690123</v>
      </c>
      <c r="I127" s="219">
        <f t="shared" si="44"/>
        <v>567322.91</v>
      </c>
    </row>
    <row r="128" spans="2:9">
      <c r="B128" s="252"/>
      <c r="C128" s="245"/>
      <c r="D128" s="248"/>
      <c r="E128" s="226"/>
      <c r="F128" s="240"/>
      <c r="G128" s="219"/>
      <c r="H128" s="240"/>
      <c r="I128" s="219"/>
    </row>
    <row r="129" spans="2:11">
      <c r="B129" s="239" t="s">
        <v>735</v>
      </c>
      <c r="C129" s="238" t="s">
        <v>4119</v>
      </c>
      <c r="D129" s="237"/>
      <c r="E129" s="236"/>
      <c r="F129" s="195"/>
      <c r="G129" s="218"/>
      <c r="H129" s="195"/>
      <c r="I129" s="218"/>
    </row>
    <row r="130" spans="2:11">
      <c r="B130" s="252"/>
      <c r="C130" s="302" t="s">
        <v>2082</v>
      </c>
      <c r="D130" s="248" t="s">
        <v>52</v>
      </c>
      <c r="E130" s="224">
        <v>60</v>
      </c>
      <c r="F130" s="202">
        <f t="shared" ref="F130:F132" si="45">$K$11*H130</f>
        <v>3742.4291666666668</v>
      </c>
      <c r="G130" s="219">
        <f>E130*F130</f>
        <v>224545.75</v>
      </c>
      <c r="H130" s="202">
        <f>ahs_instal_anti_climbing_per_tower/E130</f>
        <v>3742.4291666666668</v>
      </c>
      <c r="I130" s="219">
        <f t="shared" ref="I130:I132" si="46">E130*H130</f>
        <v>224545.75</v>
      </c>
    </row>
    <row r="131" spans="2:11">
      <c r="B131" s="252"/>
      <c r="C131" s="302" t="s">
        <v>2083</v>
      </c>
      <c r="D131" s="248" t="s">
        <v>918</v>
      </c>
      <c r="E131" s="224">
        <v>1</v>
      </c>
      <c r="F131" s="202">
        <f t="shared" si="45"/>
        <v>224545.75</v>
      </c>
      <c r="G131" s="219">
        <f>E131*F131</f>
        <v>224545.75</v>
      </c>
      <c r="H131" s="202">
        <f>AHS!G3434</f>
        <v>224545.75</v>
      </c>
      <c r="I131" s="219">
        <f t="shared" si="46"/>
        <v>224545.75</v>
      </c>
    </row>
    <row r="132" spans="2:11">
      <c r="B132" s="252"/>
      <c r="C132" s="302" t="s">
        <v>4110</v>
      </c>
      <c r="D132" s="194" t="s">
        <v>918</v>
      </c>
      <c r="E132" s="224">
        <v>1</v>
      </c>
      <c r="F132" s="202">
        <f t="shared" si="45"/>
        <v>224545.75</v>
      </c>
      <c r="G132" s="219">
        <f>E132*F132</f>
        <v>224545.75</v>
      </c>
      <c r="H132" s="202">
        <f>AHS!G3442</f>
        <v>224545.75</v>
      </c>
      <c r="I132" s="219">
        <f t="shared" si="46"/>
        <v>224545.75</v>
      </c>
    </row>
    <row r="133" spans="2:11">
      <c r="B133" s="193"/>
      <c r="C133" s="192"/>
      <c r="D133" s="191"/>
      <c r="E133" s="190"/>
      <c r="F133" s="284"/>
      <c r="G133" s="217"/>
      <c r="H133" s="284"/>
      <c r="I133" s="217"/>
    </row>
    <row r="134" spans="2:11">
      <c r="B134" s="235" t="s">
        <v>760</v>
      </c>
      <c r="C134" s="251" t="s">
        <v>4120</v>
      </c>
      <c r="D134" s="251"/>
      <c r="E134" s="249"/>
      <c r="F134" s="302"/>
      <c r="G134" s="219"/>
      <c r="H134" s="302"/>
      <c r="I134" s="219"/>
    </row>
    <row r="135" spans="2:11" ht="15.75" thickBot="1">
      <c r="B135" s="208"/>
      <c r="C135" s="207" t="s">
        <v>4120</v>
      </c>
      <c r="D135" s="206" t="s">
        <v>52</v>
      </c>
      <c r="E135" s="205">
        <v>1584</v>
      </c>
      <c r="F135" s="883">
        <f>$K$11*H135</f>
        <v>1882.8125</v>
      </c>
      <c r="G135" s="203">
        <f>E135*F135</f>
        <v>2982375</v>
      </c>
      <c r="H135" s="189">
        <f>AHS!G3568/10</f>
        <v>1882.8125</v>
      </c>
      <c r="I135" s="203">
        <f>E135*H135</f>
        <v>2982375</v>
      </c>
      <c r="J135" s="1041"/>
      <c r="K135" s="1041"/>
    </row>
    <row r="136" spans="2:11" ht="15.75" thickTop="1"/>
  </sheetData>
  <mergeCells count="16">
    <mergeCell ref="J14:K14"/>
    <mergeCell ref="J135:K135"/>
    <mergeCell ref="B7:B10"/>
    <mergeCell ref="C7:C10"/>
    <mergeCell ref="J13:K13"/>
    <mergeCell ref="F8:G8"/>
    <mergeCell ref="H8:I8"/>
    <mergeCell ref="D7:I7"/>
    <mergeCell ref="D8:D10"/>
    <mergeCell ref="E8:E10"/>
    <mergeCell ref="B5:G5"/>
    <mergeCell ref="B2:G2"/>
    <mergeCell ref="B3:G3"/>
    <mergeCell ref="V3:W3"/>
    <mergeCell ref="B4:G4"/>
    <mergeCell ref="V4:W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1" orientation="portrait" horizontalDpi="4294967293" verticalDpi="4294967293" r:id="rId1"/>
  <rowBreaks count="1" manualBreakCount="1">
    <brk id="70" min="1" max="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2060"/>
  </sheetPr>
  <dimension ref="B1:U132"/>
  <sheetViews>
    <sheetView topLeftCell="A7" zoomScale="85" zoomScaleNormal="85" workbookViewId="0">
      <selection activeCell="F13" sqref="F13"/>
    </sheetView>
  </sheetViews>
  <sheetFormatPr defaultRowHeight="15"/>
  <cols>
    <col min="1" max="1" width="4" customWidth="1"/>
    <col min="2" max="2" width="3.85546875" bestFit="1" customWidth="1"/>
    <col min="3" max="3" width="44.85546875" customWidth="1"/>
    <col min="4" max="4" width="10.7109375" customWidth="1"/>
    <col min="5" max="5" width="17.85546875" customWidth="1"/>
    <col min="6" max="6" width="18.7109375" style="634" customWidth="1"/>
    <col min="7" max="7" width="18.28515625" style="634" customWidth="1"/>
    <col min="10" max="10" width="12.140625" bestFit="1" customWidth="1"/>
    <col min="223" max="223" width="3.85546875" bestFit="1" customWidth="1"/>
    <col min="224" max="224" width="38.7109375" customWidth="1"/>
    <col min="225" max="225" width="10.7109375" customWidth="1"/>
    <col min="226" max="226" width="14.7109375" customWidth="1"/>
    <col min="227" max="227" width="16.7109375" customWidth="1"/>
    <col min="228" max="228" width="18.7109375" customWidth="1"/>
    <col min="231" max="231" width="13.5703125" customWidth="1"/>
    <col min="232" max="232" width="10.5703125" bestFit="1" customWidth="1"/>
    <col min="238" max="238" width="4.140625" bestFit="1" customWidth="1"/>
    <col min="239" max="239" width="27.85546875" bestFit="1" customWidth="1"/>
    <col min="240" max="240" width="7.5703125" bestFit="1" customWidth="1"/>
    <col min="241" max="241" width="13.7109375" bestFit="1" customWidth="1"/>
    <col min="242" max="242" width="22.140625" bestFit="1" customWidth="1"/>
    <col min="243" max="243" width="26.42578125" bestFit="1" customWidth="1"/>
    <col min="244" max="244" width="20.85546875" bestFit="1" customWidth="1"/>
    <col min="245" max="245" width="14.7109375" bestFit="1" customWidth="1"/>
    <col min="246" max="246" width="16.140625" bestFit="1" customWidth="1"/>
    <col min="247" max="247" width="13.140625" bestFit="1" customWidth="1"/>
    <col min="248" max="248" width="23" bestFit="1" customWidth="1"/>
    <col min="249" max="249" width="11.5703125" bestFit="1" customWidth="1"/>
    <col min="257" max="257" width="4" customWidth="1"/>
    <col min="258" max="258" width="3.85546875" bestFit="1" customWidth="1"/>
    <col min="259" max="259" width="38.7109375" customWidth="1"/>
    <col min="260" max="260" width="10.7109375" customWidth="1"/>
    <col min="261" max="261" width="17.85546875" customWidth="1"/>
    <col min="262" max="262" width="18.7109375" customWidth="1"/>
    <col min="263" max="263" width="18.28515625" customWidth="1"/>
    <col min="479" max="479" width="3.85546875" bestFit="1" customWidth="1"/>
    <col min="480" max="480" width="38.7109375" customWidth="1"/>
    <col min="481" max="481" width="10.7109375" customWidth="1"/>
    <col min="482" max="482" width="14.7109375" customWidth="1"/>
    <col min="483" max="483" width="16.7109375" customWidth="1"/>
    <col min="484" max="484" width="18.7109375" customWidth="1"/>
    <col min="487" max="487" width="13.5703125" customWidth="1"/>
    <col min="488" max="488" width="10.5703125" bestFit="1" customWidth="1"/>
    <col min="494" max="494" width="4.140625" bestFit="1" customWidth="1"/>
    <col min="495" max="495" width="27.85546875" bestFit="1" customWidth="1"/>
    <col min="496" max="496" width="7.5703125" bestFit="1" customWidth="1"/>
    <col min="497" max="497" width="13.7109375" bestFit="1" customWidth="1"/>
    <col min="498" max="498" width="22.140625" bestFit="1" customWidth="1"/>
    <col min="499" max="499" width="26.42578125" bestFit="1" customWidth="1"/>
    <col min="500" max="500" width="20.85546875" bestFit="1" customWidth="1"/>
    <col min="501" max="501" width="14.7109375" bestFit="1" customWidth="1"/>
    <col min="502" max="502" width="16.140625" bestFit="1" customWidth="1"/>
    <col min="503" max="503" width="13.140625" bestFit="1" customWidth="1"/>
    <col min="504" max="504" width="23" bestFit="1" customWidth="1"/>
    <col min="505" max="505" width="11.5703125" bestFit="1" customWidth="1"/>
    <col min="513" max="513" width="4" customWidth="1"/>
    <col min="514" max="514" width="3.85546875" bestFit="1" customWidth="1"/>
    <col min="515" max="515" width="38.7109375" customWidth="1"/>
    <col min="516" max="516" width="10.7109375" customWidth="1"/>
    <col min="517" max="517" width="17.85546875" customWidth="1"/>
    <col min="518" max="518" width="18.7109375" customWidth="1"/>
    <col min="519" max="519" width="18.28515625" customWidth="1"/>
    <col min="735" max="735" width="3.85546875" bestFit="1" customWidth="1"/>
    <col min="736" max="736" width="38.7109375" customWidth="1"/>
    <col min="737" max="737" width="10.7109375" customWidth="1"/>
    <col min="738" max="738" width="14.7109375" customWidth="1"/>
    <col min="739" max="739" width="16.7109375" customWidth="1"/>
    <col min="740" max="740" width="18.7109375" customWidth="1"/>
    <col min="743" max="743" width="13.5703125" customWidth="1"/>
    <col min="744" max="744" width="10.5703125" bestFit="1" customWidth="1"/>
    <col min="750" max="750" width="4.140625" bestFit="1" customWidth="1"/>
    <col min="751" max="751" width="27.85546875" bestFit="1" customWidth="1"/>
    <col min="752" max="752" width="7.5703125" bestFit="1" customWidth="1"/>
    <col min="753" max="753" width="13.7109375" bestFit="1" customWidth="1"/>
    <col min="754" max="754" width="22.140625" bestFit="1" customWidth="1"/>
    <col min="755" max="755" width="26.42578125" bestFit="1" customWidth="1"/>
    <col min="756" max="756" width="20.85546875" bestFit="1" customWidth="1"/>
    <col min="757" max="757" width="14.7109375" bestFit="1" customWidth="1"/>
    <col min="758" max="758" width="16.140625" bestFit="1" customWidth="1"/>
    <col min="759" max="759" width="13.140625" bestFit="1" customWidth="1"/>
    <col min="760" max="760" width="23" bestFit="1" customWidth="1"/>
    <col min="761" max="761" width="11.5703125" bestFit="1" customWidth="1"/>
    <col min="769" max="769" width="4" customWidth="1"/>
    <col min="770" max="770" width="3.85546875" bestFit="1" customWidth="1"/>
    <col min="771" max="771" width="38.7109375" customWidth="1"/>
    <col min="772" max="772" width="10.7109375" customWidth="1"/>
    <col min="773" max="773" width="17.85546875" customWidth="1"/>
    <col min="774" max="774" width="18.7109375" customWidth="1"/>
    <col min="775" max="775" width="18.28515625" customWidth="1"/>
    <col min="991" max="991" width="3.85546875" bestFit="1" customWidth="1"/>
    <col min="992" max="992" width="38.7109375" customWidth="1"/>
    <col min="993" max="993" width="10.7109375" customWidth="1"/>
    <col min="994" max="994" width="14.7109375" customWidth="1"/>
    <col min="995" max="995" width="16.7109375" customWidth="1"/>
    <col min="996" max="996" width="18.7109375" customWidth="1"/>
    <col min="999" max="999" width="13.5703125" customWidth="1"/>
    <col min="1000" max="1000" width="10.5703125" bestFit="1" customWidth="1"/>
    <col min="1006" max="1006" width="4.140625" bestFit="1" customWidth="1"/>
    <col min="1007" max="1007" width="27.85546875" bestFit="1" customWidth="1"/>
    <col min="1008" max="1008" width="7.5703125" bestFit="1" customWidth="1"/>
    <col min="1009" max="1009" width="13.7109375" bestFit="1" customWidth="1"/>
    <col min="1010" max="1010" width="22.140625" bestFit="1" customWidth="1"/>
    <col min="1011" max="1011" width="26.42578125" bestFit="1" customWidth="1"/>
    <col min="1012" max="1012" width="20.85546875" bestFit="1" customWidth="1"/>
    <col min="1013" max="1013" width="14.7109375" bestFit="1" customWidth="1"/>
    <col min="1014" max="1014" width="16.140625" bestFit="1" customWidth="1"/>
    <col min="1015" max="1015" width="13.140625" bestFit="1" customWidth="1"/>
    <col min="1016" max="1016" width="23" bestFit="1" customWidth="1"/>
    <col min="1017" max="1017" width="11.5703125" bestFit="1" customWidth="1"/>
    <col min="1025" max="1025" width="4" customWidth="1"/>
    <col min="1026" max="1026" width="3.85546875" bestFit="1" customWidth="1"/>
    <col min="1027" max="1027" width="38.7109375" customWidth="1"/>
    <col min="1028" max="1028" width="10.7109375" customWidth="1"/>
    <col min="1029" max="1029" width="17.85546875" customWidth="1"/>
    <col min="1030" max="1030" width="18.7109375" customWidth="1"/>
    <col min="1031" max="1031" width="18.28515625" customWidth="1"/>
    <col min="1247" max="1247" width="3.85546875" bestFit="1" customWidth="1"/>
    <col min="1248" max="1248" width="38.7109375" customWidth="1"/>
    <col min="1249" max="1249" width="10.7109375" customWidth="1"/>
    <col min="1250" max="1250" width="14.7109375" customWidth="1"/>
    <col min="1251" max="1251" width="16.7109375" customWidth="1"/>
    <col min="1252" max="1252" width="18.7109375" customWidth="1"/>
    <col min="1255" max="1255" width="13.5703125" customWidth="1"/>
    <col min="1256" max="1256" width="10.5703125" bestFit="1" customWidth="1"/>
    <col min="1262" max="1262" width="4.140625" bestFit="1" customWidth="1"/>
    <col min="1263" max="1263" width="27.85546875" bestFit="1" customWidth="1"/>
    <col min="1264" max="1264" width="7.5703125" bestFit="1" customWidth="1"/>
    <col min="1265" max="1265" width="13.7109375" bestFit="1" customWidth="1"/>
    <col min="1266" max="1266" width="22.140625" bestFit="1" customWidth="1"/>
    <col min="1267" max="1267" width="26.42578125" bestFit="1" customWidth="1"/>
    <col min="1268" max="1268" width="20.85546875" bestFit="1" customWidth="1"/>
    <col min="1269" max="1269" width="14.7109375" bestFit="1" customWidth="1"/>
    <col min="1270" max="1270" width="16.140625" bestFit="1" customWidth="1"/>
    <col min="1271" max="1271" width="13.140625" bestFit="1" customWidth="1"/>
    <col min="1272" max="1272" width="23" bestFit="1" customWidth="1"/>
    <col min="1273" max="1273" width="11.5703125" bestFit="1" customWidth="1"/>
    <col min="1281" max="1281" width="4" customWidth="1"/>
    <col min="1282" max="1282" width="3.85546875" bestFit="1" customWidth="1"/>
    <col min="1283" max="1283" width="38.7109375" customWidth="1"/>
    <col min="1284" max="1284" width="10.7109375" customWidth="1"/>
    <col min="1285" max="1285" width="17.85546875" customWidth="1"/>
    <col min="1286" max="1286" width="18.7109375" customWidth="1"/>
    <col min="1287" max="1287" width="18.28515625" customWidth="1"/>
    <col min="1503" max="1503" width="3.85546875" bestFit="1" customWidth="1"/>
    <col min="1504" max="1504" width="38.7109375" customWidth="1"/>
    <col min="1505" max="1505" width="10.7109375" customWidth="1"/>
    <col min="1506" max="1506" width="14.7109375" customWidth="1"/>
    <col min="1507" max="1507" width="16.7109375" customWidth="1"/>
    <col min="1508" max="1508" width="18.7109375" customWidth="1"/>
    <col min="1511" max="1511" width="13.5703125" customWidth="1"/>
    <col min="1512" max="1512" width="10.5703125" bestFit="1" customWidth="1"/>
    <col min="1518" max="1518" width="4.140625" bestFit="1" customWidth="1"/>
    <col min="1519" max="1519" width="27.85546875" bestFit="1" customWidth="1"/>
    <col min="1520" max="1520" width="7.5703125" bestFit="1" customWidth="1"/>
    <col min="1521" max="1521" width="13.7109375" bestFit="1" customWidth="1"/>
    <col min="1522" max="1522" width="22.140625" bestFit="1" customWidth="1"/>
    <col min="1523" max="1523" width="26.42578125" bestFit="1" customWidth="1"/>
    <col min="1524" max="1524" width="20.85546875" bestFit="1" customWidth="1"/>
    <col min="1525" max="1525" width="14.7109375" bestFit="1" customWidth="1"/>
    <col min="1526" max="1526" width="16.140625" bestFit="1" customWidth="1"/>
    <col min="1527" max="1527" width="13.140625" bestFit="1" customWidth="1"/>
    <col min="1528" max="1528" width="23" bestFit="1" customWidth="1"/>
    <col min="1529" max="1529" width="11.5703125" bestFit="1" customWidth="1"/>
    <col min="1537" max="1537" width="4" customWidth="1"/>
    <col min="1538" max="1538" width="3.85546875" bestFit="1" customWidth="1"/>
    <col min="1539" max="1539" width="38.7109375" customWidth="1"/>
    <col min="1540" max="1540" width="10.7109375" customWidth="1"/>
    <col min="1541" max="1541" width="17.85546875" customWidth="1"/>
    <col min="1542" max="1542" width="18.7109375" customWidth="1"/>
    <col min="1543" max="1543" width="18.28515625" customWidth="1"/>
    <col min="1759" max="1759" width="3.85546875" bestFit="1" customWidth="1"/>
    <col min="1760" max="1760" width="38.7109375" customWidth="1"/>
    <col min="1761" max="1761" width="10.7109375" customWidth="1"/>
    <col min="1762" max="1762" width="14.7109375" customWidth="1"/>
    <col min="1763" max="1763" width="16.7109375" customWidth="1"/>
    <col min="1764" max="1764" width="18.7109375" customWidth="1"/>
    <col min="1767" max="1767" width="13.5703125" customWidth="1"/>
    <col min="1768" max="1768" width="10.5703125" bestFit="1" customWidth="1"/>
    <col min="1774" max="1774" width="4.140625" bestFit="1" customWidth="1"/>
    <col min="1775" max="1775" width="27.85546875" bestFit="1" customWidth="1"/>
    <col min="1776" max="1776" width="7.5703125" bestFit="1" customWidth="1"/>
    <col min="1777" max="1777" width="13.7109375" bestFit="1" customWidth="1"/>
    <col min="1778" max="1778" width="22.140625" bestFit="1" customWidth="1"/>
    <col min="1779" max="1779" width="26.42578125" bestFit="1" customWidth="1"/>
    <col min="1780" max="1780" width="20.85546875" bestFit="1" customWidth="1"/>
    <col min="1781" max="1781" width="14.7109375" bestFit="1" customWidth="1"/>
    <col min="1782" max="1782" width="16.140625" bestFit="1" customWidth="1"/>
    <col min="1783" max="1783" width="13.140625" bestFit="1" customWidth="1"/>
    <col min="1784" max="1784" width="23" bestFit="1" customWidth="1"/>
    <col min="1785" max="1785" width="11.5703125" bestFit="1" customWidth="1"/>
    <col min="1793" max="1793" width="4" customWidth="1"/>
    <col min="1794" max="1794" width="3.85546875" bestFit="1" customWidth="1"/>
    <col min="1795" max="1795" width="38.7109375" customWidth="1"/>
    <col min="1796" max="1796" width="10.7109375" customWidth="1"/>
    <col min="1797" max="1797" width="17.85546875" customWidth="1"/>
    <col min="1798" max="1798" width="18.7109375" customWidth="1"/>
    <col min="1799" max="1799" width="18.28515625" customWidth="1"/>
    <col min="2015" max="2015" width="3.85546875" bestFit="1" customWidth="1"/>
    <col min="2016" max="2016" width="38.7109375" customWidth="1"/>
    <col min="2017" max="2017" width="10.7109375" customWidth="1"/>
    <col min="2018" max="2018" width="14.7109375" customWidth="1"/>
    <col min="2019" max="2019" width="16.7109375" customWidth="1"/>
    <col min="2020" max="2020" width="18.7109375" customWidth="1"/>
    <col min="2023" max="2023" width="13.5703125" customWidth="1"/>
    <col min="2024" max="2024" width="10.5703125" bestFit="1" customWidth="1"/>
    <col min="2030" max="2030" width="4.140625" bestFit="1" customWidth="1"/>
    <col min="2031" max="2031" width="27.85546875" bestFit="1" customWidth="1"/>
    <col min="2032" max="2032" width="7.5703125" bestFit="1" customWidth="1"/>
    <col min="2033" max="2033" width="13.7109375" bestFit="1" customWidth="1"/>
    <col min="2034" max="2034" width="22.140625" bestFit="1" customWidth="1"/>
    <col min="2035" max="2035" width="26.42578125" bestFit="1" customWidth="1"/>
    <col min="2036" max="2036" width="20.85546875" bestFit="1" customWidth="1"/>
    <col min="2037" max="2037" width="14.7109375" bestFit="1" customWidth="1"/>
    <col min="2038" max="2038" width="16.140625" bestFit="1" customWidth="1"/>
    <col min="2039" max="2039" width="13.140625" bestFit="1" customWidth="1"/>
    <col min="2040" max="2040" width="23" bestFit="1" customWidth="1"/>
    <col min="2041" max="2041" width="11.5703125" bestFit="1" customWidth="1"/>
    <col min="2049" max="2049" width="4" customWidth="1"/>
    <col min="2050" max="2050" width="3.85546875" bestFit="1" customWidth="1"/>
    <col min="2051" max="2051" width="38.7109375" customWidth="1"/>
    <col min="2052" max="2052" width="10.7109375" customWidth="1"/>
    <col min="2053" max="2053" width="17.85546875" customWidth="1"/>
    <col min="2054" max="2054" width="18.7109375" customWidth="1"/>
    <col min="2055" max="2055" width="18.28515625" customWidth="1"/>
    <col min="2271" max="2271" width="3.85546875" bestFit="1" customWidth="1"/>
    <col min="2272" max="2272" width="38.7109375" customWidth="1"/>
    <col min="2273" max="2273" width="10.7109375" customWidth="1"/>
    <col min="2274" max="2274" width="14.7109375" customWidth="1"/>
    <col min="2275" max="2275" width="16.7109375" customWidth="1"/>
    <col min="2276" max="2276" width="18.7109375" customWidth="1"/>
    <col min="2279" max="2279" width="13.5703125" customWidth="1"/>
    <col min="2280" max="2280" width="10.5703125" bestFit="1" customWidth="1"/>
    <col min="2286" max="2286" width="4.140625" bestFit="1" customWidth="1"/>
    <col min="2287" max="2287" width="27.85546875" bestFit="1" customWidth="1"/>
    <col min="2288" max="2288" width="7.5703125" bestFit="1" customWidth="1"/>
    <col min="2289" max="2289" width="13.7109375" bestFit="1" customWidth="1"/>
    <col min="2290" max="2290" width="22.140625" bestFit="1" customWidth="1"/>
    <col min="2291" max="2291" width="26.42578125" bestFit="1" customWidth="1"/>
    <col min="2292" max="2292" width="20.85546875" bestFit="1" customWidth="1"/>
    <col min="2293" max="2293" width="14.7109375" bestFit="1" customWidth="1"/>
    <col min="2294" max="2294" width="16.140625" bestFit="1" customWidth="1"/>
    <col min="2295" max="2295" width="13.140625" bestFit="1" customWidth="1"/>
    <col min="2296" max="2296" width="23" bestFit="1" customWidth="1"/>
    <col min="2297" max="2297" width="11.5703125" bestFit="1" customWidth="1"/>
    <col min="2305" max="2305" width="4" customWidth="1"/>
    <col min="2306" max="2306" width="3.85546875" bestFit="1" customWidth="1"/>
    <col min="2307" max="2307" width="38.7109375" customWidth="1"/>
    <col min="2308" max="2308" width="10.7109375" customWidth="1"/>
    <col min="2309" max="2309" width="17.85546875" customWidth="1"/>
    <col min="2310" max="2310" width="18.7109375" customWidth="1"/>
    <col min="2311" max="2311" width="18.28515625" customWidth="1"/>
    <col min="2527" max="2527" width="3.85546875" bestFit="1" customWidth="1"/>
    <col min="2528" max="2528" width="38.7109375" customWidth="1"/>
    <col min="2529" max="2529" width="10.7109375" customWidth="1"/>
    <col min="2530" max="2530" width="14.7109375" customWidth="1"/>
    <col min="2531" max="2531" width="16.7109375" customWidth="1"/>
    <col min="2532" max="2532" width="18.7109375" customWidth="1"/>
    <col min="2535" max="2535" width="13.5703125" customWidth="1"/>
    <col min="2536" max="2536" width="10.5703125" bestFit="1" customWidth="1"/>
    <col min="2542" max="2542" width="4.140625" bestFit="1" customWidth="1"/>
    <col min="2543" max="2543" width="27.85546875" bestFit="1" customWidth="1"/>
    <col min="2544" max="2544" width="7.5703125" bestFit="1" customWidth="1"/>
    <col min="2545" max="2545" width="13.7109375" bestFit="1" customWidth="1"/>
    <col min="2546" max="2546" width="22.140625" bestFit="1" customWidth="1"/>
    <col min="2547" max="2547" width="26.42578125" bestFit="1" customWidth="1"/>
    <col min="2548" max="2548" width="20.85546875" bestFit="1" customWidth="1"/>
    <col min="2549" max="2549" width="14.7109375" bestFit="1" customWidth="1"/>
    <col min="2550" max="2550" width="16.140625" bestFit="1" customWidth="1"/>
    <col min="2551" max="2551" width="13.140625" bestFit="1" customWidth="1"/>
    <col min="2552" max="2552" width="23" bestFit="1" customWidth="1"/>
    <col min="2553" max="2553" width="11.5703125" bestFit="1" customWidth="1"/>
    <col min="2561" max="2561" width="4" customWidth="1"/>
    <col min="2562" max="2562" width="3.85546875" bestFit="1" customWidth="1"/>
    <col min="2563" max="2563" width="38.7109375" customWidth="1"/>
    <col min="2564" max="2564" width="10.7109375" customWidth="1"/>
    <col min="2565" max="2565" width="17.85546875" customWidth="1"/>
    <col min="2566" max="2566" width="18.7109375" customWidth="1"/>
    <col min="2567" max="2567" width="18.28515625" customWidth="1"/>
    <col min="2783" max="2783" width="3.85546875" bestFit="1" customWidth="1"/>
    <col min="2784" max="2784" width="38.7109375" customWidth="1"/>
    <col min="2785" max="2785" width="10.7109375" customWidth="1"/>
    <col min="2786" max="2786" width="14.7109375" customWidth="1"/>
    <col min="2787" max="2787" width="16.7109375" customWidth="1"/>
    <col min="2788" max="2788" width="18.7109375" customWidth="1"/>
    <col min="2791" max="2791" width="13.5703125" customWidth="1"/>
    <col min="2792" max="2792" width="10.5703125" bestFit="1" customWidth="1"/>
    <col min="2798" max="2798" width="4.140625" bestFit="1" customWidth="1"/>
    <col min="2799" max="2799" width="27.85546875" bestFit="1" customWidth="1"/>
    <col min="2800" max="2800" width="7.5703125" bestFit="1" customWidth="1"/>
    <col min="2801" max="2801" width="13.7109375" bestFit="1" customWidth="1"/>
    <col min="2802" max="2802" width="22.140625" bestFit="1" customWidth="1"/>
    <col min="2803" max="2803" width="26.42578125" bestFit="1" customWidth="1"/>
    <col min="2804" max="2804" width="20.85546875" bestFit="1" customWidth="1"/>
    <col min="2805" max="2805" width="14.7109375" bestFit="1" customWidth="1"/>
    <col min="2806" max="2806" width="16.140625" bestFit="1" customWidth="1"/>
    <col min="2807" max="2807" width="13.140625" bestFit="1" customWidth="1"/>
    <col min="2808" max="2808" width="23" bestFit="1" customWidth="1"/>
    <col min="2809" max="2809" width="11.5703125" bestFit="1" customWidth="1"/>
    <col min="2817" max="2817" width="4" customWidth="1"/>
    <col min="2818" max="2818" width="3.85546875" bestFit="1" customWidth="1"/>
    <col min="2819" max="2819" width="38.7109375" customWidth="1"/>
    <col min="2820" max="2820" width="10.7109375" customWidth="1"/>
    <col min="2821" max="2821" width="17.85546875" customWidth="1"/>
    <col min="2822" max="2822" width="18.7109375" customWidth="1"/>
    <col min="2823" max="2823" width="18.28515625" customWidth="1"/>
    <col min="3039" max="3039" width="3.85546875" bestFit="1" customWidth="1"/>
    <col min="3040" max="3040" width="38.7109375" customWidth="1"/>
    <col min="3041" max="3041" width="10.7109375" customWidth="1"/>
    <col min="3042" max="3042" width="14.7109375" customWidth="1"/>
    <col min="3043" max="3043" width="16.7109375" customWidth="1"/>
    <col min="3044" max="3044" width="18.7109375" customWidth="1"/>
    <col min="3047" max="3047" width="13.5703125" customWidth="1"/>
    <col min="3048" max="3048" width="10.5703125" bestFit="1" customWidth="1"/>
    <col min="3054" max="3054" width="4.140625" bestFit="1" customWidth="1"/>
    <col min="3055" max="3055" width="27.85546875" bestFit="1" customWidth="1"/>
    <col min="3056" max="3056" width="7.5703125" bestFit="1" customWidth="1"/>
    <col min="3057" max="3057" width="13.7109375" bestFit="1" customWidth="1"/>
    <col min="3058" max="3058" width="22.140625" bestFit="1" customWidth="1"/>
    <col min="3059" max="3059" width="26.42578125" bestFit="1" customWidth="1"/>
    <col min="3060" max="3060" width="20.85546875" bestFit="1" customWidth="1"/>
    <col min="3061" max="3061" width="14.7109375" bestFit="1" customWidth="1"/>
    <col min="3062" max="3062" width="16.140625" bestFit="1" customWidth="1"/>
    <col min="3063" max="3063" width="13.140625" bestFit="1" customWidth="1"/>
    <col min="3064" max="3064" width="23" bestFit="1" customWidth="1"/>
    <col min="3065" max="3065" width="11.5703125" bestFit="1" customWidth="1"/>
    <col min="3073" max="3073" width="4" customWidth="1"/>
    <col min="3074" max="3074" width="3.85546875" bestFit="1" customWidth="1"/>
    <col min="3075" max="3075" width="38.7109375" customWidth="1"/>
    <col min="3076" max="3076" width="10.7109375" customWidth="1"/>
    <col min="3077" max="3077" width="17.85546875" customWidth="1"/>
    <col min="3078" max="3078" width="18.7109375" customWidth="1"/>
    <col min="3079" max="3079" width="18.28515625" customWidth="1"/>
    <col min="3295" max="3295" width="3.85546875" bestFit="1" customWidth="1"/>
    <col min="3296" max="3296" width="38.7109375" customWidth="1"/>
    <col min="3297" max="3297" width="10.7109375" customWidth="1"/>
    <col min="3298" max="3298" width="14.7109375" customWidth="1"/>
    <col min="3299" max="3299" width="16.7109375" customWidth="1"/>
    <col min="3300" max="3300" width="18.7109375" customWidth="1"/>
    <col min="3303" max="3303" width="13.5703125" customWidth="1"/>
    <col min="3304" max="3304" width="10.5703125" bestFit="1" customWidth="1"/>
    <col min="3310" max="3310" width="4.140625" bestFit="1" customWidth="1"/>
    <col min="3311" max="3311" width="27.85546875" bestFit="1" customWidth="1"/>
    <col min="3312" max="3312" width="7.5703125" bestFit="1" customWidth="1"/>
    <col min="3313" max="3313" width="13.7109375" bestFit="1" customWidth="1"/>
    <col min="3314" max="3314" width="22.140625" bestFit="1" customWidth="1"/>
    <col min="3315" max="3315" width="26.42578125" bestFit="1" customWidth="1"/>
    <col min="3316" max="3316" width="20.85546875" bestFit="1" customWidth="1"/>
    <col min="3317" max="3317" width="14.7109375" bestFit="1" customWidth="1"/>
    <col min="3318" max="3318" width="16.140625" bestFit="1" customWidth="1"/>
    <col min="3319" max="3319" width="13.140625" bestFit="1" customWidth="1"/>
    <col min="3320" max="3320" width="23" bestFit="1" customWidth="1"/>
    <col min="3321" max="3321" width="11.5703125" bestFit="1" customWidth="1"/>
    <col min="3329" max="3329" width="4" customWidth="1"/>
    <col min="3330" max="3330" width="3.85546875" bestFit="1" customWidth="1"/>
    <col min="3331" max="3331" width="38.7109375" customWidth="1"/>
    <col min="3332" max="3332" width="10.7109375" customWidth="1"/>
    <col min="3333" max="3333" width="17.85546875" customWidth="1"/>
    <col min="3334" max="3334" width="18.7109375" customWidth="1"/>
    <col min="3335" max="3335" width="18.28515625" customWidth="1"/>
    <col min="3551" max="3551" width="3.85546875" bestFit="1" customWidth="1"/>
    <col min="3552" max="3552" width="38.7109375" customWidth="1"/>
    <col min="3553" max="3553" width="10.7109375" customWidth="1"/>
    <col min="3554" max="3554" width="14.7109375" customWidth="1"/>
    <col min="3555" max="3555" width="16.7109375" customWidth="1"/>
    <col min="3556" max="3556" width="18.7109375" customWidth="1"/>
    <col min="3559" max="3559" width="13.5703125" customWidth="1"/>
    <col min="3560" max="3560" width="10.5703125" bestFit="1" customWidth="1"/>
    <col min="3566" max="3566" width="4.140625" bestFit="1" customWidth="1"/>
    <col min="3567" max="3567" width="27.85546875" bestFit="1" customWidth="1"/>
    <col min="3568" max="3568" width="7.5703125" bestFit="1" customWidth="1"/>
    <col min="3569" max="3569" width="13.7109375" bestFit="1" customWidth="1"/>
    <col min="3570" max="3570" width="22.140625" bestFit="1" customWidth="1"/>
    <col min="3571" max="3571" width="26.42578125" bestFit="1" customWidth="1"/>
    <col min="3572" max="3572" width="20.85546875" bestFit="1" customWidth="1"/>
    <col min="3573" max="3573" width="14.7109375" bestFit="1" customWidth="1"/>
    <col min="3574" max="3574" width="16.140625" bestFit="1" customWidth="1"/>
    <col min="3575" max="3575" width="13.140625" bestFit="1" customWidth="1"/>
    <col min="3576" max="3576" width="23" bestFit="1" customWidth="1"/>
    <col min="3577" max="3577" width="11.5703125" bestFit="1" customWidth="1"/>
    <col min="3585" max="3585" width="4" customWidth="1"/>
    <col min="3586" max="3586" width="3.85546875" bestFit="1" customWidth="1"/>
    <col min="3587" max="3587" width="38.7109375" customWidth="1"/>
    <col min="3588" max="3588" width="10.7109375" customWidth="1"/>
    <col min="3589" max="3589" width="17.85546875" customWidth="1"/>
    <col min="3590" max="3590" width="18.7109375" customWidth="1"/>
    <col min="3591" max="3591" width="18.28515625" customWidth="1"/>
    <col min="3807" max="3807" width="3.85546875" bestFit="1" customWidth="1"/>
    <col min="3808" max="3808" width="38.7109375" customWidth="1"/>
    <col min="3809" max="3809" width="10.7109375" customWidth="1"/>
    <col min="3810" max="3810" width="14.7109375" customWidth="1"/>
    <col min="3811" max="3811" width="16.7109375" customWidth="1"/>
    <col min="3812" max="3812" width="18.7109375" customWidth="1"/>
    <col min="3815" max="3815" width="13.5703125" customWidth="1"/>
    <col min="3816" max="3816" width="10.5703125" bestFit="1" customWidth="1"/>
    <col min="3822" max="3822" width="4.140625" bestFit="1" customWidth="1"/>
    <col min="3823" max="3823" width="27.85546875" bestFit="1" customWidth="1"/>
    <col min="3824" max="3824" width="7.5703125" bestFit="1" customWidth="1"/>
    <col min="3825" max="3825" width="13.7109375" bestFit="1" customWidth="1"/>
    <col min="3826" max="3826" width="22.140625" bestFit="1" customWidth="1"/>
    <col min="3827" max="3827" width="26.42578125" bestFit="1" customWidth="1"/>
    <col min="3828" max="3828" width="20.85546875" bestFit="1" customWidth="1"/>
    <col min="3829" max="3829" width="14.7109375" bestFit="1" customWidth="1"/>
    <col min="3830" max="3830" width="16.140625" bestFit="1" customWidth="1"/>
    <col min="3831" max="3831" width="13.140625" bestFit="1" customWidth="1"/>
    <col min="3832" max="3832" width="23" bestFit="1" customWidth="1"/>
    <col min="3833" max="3833" width="11.5703125" bestFit="1" customWidth="1"/>
    <col min="3841" max="3841" width="4" customWidth="1"/>
    <col min="3842" max="3842" width="3.85546875" bestFit="1" customWidth="1"/>
    <col min="3843" max="3843" width="38.7109375" customWidth="1"/>
    <col min="3844" max="3844" width="10.7109375" customWidth="1"/>
    <col min="3845" max="3845" width="17.85546875" customWidth="1"/>
    <col min="3846" max="3846" width="18.7109375" customWidth="1"/>
    <col min="3847" max="3847" width="18.28515625" customWidth="1"/>
    <col min="4063" max="4063" width="3.85546875" bestFit="1" customWidth="1"/>
    <col min="4064" max="4064" width="38.7109375" customWidth="1"/>
    <col min="4065" max="4065" width="10.7109375" customWidth="1"/>
    <col min="4066" max="4066" width="14.7109375" customWidth="1"/>
    <col min="4067" max="4067" width="16.7109375" customWidth="1"/>
    <col min="4068" max="4068" width="18.7109375" customWidth="1"/>
    <col min="4071" max="4071" width="13.5703125" customWidth="1"/>
    <col min="4072" max="4072" width="10.5703125" bestFit="1" customWidth="1"/>
    <col min="4078" max="4078" width="4.140625" bestFit="1" customWidth="1"/>
    <col min="4079" max="4079" width="27.85546875" bestFit="1" customWidth="1"/>
    <col min="4080" max="4080" width="7.5703125" bestFit="1" customWidth="1"/>
    <col min="4081" max="4081" width="13.7109375" bestFit="1" customWidth="1"/>
    <col min="4082" max="4082" width="22.140625" bestFit="1" customWidth="1"/>
    <col min="4083" max="4083" width="26.42578125" bestFit="1" customWidth="1"/>
    <col min="4084" max="4084" width="20.85546875" bestFit="1" customWidth="1"/>
    <col min="4085" max="4085" width="14.7109375" bestFit="1" customWidth="1"/>
    <col min="4086" max="4086" width="16.140625" bestFit="1" customWidth="1"/>
    <col min="4087" max="4087" width="13.140625" bestFit="1" customWidth="1"/>
    <col min="4088" max="4088" width="23" bestFit="1" customWidth="1"/>
    <col min="4089" max="4089" width="11.5703125" bestFit="1" customWidth="1"/>
    <col min="4097" max="4097" width="4" customWidth="1"/>
    <col min="4098" max="4098" width="3.85546875" bestFit="1" customWidth="1"/>
    <col min="4099" max="4099" width="38.7109375" customWidth="1"/>
    <col min="4100" max="4100" width="10.7109375" customWidth="1"/>
    <col min="4101" max="4101" width="17.85546875" customWidth="1"/>
    <col min="4102" max="4102" width="18.7109375" customWidth="1"/>
    <col min="4103" max="4103" width="18.28515625" customWidth="1"/>
    <col min="4319" max="4319" width="3.85546875" bestFit="1" customWidth="1"/>
    <col min="4320" max="4320" width="38.7109375" customWidth="1"/>
    <col min="4321" max="4321" width="10.7109375" customWidth="1"/>
    <col min="4322" max="4322" width="14.7109375" customWidth="1"/>
    <col min="4323" max="4323" width="16.7109375" customWidth="1"/>
    <col min="4324" max="4324" width="18.7109375" customWidth="1"/>
    <col min="4327" max="4327" width="13.5703125" customWidth="1"/>
    <col min="4328" max="4328" width="10.5703125" bestFit="1" customWidth="1"/>
    <col min="4334" max="4334" width="4.140625" bestFit="1" customWidth="1"/>
    <col min="4335" max="4335" width="27.85546875" bestFit="1" customWidth="1"/>
    <col min="4336" max="4336" width="7.5703125" bestFit="1" customWidth="1"/>
    <col min="4337" max="4337" width="13.7109375" bestFit="1" customWidth="1"/>
    <col min="4338" max="4338" width="22.140625" bestFit="1" customWidth="1"/>
    <col min="4339" max="4339" width="26.42578125" bestFit="1" customWidth="1"/>
    <col min="4340" max="4340" width="20.85546875" bestFit="1" customWidth="1"/>
    <col min="4341" max="4341" width="14.7109375" bestFit="1" customWidth="1"/>
    <col min="4342" max="4342" width="16.140625" bestFit="1" customWidth="1"/>
    <col min="4343" max="4343" width="13.140625" bestFit="1" customWidth="1"/>
    <col min="4344" max="4344" width="23" bestFit="1" customWidth="1"/>
    <col min="4345" max="4345" width="11.5703125" bestFit="1" customWidth="1"/>
    <col min="4353" max="4353" width="4" customWidth="1"/>
    <col min="4354" max="4354" width="3.85546875" bestFit="1" customWidth="1"/>
    <col min="4355" max="4355" width="38.7109375" customWidth="1"/>
    <col min="4356" max="4356" width="10.7109375" customWidth="1"/>
    <col min="4357" max="4357" width="17.85546875" customWidth="1"/>
    <col min="4358" max="4358" width="18.7109375" customWidth="1"/>
    <col min="4359" max="4359" width="18.28515625" customWidth="1"/>
    <col min="4575" max="4575" width="3.85546875" bestFit="1" customWidth="1"/>
    <col min="4576" max="4576" width="38.7109375" customWidth="1"/>
    <col min="4577" max="4577" width="10.7109375" customWidth="1"/>
    <col min="4578" max="4578" width="14.7109375" customWidth="1"/>
    <col min="4579" max="4579" width="16.7109375" customWidth="1"/>
    <col min="4580" max="4580" width="18.7109375" customWidth="1"/>
    <col min="4583" max="4583" width="13.5703125" customWidth="1"/>
    <col min="4584" max="4584" width="10.5703125" bestFit="1" customWidth="1"/>
    <col min="4590" max="4590" width="4.140625" bestFit="1" customWidth="1"/>
    <col min="4591" max="4591" width="27.85546875" bestFit="1" customWidth="1"/>
    <col min="4592" max="4592" width="7.5703125" bestFit="1" customWidth="1"/>
    <col min="4593" max="4593" width="13.7109375" bestFit="1" customWidth="1"/>
    <col min="4594" max="4594" width="22.140625" bestFit="1" customWidth="1"/>
    <col min="4595" max="4595" width="26.42578125" bestFit="1" customWidth="1"/>
    <col min="4596" max="4596" width="20.85546875" bestFit="1" customWidth="1"/>
    <col min="4597" max="4597" width="14.7109375" bestFit="1" customWidth="1"/>
    <col min="4598" max="4598" width="16.140625" bestFit="1" customWidth="1"/>
    <col min="4599" max="4599" width="13.140625" bestFit="1" customWidth="1"/>
    <col min="4600" max="4600" width="23" bestFit="1" customWidth="1"/>
    <col min="4601" max="4601" width="11.5703125" bestFit="1" customWidth="1"/>
    <col min="4609" max="4609" width="4" customWidth="1"/>
    <col min="4610" max="4610" width="3.85546875" bestFit="1" customWidth="1"/>
    <col min="4611" max="4611" width="38.7109375" customWidth="1"/>
    <col min="4612" max="4612" width="10.7109375" customWidth="1"/>
    <col min="4613" max="4613" width="17.85546875" customWidth="1"/>
    <col min="4614" max="4614" width="18.7109375" customWidth="1"/>
    <col min="4615" max="4615" width="18.28515625" customWidth="1"/>
    <col min="4831" max="4831" width="3.85546875" bestFit="1" customWidth="1"/>
    <col min="4832" max="4832" width="38.7109375" customWidth="1"/>
    <col min="4833" max="4833" width="10.7109375" customWidth="1"/>
    <col min="4834" max="4834" width="14.7109375" customWidth="1"/>
    <col min="4835" max="4835" width="16.7109375" customWidth="1"/>
    <col min="4836" max="4836" width="18.7109375" customWidth="1"/>
    <col min="4839" max="4839" width="13.5703125" customWidth="1"/>
    <col min="4840" max="4840" width="10.5703125" bestFit="1" customWidth="1"/>
    <col min="4846" max="4846" width="4.140625" bestFit="1" customWidth="1"/>
    <col min="4847" max="4847" width="27.85546875" bestFit="1" customWidth="1"/>
    <col min="4848" max="4848" width="7.5703125" bestFit="1" customWidth="1"/>
    <col min="4849" max="4849" width="13.7109375" bestFit="1" customWidth="1"/>
    <col min="4850" max="4850" width="22.140625" bestFit="1" customWidth="1"/>
    <col min="4851" max="4851" width="26.42578125" bestFit="1" customWidth="1"/>
    <col min="4852" max="4852" width="20.85546875" bestFit="1" customWidth="1"/>
    <col min="4853" max="4853" width="14.7109375" bestFit="1" customWidth="1"/>
    <col min="4854" max="4854" width="16.140625" bestFit="1" customWidth="1"/>
    <col min="4855" max="4855" width="13.140625" bestFit="1" customWidth="1"/>
    <col min="4856" max="4856" width="23" bestFit="1" customWidth="1"/>
    <col min="4857" max="4857" width="11.5703125" bestFit="1" customWidth="1"/>
    <col min="4865" max="4865" width="4" customWidth="1"/>
    <col min="4866" max="4866" width="3.85546875" bestFit="1" customWidth="1"/>
    <col min="4867" max="4867" width="38.7109375" customWidth="1"/>
    <col min="4868" max="4868" width="10.7109375" customWidth="1"/>
    <col min="4869" max="4869" width="17.85546875" customWidth="1"/>
    <col min="4870" max="4870" width="18.7109375" customWidth="1"/>
    <col min="4871" max="4871" width="18.28515625" customWidth="1"/>
    <col min="5087" max="5087" width="3.85546875" bestFit="1" customWidth="1"/>
    <col min="5088" max="5088" width="38.7109375" customWidth="1"/>
    <col min="5089" max="5089" width="10.7109375" customWidth="1"/>
    <col min="5090" max="5090" width="14.7109375" customWidth="1"/>
    <col min="5091" max="5091" width="16.7109375" customWidth="1"/>
    <col min="5092" max="5092" width="18.7109375" customWidth="1"/>
    <col min="5095" max="5095" width="13.5703125" customWidth="1"/>
    <col min="5096" max="5096" width="10.5703125" bestFit="1" customWidth="1"/>
    <col min="5102" max="5102" width="4.140625" bestFit="1" customWidth="1"/>
    <col min="5103" max="5103" width="27.85546875" bestFit="1" customWidth="1"/>
    <col min="5104" max="5104" width="7.5703125" bestFit="1" customWidth="1"/>
    <col min="5105" max="5105" width="13.7109375" bestFit="1" customWidth="1"/>
    <col min="5106" max="5106" width="22.140625" bestFit="1" customWidth="1"/>
    <col min="5107" max="5107" width="26.42578125" bestFit="1" customWidth="1"/>
    <col min="5108" max="5108" width="20.85546875" bestFit="1" customWidth="1"/>
    <col min="5109" max="5109" width="14.7109375" bestFit="1" customWidth="1"/>
    <col min="5110" max="5110" width="16.140625" bestFit="1" customWidth="1"/>
    <col min="5111" max="5111" width="13.140625" bestFit="1" customWidth="1"/>
    <col min="5112" max="5112" width="23" bestFit="1" customWidth="1"/>
    <col min="5113" max="5113" width="11.5703125" bestFit="1" customWidth="1"/>
    <col min="5121" max="5121" width="4" customWidth="1"/>
    <col min="5122" max="5122" width="3.85546875" bestFit="1" customWidth="1"/>
    <col min="5123" max="5123" width="38.7109375" customWidth="1"/>
    <col min="5124" max="5124" width="10.7109375" customWidth="1"/>
    <col min="5125" max="5125" width="17.85546875" customWidth="1"/>
    <col min="5126" max="5126" width="18.7109375" customWidth="1"/>
    <col min="5127" max="5127" width="18.28515625" customWidth="1"/>
    <col min="5343" max="5343" width="3.85546875" bestFit="1" customWidth="1"/>
    <col min="5344" max="5344" width="38.7109375" customWidth="1"/>
    <col min="5345" max="5345" width="10.7109375" customWidth="1"/>
    <col min="5346" max="5346" width="14.7109375" customWidth="1"/>
    <col min="5347" max="5347" width="16.7109375" customWidth="1"/>
    <col min="5348" max="5348" width="18.7109375" customWidth="1"/>
    <col min="5351" max="5351" width="13.5703125" customWidth="1"/>
    <col min="5352" max="5352" width="10.5703125" bestFit="1" customWidth="1"/>
    <col min="5358" max="5358" width="4.140625" bestFit="1" customWidth="1"/>
    <col min="5359" max="5359" width="27.85546875" bestFit="1" customWidth="1"/>
    <col min="5360" max="5360" width="7.5703125" bestFit="1" customWidth="1"/>
    <col min="5361" max="5361" width="13.7109375" bestFit="1" customWidth="1"/>
    <col min="5362" max="5362" width="22.140625" bestFit="1" customWidth="1"/>
    <col min="5363" max="5363" width="26.42578125" bestFit="1" customWidth="1"/>
    <col min="5364" max="5364" width="20.85546875" bestFit="1" customWidth="1"/>
    <col min="5365" max="5365" width="14.7109375" bestFit="1" customWidth="1"/>
    <col min="5366" max="5366" width="16.140625" bestFit="1" customWidth="1"/>
    <col min="5367" max="5367" width="13.140625" bestFit="1" customWidth="1"/>
    <col min="5368" max="5368" width="23" bestFit="1" customWidth="1"/>
    <col min="5369" max="5369" width="11.5703125" bestFit="1" customWidth="1"/>
    <col min="5377" max="5377" width="4" customWidth="1"/>
    <col min="5378" max="5378" width="3.85546875" bestFit="1" customWidth="1"/>
    <col min="5379" max="5379" width="38.7109375" customWidth="1"/>
    <col min="5380" max="5380" width="10.7109375" customWidth="1"/>
    <col min="5381" max="5381" width="17.85546875" customWidth="1"/>
    <col min="5382" max="5382" width="18.7109375" customWidth="1"/>
    <col min="5383" max="5383" width="18.28515625" customWidth="1"/>
    <col min="5599" max="5599" width="3.85546875" bestFit="1" customWidth="1"/>
    <col min="5600" max="5600" width="38.7109375" customWidth="1"/>
    <col min="5601" max="5601" width="10.7109375" customWidth="1"/>
    <col min="5602" max="5602" width="14.7109375" customWidth="1"/>
    <col min="5603" max="5603" width="16.7109375" customWidth="1"/>
    <col min="5604" max="5604" width="18.7109375" customWidth="1"/>
    <col min="5607" max="5607" width="13.5703125" customWidth="1"/>
    <col min="5608" max="5608" width="10.5703125" bestFit="1" customWidth="1"/>
    <col min="5614" max="5614" width="4.140625" bestFit="1" customWidth="1"/>
    <col min="5615" max="5615" width="27.85546875" bestFit="1" customWidth="1"/>
    <col min="5616" max="5616" width="7.5703125" bestFit="1" customWidth="1"/>
    <col min="5617" max="5617" width="13.7109375" bestFit="1" customWidth="1"/>
    <col min="5618" max="5618" width="22.140625" bestFit="1" customWidth="1"/>
    <col min="5619" max="5619" width="26.42578125" bestFit="1" customWidth="1"/>
    <col min="5620" max="5620" width="20.85546875" bestFit="1" customWidth="1"/>
    <col min="5621" max="5621" width="14.7109375" bestFit="1" customWidth="1"/>
    <col min="5622" max="5622" width="16.140625" bestFit="1" customWidth="1"/>
    <col min="5623" max="5623" width="13.140625" bestFit="1" customWidth="1"/>
    <col min="5624" max="5624" width="23" bestFit="1" customWidth="1"/>
    <col min="5625" max="5625" width="11.5703125" bestFit="1" customWidth="1"/>
    <col min="5633" max="5633" width="4" customWidth="1"/>
    <col min="5634" max="5634" width="3.85546875" bestFit="1" customWidth="1"/>
    <col min="5635" max="5635" width="38.7109375" customWidth="1"/>
    <col min="5636" max="5636" width="10.7109375" customWidth="1"/>
    <col min="5637" max="5637" width="17.85546875" customWidth="1"/>
    <col min="5638" max="5638" width="18.7109375" customWidth="1"/>
    <col min="5639" max="5639" width="18.28515625" customWidth="1"/>
    <col min="5855" max="5855" width="3.85546875" bestFit="1" customWidth="1"/>
    <col min="5856" max="5856" width="38.7109375" customWidth="1"/>
    <col min="5857" max="5857" width="10.7109375" customWidth="1"/>
    <col min="5858" max="5858" width="14.7109375" customWidth="1"/>
    <col min="5859" max="5859" width="16.7109375" customWidth="1"/>
    <col min="5860" max="5860" width="18.7109375" customWidth="1"/>
    <col min="5863" max="5863" width="13.5703125" customWidth="1"/>
    <col min="5864" max="5864" width="10.5703125" bestFit="1" customWidth="1"/>
    <col min="5870" max="5870" width="4.140625" bestFit="1" customWidth="1"/>
    <col min="5871" max="5871" width="27.85546875" bestFit="1" customWidth="1"/>
    <col min="5872" max="5872" width="7.5703125" bestFit="1" customWidth="1"/>
    <col min="5873" max="5873" width="13.7109375" bestFit="1" customWidth="1"/>
    <col min="5874" max="5874" width="22.140625" bestFit="1" customWidth="1"/>
    <col min="5875" max="5875" width="26.42578125" bestFit="1" customWidth="1"/>
    <col min="5876" max="5876" width="20.85546875" bestFit="1" customWidth="1"/>
    <col min="5877" max="5877" width="14.7109375" bestFit="1" customWidth="1"/>
    <col min="5878" max="5878" width="16.140625" bestFit="1" customWidth="1"/>
    <col min="5879" max="5879" width="13.140625" bestFit="1" customWidth="1"/>
    <col min="5880" max="5880" width="23" bestFit="1" customWidth="1"/>
    <col min="5881" max="5881" width="11.5703125" bestFit="1" customWidth="1"/>
    <col min="5889" max="5889" width="4" customWidth="1"/>
    <col min="5890" max="5890" width="3.85546875" bestFit="1" customWidth="1"/>
    <col min="5891" max="5891" width="38.7109375" customWidth="1"/>
    <col min="5892" max="5892" width="10.7109375" customWidth="1"/>
    <col min="5893" max="5893" width="17.85546875" customWidth="1"/>
    <col min="5894" max="5894" width="18.7109375" customWidth="1"/>
    <col min="5895" max="5895" width="18.28515625" customWidth="1"/>
    <col min="6111" max="6111" width="3.85546875" bestFit="1" customWidth="1"/>
    <col min="6112" max="6112" width="38.7109375" customWidth="1"/>
    <col min="6113" max="6113" width="10.7109375" customWidth="1"/>
    <col min="6114" max="6114" width="14.7109375" customWidth="1"/>
    <col min="6115" max="6115" width="16.7109375" customWidth="1"/>
    <col min="6116" max="6116" width="18.7109375" customWidth="1"/>
    <col min="6119" max="6119" width="13.5703125" customWidth="1"/>
    <col min="6120" max="6120" width="10.5703125" bestFit="1" customWidth="1"/>
    <col min="6126" max="6126" width="4.140625" bestFit="1" customWidth="1"/>
    <col min="6127" max="6127" width="27.85546875" bestFit="1" customWidth="1"/>
    <col min="6128" max="6128" width="7.5703125" bestFit="1" customWidth="1"/>
    <col min="6129" max="6129" width="13.7109375" bestFit="1" customWidth="1"/>
    <col min="6130" max="6130" width="22.140625" bestFit="1" customWidth="1"/>
    <col min="6131" max="6131" width="26.42578125" bestFit="1" customWidth="1"/>
    <col min="6132" max="6132" width="20.85546875" bestFit="1" customWidth="1"/>
    <col min="6133" max="6133" width="14.7109375" bestFit="1" customWidth="1"/>
    <col min="6134" max="6134" width="16.140625" bestFit="1" customWidth="1"/>
    <col min="6135" max="6135" width="13.140625" bestFit="1" customWidth="1"/>
    <col min="6136" max="6136" width="23" bestFit="1" customWidth="1"/>
    <col min="6137" max="6137" width="11.5703125" bestFit="1" customWidth="1"/>
    <col min="6145" max="6145" width="4" customWidth="1"/>
    <col min="6146" max="6146" width="3.85546875" bestFit="1" customWidth="1"/>
    <col min="6147" max="6147" width="38.7109375" customWidth="1"/>
    <col min="6148" max="6148" width="10.7109375" customWidth="1"/>
    <col min="6149" max="6149" width="17.85546875" customWidth="1"/>
    <col min="6150" max="6150" width="18.7109375" customWidth="1"/>
    <col min="6151" max="6151" width="18.28515625" customWidth="1"/>
    <col min="6367" max="6367" width="3.85546875" bestFit="1" customWidth="1"/>
    <col min="6368" max="6368" width="38.7109375" customWidth="1"/>
    <col min="6369" max="6369" width="10.7109375" customWidth="1"/>
    <col min="6370" max="6370" width="14.7109375" customWidth="1"/>
    <col min="6371" max="6371" width="16.7109375" customWidth="1"/>
    <col min="6372" max="6372" width="18.7109375" customWidth="1"/>
    <col min="6375" max="6375" width="13.5703125" customWidth="1"/>
    <col min="6376" max="6376" width="10.5703125" bestFit="1" customWidth="1"/>
    <col min="6382" max="6382" width="4.140625" bestFit="1" customWidth="1"/>
    <col min="6383" max="6383" width="27.85546875" bestFit="1" customWidth="1"/>
    <col min="6384" max="6384" width="7.5703125" bestFit="1" customWidth="1"/>
    <col min="6385" max="6385" width="13.7109375" bestFit="1" customWidth="1"/>
    <col min="6386" max="6386" width="22.140625" bestFit="1" customWidth="1"/>
    <col min="6387" max="6387" width="26.42578125" bestFit="1" customWidth="1"/>
    <col min="6388" max="6388" width="20.85546875" bestFit="1" customWidth="1"/>
    <col min="6389" max="6389" width="14.7109375" bestFit="1" customWidth="1"/>
    <col min="6390" max="6390" width="16.140625" bestFit="1" customWidth="1"/>
    <col min="6391" max="6391" width="13.140625" bestFit="1" customWidth="1"/>
    <col min="6392" max="6392" width="23" bestFit="1" customWidth="1"/>
    <col min="6393" max="6393" width="11.5703125" bestFit="1" customWidth="1"/>
    <col min="6401" max="6401" width="4" customWidth="1"/>
    <col min="6402" max="6402" width="3.85546875" bestFit="1" customWidth="1"/>
    <col min="6403" max="6403" width="38.7109375" customWidth="1"/>
    <col min="6404" max="6404" width="10.7109375" customWidth="1"/>
    <col min="6405" max="6405" width="17.85546875" customWidth="1"/>
    <col min="6406" max="6406" width="18.7109375" customWidth="1"/>
    <col min="6407" max="6407" width="18.28515625" customWidth="1"/>
    <col min="6623" max="6623" width="3.85546875" bestFit="1" customWidth="1"/>
    <col min="6624" max="6624" width="38.7109375" customWidth="1"/>
    <col min="6625" max="6625" width="10.7109375" customWidth="1"/>
    <col min="6626" max="6626" width="14.7109375" customWidth="1"/>
    <col min="6627" max="6627" width="16.7109375" customWidth="1"/>
    <col min="6628" max="6628" width="18.7109375" customWidth="1"/>
    <col min="6631" max="6631" width="13.5703125" customWidth="1"/>
    <col min="6632" max="6632" width="10.5703125" bestFit="1" customWidth="1"/>
    <col min="6638" max="6638" width="4.140625" bestFit="1" customWidth="1"/>
    <col min="6639" max="6639" width="27.85546875" bestFit="1" customWidth="1"/>
    <col min="6640" max="6640" width="7.5703125" bestFit="1" customWidth="1"/>
    <col min="6641" max="6641" width="13.7109375" bestFit="1" customWidth="1"/>
    <col min="6642" max="6642" width="22.140625" bestFit="1" customWidth="1"/>
    <col min="6643" max="6643" width="26.42578125" bestFit="1" customWidth="1"/>
    <col min="6644" max="6644" width="20.85546875" bestFit="1" customWidth="1"/>
    <col min="6645" max="6645" width="14.7109375" bestFit="1" customWidth="1"/>
    <col min="6646" max="6646" width="16.140625" bestFit="1" customWidth="1"/>
    <col min="6647" max="6647" width="13.140625" bestFit="1" customWidth="1"/>
    <col min="6648" max="6648" width="23" bestFit="1" customWidth="1"/>
    <col min="6649" max="6649" width="11.5703125" bestFit="1" customWidth="1"/>
    <col min="6657" max="6657" width="4" customWidth="1"/>
    <col min="6658" max="6658" width="3.85546875" bestFit="1" customWidth="1"/>
    <col min="6659" max="6659" width="38.7109375" customWidth="1"/>
    <col min="6660" max="6660" width="10.7109375" customWidth="1"/>
    <col min="6661" max="6661" width="17.85546875" customWidth="1"/>
    <col min="6662" max="6662" width="18.7109375" customWidth="1"/>
    <col min="6663" max="6663" width="18.28515625" customWidth="1"/>
    <col min="6879" max="6879" width="3.85546875" bestFit="1" customWidth="1"/>
    <col min="6880" max="6880" width="38.7109375" customWidth="1"/>
    <col min="6881" max="6881" width="10.7109375" customWidth="1"/>
    <col min="6882" max="6882" width="14.7109375" customWidth="1"/>
    <col min="6883" max="6883" width="16.7109375" customWidth="1"/>
    <col min="6884" max="6884" width="18.7109375" customWidth="1"/>
    <col min="6887" max="6887" width="13.5703125" customWidth="1"/>
    <col min="6888" max="6888" width="10.5703125" bestFit="1" customWidth="1"/>
    <col min="6894" max="6894" width="4.140625" bestFit="1" customWidth="1"/>
    <col min="6895" max="6895" width="27.85546875" bestFit="1" customWidth="1"/>
    <col min="6896" max="6896" width="7.5703125" bestFit="1" customWidth="1"/>
    <col min="6897" max="6897" width="13.7109375" bestFit="1" customWidth="1"/>
    <col min="6898" max="6898" width="22.140625" bestFit="1" customWidth="1"/>
    <col min="6899" max="6899" width="26.42578125" bestFit="1" customWidth="1"/>
    <col min="6900" max="6900" width="20.85546875" bestFit="1" customWidth="1"/>
    <col min="6901" max="6901" width="14.7109375" bestFit="1" customWidth="1"/>
    <col min="6902" max="6902" width="16.140625" bestFit="1" customWidth="1"/>
    <col min="6903" max="6903" width="13.140625" bestFit="1" customWidth="1"/>
    <col min="6904" max="6904" width="23" bestFit="1" customWidth="1"/>
    <col min="6905" max="6905" width="11.5703125" bestFit="1" customWidth="1"/>
    <col min="6913" max="6913" width="4" customWidth="1"/>
    <col min="6914" max="6914" width="3.85546875" bestFit="1" customWidth="1"/>
    <col min="6915" max="6915" width="38.7109375" customWidth="1"/>
    <col min="6916" max="6916" width="10.7109375" customWidth="1"/>
    <col min="6917" max="6917" width="17.85546875" customWidth="1"/>
    <col min="6918" max="6918" width="18.7109375" customWidth="1"/>
    <col min="6919" max="6919" width="18.28515625" customWidth="1"/>
    <col min="7135" max="7135" width="3.85546875" bestFit="1" customWidth="1"/>
    <col min="7136" max="7136" width="38.7109375" customWidth="1"/>
    <col min="7137" max="7137" width="10.7109375" customWidth="1"/>
    <col min="7138" max="7138" width="14.7109375" customWidth="1"/>
    <col min="7139" max="7139" width="16.7109375" customWidth="1"/>
    <col min="7140" max="7140" width="18.7109375" customWidth="1"/>
    <col min="7143" max="7143" width="13.5703125" customWidth="1"/>
    <col min="7144" max="7144" width="10.5703125" bestFit="1" customWidth="1"/>
    <col min="7150" max="7150" width="4.140625" bestFit="1" customWidth="1"/>
    <col min="7151" max="7151" width="27.85546875" bestFit="1" customWidth="1"/>
    <col min="7152" max="7152" width="7.5703125" bestFit="1" customWidth="1"/>
    <col min="7153" max="7153" width="13.7109375" bestFit="1" customWidth="1"/>
    <col min="7154" max="7154" width="22.140625" bestFit="1" customWidth="1"/>
    <col min="7155" max="7155" width="26.42578125" bestFit="1" customWidth="1"/>
    <col min="7156" max="7156" width="20.85546875" bestFit="1" customWidth="1"/>
    <col min="7157" max="7157" width="14.7109375" bestFit="1" customWidth="1"/>
    <col min="7158" max="7158" width="16.140625" bestFit="1" customWidth="1"/>
    <col min="7159" max="7159" width="13.140625" bestFit="1" customWidth="1"/>
    <col min="7160" max="7160" width="23" bestFit="1" customWidth="1"/>
    <col min="7161" max="7161" width="11.5703125" bestFit="1" customWidth="1"/>
    <col min="7169" max="7169" width="4" customWidth="1"/>
    <col min="7170" max="7170" width="3.85546875" bestFit="1" customWidth="1"/>
    <col min="7171" max="7171" width="38.7109375" customWidth="1"/>
    <col min="7172" max="7172" width="10.7109375" customWidth="1"/>
    <col min="7173" max="7173" width="17.85546875" customWidth="1"/>
    <col min="7174" max="7174" width="18.7109375" customWidth="1"/>
    <col min="7175" max="7175" width="18.28515625" customWidth="1"/>
    <col min="7391" max="7391" width="3.85546875" bestFit="1" customWidth="1"/>
    <col min="7392" max="7392" width="38.7109375" customWidth="1"/>
    <col min="7393" max="7393" width="10.7109375" customWidth="1"/>
    <col min="7394" max="7394" width="14.7109375" customWidth="1"/>
    <col min="7395" max="7395" width="16.7109375" customWidth="1"/>
    <col min="7396" max="7396" width="18.7109375" customWidth="1"/>
    <col min="7399" max="7399" width="13.5703125" customWidth="1"/>
    <col min="7400" max="7400" width="10.5703125" bestFit="1" customWidth="1"/>
    <col min="7406" max="7406" width="4.140625" bestFit="1" customWidth="1"/>
    <col min="7407" max="7407" width="27.85546875" bestFit="1" customWidth="1"/>
    <col min="7408" max="7408" width="7.5703125" bestFit="1" customWidth="1"/>
    <col min="7409" max="7409" width="13.7109375" bestFit="1" customWidth="1"/>
    <col min="7410" max="7410" width="22.140625" bestFit="1" customWidth="1"/>
    <col min="7411" max="7411" width="26.42578125" bestFit="1" customWidth="1"/>
    <col min="7412" max="7412" width="20.85546875" bestFit="1" customWidth="1"/>
    <col min="7413" max="7413" width="14.7109375" bestFit="1" customWidth="1"/>
    <col min="7414" max="7414" width="16.140625" bestFit="1" customWidth="1"/>
    <col min="7415" max="7415" width="13.140625" bestFit="1" customWidth="1"/>
    <col min="7416" max="7416" width="23" bestFit="1" customWidth="1"/>
    <col min="7417" max="7417" width="11.5703125" bestFit="1" customWidth="1"/>
    <col min="7425" max="7425" width="4" customWidth="1"/>
    <col min="7426" max="7426" width="3.85546875" bestFit="1" customWidth="1"/>
    <col min="7427" max="7427" width="38.7109375" customWidth="1"/>
    <col min="7428" max="7428" width="10.7109375" customWidth="1"/>
    <col min="7429" max="7429" width="17.85546875" customWidth="1"/>
    <col min="7430" max="7430" width="18.7109375" customWidth="1"/>
    <col min="7431" max="7431" width="18.28515625" customWidth="1"/>
    <col min="7647" max="7647" width="3.85546875" bestFit="1" customWidth="1"/>
    <col min="7648" max="7648" width="38.7109375" customWidth="1"/>
    <col min="7649" max="7649" width="10.7109375" customWidth="1"/>
    <col min="7650" max="7650" width="14.7109375" customWidth="1"/>
    <col min="7651" max="7651" width="16.7109375" customWidth="1"/>
    <col min="7652" max="7652" width="18.7109375" customWidth="1"/>
    <col min="7655" max="7655" width="13.5703125" customWidth="1"/>
    <col min="7656" max="7656" width="10.5703125" bestFit="1" customWidth="1"/>
    <col min="7662" max="7662" width="4.140625" bestFit="1" customWidth="1"/>
    <col min="7663" max="7663" width="27.85546875" bestFit="1" customWidth="1"/>
    <col min="7664" max="7664" width="7.5703125" bestFit="1" customWidth="1"/>
    <col min="7665" max="7665" width="13.7109375" bestFit="1" customWidth="1"/>
    <col min="7666" max="7666" width="22.140625" bestFit="1" customWidth="1"/>
    <col min="7667" max="7667" width="26.42578125" bestFit="1" customWidth="1"/>
    <col min="7668" max="7668" width="20.85546875" bestFit="1" customWidth="1"/>
    <col min="7669" max="7669" width="14.7109375" bestFit="1" customWidth="1"/>
    <col min="7670" max="7670" width="16.140625" bestFit="1" customWidth="1"/>
    <col min="7671" max="7671" width="13.140625" bestFit="1" customWidth="1"/>
    <col min="7672" max="7672" width="23" bestFit="1" customWidth="1"/>
    <col min="7673" max="7673" width="11.5703125" bestFit="1" customWidth="1"/>
    <col min="7681" max="7681" width="4" customWidth="1"/>
    <col min="7682" max="7682" width="3.85546875" bestFit="1" customWidth="1"/>
    <col min="7683" max="7683" width="38.7109375" customWidth="1"/>
    <col min="7684" max="7684" width="10.7109375" customWidth="1"/>
    <col min="7685" max="7685" width="17.85546875" customWidth="1"/>
    <col min="7686" max="7686" width="18.7109375" customWidth="1"/>
    <col min="7687" max="7687" width="18.28515625" customWidth="1"/>
    <col min="7903" max="7903" width="3.85546875" bestFit="1" customWidth="1"/>
    <col min="7904" max="7904" width="38.7109375" customWidth="1"/>
    <col min="7905" max="7905" width="10.7109375" customWidth="1"/>
    <col min="7906" max="7906" width="14.7109375" customWidth="1"/>
    <col min="7907" max="7907" width="16.7109375" customWidth="1"/>
    <col min="7908" max="7908" width="18.7109375" customWidth="1"/>
    <col min="7911" max="7911" width="13.5703125" customWidth="1"/>
    <col min="7912" max="7912" width="10.5703125" bestFit="1" customWidth="1"/>
    <col min="7918" max="7918" width="4.140625" bestFit="1" customWidth="1"/>
    <col min="7919" max="7919" width="27.85546875" bestFit="1" customWidth="1"/>
    <col min="7920" max="7920" width="7.5703125" bestFit="1" customWidth="1"/>
    <col min="7921" max="7921" width="13.7109375" bestFit="1" customWidth="1"/>
    <col min="7922" max="7922" width="22.140625" bestFit="1" customWidth="1"/>
    <col min="7923" max="7923" width="26.42578125" bestFit="1" customWidth="1"/>
    <col min="7924" max="7924" width="20.85546875" bestFit="1" customWidth="1"/>
    <col min="7925" max="7925" width="14.7109375" bestFit="1" customWidth="1"/>
    <col min="7926" max="7926" width="16.140625" bestFit="1" customWidth="1"/>
    <col min="7927" max="7927" width="13.140625" bestFit="1" customWidth="1"/>
    <col min="7928" max="7928" width="23" bestFit="1" customWidth="1"/>
    <col min="7929" max="7929" width="11.5703125" bestFit="1" customWidth="1"/>
    <col min="7937" max="7937" width="4" customWidth="1"/>
    <col min="7938" max="7938" width="3.85546875" bestFit="1" customWidth="1"/>
    <col min="7939" max="7939" width="38.7109375" customWidth="1"/>
    <col min="7940" max="7940" width="10.7109375" customWidth="1"/>
    <col min="7941" max="7941" width="17.85546875" customWidth="1"/>
    <col min="7942" max="7942" width="18.7109375" customWidth="1"/>
    <col min="7943" max="7943" width="18.28515625" customWidth="1"/>
    <col min="8159" max="8159" width="3.85546875" bestFit="1" customWidth="1"/>
    <col min="8160" max="8160" width="38.7109375" customWidth="1"/>
    <col min="8161" max="8161" width="10.7109375" customWidth="1"/>
    <col min="8162" max="8162" width="14.7109375" customWidth="1"/>
    <col min="8163" max="8163" width="16.7109375" customWidth="1"/>
    <col min="8164" max="8164" width="18.7109375" customWidth="1"/>
    <col min="8167" max="8167" width="13.5703125" customWidth="1"/>
    <col min="8168" max="8168" width="10.5703125" bestFit="1" customWidth="1"/>
    <col min="8174" max="8174" width="4.140625" bestFit="1" customWidth="1"/>
    <col min="8175" max="8175" width="27.85546875" bestFit="1" customWidth="1"/>
    <col min="8176" max="8176" width="7.5703125" bestFit="1" customWidth="1"/>
    <col min="8177" max="8177" width="13.7109375" bestFit="1" customWidth="1"/>
    <col min="8178" max="8178" width="22.140625" bestFit="1" customWidth="1"/>
    <col min="8179" max="8179" width="26.42578125" bestFit="1" customWidth="1"/>
    <col min="8180" max="8180" width="20.85546875" bestFit="1" customWidth="1"/>
    <col min="8181" max="8181" width="14.7109375" bestFit="1" customWidth="1"/>
    <col min="8182" max="8182" width="16.140625" bestFit="1" customWidth="1"/>
    <col min="8183" max="8183" width="13.140625" bestFit="1" customWidth="1"/>
    <col min="8184" max="8184" width="23" bestFit="1" customWidth="1"/>
    <col min="8185" max="8185" width="11.5703125" bestFit="1" customWidth="1"/>
    <col min="8193" max="8193" width="4" customWidth="1"/>
    <col min="8194" max="8194" width="3.85546875" bestFit="1" customWidth="1"/>
    <col min="8195" max="8195" width="38.7109375" customWidth="1"/>
    <col min="8196" max="8196" width="10.7109375" customWidth="1"/>
    <col min="8197" max="8197" width="17.85546875" customWidth="1"/>
    <col min="8198" max="8198" width="18.7109375" customWidth="1"/>
    <col min="8199" max="8199" width="18.28515625" customWidth="1"/>
    <col min="8415" max="8415" width="3.85546875" bestFit="1" customWidth="1"/>
    <col min="8416" max="8416" width="38.7109375" customWidth="1"/>
    <col min="8417" max="8417" width="10.7109375" customWidth="1"/>
    <col min="8418" max="8418" width="14.7109375" customWidth="1"/>
    <col min="8419" max="8419" width="16.7109375" customWidth="1"/>
    <col min="8420" max="8420" width="18.7109375" customWidth="1"/>
    <col min="8423" max="8423" width="13.5703125" customWidth="1"/>
    <col min="8424" max="8424" width="10.5703125" bestFit="1" customWidth="1"/>
    <col min="8430" max="8430" width="4.140625" bestFit="1" customWidth="1"/>
    <col min="8431" max="8431" width="27.85546875" bestFit="1" customWidth="1"/>
    <col min="8432" max="8432" width="7.5703125" bestFit="1" customWidth="1"/>
    <col min="8433" max="8433" width="13.7109375" bestFit="1" customWidth="1"/>
    <col min="8434" max="8434" width="22.140625" bestFit="1" customWidth="1"/>
    <col min="8435" max="8435" width="26.42578125" bestFit="1" customWidth="1"/>
    <col min="8436" max="8436" width="20.85546875" bestFit="1" customWidth="1"/>
    <col min="8437" max="8437" width="14.7109375" bestFit="1" customWidth="1"/>
    <col min="8438" max="8438" width="16.140625" bestFit="1" customWidth="1"/>
    <col min="8439" max="8439" width="13.140625" bestFit="1" customWidth="1"/>
    <col min="8440" max="8440" width="23" bestFit="1" customWidth="1"/>
    <col min="8441" max="8441" width="11.5703125" bestFit="1" customWidth="1"/>
    <col min="8449" max="8449" width="4" customWidth="1"/>
    <col min="8450" max="8450" width="3.85546875" bestFit="1" customWidth="1"/>
    <col min="8451" max="8451" width="38.7109375" customWidth="1"/>
    <col min="8452" max="8452" width="10.7109375" customWidth="1"/>
    <col min="8453" max="8453" width="17.85546875" customWidth="1"/>
    <col min="8454" max="8454" width="18.7109375" customWidth="1"/>
    <col min="8455" max="8455" width="18.28515625" customWidth="1"/>
    <col min="8671" max="8671" width="3.85546875" bestFit="1" customWidth="1"/>
    <col min="8672" max="8672" width="38.7109375" customWidth="1"/>
    <col min="8673" max="8673" width="10.7109375" customWidth="1"/>
    <col min="8674" max="8674" width="14.7109375" customWidth="1"/>
    <col min="8675" max="8675" width="16.7109375" customWidth="1"/>
    <col min="8676" max="8676" width="18.7109375" customWidth="1"/>
    <col min="8679" max="8679" width="13.5703125" customWidth="1"/>
    <col min="8680" max="8680" width="10.5703125" bestFit="1" customWidth="1"/>
    <col min="8686" max="8686" width="4.140625" bestFit="1" customWidth="1"/>
    <col min="8687" max="8687" width="27.85546875" bestFit="1" customWidth="1"/>
    <col min="8688" max="8688" width="7.5703125" bestFit="1" customWidth="1"/>
    <col min="8689" max="8689" width="13.7109375" bestFit="1" customWidth="1"/>
    <col min="8690" max="8690" width="22.140625" bestFit="1" customWidth="1"/>
    <col min="8691" max="8691" width="26.42578125" bestFit="1" customWidth="1"/>
    <col min="8692" max="8692" width="20.85546875" bestFit="1" customWidth="1"/>
    <col min="8693" max="8693" width="14.7109375" bestFit="1" customWidth="1"/>
    <col min="8694" max="8694" width="16.140625" bestFit="1" customWidth="1"/>
    <col min="8695" max="8695" width="13.140625" bestFit="1" customWidth="1"/>
    <col min="8696" max="8696" width="23" bestFit="1" customWidth="1"/>
    <col min="8697" max="8697" width="11.5703125" bestFit="1" customWidth="1"/>
    <col min="8705" max="8705" width="4" customWidth="1"/>
    <col min="8706" max="8706" width="3.85546875" bestFit="1" customWidth="1"/>
    <col min="8707" max="8707" width="38.7109375" customWidth="1"/>
    <col min="8708" max="8708" width="10.7109375" customWidth="1"/>
    <col min="8709" max="8709" width="17.85546875" customWidth="1"/>
    <col min="8710" max="8710" width="18.7109375" customWidth="1"/>
    <col min="8711" max="8711" width="18.28515625" customWidth="1"/>
    <col min="8927" max="8927" width="3.85546875" bestFit="1" customWidth="1"/>
    <col min="8928" max="8928" width="38.7109375" customWidth="1"/>
    <col min="8929" max="8929" width="10.7109375" customWidth="1"/>
    <col min="8930" max="8930" width="14.7109375" customWidth="1"/>
    <col min="8931" max="8931" width="16.7109375" customWidth="1"/>
    <col min="8932" max="8932" width="18.7109375" customWidth="1"/>
    <col min="8935" max="8935" width="13.5703125" customWidth="1"/>
    <col min="8936" max="8936" width="10.5703125" bestFit="1" customWidth="1"/>
    <col min="8942" max="8942" width="4.140625" bestFit="1" customWidth="1"/>
    <col min="8943" max="8943" width="27.85546875" bestFit="1" customWidth="1"/>
    <col min="8944" max="8944" width="7.5703125" bestFit="1" customWidth="1"/>
    <col min="8945" max="8945" width="13.7109375" bestFit="1" customWidth="1"/>
    <col min="8946" max="8946" width="22.140625" bestFit="1" customWidth="1"/>
    <col min="8947" max="8947" width="26.42578125" bestFit="1" customWidth="1"/>
    <col min="8948" max="8948" width="20.85546875" bestFit="1" customWidth="1"/>
    <col min="8949" max="8949" width="14.7109375" bestFit="1" customWidth="1"/>
    <col min="8950" max="8950" width="16.140625" bestFit="1" customWidth="1"/>
    <col min="8951" max="8951" width="13.140625" bestFit="1" customWidth="1"/>
    <col min="8952" max="8952" width="23" bestFit="1" customWidth="1"/>
    <col min="8953" max="8953" width="11.5703125" bestFit="1" customWidth="1"/>
    <col min="8961" max="8961" width="4" customWidth="1"/>
    <col min="8962" max="8962" width="3.85546875" bestFit="1" customWidth="1"/>
    <col min="8963" max="8963" width="38.7109375" customWidth="1"/>
    <col min="8964" max="8964" width="10.7109375" customWidth="1"/>
    <col min="8965" max="8965" width="17.85546875" customWidth="1"/>
    <col min="8966" max="8966" width="18.7109375" customWidth="1"/>
    <col min="8967" max="8967" width="18.28515625" customWidth="1"/>
    <col min="9183" max="9183" width="3.85546875" bestFit="1" customWidth="1"/>
    <col min="9184" max="9184" width="38.7109375" customWidth="1"/>
    <col min="9185" max="9185" width="10.7109375" customWidth="1"/>
    <col min="9186" max="9186" width="14.7109375" customWidth="1"/>
    <col min="9187" max="9187" width="16.7109375" customWidth="1"/>
    <col min="9188" max="9188" width="18.7109375" customWidth="1"/>
    <col min="9191" max="9191" width="13.5703125" customWidth="1"/>
    <col min="9192" max="9192" width="10.5703125" bestFit="1" customWidth="1"/>
    <col min="9198" max="9198" width="4.140625" bestFit="1" customWidth="1"/>
    <col min="9199" max="9199" width="27.85546875" bestFit="1" customWidth="1"/>
    <col min="9200" max="9200" width="7.5703125" bestFit="1" customWidth="1"/>
    <col min="9201" max="9201" width="13.7109375" bestFit="1" customWidth="1"/>
    <col min="9202" max="9202" width="22.140625" bestFit="1" customWidth="1"/>
    <col min="9203" max="9203" width="26.42578125" bestFit="1" customWidth="1"/>
    <col min="9204" max="9204" width="20.85546875" bestFit="1" customWidth="1"/>
    <col min="9205" max="9205" width="14.7109375" bestFit="1" customWidth="1"/>
    <col min="9206" max="9206" width="16.140625" bestFit="1" customWidth="1"/>
    <col min="9207" max="9207" width="13.140625" bestFit="1" customWidth="1"/>
    <col min="9208" max="9208" width="23" bestFit="1" customWidth="1"/>
    <col min="9209" max="9209" width="11.5703125" bestFit="1" customWidth="1"/>
    <col min="9217" max="9217" width="4" customWidth="1"/>
    <col min="9218" max="9218" width="3.85546875" bestFit="1" customWidth="1"/>
    <col min="9219" max="9219" width="38.7109375" customWidth="1"/>
    <col min="9220" max="9220" width="10.7109375" customWidth="1"/>
    <col min="9221" max="9221" width="17.85546875" customWidth="1"/>
    <col min="9222" max="9222" width="18.7109375" customWidth="1"/>
    <col min="9223" max="9223" width="18.28515625" customWidth="1"/>
    <col min="9439" max="9439" width="3.85546875" bestFit="1" customWidth="1"/>
    <col min="9440" max="9440" width="38.7109375" customWidth="1"/>
    <col min="9441" max="9441" width="10.7109375" customWidth="1"/>
    <col min="9442" max="9442" width="14.7109375" customWidth="1"/>
    <col min="9443" max="9443" width="16.7109375" customWidth="1"/>
    <col min="9444" max="9444" width="18.7109375" customWidth="1"/>
    <col min="9447" max="9447" width="13.5703125" customWidth="1"/>
    <col min="9448" max="9448" width="10.5703125" bestFit="1" customWidth="1"/>
    <col min="9454" max="9454" width="4.140625" bestFit="1" customWidth="1"/>
    <col min="9455" max="9455" width="27.85546875" bestFit="1" customWidth="1"/>
    <col min="9456" max="9456" width="7.5703125" bestFit="1" customWidth="1"/>
    <col min="9457" max="9457" width="13.7109375" bestFit="1" customWidth="1"/>
    <col min="9458" max="9458" width="22.140625" bestFit="1" customWidth="1"/>
    <col min="9459" max="9459" width="26.42578125" bestFit="1" customWidth="1"/>
    <col min="9460" max="9460" width="20.85546875" bestFit="1" customWidth="1"/>
    <col min="9461" max="9461" width="14.7109375" bestFit="1" customWidth="1"/>
    <col min="9462" max="9462" width="16.140625" bestFit="1" customWidth="1"/>
    <col min="9463" max="9463" width="13.140625" bestFit="1" customWidth="1"/>
    <col min="9464" max="9464" width="23" bestFit="1" customWidth="1"/>
    <col min="9465" max="9465" width="11.5703125" bestFit="1" customWidth="1"/>
    <col min="9473" max="9473" width="4" customWidth="1"/>
    <col min="9474" max="9474" width="3.85546875" bestFit="1" customWidth="1"/>
    <col min="9475" max="9475" width="38.7109375" customWidth="1"/>
    <col min="9476" max="9476" width="10.7109375" customWidth="1"/>
    <col min="9477" max="9477" width="17.85546875" customWidth="1"/>
    <col min="9478" max="9478" width="18.7109375" customWidth="1"/>
    <col min="9479" max="9479" width="18.28515625" customWidth="1"/>
    <col min="9695" max="9695" width="3.85546875" bestFit="1" customWidth="1"/>
    <col min="9696" max="9696" width="38.7109375" customWidth="1"/>
    <col min="9697" max="9697" width="10.7109375" customWidth="1"/>
    <col min="9698" max="9698" width="14.7109375" customWidth="1"/>
    <col min="9699" max="9699" width="16.7109375" customWidth="1"/>
    <col min="9700" max="9700" width="18.7109375" customWidth="1"/>
    <col min="9703" max="9703" width="13.5703125" customWidth="1"/>
    <col min="9704" max="9704" width="10.5703125" bestFit="1" customWidth="1"/>
    <col min="9710" max="9710" width="4.140625" bestFit="1" customWidth="1"/>
    <col min="9711" max="9711" width="27.85546875" bestFit="1" customWidth="1"/>
    <col min="9712" max="9712" width="7.5703125" bestFit="1" customWidth="1"/>
    <col min="9713" max="9713" width="13.7109375" bestFit="1" customWidth="1"/>
    <col min="9714" max="9714" width="22.140625" bestFit="1" customWidth="1"/>
    <col min="9715" max="9715" width="26.42578125" bestFit="1" customWidth="1"/>
    <col min="9716" max="9716" width="20.85546875" bestFit="1" customWidth="1"/>
    <col min="9717" max="9717" width="14.7109375" bestFit="1" customWidth="1"/>
    <col min="9718" max="9718" width="16.140625" bestFit="1" customWidth="1"/>
    <col min="9719" max="9719" width="13.140625" bestFit="1" customWidth="1"/>
    <col min="9720" max="9720" width="23" bestFit="1" customWidth="1"/>
    <col min="9721" max="9721" width="11.5703125" bestFit="1" customWidth="1"/>
    <col min="9729" max="9729" width="4" customWidth="1"/>
    <col min="9730" max="9730" width="3.85546875" bestFit="1" customWidth="1"/>
    <col min="9731" max="9731" width="38.7109375" customWidth="1"/>
    <col min="9732" max="9732" width="10.7109375" customWidth="1"/>
    <col min="9733" max="9733" width="17.85546875" customWidth="1"/>
    <col min="9734" max="9734" width="18.7109375" customWidth="1"/>
    <col min="9735" max="9735" width="18.28515625" customWidth="1"/>
    <col min="9951" max="9951" width="3.85546875" bestFit="1" customWidth="1"/>
    <col min="9952" max="9952" width="38.7109375" customWidth="1"/>
    <col min="9953" max="9953" width="10.7109375" customWidth="1"/>
    <col min="9954" max="9954" width="14.7109375" customWidth="1"/>
    <col min="9955" max="9955" width="16.7109375" customWidth="1"/>
    <col min="9956" max="9956" width="18.7109375" customWidth="1"/>
    <col min="9959" max="9959" width="13.5703125" customWidth="1"/>
    <col min="9960" max="9960" width="10.5703125" bestFit="1" customWidth="1"/>
    <col min="9966" max="9966" width="4.140625" bestFit="1" customWidth="1"/>
    <col min="9967" max="9967" width="27.85546875" bestFit="1" customWidth="1"/>
    <col min="9968" max="9968" width="7.5703125" bestFit="1" customWidth="1"/>
    <col min="9969" max="9969" width="13.7109375" bestFit="1" customWidth="1"/>
    <col min="9970" max="9970" width="22.140625" bestFit="1" customWidth="1"/>
    <col min="9971" max="9971" width="26.42578125" bestFit="1" customWidth="1"/>
    <col min="9972" max="9972" width="20.85546875" bestFit="1" customWidth="1"/>
    <col min="9973" max="9973" width="14.7109375" bestFit="1" customWidth="1"/>
    <col min="9974" max="9974" width="16.140625" bestFit="1" customWidth="1"/>
    <col min="9975" max="9975" width="13.140625" bestFit="1" customWidth="1"/>
    <col min="9976" max="9976" width="23" bestFit="1" customWidth="1"/>
    <col min="9977" max="9977" width="11.5703125" bestFit="1" customWidth="1"/>
    <col min="9985" max="9985" width="4" customWidth="1"/>
    <col min="9986" max="9986" width="3.85546875" bestFit="1" customWidth="1"/>
    <col min="9987" max="9987" width="38.7109375" customWidth="1"/>
    <col min="9988" max="9988" width="10.7109375" customWidth="1"/>
    <col min="9989" max="9989" width="17.85546875" customWidth="1"/>
    <col min="9990" max="9990" width="18.7109375" customWidth="1"/>
    <col min="9991" max="9991" width="18.28515625" customWidth="1"/>
    <col min="10207" max="10207" width="3.85546875" bestFit="1" customWidth="1"/>
    <col min="10208" max="10208" width="38.7109375" customWidth="1"/>
    <col min="10209" max="10209" width="10.7109375" customWidth="1"/>
    <col min="10210" max="10210" width="14.7109375" customWidth="1"/>
    <col min="10211" max="10211" width="16.7109375" customWidth="1"/>
    <col min="10212" max="10212" width="18.7109375" customWidth="1"/>
    <col min="10215" max="10215" width="13.5703125" customWidth="1"/>
    <col min="10216" max="10216" width="10.5703125" bestFit="1" customWidth="1"/>
    <col min="10222" max="10222" width="4.140625" bestFit="1" customWidth="1"/>
    <col min="10223" max="10223" width="27.85546875" bestFit="1" customWidth="1"/>
    <col min="10224" max="10224" width="7.5703125" bestFit="1" customWidth="1"/>
    <col min="10225" max="10225" width="13.7109375" bestFit="1" customWidth="1"/>
    <col min="10226" max="10226" width="22.140625" bestFit="1" customWidth="1"/>
    <col min="10227" max="10227" width="26.42578125" bestFit="1" customWidth="1"/>
    <col min="10228" max="10228" width="20.85546875" bestFit="1" customWidth="1"/>
    <col min="10229" max="10229" width="14.7109375" bestFit="1" customWidth="1"/>
    <col min="10230" max="10230" width="16.140625" bestFit="1" customWidth="1"/>
    <col min="10231" max="10231" width="13.140625" bestFit="1" customWidth="1"/>
    <col min="10232" max="10232" width="23" bestFit="1" customWidth="1"/>
    <col min="10233" max="10233" width="11.5703125" bestFit="1" customWidth="1"/>
    <col min="10241" max="10241" width="4" customWidth="1"/>
    <col min="10242" max="10242" width="3.85546875" bestFit="1" customWidth="1"/>
    <col min="10243" max="10243" width="38.7109375" customWidth="1"/>
    <col min="10244" max="10244" width="10.7109375" customWidth="1"/>
    <col min="10245" max="10245" width="17.85546875" customWidth="1"/>
    <col min="10246" max="10246" width="18.7109375" customWidth="1"/>
    <col min="10247" max="10247" width="18.28515625" customWidth="1"/>
    <col min="10463" max="10463" width="3.85546875" bestFit="1" customWidth="1"/>
    <col min="10464" max="10464" width="38.7109375" customWidth="1"/>
    <col min="10465" max="10465" width="10.7109375" customWidth="1"/>
    <col min="10466" max="10466" width="14.7109375" customWidth="1"/>
    <col min="10467" max="10467" width="16.7109375" customWidth="1"/>
    <col min="10468" max="10468" width="18.7109375" customWidth="1"/>
    <col min="10471" max="10471" width="13.5703125" customWidth="1"/>
    <col min="10472" max="10472" width="10.5703125" bestFit="1" customWidth="1"/>
    <col min="10478" max="10478" width="4.140625" bestFit="1" customWidth="1"/>
    <col min="10479" max="10479" width="27.85546875" bestFit="1" customWidth="1"/>
    <col min="10480" max="10480" width="7.5703125" bestFit="1" customWidth="1"/>
    <col min="10481" max="10481" width="13.7109375" bestFit="1" customWidth="1"/>
    <col min="10482" max="10482" width="22.140625" bestFit="1" customWidth="1"/>
    <col min="10483" max="10483" width="26.42578125" bestFit="1" customWidth="1"/>
    <col min="10484" max="10484" width="20.85546875" bestFit="1" customWidth="1"/>
    <col min="10485" max="10485" width="14.7109375" bestFit="1" customWidth="1"/>
    <col min="10486" max="10486" width="16.140625" bestFit="1" customWidth="1"/>
    <col min="10487" max="10487" width="13.140625" bestFit="1" customWidth="1"/>
    <col min="10488" max="10488" width="23" bestFit="1" customWidth="1"/>
    <col min="10489" max="10489" width="11.5703125" bestFit="1" customWidth="1"/>
    <col min="10497" max="10497" width="4" customWidth="1"/>
    <col min="10498" max="10498" width="3.85546875" bestFit="1" customWidth="1"/>
    <col min="10499" max="10499" width="38.7109375" customWidth="1"/>
    <col min="10500" max="10500" width="10.7109375" customWidth="1"/>
    <col min="10501" max="10501" width="17.85546875" customWidth="1"/>
    <col min="10502" max="10502" width="18.7109375" customWidth="1"/>
    <col min="10503" max="10503" width="18.28515625" customWidth="1"/>
    <col min="10719" max="10719" width="3.85546875" bestFit="1" customWidth="1"/>
    <col min="10720" max="10720" width="38.7109375" customWidth="1"/>
    <col min="10721" max="10721" width="10.7109375" customWidth="1"/>
    <col min="10722" max="10722" width="14.7109375" customWidth="1"/>
    <col min="10723" max="10723" width="16.7109375" customWidth="1"/>
    <col min="10724" max="10724" width="18.7109375" customWidth="1"/>
    <col min="10727" max="10727" width="13.5703125" customWidth="1"/>
    <col min="10728" max="10728" width="10.5703125" bestFit="1" customWidth="1"/>
    <col min="10734" max="10734" width="4.140625" bestFit="1" customWidth="1"/>
    <col min="10735" max="10735" width="27.85546875" bestFit="1" customWidth="1"/>
    <col min="10736" max="10736" width="7.5703125" bestFit="1" customWidth="1"/>
    <col min="10737" max="10737" width="13.7109375" bestFit="1" customWidth="1"/>
    <col min="10738" max="10738" width="22.140625" bestFit="1" customWidth="1"/>
    <col min="10739" max="10739" width="26.42578125" bestFit="1" customWidth="1"/>
    <col min="10740" max="10740" width="20.85546875" bestFit="1" customWidth="1"/>
    <col min="10741" max="10741" width="14.7109375" bestFit="1" customWidth="1"/>
    <col min="10742" max="10742" width="16.140625" bestFit="1" customWidth="1"/>
    <col min="10743" max="10743" width="13.140625" bestFit="1" customWidth="1"/>
    <col min="10744" max="10744" width="23" bestFit="1" customWidth="1"/>
    <col min="10745" max="10745" width="11.5703125" bestFit="1" customWidth="1"/>
    <col min="10753" max="10753" width="4" customWidth="1"/>
    <col min="10754" max="10754" width="3.85546875" bestFit="1" customWidth="1"/>
    <col min="10755" max="10755" width="38.7109375" customWidth="1"/>
    <col min="10756" max="10756" width="10.7109375" customWidth="1"/>
    <col min="10757" max="10757" width="17.85546875" customWidth="1"/>
    <col min="10758" max="10758" width="18.7109375" customWidth="1"/>
    <col min="10759" max="10759" width="18.28515625" customWidth="1"/>
    <col min="10975" max="10975" width="3.85546875" bestFit="1" customWidth="1"/>
    <col min="10976" max="10976" width="38.7109375" customWidth="1"/>
    <col min="10977" max="10977" width="10.7109375" customWidth="1"/>
    <col min="10978" max="10978" width="14.7109375" customWidth="1"/>
    <col min="10979" max="10979" width="16.7109375" customWidth="1"/>
    <col min="10980" max="10980" width="18.7109375" customWidth="1"/>
    <col min="10983" max="10983" width="13.5703125" customWidth="1"/>
    <col min="10984" max="10984" width="10.5703125" bestFit="1" customWidth="1"/>
    <col min="10990" max="10990" width="4.140625" bestFit="1" customWidth="1"/>
    <col min="10991" max="10991" width="27.85546875" bestFit="1" customWidth="1"/>
    <col min="10992" max="10992" width="7.5703125" bestFit="1" customWidth="1"/>
    <col min="10993" max="10993" width="13.7109375" bestFit="1" customWidth="1"/>
    <col min="10994" max="10994" width="22.140625" bestFit="1" customWidth="1"/>
    <col min="10995" max="10995" width="26.42578125" bestFit="1" customWidth="1"/>
    <col min="10996" max="10996" width="20.85546875" bestFit="1" customWidth="1"/>
    <col min="10997" max="10997" width="14.7109375" bestFit="1" customWidth="1"/>
    <col min="10998" max="10998" width="16.140625" bestFit="1" customWidth="1"/>
    <col min="10999" max="10999" width="13.140625" bestFit="1" customWidth="1"/>
    <col min="11000" max="11000" width="23" bestFit="1" customWidth="1"/>
    <col min="11001" max="11001" width="11.5703125" bestFit="1" customWidth="1"/>
    <col min="11009" max="11009" width="4" customWidth="1"/>
    <col min="11010" max="11010" width="3.85546875" bestFit="1" customWidth="1"/>
    <col min="11011" max="11011" width="38.7109375" customWidth="1"/>
    <col min="11012" max="11012" width="10.7109375" customWidth="1"/>
    <col min="11013" max="11013" width="17.85546875" customWidth="1"/>
    <col min="11014" max="11014" width="18.7109375" customWidth="1"/>
    <col min="11015" max="11015" width="18.28515625" customWidth="1"/>
    <col min="11231" max="11231" width="3.85546875" bestFit="1" customWidth="1"/>
    <col min="11232" max="11232" width="38.7109375" customWidth="1"/>
    <col min="11233" max="11233" width="10.7109375" customWidth="1"/>
    <col min="11234" max="11234" width="14.7109375" customWidth="1"/>
    <col min="11235" max="11235" width="16.7109375" customWidth="1"/>
    <col min="11236" max="11236" width="18.7109375" customWidth="1"/>
    <col min="11239" max="11239" width="13.5703125" customWidth="1"/>
    <col min="11240" max="11240" width="10.5703125" bestFit="1" customWidth="1"/>
    <col min="11246" max="11246" width="4.140625" bestFit="1" customWidth="1"/>
    <col min="11247" max="11247" width="27.85546875" bestFit="1" customWidth="1"/>
    <col min="11248" max="11248" width="7.5703125" bestFit="1" customWidth="1"/>
    <col min="11249" max="11249" width="13.7109375" bestFit="1" customWidth="1"/>
    <col min="11250" max="11250" width="22.140625" bestFit="1" customWidth="1"/>
    <col min="11251" max="11251" width="26.42578125" bestFit="1" customWidth="1"/>
    <col min="11252" max="11252" width="20.85546875" bestFit="1" customWidth="1"/>
    <col min="11253" max="11253" width="14.7109375" bestFit="1" customWidth="1"/>
    <col min="11254" max="11254" width="16.140625" bestFit="1" customWidth="1"/>
    <col min="11255" max="11255" width="13.140625" bestFit="1" customWidth="1"/>
    <col min="11256" max="11256" width="23" bestFit="1" customWidth="1"/>
    <col min="11257" max="11257" width="11.5703125" bestFit="1" customWidth="1"/>
    <col min="11265" max="11265" width="4" customWidth="1"/>
    <col min="11266" max="11266" width="3.85546875" bestFit="1" customWidth="1"/>
    <col min="11267" max="11267" width="38.7109375" customWidth="1"/>
    <col min="11268" max="11268" width="10.7109375" customWidth="1"/>
    <col min="11269" max="11269" width="17.85546875" customWidth="1"/>
    <col min="11270" max="11270" width="18.7109375" customWidth="1"/>
    <col min="11271" max="11271" width="18.28515625" customWidth="1"/>
    <col min="11487" max="11487" width="3.85546875" bestFit="1" customWidth="1"/>
    <col min="11488" max="11488" width="38.7109375" customWidth="1"/>
    <col min="11489" max="11489" width="10.7109375" customWidth="1"/>
    <col min="11490" max="11490" width="14.7109375" customWidth="1"/>
    <col min="11491" max="11491" width="16.7109375" customWidth="1"/>
    <col min="11492" max="11492" width="18.7109375" customWidth="1"/>
    <col min="11495" max="11495" width="13.5703125" customWidth="1"/>
    <col min="11496" max="11496" width="10.5703125" bestFit="1" customWidth="1"/>
    <col min="11502" max="11502" width="4.140625" bestFit="1" customWidth="1"/>
    <col min="11503" max="11503" width="27.85546875" bestFit="1" customWidth="1"/>
    <col min="11504" max="11504" width="7.5703125" bestFit="1" customWidth="1"/>
    <col min="11505" max="11505" width="13.7109375" bestFit="1" customWidth="1"/>
    <col min="11506" max="11506" width="22.140625" bestFit="1" customWidth="1"/>
    <col min="11507" max="11507" width="26.42578125" bestFit="1" customWidth="1"/>
    <col min="11508" max="11508" width="20.85546875" bestFit="1" customWidth="1"/>
    <col min="11509" max="11509" width="14.7109375" bestFit="1" customWidth="1"/>
    <col min="11510" max="11510" width="16.140625" bestFit="1" customWidth="1"/>
    <col min="11511" max="11511" width="13.140625" bestFit="1" customWidth="1"/>
    <col min="11512" max="11512" width="23" bestFit="1" customWidth="1"/>
    <col min="11513" max="11513" width="11.5703125" bestFit="1" customWidth="1"/>
    <col min="11521" max="11521" width="4" customWidth="1"/>
    <col min="11522" max="11522" width="3.85546875" bestFit="1" customWidth="1"/>
    <col min="11523" max="11523" width="38.7109375" customWidth="1"/>
    <col min="11524" max="11524" width="10.7109375" customWidth="1"/>
    <col min="11525" max="11525" width="17.85546875" customWidth="1"/>
    <col min="11526" max="11526" width="18.7109375" customWidth="1"/>
    <col min="11527" max="11527" width="18.28515625" customWidth="1"/>
    <col min="11743" max="11743" width="3.85546875" bestFit="1" customWidth="1"/>
    <col min="11744" max="11744" width="38.7109375" customWidth="1"/>
    <col min="11745" max="11745" width="10.7109375" customWidth="1"/>
    <col min="11746" max="11746" width="14.7109375" customWidth="1"/>
    <col min="11747" max="11747" width="16.7109375" customWidth="1"/>
    <col min="11748" max="11748" width="18.7109375" customWidth="1"/>
    <col min="11751" max="11751" width="13.5703125" customWidth="1"/>
    <col min="11752" max="11752" width="10.5703125" bestFit="1" customWidth="1"/>
    <col min="11758" max="11758" width="4.140625" bestFit="1" customWidth="1"/>
    <col min="11759" max="11759" width="27.85546875" bestFit="1" customWidth="1"/>
    <col min="11760" max="11760" width="7.5703125" bestFit="1" customWidth="1"/>
    <col min="11761" max="11761" width="13.7109375" bestFit="1" customWidth="1"/>
    <col min="11762" max="11762" width="22.140625" bestFit="1" customWidth="1"/>
    <col min="11763" max="11763" width="26.42578125" bestFit="1" customWidth="1"/>
    <col min="11764" max="11764" width="20.85546875" bestFit="1" customWidth="1"/>
    <col min="11765" max="11765" width="14.7109375" bestFit="1" customWidth="1"/>
    <col min="11766" max="11766" width="16.140625" bestFit="1" customWidth="1"/>
    <col min="11767" max="11767" width="13.140625" bestFit="1" customWidth="1"/>
    <col min="11768" max="11768" width="23" bestFit="1" customWidth="1"/>
    <col min="11769" max="11769" width="11.5703125" bestFit="1" customWidth="1"/>
    <col min="11777" max="11777" width="4" customWidth="1"/>
    <col min="11778" max="11778" width="3.85546875" bestFit="1" customWidth="1"/>
    <col min="11779" max="11779" width="38.7109375" customWidth="1"/>
    <col min="11780" max="11780" width="10.7109375" customWidth="1"/>
    <col min="11781" max="11781" width="17.85546875" customWidth="1"/>
    <col min="11782" max="11782" width="18.7109375" customWidth="1"/>
    <col min="11783" max="11783" width="18.28515625" customWidth="1"/>
    <col min="11999" max="11999" width="3.85546875" bestFit="1" customWidth="1"/>
    <col min="12000" max="12000" width="38.7109375" customWidth="1"/>
    <col min="12001" max="12001" width="10.7109375" customWidth="1"/>
    <col min="12002" max="12002" width="14.7109375" customWidth="1"/>
    <col min="12003" max="12003" width="16.7109375" customWidth="1"/>
    <col min="12004" max="12004" width="18.7109375" customWidth="1"/>
    <col min="12007" max="12007" width="13.5703125" customWidth="1"/>
    <col min="12008" max="12008" width="10.5703125" bestFit="1" customWidth="1"/>
    <col min="12014" max="12014" width="4.140625" bestFit="1" customWidth="1"/>
    <col min="12015" max="12015" width="27.85546875" bestFit="1" customWidth="1"/>
    <col min="12016" max="12016" width="7.5703125" bestFit="1" customWidth="1"/>
    <col min="12017" max="12017" width="13.7109375" bestFit="1" customWidth="1"/>
    <col min="12018" max="12018" width="22.140625" bestFit="1" customWidth="1"/>
    <col min="12019" max="12019" width="26.42578125" bestFit="1" customWidth="1"/>
    <col min="12020" max="12020" width="20.85546875" bestFit="1" customWidth="1"/>
    <col min="12021" max="12021" width="14.7109375" bestFit="1" customWidth="1"/>
    <col min="12022" max="12022" width="16.140625" bestFit="1" customWidth="1"/>
    <col min="12023" max="12023" width="13.140625" bestFit="1" customWidth="1"/>
    <col min="12024" max="12024" width="23" bestFit="1" customWidth="1"/>
    <col min="12025" max="12025" width="11.5703125" bestFit="1" customWidth="1"/>
    <col min="12033" max="12033" width="4" customWidth="1"/>
    <col min="12034" max="12034" width="3.85546875" bestFit="1" customWidth="1"/>
    <col min="12035" max="12035" width="38.7109375" customWidth="1"/>
    <col min="12036" max="12036" width="10.7109375" customWidth="1"/>
    <col min="12037" max="12037" width="17.85546875" customWidth="1"/>
    <col min="12038" max="12038" width="18.7109375" customWidth="1"/>
    <col min="12039" max="12039" width="18.28515625" customWidth="1"/>
    <col min="12255" max="12255" width="3.85546875" bestFit="1" customWidth="1"/>
    <col min="12256" max="12256" width="38.7109375" customWidth="1"/>
    <col min="12257" max="12257" width="10.7109375" customWidth="1"/>
    <col min="12258" max="12258" width="14.7109375" customWidth="1"/>
    <col min="12259" max="12259" width="16.7109375" customWidth="1"/>
    <col min="12260" max="12260" width="18.7109375" customWidth="1"/>
    <col min="12263" max="12263" width="13.5703125" customWidth="1"/>
    <col min="12264" max="12264" width="10.5703125" bestFit="1" customWidth="1"/>
    <col min="12270" max="12270" width="4.140625" bestFit="1" customWidth="1"/>
    <col min="12271" max="12271" width="27.85546875" bestFit="1" customWidth="1"/>
    <col min="12272" max="12272" width="7.5703125" bestFit="1" customWidth="1"/>
    <col min="12273" max="12273" width="13.7109375" bestFit="1" customWidth="1"/>
    <col min="12274" max="12274" width="22.140625" bestFit="1" customWidth="1"/>
    <col min="12275" max="12275" width="26.42578125" bestFit="1" customWidth="1"/>
    <col min="12276" max="12276" width="20.85546875" bestFit="1" customWidth="1"/>
    <col min="12277" max="12277" width="14.7109375" bestFit="1" customWidth="1"/>
    <col min="12278" max="12278" width="16.140625" bestFit="1" customWidth="1"/>
    <col min="12279" max="12279" width="13.140625" bestFit="1" customWidth="1"/>
    <col min="12280" max="12280" width="23" bestFit="1" customWidth="1"/>
    <col min="12281" max="12281" width="11.5703125" bestFit="1" customWidth="1"/>
    <col min="12289" max="12289" width="4" customWidth="1"/>
    <col min="12290" max="12290" width="3.85546875" bestFit="1" customWidth="1"/>
    <col min="12291" max="12291" width="38.7109375" customWidth="1"/>
    <col min="12292" max="12292" width="10.7109375" customWidth="1"/>
    <col min="12293" max="12293" width="17.85546875" customWidth="1"/>
    <col min="12294" max="12294" width="18.7109375" customWidth="1"/>
    <col min="12295" max="12295" width="18.28515625" customWidth="1"/>
    <col min="12511" max="12511" width="3.85546875" bestFit="1" customWidth="1"/>
    <col min="12512" max="12512" width="38.7109375" customWidth="1"/>
    <col min="12513" max="12513" width="10.7109375" customWidth="1"/>
    <col min="12514" max="12514" width="14.7109375" customWidth="1"/>
    <col min="12515" max="12515" width="16.7109375" customWidth="1"/>
    <col min="12516" max="12516" width="18.7109375" customWidth="1"/>
    <col min="12519" max="12519" width="13.5703125" customWidth="1"/>
    <col min="12520" max="12520" width="10.5703125" bestFit="1" customWidth="1"/>
    <col min="12526" max="12526" width="4.140625" bestFit="1" customWidth="1"/>
    <col min="12527" max="12527" width="27.85546875" bestFit="1" customWidth="1"/>
    <col min="12528" max="12528" width="7.5703125" bestFit="1" customWidth="1"/>
    <col min="12529" max="12529" width="13.7109375" bestFit="1" customWidth="1"/>
    <col min="12530" max="12530" width="22.140625" bestFit="1" customWidth="1"/>
    <col min="12531" max="12531" width="26.42578125" bestFit="1" customWidth="1"/>
    <col min="12532" max="12532" width="20.85546875" bestFit="1" customWidth="1"/>
    <col min="12533" max="12533" width="14.7109375" bestFit="1" customWidth="1"/>
    <col min="12534" max="12534" width="16.140625" bestFit="1" customWidth="1"/>
    <col min="12535" max="12535" width="13.140625" bestFit="1" customWidth="1"/>
    <col min="12536" max="12536" width="23" bestFit="1" customWidth="1"/>
    <col min="12537" max="12537" width="11.5703125" bestFit="1" customWidth="1"/>
    <col min="12545" max="12545" width="4" customWidth="1"/>
    <col min="12546" max="12546" width="3.85546875" bestFit="1" customWidth="1"/>
    <col min="12547" max="12547" width="38.7109375" customWidth="1"/>
    <col min="12548" max="12548" width="10.7109375" customWidth="1"/>
    <col min="12549" max="12549" width="17.85546875" customWidth="1"/>
    <col min="12550" max="12550" width="18.7109375" customWidth="1"/>
    <col min="12551" max="12551" width="18.28515625" customWidth="1"/>
    <col min="12767" max="12767" width="3.85546875" bestFit="1" customWidth="1"/>
    <col min="12768" max="12768" width="38.7109375" customWidth="1"/>
    <col min="12769" max="12769" width="10.7109375" customWidth="1"/>
    <col min="12770" max="12770" width="14.7109375" customWidth="1"/>
    <col min="12771" max="12771" width="16.7109375" customWidth="1"/>
    <col min="12772" max="12772" width="18.7109375" customWidth="1"/>
    <col min="12775" max="12775" width="13.5703125" customWidth="1"/>
    <col min="12776" max="12776" width="10.5703125" bestFit="1" customWidth="1"/>
    <col min="12782" max="12782" width="4.140625" bestFit="1" customWidth="1"/>
    <col min="12783" max="12783" width="27.85546875" bestFit="1" customWidth="1"/>
    <col min="12784" max="12784" width="7.5703125" bestFit="1" customWidth="1"/>
    <col min="12785" max="12785" width="13.7109375" bestFit="1" customWidth="1"/>
    <col min="12786" max="12786" width="22.140625" bestFit="1" customWidth="1"/>
    <col min="12787" max="12787" width="26.42578125" bestFit="1" customWidth="1"/>
    <col min="12788" max="12788" width="20.85546875" bestFit="1" customWidth="1"/>
    <col min="12789" max="12789" width="14.7109375" bestFit="1" customWidth="1"/>
    <col min="12790" max="12790" width="16.140625" bestFit="1" customWidth="1"/>
    <col min="12791" max="12791" width="13.140625" bestFit="1" customWidth="1"/>
    <col min="12792" max="12792" width="23" bestFit="1" customWidth="1"/>
    <col min="12793" max="12793" width="11.5703125" bestFit="1" customWidth="1"/>
    <col min="12801" max="12801" width="4" customWidth="1"/>
    <col min="12802" max="12802" width="3.85546875" bestFit="1" customWidth="1"/>
    <col min="12803" max="12803" width="38.7109375" customWidth="1"/>
    <col min="12804" max="12804" width="10.7109375" customWidth="1"/>
    <col min="12805" max="12805" width="17.85546875" customWidth="1"/>
    <col min="12806" max="12806" width="18.7109375" customWidth="1"/>
    <col min="12807" max="12807" width="18.28515625" customWidth="1"/>
    <col min="13023" max="13023" width="3.85546875" bestFit="1" customWidth="1"/>
    <col min="13024" max="13024" width="38.7109375" customWidth="1"/>
    <col min="13025" max="13025" width="10.7109375" customWidth="1"/>
    <col min="13026" max="13026" width="14.7109375" customWidth="1"/>
    <col min="13027" max="13027" width="16.7109375" customWidth="1"/>
    <col min="13028" max="13028" width="18.7109375" customWidth="1"/>
    <col min="13031" max="13031" width="13.5703125" customWidth="1"/>
    <col min="13032" max="13032" width="10.5703125" bestFit="1" customWidth="1"/>
    <col min="13038" max="13038" width="4.140625" bestFit="1" customWidth="1"/>
    <col min="13039" max="13039" width="27.85546875" bestFit="1" customWidth="1"/>
    <col min="13040" max="13040" width="7.5703125" bestFit="1" customWidth="1"/>
    <col min="13041" max="13041" width="13.7109375" bestFit="1" customWidth="1"/>
    <col min="13042" max="13042" width="22.140625" bestFit="1" customWidth="1"/>
    <col min="13043" max="13043" width="26.42578125" bestFit="1" customWidth="1"/>
    <col min="13044" max="13044" width="20.85546875" bestFit="1" customWidth="1"/>
    <col min="13045" max="13045" width="14.7109375" bestFit="1" customWidth="1"/>
    <col min="13046" max="13046" width="16.140625" bestFit="1" customWidth="1"/>
    <col min="13047" max="13047" width="13.140625" bestFit="1" customWidth="1"/>
    <col min="13048" max="13048" width="23" bestFit="1" customWidth="1"/>
    <col min="13049" max="13049" width="11.5703125" bestFit="1" customWidth="1"/>
    <col min="13057" max="13057" width="4" customWidth="1"/>
    <col min="13058" max="13058" width="3.85546875" bestFit="1" customWidth="1"/>
    <col min="13059" max="13059" width="38.7109375" customWidth="1"/>
    <col min="13060" max="13060" width="10.7109375" customWidth="1"/>
    <col min="13061" max="13061" width="17.85546875" customWidth="1"/>
    <col min="13062" max="13062" width="18.7109375" customWidth="1"/>
    <col min="13063" max="13063" width="18.28515625" customWidth="1"/>
    <col min="13279" max="13279" width="3.85546875" bestFit="1" customWidth="1"/>
    <col min="13280" max="13280" width="38.7109375" customWidth="1"/>
    <col min="13281" max="13281" width="10.7109375" customWidth="1"/>
    <col min="13282" max="13282" width="14.7109375" customWidth="1"/>
    <col min="13283" max="13283" width="16.7109375" customWidth="1"/>
    <col min="13284" max="13284" width="18.7109375" customWidth="1"/>
    <col min="13287" max="13287" width="13.5703125" customWidth="1"/>
    <col min="13288" max="13288" width="10.5703125" bestFit="1" customWidth="1"/>
    <col min="13294" max="13294" width="4.140625" bestFit="1" customWidth="1"/>
    <col min="13295" max="13295" width="27.85546875" bestFit="1" customWidth="1"/>
    <col min="13296" max="13296" width="7.5703125" bestFit="1" customWidth="1"/>
    <col min="13297" max="13297" width="13.7109375" bestFit="1" customWidth="1"/>
    <col min="13298" max="13298" width="22.140625" bestFit="1" customWidth="1"/>
    <col min="13299" max="13299" width="26.42578125" bestFit="1" customWidth="1"/>
    <col min="13300" max="13300" width="20.85546875" bestFit="1" customWidth="1"/>
    <col min="13301" max="13301" width="14.7109375" bestFit="1" customWidth="1"/>
    <col min="13302" max="13302" width="16.140625" bestFit="1" customWidth="1"/>
    <col min="13303" max="13303" width="13.140625" bestFit="1" customWidth="1"/>
    <col min="13304" max="13304" width="23" bestFit="1" customWidth="1"/>
    <col min="13305" max="13305" width="11.5703125" bestFit="1" customWidth="1"/>
    <col min="13313" max="13313" width="4" customWidth="1"/>
    <col min="13314" max="13314" width="3.85546875" bestFit="1" customWidth="1"/>
    <col min="13315" max="13315" width="38.7109375" customWidth="1"/>
    <col min="13316" max="13316" width="10.7109375" customWidth="1"/>
    <col min="13317" max="13317" width="17.85546875" customWidth="1"/>
    <col min="13318" max="13318" width="18.7109375" customWidth="1"/>
    <col min="13319" max="13319" width="18.28515625" customWidth="1"/>
    <col min="13535" max="13535" width="3.85546875" bestFit="1" customWidth="1"/>
    <col min="13536" max="13536" width="38.7109375" customWidth="1"/>
    <col min="13537" max="13537" width="10.7109375" customWidth="1"/>
    <col min="13538" max="13538" width="14.7109375" customWidth="1"/>
    <col min="13539" max="13539" width="16.7109375" customWidth="1"/>
    <col min="13540" max="13540" width="18.7109375" customWidth="1"/>
    <col min="13543" max="13543" width="13.5703125" customWidth="1"/>
    <col min="13544" max="13544" width="10.5703125" bestFit="1" customWidth="1"/>
    <col min="13550" max="13550" width="4.140625" bestFit="1" customWidth="1"/>
    <col min="13551" max="13551" width="27.85546875" bestFit="1" customWidth="1"/>
    <col min="13552" max="13552" width="7.5703125" bestFit="1" customWidth="1"/>
    <col min="13553" max="13553" width="13.7109375" bestFit="1" customWidth="1"/>
    <col min="13554" max="13554" width="22.140625" bestFit="1" customWidth="1"/>
    <col min="13555" max="13555" width="26.42578125" bestFit="1" customWidth="1"/>
    <col min="13556" max="13556" width="20.85546875" bestFit="1" customWidth="1"/>
    <col min="13557" max="13557" width="14.7109375" bestFit="1" customWidth="1"/>
    <col min="13558" max="13558" width="16.140625" bestFit="1" customWidth="1"/>
    <col min="13559" max="13559" width="13.140625" bestFit="1" customWidth="1"/>
    <col min="13560" max="13560" width="23" bestFit="1" customWidth="1"/>
    <col min="13561" max="13561" width="11.5703125" bestFit="1" customWidth="1"/>
    <col min="13569" max="13569" width="4" customWidth="1"/>
    <col min="13570" max="13570" width="3.85546875" bestFit="1" customWidth="1"/>
    <col min="13571" max="13571" width="38.7109375" customWidth="1"/>
    <col min="13572" max="13572" width="10.7109375" customWidth="1"/>
    <col min="13573" max="13573" width="17.85546875" customWidth="1"/>
    <col min="13574" max="13574" width="18.7109375" customWidth="1"/>
    <col min="13575" max="13575" width="18.28515625" customWidth="1"/>
    <col min="13791" max="13791" width="3.85546875" bestFit="1" customWidth="1"/>
    <col min="13792" max="13792" width="38.7109375" customWidth="1"/>
    <col min="13793" max="13793" width="10.7109375" customWidth="1"/>
    <col min="13794" max="13794" width="14.7109375" customWidth="1"/>
    <col min="13795" max="13795" width="16.7109375" customWidth="1"/>
    <col min="13796" max="13796" width="18.7109375" customWidth="1"/>
    <col min="13799" max="13799" width="13.5703125" customWidth="1"/>
    <col min="13800" max="13800" width="10.5703125" bestFit="1" customWidth="1"/>
    <col min="13806" max="13806" width="4.140625" bestFit="1" customWidth="1"/>
    <col min="13807" max="13807" width="27.85546875" bestFit="1" customWidth="1"/>
    <col min="13808" max="13808" width="7.5703125" bestFit="1" customWidth="1"/>
    <col min="13809" max="13809" width="13.7109375" bestFit="1" customWidth="1"/>
    <col min="13810" max="13810" width="22.140625" bestFit="1" customWidth="1"/>
    <col min="13811" max="13811" width="26.42578125" bestFit="1" customWidth="1"/>
    <col min="13812" max="13812" width="20.85546875" bestFit="1" customWidth="1"/>
    <col min="13813" max="13813" width="14.7109375" bestFit="1" customWidth="1"/>
    <col min="13814" max="13814" width="16.140625" bestFit="1" customWidth="1"/>
    <col min="13815" max="13815" width="13.140625" bestFit="1" customWidth="1"/>
    <col min="13816" max="13816" width="23" bestFit="1" customWidth="1"/>
    <col min="13817" max="13817" width="11.5703125" bestFit="1" customWidth="1"/>
    <col min="13825" max="13825" width="4" customWidth="1"/>
    <col min="13826" max="13826" width="3.85546875" bestFit="1" customWidth="1"/>
    <col min="13827" max="13827" width="38.7109375" customWidth="1"/>
    <col min="13828" max="13828" width="10.7109375" customWidth="1"/>
    <col min="13829" max="13829" width="17.85546875" customWidth="1"/>
    <col min="13830" max="13830" width="18.7109375" customWidth="1"/>
    <col min="13831" max="13831" width="18.28515625" customWidth="1"/>
    <col min="14047" max="14047" width="3.85546875" bestFit="1" customWidth="1"/>
    <col min="14048" max="14048" width="38.7109375" customWidth="1"/>
    <col min="14049" max="14049" width="10.7109375" customWidth="1"/>
    <col min="14050" max="14050" width="14.7109375" customWidth="1"/>
    <col min="14051" max="14051" width="16.7109375" customWidth="1"/>
    <col min="14052" max="14052" width="18.7109375" customWidth="1"/>
    <col min="14055" max="14055" width="13.5703125" customWidth="1"/>
    <col min="14056" max="14056" width="10.5703125" bestFit="1" customWidth="1"/>
    <col min="14062" max="14062" width="4.140625" bestFit="1" customWidth="1"/>
    <col min="14063" max="14063" width="27.85546875" bestFit="1" customWidth="1"/>
    <col min="14064" max="14064" width="7.5703125" bestFit="1" customWidth="1"/>
    <col min="14065" max="14065" width="13.7109375" bestFit="1" customWidth="1"/>
    <col min="14066" max="14066" width="22.140625" bestFit="1" customWidth="1"/>
    <col min="14067" max="14067" width="26.42578125" bestFit="1" customWidth="1"/>
    <col min="14068" max="14068" width="20.85546875" bestFit="1" customWidth="1"/>
    <col min="14069" max="14069" width="14.7109375" bestFit="1" customWidth="1"/>
    <col min="14070" max="14070" width="16.140625" bestFit="1" customWidth="1"/>
    <col min="14071" max="14071" width="13.140625" bestFit="1" customWidth="1"/>
    <col min="14072" max="14072" width="23" bestFit="1" customWidth="1"/>
    <col min="14073" max="14073" width="11.5703125" bestFit="1" customWidth="1"/>
    <col min="14081" max="14081" width="4" customWidth="1"/>
    <col min="14082" max="14082" width="3.85546875" bestFit="1" customWidth="1"/>
    <col min="14083" max="14083" width="38.7109375" customWidth="1"/>
    <col min="14084" max="14084" width="10.7109375" customWidth="1"/>
    <col min="14085" max="14085" width="17.85546875" customWidth="1"/>
    <col min="14086" max="14086" width="18.7109375" customWidth="1"/>
    <col min="14087" max="14087" width="18.28515625" customWidth="1"/>
    <col min="14303" max="14303" width="3.85546875" bestFit="1" customWidth="1"/>
    <col min="14304" max="14304" width="38.7109375" customWidth="1"/>
    <col min="14305" max="14305" width="10.7109375" customWidth="1"/>
    <col min="14306" max="14306" width="14.7109375" customWidth="1"/>
    <col min="14307" max="14307" width="16.7109375" customWidth="1"/>
    <col min="14308" max="14308" width="18.7109375" customWidth="1"/>
    <col min="14311" max="14311" width="13.5703125" customWidth="1"/>
    <col min="14312" max="14312" width="10.5703125" bestFit="1" customWidth="1"/>
    <col min="14318" max="14318" width="4.140625" bestFit="1" customWidth="1"/>
    <col min="14319" max="14319" width="27.85546875" bestFit="1" customWidth="1"/>
    <col min="14320" max="14320" width="7.5703125" bestFit="1" customWidth="1"/>
    <col min="14321" max="14321" width="13.7109375" bestFit="1" customWidth="1"/>
    <col min="14322" max="14322" width="22.140625" bestFit="1" customWidth="1"/>
    <col min="14323" max="14323" width="26.42578125" bestFit="1" customWidth="1"/>
    <col min="14324" max="14324" width="20.85546875" bestFit="1" customWidth="1"/>
    <col min="14325" max="14325" width="14.7109375" bestFit="1" customWidth="1"/>
    <col min="14326" max="14326" width="16.140625" bestFit="1" customWidth="1"/>
    <col min="14327" max="14327" width="13.140625" bestFit="1" customWidth="1"/>
    <col min="14328" max="14328" width="23" bestFit="1" customWidth="1"/>
    <col min="14329" max="14329" width="11.5703125" bestFit="1" customWidth="1"/>
    <col min="14337" max="14337" width="4" customWidth="1"/>
    <col min="14338" max="14338" width="3.85546875" bestFit="1" customWidth="1"/>
    <col min="14339" max="14339" width="38.7109375" customWidth="1"/>
    <col min="14340" max="14340" width="10.7109375" customWidth="1"/>
    <col min="14341" max="14341" width="17.85546875" customWidth="1"/>
    <col min="14342" max="14342" width="18.7109375" customWidth="1"/>
    <col min="14343" max="14343" width="18.28515625" customWidth="1"/>
    <col min="14559" max="14559" width="3.85546875" bestFit="1" customWidth="1"/>
    <col min="14560" max="14560" width="38.7109375" customWidth="1"/>
    <col min="14561" max="14561" width="10.7109375" customWidth="1"/>
    <col min="14562" max="14562" width="14.7109375" customWidth="1"/>
    <col min="14563" max="14563" width="16.7109375" customWidth="1"/>
    <col min="14564" max="14564" width="18.7109375" customWidth="1"/>
    <col min="14567" max="14567" width="13.5703125" customWidth="1"/>
    <col min="14568" max="14568" width="10.5703125" bestFit="1" customWidth="1"/>
    <col min="14574" max="14574" width="4.140625" bestFit="1" customWidth="1"/>
    <col min="14575" max="14575" width="27.85546875" bestFit="1" customWidth="1"/>
    <col min="14576" max="14576" width="7.5703125" bestFit="1" customWidth="1"/>
    <col min="14577" max="14577" width="13.7109375" bestFit="1" customWidth="1"/>
    <col min="14578" max="14578" width="22.140625" bestFit="1" customWidth="1"/>
    <col min="14579" max="14579" width="26.42578125" bestFit="1" customWidth="1"/>
    <col min="14580" max="14580" width="20.85546875" bestFit="1" customWidth="1"/>
    <col min="14581" max="14581" width="14.7109375" bestFit="1" customWidth="1"/>
    <col min="14582" max="14582" width="16.140625" bestFit="1" customWidth="1"/>
    <col min="14583" max="14583" width="13.140625" bestFit="1" customWidth="1"/>
    <col min="14584" max="14584" width="23" bestFit="1" customWidth="1"/>
    <col min="14585" max="14585" width="11.5703125" bestFit="1" customWidth="1"/>
    <col min="14593" max="14593" width="4" customWidth="1"/>
    <col min="14594" max="14594" width="3.85546875" bestFit="1" customWidth="1"/>
    <col min="14595" max="14595" width="38.7109375" customWidth="1"/>
    <col min="14596" max="14596" width="10.7109375" customWidth="1"/>
    <col min="14597" max="14597" width="17.85546875" customWidth="1"/>
    <col min="14598" max="14598" width="18.7109375" customWidth="1"/>
    <col min="14599" max="14599" width="18.28515625" customWidth="1"/>
    <col min="14815" max="14815" width="3.85546875" bestFit="1" customWidth="1"/>
    <col min="14816" max="14816" width="38.7109375" customWidth="1"/>
    <col min="14817" max="14817" width="10.7109375" customWidth="1"/>
    <col min="14818" max="14818" width="14.7109375" customWidth="1"/>
    <col min="14819" max="14819" width="16.7109375" customWidth="1"/>
    <col min="14820" max="14820" width="18.7109375" customWidth="1"/>
    <col min="14823" max="14823" width="13.5703125" customWidth="1"/>
    <col min="14824" max="14824" width="10.5703125" bestFit="1" customWidth="1"/>
    <col min="14830" max="14830" width="4.140625" bestFit="1" customWidth="1"/>
    <col min="14831" max="14831" width="27.85546875" bestFit="1" customWidth="1"/>
    <col min="14832" max="14832" width="7.5703125" bestFit="1" customWidth="1"/>
    <col min="14833" max="14833" width="13.7109375" bestFit="1" customWidth="1"/>
    <col min="14834" max="14834" width="22.140625" bestFit="1" customWidth="1"/>
    <col min="14835" max="14835" width="26.42578125" bestFit="1" customWidth="1"/>
    <col min="14836" max="14836" width="20.85546875" bestFit="1" customWidth="1"/>
    <col min="14837" max="14837" width="14.7109375" bestFit="1" customWidth="1"/>
    <col min="14838" max="14838" width="16.140625" bestFit="1" customWidth="1"/>
    <col min="14839" max="14839" width="13.140625" bestFit="1" customWidth="1"/>
    <col min="14840" max="14840" width="23" bestFit="1" customWidth="1"/>
    <col min="14841" max="14841" width="11.5703125" bestFit="1" customWidth="1"/>
    <col min="14849" max="14849" width="4" customWidth="1"/>
    <col min="14850" max="14850" width="3.85546875" bestFit="1" customWidth="1"/>
    <col min="14851" max="14851" width="38.7109375" customWidth="1"/>
    <col min="14852" max="14852" width="10.7109375" customWidth="1"/>
    <col min="14853" max="14853" width="17.85546875" customWidth="1"/>
    <col min="14854" max="14854" width="18.7109375" customWidth="1"/>
    <col min="14855" max="14855" width="18.28515625" customWidth="1"/>
    <col min="15071" max="15071" width="3.85546875" bestFit="1" customWidth="1"/>
    <col min="15072" max="15072" width="38.7109375" customWidth="1"/>
    <col min="15073" max="15073" width="10.7109375" customWidth="1"/>
    <col min="15074" max="15074" width="14.7109375" customWidth="1"/>
    <col min="15075" max="15075" width="16.7109375" customWidth="1"/>
    <col min="15076" max="15076" width="18.7109375" customWidth="1"/>
    <col min="15079" max="15079" width="13.5703125" customWidth="1"/>
    <col min="15080" max="15080" width="10.5703125" bestFit="1" customWidth="1"/>
    <col min="15086" max="15086" width="4.140625" bestFit="1" customWidth="1"/>
    <col min="15087" max="15087" width="27.85546875" bestFit="1" customWidth="1"/>
    <col min="15088" max="15088" width="7.5703125" bestFit="1" customWidth="1"/>
    <col min="15089" max="15089" width="13.7109375" bestFit="1" customWidth="1"/>
    <col min="15090" max="15090" width="22.140625" bestFit="1" customWidth="1"/>
    <col min="15091" max="15091" width="26.42578125" bestFit="1" customWidth="1"/>
    <col min="15092" max="15092" width="20.85546875" bestFit="1" customWidth="1"/>
    <col min="15093" max="15093" width="14.7109375" bestFit="1" customWidth="1"/>
    <col min="15094" max="15094" width="16.140625" bestFit="1" customWidth="1"/>
    <col min="15095" max="15095" width="13.140625" bestFit="1" customWidth="1"/>
    <col min="15096" max="15096" width="23" bestFit="1" customWidth="1"/>
    <col min="15097" max="15097" width="11.5703125" bestFit="1" customWidth="1"/>
    <col min="15105" max="15105" width="4" customWidth="1"/>
    <col min="15106" max="15106" width="3.85546875" bestFit="1" customWidth="1"/>
    <col min="15107" max="15107" width="38.7109375" customWidth="1"/>
    <col min="15108" max="15108" width="10.7109375" customWidth="1"/>
    <col min="15109" max="15109" width="17.85546875" customWidth="1"/>
    <col min="15110" max="15110" width="18.7109375" customWidth="1"/>
    <col min="15111" max="15111" width="18.28515625" customWidth="1"/>
    <col min="15327" max="15327" width="3.85546875" bestFit="1" customWidth="1"/>
    <col min="15328" max="15328" width="38.7109375" customWidth="1"/>
    <col min="15329" max="15329" width="10.7109375" customWidth="1"/>
    <col min="15330" max="15330" width="14.7109375" customWidth="1"/>
    <col min="15331" max="15331" width="16.7109375" customWidth="1"/>
    <col min="15332" max="15332" width="18.7109375" customWidth="1"/>
    <col min="15335" max="15335" width="13.5703125" customWidth="1"/>
    <col min="15336" max="15336" width="10.5703125" bestFit="1" customWidth="1"/>
    <col min="15342" max="15342" width="4.140625" bestFit="1" customWidth="1"/>
    <col min="15343" max="15343" width="27.85546875" bestFit="1" customWidth="1"/>
    <col min="15344" max="15344" width="7.5703125" bestFit="1" customWidth="1"/>
    <col min="15345" max="15345" width="13.7109375" bestFit="1" customWidth="1"/>
    <col min="15346" max="15346" width="22.140625" bestFit="1" customWidth="1"/>
    <col min="15347" max="15347" width="26.42578125" bestFit="1" customWidth="1"/>
    <col min="15348" max="15348" width="20.85546875" bestFit="1" customWidth="1"/>
    <col min="15349" max="15349" width="14.7109375" bestFit="1" customWidth="1"/>
    <col min="15350" max="15350" width="16.140625" bestFit="1" customWidth="1"/>
    <col min="15351" max="15351" width="13.140625" bestFit="1" customWidth="1"/>
    <col min="15352" max="15352" width="23" bestFit="1" customWidth="1"/>
    <col min="15353" max="15353" width="11.5703125" bestFit="1" customWidth="1"/>
    <col min="15361" max="15361" width="4" customWidth="1"/>
    <col min="15362" max="15362" width="3.85546875" bestFit="1" customWidth="1"/>
    <col min="15363" max="15363" width="38.7109375" customWidth="1"/>
    <col min="15364" max="15364" width="10.7109375" customWidth="1"/>
    <col min="15365" max="15365" width="17.85546875" customWidth="1"/>
    <col min="15366" max="15366" width="18.7109375" customWidth="1"/>
    <col min="15367" max="15367" width="18.28515625" customWidth="1"/>
    <col min="15583" max="15583" width="3.85546875" bestFit="1" customWidth="1"/>
    <col min="15584" max="15584" width="38.7109375" customWidth="1"/>
    <col min="15585" max="15585" width="10.7109375" customWidth="1"/>
    <col min="15586" max="15586" width="14.7109375" customWidth="1"/>
    <col min="15587" max="15587" width="16.7109375" customWidth="1"/>
    <col min="15588" max="15588" width="18.7109375" customWidth="1"/>
    <col min="15591" max="15591" width="13.5703125" customWidth="1"/>
    <col min="15592" max="15592" width="10.5703125" bestFit="1" customWidth="1"/>
    <col min="15598" max="15598" width="4.140625" bestFit="1" customWidth="1"/>
    <col min="15599" max="15599" width="27.85546875" bestFit="1" customWidth="1"/>
    <col min="15600" max="15600" width="7.5703125" bestFit="1" customWidth="1"/>
    <col min="15601" max="15601" width="13.7109375" bestFit="1" customWidth="1"/>
    <col min="15602" max="15602" width="22.140625" bestFit="1" customWidth="1"/>
    <col min="15603" max="15603" width="26.42578125" bestFit="1" customWidth="1"/>
    <col min="15604" max="15604" width="20.85546875" bestFit="1" customWidth="1"/>
    <col min="15605" max="15605" width="14.7109375" bestFit="1" customWidth="1"/>
    <col min="15606" max="15606" width="16.140625" bestFit="1" customWidth="1"/>
    <col min="15607" max="15607" width="13.140625" bestFit="1" customWidth="1"/>
    <col min="15608" max="15608" width="23" bestFit="1" customWidth="1"/>
    <col min="15609" max="15609" width="11.5703125" bestFit="1" customWidth="1"/>
    <col min="15617" max="15617" width="4" customWidth="1"/>
    <col min="15618" max="15618" width="3.85546875" bestFit="1" customWidth="1"/>
    <col min="15619" max="15619" width="38.7109375" customWidth="1"/>
    <col min="15620" max="15620" width="10.7109375" customWidth="1"/>
    <col min="15621" max="15621" width="17.85546875" customWidth="1"/>
    <col min="15622" max="15622" width="18.7109375" customWidth="1"/>
    <col min="15623" max="15623" width="18.28515625" customWidth="1"/>
    <col min="15839" max="15839" width="3.85546875" bestFit="1" customWidth="1"/>
    <col min="15840" max="15840" width="38.7109375" customWidth="1"/>
    <col min="15841" max="15841" width="10.7109375" customWidth="1"/>
    <col min="15842" max="15842" width="14.7109375" customWidth="1"/>
    <col min="15843" max="15843" width="16.7109375" customWidth="1"/>
    <col min="15844" max="15844" width="18.7109375" customWidth="1"/>
    <col min="15847" max="15847" width="13.5703125" customWidth="1"/>
    <col min="15848" max="15848" width="10.5703125" bestFit="1" customWidth="1"/>
    <col min="15854" max="15854" width="4.140625" bestFit="1" customWidth="1"/>
    <col min="15855" max="15855" width="27.85546875" bestFit="1" customWidth="1"/>
    <col min="15856" max="15856" width="7.5703125" bestFit="1" customWidth="1"/>
    <col min="15857" max="15857" width="13.7109375" bestFit="1" customWidth="1"/>
    <col min="15858" max="15858" width="22.140625" bestFit="1" customWidth="1"/>
    <col min="15859" max="15859" width="26.42578125" bestFit="1" customWidth="1"/>
    <col min="15860" max="15860" width="20.85546875" bestFit="1" customWidth="1"/>
    <col min="15861" max="15861" width="14.7109375" bestFit="1" customWidth="1"/>
    <col min="15862" max="15862" width="16.140625" bestFit="1" customWidth="1"/>
    <col min="15863" max="15863" width="13.140625" bestFit="1" customWidth="1"/>
    <col min="15864" max="15864" width="23" bestFit="1" customWidth="1"/>
    <col min="15865" max="15865" width="11.5703125" bestFit="1" customWidth="1"/>
    <col min="15873" max="15873" width="4" customWidth="1"/>
    <col min="15874" max="15874" width="3.85546875" bestFit="1" customWidth="1"/>
    <col min="15875" max="15875" width="38.7109375" customWidth="1"/>
    <col min="15876" max="15876" width="10.7109375" customWidth="1"/>
    <col min="15877" max="15877" width="17.85546875" customWidth="1"/>
    <col min="15878" max="15878" width="18.7109375" customWidth="1"/>
    <col min="15879" max="15879" width="18.28515625" customWidth="1"/>
    <col min="16095" max="16095" width="3.85546875" bestFit="1" customWidth="1"/>
    <col min="16096" max="16096" width="38.7109375" customWidth="1"/>
    <col min="16097" max="16097" width="10.7109375" customWidth="1"/>
    <col min="16098" max="16098" width="14.7109375" customWidth="1"/>
    <col min="16099" max="16099" width="16.7109375" customWidth="1"/>
    <col min="16100" max="16100" width="18.7109375" customWidth="1"/>
    <col min="16103" max="16103" width="13.5703125" customWidth="1"/>
    <col min="16104" max="16104" width="10.5703125" bestFit="1" customWidth="1"/>
    <col min="16110" max="16110" width="4.140625" bestFit="1" customWidth="1"/>
    <col min="16111" max="16111" width="27.85546875" bestFit="1" customWidth="1"/>
    <col min="16112" max="16112" width="7.5703125" bestFit="1" customWidth="1"/>
    <col min="16113" max="16113" width="13.7109375" bestFit="1" customWidth="1"/>
    <col min="16114" max="16114" width="22.140625" bestFit="1" customWidth="1"/>
    <col min="16115" max="16115" width="26.42578125" bestFit="1" customWidth="1"/>
    <col min="16116" max="16116" width="20.85546875" bestFit="1" customWidth="1"/>
    <col min="16117" max="16117" width="14.7109375" bestFit="1" customWidth="1"/>
    <col min="16118" max="16118" width="16.140625" bestFit="1" customWidth="1"/>
    <col min="16119" max="16119" width="13.140625" bestFit="1" customWidth="1"/>
    <col min="16120" max="16120" width="23" bestFit="1" customWidth="1"/>
    <col min="16121" max="16121" width="11.5703125" bestFit="1" customWidth="1"/>
    <col min="16129" max="16129" width="4" customWidth="1"/>
    <col min="16130" max="16130" width="3.85546875" bestFit="1" customWidth="1"/>
    <col min="16131" max="16131" width="38.7109375" customWidth="1"/>
    <col min="16132" max="16132" width="10.7109375" customWidth="1"/>
    <col min="16133" max="16133" width="17.85546875" customWidth="1"/>
    <col min="16134" max="16134" width="18.7109375" customWidth="1"/>
    <col min="16135" max="16135" width="18.28515625" customWidth="1"/>
    <col min="16351" max="16351" width="3.85546875" bestFit="1" customWidth="1"/>
    <col min="16352" max="16352" width="38.7109375" customWidth="1"/>
    <col min="16353" max="16353" width="10.7109375" customWidth="1"/>
    <col min="16354" max="16354" width="14.7109375" customWidth="1"/>
    <col min="16355" max="16355" width="16.7109375" customWidth="1"/>
    <col min="16356" max="16356" width="18.7109375" customWidth="1"/>
    <col min="16359" max="16359" width="13.5703125" customWidth="1"/>
    <col min="16360" max="16360" width="10.5703125" bestFit="1" customWidth="1"/>
    <col min="16366" max="16366" width="4.140625" bestFit="1" customWidth="1"/>
    <col min="16367" max="16367" width="27.85546875" bestFit="1" customWidth="1"/>
    <col min="16368" max="16368" width="7.5703125" bestFit="1" customWidth="1"/>
    <col min="16369" max="16369" width="13.7109375" bestFit="1" customWidth="1"/>
    <col min="16370" max="16370" width="22.140625" bestFit="1" customWidth="1"/>
    <col min="16371" max="16371" width="26.42578125" bestFit="1" customWidth="1"/>
    <col min="16372" max="16372" width="20.85546875" bestFit="1" customWidth="1"/>
    <col min="16373" max="16373" width="14.7109375" bestFit="1" customWidth="1"/>
    <col min="16374" max="16374" width="16.140625" bestFit="1" customWidth="1"/>
    <col min="16375" max="16375" width="13.140625" bestFit="1" customWidth="1"/>
    <col min="16376" max="16376" width="23" bestFit="1" customWidth="1"/>
    <col min="16377" max="16377" width="11.5703125" bestFit="1" customWidth="1"/>
  </cols>
  <sheetData>
    <row r="1" spans="2:21">
      <c r="B1" s="559"/>
      <c r="C1" s="559"/>
      <c r="D1" s="559"/>
      <c r="E1" s="559"/>
      <c r="F1" s="223"/>
      <c r="G1" s="223"/>
    </row>
    <row r="2" spans="2:21" ht="21">
      <c r="B2" s="1066" t="s">
        <v>4027</v>
      </c>
      <c r="C2" s="1066"/>
      <c r="D2" s="1066"/>
      <c r="E2" s="1066"/>
      <c r="F2" s="1066"/>
      <c r="G2" s="1066"/>
    </row>
    <row r="3" spans="2:21" ht="18" customHeight="1">
      <c r="B3" s="1067" t="s">
        <v>4253</v>
      </c>
      <c r="C3" s="1067"/>
      <c r="D3" s="1067"/>
      <c r="E3" s="1067"/>
      <c r="F3" s="1067"/>
      <c r="G3" s="1067"/>
      <c r="T3" s="1041"/>
      <c r="U3" s="1041"/>
    </row>
    <row r="4" spans="2:21" ht="21.75" customHeight="1">
      <c r="B4" s="1077"/>
      <c r="C4" s="1077"/>
      <c r="D4" s="1077"/>
      <c r="E4" s="1077"/>
      <c r="F4" s="1077"/>
      <c r="G4" s="1077"/>
      <c r="T4" s="1041"/>
      <c r="U4" s="1041"/>
    </row>
    <row r="5" spans="2:21" ht="21.75" customHeight="1">
      <c r="B5" s="1077" t="s">
        <v>4329</v>
      </c>
      <c r="C5" s="1077"/>
      <c r="D5" s="1077"/>
      <c r="E5" s="1077"/>
      <c r="F5" s="1077"/>
      <c r="G5" s="1077"/>
    </row>
    <row r="6" spans="2:21" ht="15.75" thickBot="1">
      <c r="B6" s="559"/>
      <c r="C6" s="559"/>
      <c r="D6" s="559"/>
      <c r="E6" s="559"/>
      <c r="F6" s="223"/>
      <c r="G6" s="223"/>
    </row>
    <row r="7" spans="2:21" ht="24" customHeight="1" thickTop="1">
      <c r="B7" s="1085" t="s">
        <v>10</v>
      </c>
      <c r="C7" s="1060" t="s">
        <v>4028</v>
      </c>
      <c r="D7" s="1183" t="s">
        <v>4029</v>
      </c>
      <c r="E7" s="1183"/>
      <c r="F7" s="1183"/>
      <c r="G7" s="1184"/>
    </row>
    <row r="8" spans="2:21">
      <c r="B8" s="1086"/>
      <c r="C8" s="1061"/>
      <c r="D8" s="1185" t="s">
        <v>4030</v>
      </c>
      <c r="E8" s="1185" t="s">
        <v>2080</v>
      </c>
      <c r="F8" s="216" t="s">
        <v>1785</v>
      </c>
      <c r="G8" s="222" t="s">
        <v>3270</v>
      </c>
    </row>
    <row r="9" spans="2:21">
      <c r="B9" s="1086"/>
      <c r="C9" s="1061"/>
      <c r="D9" s="1164"/>
      <c r="E9" s="1164"/>
      <c r="F9" s="216" t="s">
        <v>2152</v>
      </c>
      <c r="G9" s="222" t="s">
        <v>2152</v>
      </c>
    </row>
    <row r="10" spans="2:21">
      <c r="B10" s="262">
        <v>1</v>
      </c>
      <c r="C10" s="261">
        <v>2</v>
      </c>
      <c r="D10" s="260">
        <v>3</v>
      </c>
      <c r="E10" s="259">
        <v>4</v>
      </c>
      <c r="F10" s="215">
        <v>5</v>
      </c>
      <c r="G10" s="221" t="s">
        <v>3271</v>
      </c>
    </row>
    <row r="11" spans="2:21" ht="21" customHeight="1">
      <c r="B11" s="257" t="s">
        <v>504</v>
      </c>
      <c r="C11" s="256" t="s">
        <v>4031</v>
      </c>
      <c r="D11" s="255"/>
      <c r="E11" s="254"/>
      <c r="F11" s="214"/>
      <c r="G11" s="220"/>
    </row>
    <row r="12" spans="2:21">
      <c r="B12" s="252"/>
      <c r="C12" s="251" t="s">
        <v>4032</v>
      </c>
      <c r="D12" s="250"/>
      <c r="E12" s="249"/>
      <c r="F12" s="213"/>
      <c r="G12" s="219"/>
      <c r="H12" s="1041"/>
      <c r="I12" s="1041"/>
    </row>
    <row r="13" spans="2:21">
      <c r="B13" s="252"/>
      <c r="C13" s="291" t="s">
        <v>4033</v>
      </c>
      <c r="D13" s="248" t="s">
        <v>52</v>
      </c>
      <c r="E13" s="247">
        <v>6806</v>
      </c>
      <c r="F13" s="212">
        <f>Langsir_material_datar_500_1000m_Kg</f>
        <v>462.7700000000001</v>
      </c>
      <c r="G13" s="219">
        <f>E13*F13</f>
        <v>3149612.6200000006</v>
      </c>
      <c r="H13" s="1041"/>
      <c r="I13" s="1041"/>
    </row>
    <row r="14" spans="2:21">
      <c r="B14" s="252"/>
      <c r="C14" s="291" t="s">
        <v>4034</v>
      </c>
      <c r="D14" s="248" t="s">
        <v>52</v>
      </c>
      <c r="E14" s="247">
        <v>7392</v>
      </c>
      <c r="F14" s="212">
        <f>F13</f>
        <v>462.7700000000001</v>
      </c>
      <c r="G14" s="219">
        <f t="shared" ref="G14:G18" si="0">E14*F14</f>
        <v>3420795.8400000008</v>
      </c>
    </row>
    <row r="15" spans="2:21">
      <c r="B15" s="252"/>
      <c r="C15" s="291" t="s">
        <v>4035</v>
      </c>
      <c r="D15" s="248" t="s">
        <v>52</v>
      </c>
      <c r="E15" s="247">
        <v>8254</v>
      </c>
      <c r="F15" s="212">
        <f t="shared" ref="F15:F18" si="1">F14</f>
        <v>462.7700000000001</v>
      </c>
      <c r="G15" s="219">
        <f t="shared" si="0"/>
        <v>3819703.580000001</v>
      </c>
    </row>
    <row r="16" spans="2:21">
      <c r="B16" s="252"/>
      <c r="C16" s="291" t="s">
        <v>4036</v>
      </c>
      <c r="D16" s="248" t="s">
        <v>52</v>
      </c>
      <c r="E16" s="247">
        <v>8828</v>
      </c>
      <c r="F16" s="212">
        <f t="shared" si="1"/>
        <v>462.7700000000001</v>
      </c>
      <c r="G16" s="219">
        <f t="shared" si="0"/>
        <v>4085333.560000001</v>
      </c>
    </row>
    <row r="17" spans="2:7">
      <c r="B17" s="252"/>
      <c r="C17" s="291" t="s">
        <v>4037</v>
      </c>
      <c r="D17" s="248" t="s">
        <v>52</v>
      </c>
      <c r="E17" s="247">
        <v>9797</v>
      </c>
      <c r="F17" s="212">
        <f t="shared" si="1"/>
        <v>462.7700000000001</v>
      </c>
      <c r="G17" s="219">
        <f t="shared" si="0"/>
        <v>4533757.6900000013</v>
      </c>
    </row>
    <row r="18" spans="2:7">
      <c r="B18" s="252"/>
      <c r="C18" s="291" t="s">
        <v>4038</v>
      </c>
      <c r="D18" s="248" t="s">
        <v>52</v>
      </c>
      <c r="E18" s="247">
        <v>10496</v>
      </c>
      <c r="F18" s="212">
        <f t="shared" si="1"/>
        <v>462.7700000000001</v>
      </c>
      <c r="G18" s="219">
        <f t="shared" si="0"/>
        <v>4857233.9200000009</v>
      </c>
    </row>
    <row r="19" spans="2:7">
      <c r="B19" s="252"/>
      <c r="C19" s="291"/>
      <c r="D19" s="250"/>
      <c r="E19" s="247"/>
      <c r="F19" s="212"/>
      <c r="G19" s="219"/>
    </row>
    <row r="20" spans="2:7">
      <c r="B20" s="252"/>
      <c r="C20" s="251" t="s">
        <v>4039</v>
      </c>
      <c r="D20" s="250"/>
      <c r="E20" s="247"/>
      <c r="F20" s="212"/>
      <c r="G20" s="219"/>
    </row>
    <row r="21" spans="2:7">
      <c r="B21" s="252"/>
      <c r="C21" s="291" t="s">
        <v>4040</v>
      </c>
      <c r="D21" s="248" t="s">
        <v>52</v>
      </c>
      <c r="E21" s="247">
        <v>8737</v>
      </c>
      <c r="F21" s="212">
        <f>F18</f>
        <v>462.7700000000001</v>
      </c>
      <c r="G21" s="219">
        <f>E21*F21</f>
        <v>4043221.4900000007</v>
      </c>
    </row>
    <row r="22" spans="2:7">
      <c r="B22" s="252"/>
      <c r="C22" s="291" t="s">
        <v>4041</v>
      </c>
      <c r="D22" s="248" t="s">
        <v>52</v>
      </c>
      <c r="E22" s="247">
        <v>9670</v>
      </c>
      <c r="F22" s="212">
        <f>F21</f>
        <v>462.7700000000001</v>
      </c>
      <c r="G22" s="219">
        <f t="shared" ref="G22:G26" si="2">E22*F22</f>
        <v>4474985.9000000013</v>
      </c>
    </row>
    <row r="23" spans="2:7">
      <c r="B23" s="252"/>
      <c r="C23" s="291" t="s">
        <v>4042</v>
      </c>
      <c r="D23" s="248" t="s">
        <v>52</v>
      </c>
      <c r="E23" s="247">
        <v>10596</v>
      </c>
      <c r="F23" s="212">
        <f t="shared" ref="F23:F26" si="3">F22</f>
        <v>462.7700000000001</v>
      </c>
      <c r="G23" s="219">
        <f t="shared" si="2"/>
        <v>4903510.9200000009</v>
      </c>
    </row>
    <row r="24" spans="2:7">
      <c r="B24" s="252"/>
      <c r="C24" s="291" t="s">
        <v>4043</v>
      </c>
      <c r="D24" s="248" t="s">
        <v>52</v>
      </c>
      <c r="E24" s="247">
        <v>11839</v>
      </c>
      <c r="F24" s="212">
        <f t="shared" si="3"/>
        <v>462.7700000000001</v>
      </c>
      <c r="G24" s="219">
        <f t="shared" si="2"/>
        <v>5478734.0300000012</v>
      </c>
    </row>
    <row r="25" spans="2:7">
      <c r="B25" s="252"/>
      <c r="C25" s="291" t="s">
        <v>4044</v>
      </c>
      <c r="D25" s="248" t="s">
        <v>52</v>
      </c>
      <c r="E25" s="247">
        <v>12832</v>
      </c>
      <c r="F25" s="212">
        <f t="shared" si="3"/>
        <v>462.7700000000001</v>
      </c>
      <c r="G25" s="219">
        <f t="shared" si="2"/>
        <v>5938264.6400000015</v>
      </c>
    </row>
    <row r="26" spans="2:7">
      <c r="B26" s="252"/>
      <c r="C26" s="291" t="s">
        <v>4045</v>
      </c>
      <c r="D26" s="248" t="s">
        <v>52</v>
      </c>
      <c r="E26" s="247">
        <v>15012</v>
      </c>
      <c r="F26" s="212">
        <f t="shared" si="3"/>
        <v>462.7700000000001</v>
      </c>
      <c r="G26" s="219">
        <f t="shared" si="2"/>
        <v>6947103.2400000012</v>
      </c>
    </row>
    <row r="27" spans="2:7">
      <c r="B27" s="252"/>
      <c r="C27" s="291"/>
      <c r="D27" s="250"/>
      <c r="E27" s="247"/>
      <c r="F27" s="212"/>
      <c r="G27" s="219"/>
    </row>
    <row r="28" spans="2:7">
      <c r="B28" s="252"/>
      <c r="C28" s="251" t="s">
        <v>4046</v>
      </c>
      <c r="D28" s="250"/>
      <c r="E28" s="247"/>
      <c r="F28" s="212"/>
      <c r="G28" s="219"/>
    </row>
    <row r="29" spans="2:7">
      <c r="B29" s="252"/>
      <c r="C29" s="291" t="s">
        <v>4047</v>
      </c>
      <c r="D29" s="248" t="s">
        <v>52</v>
      </c>
      <c r="E29" s="247">
        <v>11661</v>
      </c>
      <c r="F29" s="212">
        <f>F26</f>
        <v>462.7700000000001</v>
      </c>
      <c r="G29" s="219">
        <f>E29*F29</f>
        <v>5396360.9700000007</v>
      </c>
    </row>
    <row r="30" spans="2:7">
      <c r="B30" s="252"/>
      <c r="C30" s="291" t="s">
        <v>4048</v>
      </c>
      <c r="D30" s="248" t="s">
        <v>52</v>
      </c>
      <c r="E30" s="247">
        <v>13684</v>
      </c>
      <c r="F30" s="212">
        <f>F29</f>
        <v>462.7700000000001</v>
      </c>
      <c r="G30" s="219">
        <f t="shared" ref="G30:G34" si="4">E30*F30</f>
        <v>6332544.6800000016</v>
      </c>
    </row>
    <row r="31" spans="2:7">
      <c r="B31" s="252"/>
      <c r="C31" s="291" t="s">
        <v>4049</v>
      </c>
      <c r="D31" s="248" t="s">
        <v>52</v>
      </c>
      <c r="E31" s="247">
        <v>13950</v>
      </c>
      <c r="F31" s="212">
        <f t="shared" ref="F31:F34" si="5">F30</f>
        <v>462.7700000000001</v>
      </c>
      <c r="G31" s="219">
        <f t="shared" si="4"/>
        <v>6455641.5000000009</v>
      </c>
    </row>
    <row r="32" spans="2:7">
      <c r="B32" s="252"/>
      <c r="C32" s="291" t="s">
        <v>4050</v>
      </c>
      <c r="D32" s="248" t="s">
        <v>52</v>
      </c>
      <c r="E32" s="247">
        <v>15279</v>
      </c>
      <c r="F32" s="212">
        <f t="shared" si="5"/>
        <v>462.7700000000001</v>
      </c>
      <c r="G32" s="219">
        <f t="shared" si="4"/>
        <v>7070662.830000001</v>
      </c>
    </row>
    <row r="33" spans="2:7">
      <c r="B33" s="252"/>
      <c r="C33" s="291" t="s">
        <v>4051</v>
      </c>
      <c r="D33" s="248" t="s">
        <v>52</v>
      </c>
      <c r="E33" s="247">
        <v>16583</v>
      </c>
      <c r="F33" s="212">
        <f t="shared" si="5"/>
        <v>462.7700000000001</v>
      </c>
      <c r="G33" s="219">
        <f t="shared" si="4"/>
        <v>7674114.910000002</v>
      </c>
    </row>
    <row r="34" spans="2:7">
      <c r="B34" s="252"/>
      <c r="C34" s="291" t="s">
        <v>4052</v>
      </c>
      <c r="D34" s="248" t="s">
        <v>52</v>
      </c>
      <c r="E34" s="247">
        <v>19039</v>
      </c>
      <c r="F34" s="212">
        <f t="shared" si="5"/>
        <v>462.7700000000001</v>
      </c>
      <c r="G34" s="219">
        <f t="shared" si="4"/>
        <v>8810678.0300000012</v>
      </c>
    </row>
    <row r="35" spans="2:7">
      <c r="B35" s="252"/>
      <c r="C35" s="291"/>
      <c r="D35" s="250"/>
      <c r="E35" s="247"/>
      <c r="F35" s="212"/>
      <c r="G35" s="219"/>
    </row>
    <row r="36" spans="2:7">
      <c r="B36" s="252"/>
      <c r="C36" s="251" t="s">
        <v>4053</v>
      </c>
      <c r="D36" s="250"/>
      <c r="E36" s="247"/>
      <c r="F36" s="212"/>
      <c r="G36" s="219"/>
    </row>
    <row r="37" spans="2:7">
      <c r="B37" s="252"/>
      <c r="C37" s="291" t="s">
        <v>4054</v>
      </c>
      <c r="D37" s="248" t="s">
        <v>52</v>
      </c>
      <c r="E37" s="247">
        <v>14611</v>
      </c>
      <c r="F37" s="212">
        <f>F34</f>
        <v>462.7700000000001</v>
      </c>
      <c r="G37" s="219">
        <f>E37*F37</f>
        <v>6761532.4700000016</v>
      </c>
    </row>
    <row r="38" spans="2:7">
      <c r="B38" s="252"/>
      <c r="C38" s="291" t="s">
        <v>4055</v>
      </c>
      <c r="D38" s="248" t="s">
        <v>52</v>
      </c>
      <c r="E38" s="247">
        <v>16331</v>
      </c>
      <c r="F38" s="212">
        <f>F37</f>
        <v>462.7700000000001</v>
      </c>
      <c r="G38" s="219">
        <f t="shared" ref="G38:G42" si="6">E38*F38</f>
        <v>7557496.870000002</v>
      </c>
    </row>
    <row r="39" spans="2:7">
      <c r="B39" s="252"/>
      <c r="C39" s="291" t="s">
        <v>4056</v>
      </c>
      <c r="D39" s="248" t="s">
        <v>52</v>
      </c>
      <c r="E39" s="247">
        <v>17711</v>
      </c>
      <c r="F39" s="212">
        <f t="shared" ref="F39:F42" si="7">F38</f>
        <v>462.7700000000001</v>
      </c>
      <c r="G39" s="219">
        <f t="shared" si="6"/>
        <v>8196119.4700000016</v>
      </c>
    </row>
    <row r="40" spans="2:7">
      <c r="B40" s="252"/>
      <c r="C40" s="291" t="s">
        <v>4057</v>
      </c>
      <c r="D40" s="248" t="s">
        <v>52</v>
      </c>
      <c r="E40" s="247">
        <v>19756</v>
      </c>
      <c r="F40" s="212">
        <f t="shared" si="7"/>
        <v>462.7700000000001</v>
      </c>
      <c r="G40" s="219">
        <f t="shared" si="6"/>
        <v>9142484.120000001</v>
      </c>
    </row>
    <row r="41" spans="2:7">
      <c r="B41" s="252"/>
      <c r="C41" s="291" t="s">
        <v>4058</v>
      </c>
      <c r="D41" s="248" t="s">
        <v>52</v>
      </c>
      <c r="E41" s="247">
        <v>21178</v>
      </c>
      <c r="F41" s="212">
        <f t="shared" si="7"/>
        <v>462.7700000000001</v>
      </c>
      <c r="G41" s="219">
        <f t="shared" si="6"/>
        <v>9800543.0600000024</v>
      </c>
    </row>
    <row r="42" spans="2:7">
      <c r="B42" s="252"/>
      <c r="C42" s="291" t="s">
        <v>4059</v>
      </c>
      <c r="D42" s="248" t="s">
        <v>52</v>
      </c>
      <c r="E42" s="247">
        <v>23989</v>
      </c>
      <c r="F42" s="212">
        <f t="shared" si="7"/>
        <v>462.7700000000001</v>
      </c>
      <c r="G42" s="219">
        <f t="shared" si="6"/>
        <v>11101389.530000003</v>
      </c>
    </row>
    <row r="43" spans="2:7">
      <c r="B43" s="252"/>
      <c r="C43" s="291"/>
      <c r="D43" s="250"/>
      <c r="E43" s="247"/>
      <c r="F43" s="212"/>
      <c r="G43" s="219"/>
    </row>
    <row r="44" spans="2:7">
      <c r="B44" s="252"/>
      <c r="C44" s="251" t="s">
        <v>4060</v>
      </c>
      <c r="D44" s="250"/>
      <c r="E44" s="247"/>
      <c r="F44" s="212"/>
      <c r="G44" s="219"/>
    </row>
    <row r="45" spans="2:7">
      <c r="B45" s="252"/>
      <c r="C45" s="291" t="s">
        <v>4061</v>
      </c>
      <c r="D45" s="248" t="s">
        <v>52</v>
      </c>
      <c r="E45" s="247">
        <v>17725</v>
      </c>
      <c r="F45" s="212">
        <f>F42</f>
        <v>462.7700000000001</v>
      </c>
      <c r="G45" s="219">
        <f>E45*F45</f>
        <v>8202598.2500000019</v>
      </c>
    </row>
    <row r="46" spans="2:7">
      <c r="B46" s="252"/>
      <c r="C46" s="291" t="s">
        <v>4062</v>
      </c>
      <c r="D46" s="248" t="s">
        <v>52</v>
      </c>
      <c r="E46" s="247">
        <v>19040.5</v>
      </c>
      <c r="F46" s="212">
        <f>F45</f>
        <v>462.7700000000001</v>
      </c>
      <c r="G46" s="219">
        <f t="shared" ref="G46:G50" si="8">E46*F46</f>
        <v>8811372.1850000024</v>
      </c>
    </row>
    <row r="47" spans="2:7">
      <c r="B47" s="252"/>
      <c r="C47" s="291" t="s">
        <v>4063</v>
      </c>
      <c r="D47" s="248" t="s">
        <v>52</v>
      </c>
      <c r="E47" s="247">
        <v>19899</v>
      </c>
      <c r="F47" s="212">
        <f t="shared" ref="F47:F50" si="9">F46</f>
        <v>462.7700000000001</v>
      </c>
      <c r="G47" s="219">
        <f t="shared" si="8"/>
        <v>9208660.2300000023</v>
      </c>
    </row>
    <row r="48" spans="2:7">
      <c r="B48" s="252"/>
      <c r="C48" s="291" t="s">
        <v>4064</v>
      </c>
      <c r="D48" s="248" t="s">
        <v>52</v>
      </c>
      <c r="E48" s="247">
        <v>21196.75</v>
      </c>
      <c r="F48" s="212">
        <f t="shared" si="9"/>
        <v>462.7700000000001</v>
      </c>
      <c r="G48" s="219">
        <f t="shared" si="8"/>
        <v>9809219.9975000024</v>
      </c>
    </row>
    <row r="49" spans="2:7">
      <c r="B49" s="252"/>
      <c r="C49" s="291" t="s">
        <v>4065</v>
      </c>
      <c r="D49" s="248" t="s">
        <v>52</v>
      </c>
      <c r="E49" s="247">
        <v>22368.75</v>
      </c>
      <c r="F49" s="212">
        <f t="shared" si="9"/>
        <v>462.7700000000001</v>
      </c>
      <c r="G49" s="219">
        <f t="shared" si="8"/>
        <v>10351586.437500002</v>
      </c>
    </row>
    <row r="50" spans="2:7">
      <c r="B50" s="252"/>
      <c r="C50" s="291" t="s">
        <v>4066</v>
      </c>
      <c r="D50" s="248" t="s">
        <v>52</v>
      </c>
      <c r="E50" s="247">
        <v>24405.25</v>
      </c>
      <c r="F50" s="212">
        <f t="shared" si="9"/>
        <v>462.7700000000001</v>
      </c>
      <c r="G50" s="219">
        <f t="shared" si="8"/>
        <v>11294017.542500002</v>
      </c>
    </row>
    <row r="51" spans="2:7">
      <c r="B51" s="252"/>
      <c r="C51" s="245"/>
      <c r="D51" s="248"/>
      <c r="E51" s="247"/>
      <c r="F51" s="212"/>
      <c r="G51" s="219"/>
    </row>
    <row r="52" spans="2:7" ht="15" hidden="1" customHeight="1">
      <c r="B52" s="303"/>
      <c r="C52" s="251" t="s">
        <v>4067</v>
      </c>
      <c r="D52" s="244"/>
      <c r="E52" s="243"/>
      <c r="F52" s="213"/>
      <c r="G52" s="219"/>
    </row>
    <row r="53" spans="2:7" ht="15" hidden="1" customHeight="1">
      <c r="B53" s="303"/>
      <c r="C53" s="242" t="s">
        <v>4068</v>
      </c>
      <c r="D53" s="248" t="s">
        <v>52</v>
      </c>
      <c r="E53" s="247">
        <v>7316</v>
      </c>
      <c r="F53" s="213"/>
      <c r="G53" s="219"/>
    </row>
    <row r="54" spans="2:7" ht="15" hidden="1" customHeight="1">
      <c r="B54" s="303"/>
      <c r="C54" s="242" t="s">
        <v>4069</v>
      </c>
      <c r="D54" s="248" t="s">
        <v>52</v>
      </c>
      <c r="E54" s="247">
        <v>8384</v>
      </c>
      <c r="F54" s="213"/>
      <c r="G54" s="219"/>
    </row>
    <row r="55" spans="2:7" ht="15" hidden="1" customHeight="1">
      <c r="B55" s="303"/>
      <c r="C55" s="242" t="s">
        <v>4070</v>
      </c>
      <c r="D55" s="248" t="s">
        <v>52</v>
      </c>
      <c r="E55" s="247">
        <v>8656</v>
      </c>
      <c r="F55" s="213"/>
      <c r="G55" s="219"/>
    </row>
    <row r="56" spans="2:7" ht="15" hidden="1" customHeight="1">
      <c r="B56" s="303"/>
      <c r="C56" s="242" t="s">
        <v>4071</v>
      </c>
      <c r="D56" s="248" t="s">
        <v>52</v>
      </c>
      <c r="E56" s="247">
        <v>8197</v>
      </c>
      <c r="F56" s="213"/>
      <c r="G56" s="219"/>
    </row>
    <row r="57" spans="2:7" ht="15" hidden="1" customHeight="1">
      <c r="B57" s="303"/>
      <c r="C57" s="242" t="s">
        <v>4072</v>
      </c>
      <c r="D57" s="248" t="s">
        <v>52</v>
      </c>
      <c r="E57" s="247">
        <v>9331</v>
      </c>
      <c r="F57" s="213"/>
      <c r="G57" s="219"/>
    </row>
    <row r="58" spans="2:7" ht="15" hidden="1" customHeight="1">
      <c r="B58" s="303"/>
      <c r="C58" s="242" t="s">
        <v>4073</v>
      </c>
      <c r="D58" s="248" t="s">
        <v>52</v>
      </c>
      <c r="E58" s="247">
        <v>9603</v>
      </c>
      <c r="F58" s="213"/>
      <c r="G58" s="219"/>
    </row>
    <row r="59" spans="2:7" ht="15" hidden="1" customHeight="1">
      <c r="B59" s="303"/>
      <c r="C59" s="242" t="s">
        <v>4074</v>
      </c>
      <c r="D59" s="241" t="s">
        <v>52</v>
      </c>
      <c r="E59" s="247">
        <v>9869</v>
      </c>
      <c r="F59" s="213"/>
      <c r="G59" s="219"/>
    </row>
    <row r="60" spans="2:7" ht="15" hidden="1" customHeight="1">
      <c r="B60" s="303"/>
      <c r="C60" s="291"/>
      <c r="D60" s="244"/>
      <c r="E60" s="247"/>
      <c r="F60" s="213"/>
      <c r="G60" s="219"/>
    </row>
    <row r="61" spans="2:7" ht="15" hidden="1" customHeight="1">
      <c r="B61" s="303"/>
      <c r="C61" s="251" t="s">
        <v>4075</v>
      </c>
      <c r="D61" s="244"/>
      <c r="E61" s="247"/>
      <c r="F61" s="213"/>
      <c r="G61" s="219"/>
    </row>
    <row r="62" spans="2:7" ht="15" hidden="1" customHeight="1">
      <c r="B62" s="303"/>
      <c r="C62" s="242" t="s">
        <v>4076</v>
      </c>
      <c r="D62" s="248" t="s">
        <v>52</v>
      </c>
      <c r="E62" s="247">
        <v>8317</v>
      </c>
      <c r="F62" s="213"/>
      <c r="G62" s="219"/>
    </row>
    <row r="63" spans="2:7" ht="15" hidden="1" customHeight="1">
      <c r="B63" s="303"/>
      <c r="C63" s="242" t="s">
        <v>4077</v>
      </c>
      <c r="D63" s="248" t="s">
        <v>52</v>
      </c>
      <c r="E63" s="247">
        <v>8613</v>
      </c>
      <c r="F63" s="213"/>
      <c r="G63" s="219"/>
    </row>
    <row r="64" spans="2:7" ht="15" hidden="1" customHeight="1">
      <c r="B64" s="303"/>
      <c r="C64" s="242" t="s">
        <v>4078</v>
      </c>
      <c r="D64" s="248" t="s">
        <v>52</v>
      </c>
      <c r="E64" s="247">
        <v>9867</v>
      </c>
      <c r="F64" s="213"/>
      <c r="G64" s="219"/>
    </row>
    <row r="65" spans="2:10" ht="15" hidden="1" customHeight="1">
      <c r="B65" s="303"/>
      <c r="C65" s="242" t="s">
        <v>4079</v>
      </c>
      <c r="D65" s="248" t="s">
        <v>52</v>
      </c>
      <c r="E65" s="247">
        <v>10189</v>
      </c>
      <c r="F65" s="213"/>
      <c r="G65" s="219"/>
    </row>
    <row r="66" spans="2:10" ht="15" hidden="1" customHeight="1">
      <c r="B66" s="303"/>
      <c r="C66" s="242" t="s">
        <v>4080</v>
      </c>
      <c r="D66" s="248" t="s">
        <v>52</v>
      </c>
      <c r="E66" s="247">
        <v>10898</v>
      </c>
      <c r="F66" s="213"/>
      <c r="G66" s="219"/>
    </row>
    <row r="67" spans="2:10" ht="15" hidden="1" customHeight="1">
      <c r="B67" s="303"/>
      <c r="C67" s="242" t="s">
        <v>4081</v>
      </c>
      <c r="D67" s="248" t="s">
        <v>52</v>
      </c>
      <c r="E67" s="247">
        <v>11261</v>
      </c>
      <c r="F67" s="213"/>
      <c r="G67" s="219"/>
    </row>
    <row r="68" spans="2:10" ht="15" hidden="1" customHeight="1">
      <c r="B68" s="303"/>
      <c r="C68" s="291"/>
      <c r="D68" s="241"/>
      <c r="E68" s="247"/>
      <c r="F68" s="213"/>
      <c r="G68" s="219"/>
    </row>
    <row r="69" spans="2:10" ht="15" hidden="1" customHeight="1">
      <c r="B69" s="303"/>
      <c r="C69" s="251" t="s">
        <v>4082</v>
      </c>
      <c r="D69" s="244"/>
      <c r="E69" s="247"/>
      <c r="F69" s="213"/>
      <c r="G69" s="219"/>
    </row>
    <row r="70" spans="2:10" ht="15" hidden="1" customHeight="1">
      <c r="B70" s="303"/>
      <c r="C70" s="242" t="s">
        <v>4083</v>
      </c>
      <c r="D70" s="248" t="s">
        <v>52</v>
      </c>
      <c r="E70" s="247">
        <v>10141</v>
      </c>
      <c r="F70" s="213"/>
      <c r="G70" s="219"/>
    </row>
    <row r="71" spans="2:10" ht="15" hidden="1" customHeight="1">
      <c r="B71" s="303"/>
      <c r="C71" s="242" t="s">
        <v>4084</v>
      </c>
      <c r="D71" s="248" t="s">
        <v>52</v>
      </c>
      <c r="E71" s="247">
        <v>10517</v>
      </c>
      <c r="F71" s="213"/>
      <c r="G71" s="219"/>
    </row>
    <row r="72" spans="2:10" ht="15" hidden="1" customHeight="1">
      <c r="B72" s="303"/>
      <c r="C72" s="242" t="s">
        <v>4085</v>
      </c>
      <c r="D72" s="248" t="s">
        <v>52</v>
      </c>
      <c r="E72" s="247">
        <v>12983</v>
      </c>
      <c r="F72" s="213"/>
      <c r="G72" s="219"/>
    </row>
    <row r="73" spans="2:10" ht="15" hidden="1" customHeight="1">
      <c r="B73" s="303"/>
      <c r="C73" s="242" t="s">
        <v>4086</v>
      </c>
      <c r="D73" s="248" t="s">
        <v>52</v>
      </c>
      <c r="E73" s="247">
        <v>13487</v>
      </c>
      <c r="F73" s="213"/>
      <c r="G73" s="219"/>
    </row>
    <row r="74" spans="2:10" ht="15" hidden="1" customHeight="1">
      <c r="B74" s="303"/>
      <c r="C74" s="242" t="s">
        <v>4087</v>
      </c>
      <c r="D74" s="248" t="s">
        <v>52</v>
      </c>
      <c r="E74" s="247">
        <v>14834</v>
      </c>
      <c r="F74" s="213"/>
      <c r="G74" s="219"/>
    </row>
    <row r="75" spans="2:10" ht="15" hidden="1" customHeight="1">
      <c r="B75" s="303"/>
      <c r="C75" s="242" t="s">
        <v>4088</v>
      </c>
      <c r="D75" s="248" t="s">
        <v>52</v>
      </c>
      <c r="E75" s="247">
        <v>15338</v>
      </c>
      <c r="F75" s="213"/>
      <c r="G75" s="219"/>
    </row>
    <row r="76" spans="2:10" ht="15" hidden="1" customHeight="1">
      <c r="B76" s="303"/>
      <c r="C76" s="242"/>
      <c r="D76" s="248"/>
      <c r="E76" s="247"/>
      <c r="F76" s="213"/>
      <c r="G76" s="219"/>
    </row>
    <row r="77" spans="2:10" ht="15" hidden="1" customHeight="1">
      <c r="B77" s="303"/>
      <c r="C77" s="251" t="s">
        <v>4089</v>
      </c>
      <c r="D77" s="244"/>
      <c r="E77" s="247"/>
      <c r="F77" s="213"/>
      <c r="G77" s="219"/>
      <c r="I77">
        <f>SUM(I43:I74)</f>
        <v>0</v>
      </c>
      <c r="J77">
        <v>286</v>
      </c>
    </row>
    <row r="78" spans="2:10" ht="15" hidden="1" customHeight="1">
      <c r="B78" s="303"/>
      <c r="C78" s="242" t="s">
        <v>4090</v>
      </c>
      <c r="D78" s="248" t="s">
        <v>52</v>
      </c>
      <c r="E78" s="247">
        <v>13508</v>
      </c>
      <c r="F78" s="213"/>
      <c r="G78" s="219"/>
    </row>
    <row r="79" spans="2:10" ht="15" hidden="1" customHeight="1">
      <c r="B79" s="303"/>
      <c r="C79" s="242" t="s">
        <v>4091</v>
      </c>
      <c r="D79" s="248" t="s">
        <v>52</v>
      </c>
      <c r="E79" s="247">
        <v>14013</v>
      </c>
      <c r="F79" s="213"/>
      <c r="G79" s="219"/>
    </row>
    <row r="80" spans="2:10" ht="15" hidden="1" customHeight="1">
      <c r="B80" s="303"/>
      <c r="C80" s="242" t="s">
        <v>4092</v>
      </c>
      <c r="D80" s="248" t="s">
        <v>52</v>
      </c>
      <c r="E80" s="247">
        <v>16329</v>
      </c>
      <c r="F80" s="213"/>
      <c r="G80" s="219"/>
    </row>
    <row r="81" spans="2:12" ht="15" hidden="1" customHeight="1">
      <c r="B81" s="303"/>
      <c r="C81" s="242" t="s">
        <v>4093</v>
      </c>
      <c r="D81" s="248" t="s">
        <v>52</v>
      </c>
      <c r="E81" s="247">
        <v>16872</v>
      </c>
      <c r="F81" s="213"/>
      <c r="G81" s="219"/>
    </row>
    <row r="82" spans="2:12" ht="15" hidden="1" customHeight="1">
      <c r="B82" s="303"/>
      <c r="C82" s="242" t="s">
        <v>4094</v>
      </c>
      <c r="D82" s="248" t="s">
        <v>52</v>
      </c>
      <c r="E82" s="247">
        <v>18348</v>
      </c>
      <c r="F82" s="213"/>
      <c r="G82" s="219"/>
    </row>
    <row r="83" spans="2:12" ht="15" hidden="1" customHeight="1">
      <c r="B83" s="303"/>
      <c r="C83" s="242" t="s">
        <v>4095</v>
      </c>
      <c r="D83" s="248" t="s">
        <v>52</v>
      </c>
      <c r="E83" s="247">
        <v>18890</v>
      </c>
      <c r="F83" s="213"/>
      <c r="G83" s="219"/>
    </row>
    <row r="84" spans="2:12" ht="15" hidden="1" customHeight="1">
      <c r="B84" s="252"/>
      <c r="C84" s="291"/>
      <c r="D84" s="241"/>
      <c r="E84" s="247"/>
      <c r="F84" s="212"/>
      <c r="G84" s="219"/>
      <c r="L84">
        <f>SUM(L11:L48)</f>
        <v>0</v>
      </c>
    </row>
    <row r="85" spans="2:12" ht="18" customHeight="1">
      <c r="B85" s="239" t="s">
        <v>717</v>
      </c>
      <c r="C85" s="238" t="s">
        <v>4096</v>
      </c>
      <c r="D85" s="237"/>
      <c r="E85" s="236"/>
      <c r="F85" s="211"/>
      <c r="G85" s="218"/>
    </row>
    <row r="86" spans="2:12" ht="18" customHeight="1">
      <c r="B86" s="235"/>
      <c r="C86" s="234" t="s">
        <v>4097</v>
      </c>
      <c r="D86" s="250"/>
      <c r="E86" s="249"/>
      <c r="F86" s="213"/>
      <c r="G86" s="219"/>
    </row>
    <row r="87" spans="2:12">
      <c r="B87" s="252"/>
      <c r="C87" s="233" t="s">
        <v>4098</v>
      </c>
      <c r="D87" s="248"/>
      <c r="E87" s="247"/>
      <c r="F87" s="212"/>
      <c r="G87" s="219"/>
    </row>
    <row r="88" spans="2:12">
      <c r="B88" s="252"/>
      <c r="C88" s="302" t="s">
        <v>4099</v>
      </c>
      <c r="D88" s="248" t="s">
        <v>52</v>
      </c>
      <c r="E88" s="247">
        <v>251.56</v>
      </c>
      <c r="F88" s="212">
        <f>F50</f>
        <v>462.7700000000001</v>
      </c>
      <c r="G88" s="219">
        <f>E88*F88</f>
        <v>116414.42120000003</v>
      </c>
    </row>
    <row r="89" spans="2:12">
      <c r="B89" s="252"/>
      <c r="C89" s="302" t="s">
        <v>4100</v>
      </c>
      <c r="D89" s="248" t="s">
        <v>52</v>
      </c>
      <c r="E89" s="247">
        <v>251.56</v>
      </c>
      <c r="F89" s="212">
        <f>F88</f>
        <v>462.7700000000001</v>
      </c>
      <c r="G89" s="219">
        <f t="shared" ref="G89:G93" si="10">E89*F89</f>
        <v>116414.42120000003</v>
      </c>
    </row>
    <row r="90" spans="2:12">
      <c r="B90" s="252"/>
      <c r="C90" s="302" t="s">
        <v>4101</v>
      </c>
      <c r="D90" s="248" t="s">
        <v>52</v>
      </c>
      <c r="E90" s="247">
        <v>251.56</v>
      </c>
      <c r="F90" s="212">
        <f t="shared" ref="F90:F93" si="11">F89</f>
        <v>462.7700000000001</v>
      </c>
      <c r="G90" s="219">
        <f t="shared" si="10"/>
        <v>116414.42120000003</v>
      </c>
    </row>
    <row r="91" spans="2:12">
      <c r="B91" s="252"/>
      <c r="C91" s="302" t="s">
        <v>4102</v>
      </c>
      <c r="D91" s="248" t="s">
        <v>52</v>
      </c>
      <c r="E91" s="247">
        <v>251.56</v>
      </c>
      <c r="F91" s="212">
        <f t="shared" si="11"/>
        <v>462.7700000000001</v>
      </c>
      <c r="G91" s="219">
        <f t="shared" si="10"/>
        <v>116414.42120000003</v>
      </c>
    </row>
    <row r="92" spans="2:12">
      <c r="B92" s="252"/>
      <c r="C92" s="302" t="s">
        <v>4103</v>
      </c>
      <c r="D92" s="248" t="s">
        <v>52</v>
      </c>
      <c r="E92" s="247">
        <v>251.56</v>
      </c>
      <c r="F92" s="212">
        <f t="shared" si="11"/>
        <v>462.7700000000001</v>
      </c>
      <c r="G92" s="219">
        <f t="shared" si="10"/>
        <v>116414.42120000003</v>
      </c>
    </row>
    <row r="93" spans="2:12">
      <c r="B93" s="252"/>
      <c r="C93" s="233" t="s">
        <v>4104</v>
      </c>
      <c r="D93" s="248" t="s">
        <v>52</v>
      </c>
      <c r="E93" s="247">
        <v>150.93599999999998</v>
      </c>
      <c r="F93" s="212">
        <f t="shared" si="11"/>
        <v>462.7700000000001</v>
      </c>
      <c r="G93" s="219">
        <f t="shared" si="10"/>
        <v>69848.652719999998</v>
      </c>
    </row>
    <row r="94" spans="2:12" ht="18" customHeight="1">
      <c r="B94" s="235"/>
      <c r="C94" s="234" t="s">
        <v>4105</v>
      </c>
      <c r="D94" s="250"/>
      <c r="E94" s="247"/>
      <c r="F94" s="213"/>
      <c r="G94" s="219"/>
    </row>
    <row r="95" spans="2:12">
      <c r="B95" s="252"/>
      <c r="C95" s="233" t="s">
        <v>4098</v>
      </c>
      <c r="D95" s="248"/>
      <c r="E95" s="247"/>
      <c r="F95" s="212"/>
      <c r="G95" s="219"/>
    </row>
    <row r="96" spans="2:12">
      <c r="B96" s="252"/>
      <c r="C96" s="302" t="s">
        <v>4099</v>
      </c>
      <c r="D96" s="248" t="s">
        <v>52</v>
      </c>
      <c r="E96" s="247">
        <v>399.36</v>
      </c>
      <c r="F96" s="212">
        <f>F93</f>
        <v>462.7700000000001</v>
      </c>
      <c r="G96" s="219">
        <f>E96*F96</f>
        <v>184811.82720000006</v>
      </c>
    </row>
    <row r="97" spans="2:7">
      <c r="B97" s="252"/>
      <c r="C97" s="302" t="s">
        <v>4100</v>
      </c>
      <c r="D97" s="248" t="s">
        <v>52</v>
      </c>
      <c r="E97" s="247">
        <v>399.36</v>
      </c>
      <c r="F97" s="212">
        <f>F96</f>
        <v>462.7700000000001</v>
      </c>
      <c r="G97" s="219">
        <f t="shared" ref="G97:G101" si="12">E97*F97</f>
        <v>184811.82720000006</v>
      </c>
    </row>
    <row r="98" spans="2:7">
      <c r="B98" s="252"/>
      <c r="C98" s="302" t="s">
        <v>4101</v>
      </c>
      <c r="D98" s="248" t="s">
        <v>52</v>
      </c>
      <c r="E98" s="247">
        <v>399.36</v>
      </c>
      <c r="F98" s="212">
        <f t="shared" ref="F98:F101" si="13">F97</f>
        <v>462.7700000000001</v>
      </c>
      <c r="G98" s="219">
        <f t="shared" si="12"/>
        <v>184811.82720000006</v>
      </c>
    </row>
    <row r="99" spans="2:7">
      <c r="B99" s="252"/>
      <c r="C99" s="302" t="s">
        <v>4102</v>
      </c>
      <c r="D99" s="248" t="s">
        <v>52</v>
      </c>
      <c r="E99" s="247">
        <v>399.36</v>
      </c>
      <c r="F99" s="212">
        <f t="shared" si="13"/>
        <v>462.7700000000001</v>
      </c>
      <c r="G99" s="219">
        <f t="shared" si="12"/>
        <v>184811.82720000006</v>
      </c>
    </row>
    <row r="100" spans="2:7">
      <c r="B100" s="252"/>
      <c r="C100" s="302" t="s">
        <v>4103</v>
      </c>
      <c r="D100" s="248" t="s">
        <v>52</v>
      </c>
      <c r="E100" s="247">
        <v>399.36</v>
      </c>
      <c r="F100" s="212">
        <f t="shared" si="13"/>
        <v>462.7700000000001</v>
      </c>
      <c r="G100" s="219">
        <f t="shared" si="12"/>
        <v>184811.82720000006</v>
      </c>
    </row>
    <row r="101" spans="2:7">
      <c r="B101" s="232"/>
      <c r="C101" s="231" t="s">
        <v>4104</v>
      </c>
      <c r="D101" s="230" t="s">
        <v>52</v>
      </c>
      <c r="E101" s="229">
        <v>239.61599999999999</v>
      </c>
      <c r="F101" s="210">
        <f t="shared" si="13"/>
        <v>462.7700000000001</v>
      </c>
      <c r="G101" s="217">
        <f t="shared" si="12"/>
        <v>110887.09632000001</v>
      </c>
    </row>
    <row r="102" spans="2:7" ht="18" customHeight="1">
      <c r="B102" s="239"/>
      <c r="C102" s="228" t="s">
        <v>4106</v>
      </c>
      <c r="D102" s="237"/>
      <c r="E102" s="227"/>
      <c r="F102" s="211"/>
      <c r="G102" s="218"/>
    </row>
    <row r="103" spans="2:7">
      <c r="B103" s="252"/>
      <c r="C103" s="233" t="s">
        <v>4098</v>
      </c>
      <c r="D103" s="248"/>
      <c r="E103" s="247"/>
      <c r="F103" s="212"/>
      <c r="G103" s="219"/>
    </row>
    <row r="104" spans="2:7">
      <c r="B104" s="252"/>
      <c r="C104" s="302" t="s">
        <v>4099</v>
      </c>
      <c r="D104" s="248" t="s">
        <v>52</v>
      </c>
      <c r="E104" s="247">
        <v>519.12</v>
      </c>
      <c r="F104" s="212">
        <f>F101</f>
        <v>462.7700000000001</v>
      </c>
      <c r="G104" s="219">
        <f>E104*F104</f>
        <v>240233.16240000006</v>
      </c>
    </row>
    <row r="105" spans="2:7">
      <c r="B105" s="252"/>
      <c r="C105" s="302" t="s">
        <v>4100</v>
      </c>
      <c r="D105" s="248" t="s">
        <v>52</v>
      </c>
      <c r="E105" s="247">
        <v>519.12</v>
      </c>
      <c r="F105" s="212">
        <f>F104</f>
        <v>462.7700000000001</v>
      </c>
      <c r="G105" s="219">
        <f t="shared" ref="G105:G109" si="14">E105*F105</f>
        <v>240233.16240000006</v>
      </c>
    </row>
    <row r="106" spans="2:7">
      <c r="B106" s="252"/>
      <c r="C106" s="302" t="s">
        <v>4101</v>
      </c>
      <c r="D106" s="248" t="s">
        <v>52</v>
      </c>
      <c r="E106" s="247">
        <v>519.12</v>
      </c>
      <c r="F106" s="212">
        <f t="shared" ref="F106:F109" si="15">F105</f>
        <v>462.7700000000001</v>
      </c>
      <c r="G106" s="219">
        <f t="shared" si="14"/>
        <v>240233.16240000006</v>
      </c>
    </row>
    <row r="107" spans="2:7">
      <c r="B107" s="252"/>
      <c r="C107" s="302" t="s">
        <v>4102</v>
      </c>
      <c r="D107" s="248" t="s">
        <v>52</v>
      </c>
      <c r="E107" s="247">
        <v>519.12</v>
      </c>
      <c r="F107" s="212">
        <f t="shared" si="15"/>
        <v>462.7700000000001</v>
      </c>
      <c r="G107" s="219">
        <f t="shared" si="14"/>
        <v>240233.16240000006</v>
      </c>
    </row>
    <row r="108" spans="2:7">
      <c r="B108" s="252"/>
      <c r="C108" s="302" t="s">
        <v>4103</v>
      </c>
      <c r="D108" s="248" t="s">
        <v>52</v>
      </c>
      <c r="E108" s="247">
        <v>519.12</v>
      </c>
      <c r="F108" s="212">
        <f t="shared" si="15"/>
        <v>462.7700000000001</v>
      </c>
      <c r="G108" s="219">
        <f t="shared" si="14"/>
        <v>240233.16240000006</v>
      </c>
    </row>
    <row r="109" spans="2:7">
      <c r="B109" s="252"/>
      <c r="C109" s="233" t="s">
        <v>4104</v>
      </c>
      <c r="D109" s="248" t="s">
        <v>52</v>
      </c>
      <c r="E109" s="247">
        <v>311.47199999999998</v>
      </c>
      <c r="F109" s="212">
        <f t="shared" si="15"/>
        <v>462.7700000000001</v>
      </c>
      <c r="G109" s="219">
        <f t="shared" si="14"/>
        <v>144139.89744000003</v>
      </c>
    </row>
    <row r="110" spans="2:7" ht="18" customHeight="1">
      <c r="B110" s="235"/>
      <c r="C110" s="234" t="s">
        <v>4107</v>
      </c>
      <c r="D110" s="250"/>
      <c r="E110" s="247"/>
      <c r="F110" s="213"/>
      <c r="G110" s="219"/>
    </row>
    <row r="111" spans="2:7">
      <c r="B111" s="252"/>
      <c r="C111" s="233" t="s">
        <v>4098</v>
      </c>
      <c r="D111" s="248"/>
      <c r="E111" s="247"/>
      <c r="F111" s="212"/>
      <c r="G111" s="219"/>
    </row>
    <row r="112" spans="2:7">
      <c r="B112" s="252"/>
      <c r="C112" s="302" t="s">
        <v>4099</v>
      </c>
      <c r="D112" s="248" t="s">
        <v>52</v>
      </c>
      <c r="E112" s="247">
        <v>671.96</v>
      </c>
      <c r="F112" s="212">
        <f>F109</f>
        <v>462.7700000000001</v>
      </c>
      <c r="G112" s="219">
        <f>E112*F112</f>
        <v>310962.92920000007</v>
      </c>
    </row>
    <row r="113" spans="2:7">
      <c r="B113" s="252"/>
      <c r="C113" s="302" t="s">
        <v>4100</v>
      </c>
      <c r="D113" s="248" t="s">
        <v>52</v>
      </c>
      <c r="E113" s="247">
        <v>671.96</v>
      </c>
      <c r="F113" s="212">
        <f>F112</f>
        <v>462.7700000000001</v>
      </c>
      <c r="G113" s="219">
        <f t="shared" ref="G113:G117" si="16">E113*F113</f>
        <v>310962.92920000007</v>
      </c>
    </row>
    <row r="114" spans="2:7">
      <c r="B114" s="252"/>
      <c r="C114" s="302" t="s">
        <v>4101</v>
      </c>
      <c r="D114" s="248" t="s">
        <v>52</v>
      </c>
      <c r="E114" s="247">
        <v>671.96</v>
      </c>
      <c r="F114" s="212">
        <f t="shared" ref="F114:F117" si="17">F113</f>
        <v>462.7700000000001</v>
      </c>
      <c r="G114" s="219">
        <f t="shared" si="16"/>
        <v>310962.92920000007</v>
      </c>
    </row>
    <row r="115" spans="2:7">
      <c r="B115" s="252"/>
      <c r="C115" s="302" t="s">
        <v>4102</v>
      </c>
      <c r="D115" s="248" t="s">
        <v>52</v>
      </c>
      <c r="E115" s="247">
        <v>671.96</v>
      </c>
      <c r="F115" s="212">
        <f t="shared" si="17"/>
        <v>462.7700000000001</v>
      </c>
      <c r="G115" s="219">
        <f t="shared" si="16"/>
        <v>310962.92920000007</v>
      </c>
    </row>
    <row r="116" spans="2:7">
      <c r="B116" s="252"/>
      <c r="C116" s="302" t="s">
        <v>4103</v>
      </c>
      <c r="D116" s="248" t="s">
        <v>52</v>
      </c>
      <c r="E116" s="247">
        <v>671.96</v>
      </c>
      <c r="F116" s="212">
        <f t="shared" si="17"/>
        <v>462.7700000000001</v>
      </c>
      <c r="G116" s="219">
        <f t="shared" si="16"/>
        <v>310962.92920000007</v>
      </c>
    </row>
    <row r="117" spans="2:7">
      <c r="B117" s="252"/>
      <c r="C117" s="233" t="s">
        <v>4104</v>
      </c>
      <c r="D117" s="248" t="s">
        <v>52</v>
      </c>
      <c r="E117" s="247">
        <v>403.17599999999999</v>
      </c>
      <c r="F117" s="212">
        <f t="shared" si="17"/>
        <v>462.7700000000001</v>
      </c>
      <c r="G117" s="219">
        <f t="shared" si="16"/>
        <v>186577.75752000004</v>
      </c>
    </row>
    <row r="118" spans="2:7" ht="18" customHeight="1">
      <c r="B118" s="235"/>
      <c r="C118" s="234" t="s">
        <v>4108</v>
      </c>
      <c r="D118" s="250"/>
      <c r="E118" s="247"/>
      <c r="F118" s="213"/>
      <c r="G118" s="219"/>
    </row>
    <row r="119" spans="2:7">
      <c r="B119" s="252"/>
      <c r="C119" s="233" t="s">
        <v>4098</v>
      </c>
      <c r="D119" s="248"/>
      <c r="E119" s="247"/>
      <c r="F119" s="212"/>
      <c r="G119" s="219"/>
    </row>
    <row r="120" spans="2:7">
      <c r="B120" s="252"/>
      <c r="C120" s="302" t="s">
        <v>4099</v>
      </c>
      <c r="D120" s="248" t="s">
        <v>52</v>
      </c>
      <c r="E120" s="247">
        <v>671.96</v>
      </c>
      <c r="F120" s="212">
        <f>F117</f>
        <v>462.7700000000001</v>
      </c>
      <c r="G120" s="219">
        <f>E120*F120</f>
        <v>310962.92920000007</v>
      </c>
    </row>
    <row r="121" spans="2:7">
      <c r="B121" s="252"/>
      <c r="C121" s="302" t="s">
        <v>4100</v>
      </c>
      <c r="D121" s="248" t="s">
        <v>52</v>
      </c>
      <c r="E121" s="247">
        <v>671.96</v>
      </c>
      <c r="F121" s="212">
        <f>F120</f>
        <v>462.7700000000001</v>
      </c>
      <c r="G121" s="219">
        <f t="shared" ref="G121:G125" si="18">E121*F121</f>
        <v>310962.92920000007</v>
      </c>
    </row>
    <row r="122" spans="2:7">
      <c r="B122" s="252"/>
      <c r="C122" s="302" t="s">
        <v>4101</v>
      </c>
      <c r="D122" s="248" t="s">
        <v>52</v>
      </c>
      <c r="E122" s="247">
        <v>671.96</v>
      </c>
      <c r="F122" s="212">
        <f t="shared" ref="F122:F125" si="19">F121</f>
        <v>462.7700000000001</v>
      </c>
      <c r="G122" s="219">
        <f t="shared" si="18"/>
        <v>310962.92920000007</v>
      </c>
    </row>
    <row r="123" spans="2:7">
      <c r="B123" s="252"/>
      <c r="C123" s="302" t="s">
        <v>4102</v>
      </c>
      <c r="D123" s="248" t="s">
        <v>52</v>
      </c>
      <c r="E123" s="247">
        <v>671.96</v>
      </c>
      <c r="F123" s="212">
        <f t="shared" si="19"/>
        <v>462.7700000000001</v>
      </c>
      <c r="G123" s="219">
        <f t="shared" si="18"/>
        <v>310962.92920000007</v>
      </c>
    </row>
    <row r="124" spans="2:7">
      <c r="B124" s="252"/>
      <c r="C124" s="302" t="s">
        <v>4103</v>
      </c>
      <c r="D124" s="248" t="s">
        <v>52</v>
      </c>
      <c r="E124" s="247">
        <v>671.96</v>
      </c>
      <c r="F124" s="212">
        <f t="shared" si="19"/>
        <v>462.7700000000001</v>
      </c>
      <c r="G124" s="219">
        <f t="shared" si="18"/>
        <v>310962.92920000007</v>
      </c>
    </row>
    <row r="125" spans="2:7">
      <c r="B125" s="252"/>
      <c r="C125" s="233" t="s">
        <v>4104</v>
      </c>
      <c r="D125" s="248" t="s">
        <v>52</v>
      </c>
      <c r="E125" s="247">
        <v>403.17599999999999</v>
      </c>
      <c r="F125" s="212">
        <f t="shared" si="19"/>
        <v>462.7700000000001</v>
      </c>
      <c r="G125" s="219">
        <f t="shared" si="18"/>
        <v>186577.75752000004</v>
      </c>
    </row>
    <row r="126" spans="2:7">
      <c r="B126" s="252"/>
      <c r="C126" s="245"/>
      <c r="D126" s="248"/>
      <c r="E126" s="226"/>
      <c r="F126" s="212"/>
      <c r="G126" s="219"/>
    </row>
    <row r="127" spans="2:7">
      <c r="B127" s="239" t="s">
        <v>735</v>
      </c>
      <c r="C127" s="225" t="s">
        <v>4109</v>
      </c>
      <c r="D127" s="237"/>
      <c r="E127" s="236"/>
      <c r="F127" s="209"/>
      <c r="G127" s="218"/>
    </row>
    <row r="128" spans="2:7">
      <c r="B128" s="252"/>
      <c r="C128" s="302" t="s">
        <v>2082</v>
      </c>
      <c r="D128" s="248" t="s">
        <v>52</v>
      </c>
      <c r="E128" s="224">
        <v>60</v>
      </c>
      <c r="F128" s="212">
        <f>F125</f>
        <v>462.7700000000001</v>
      </c>
      <c r="G128" s="219">
        <f>E128*F128</f>
        <v>27766.200000000004</v>
      </c>
    </row>
    <row r="129" spans="2:7">
      <c r="B129" s="252"/>
      <c r="C129" s="302" t="s">
        <v>2083</v>
      </c>
      <c r="D129" s="248" t="s">
        <v>918</v>
      </c>
      <c r="E129" s="224">
        <v>1</v>
      </c>
      <c r="F129" s="212">
        <f>20000</f>
        <v>20000</v>
      </c>
      <c r="G129" s="219">
        <f t="shared" ref="G129:G130" si="20">E129*F129</f>
        <v>20000</v>
      </c>
    </row>
    <row r="130" spans="2:7" ht="15.75" thickBot="1">
      <c r="B130" s="208"/>
      <c r="C130" s="207" t="s">
        <v>4110</v>
      </c>
      <c r="D130" s="206" t="s">
        <v>918</v>
      </c>
      <c r="E130" s="205">
        <v>1</v>
      </c>
      <c r="F130" s="204">
        <f>F129</f>
        <v>20000</v>
      </c>
      <c r="G130" s="203">
        <f t="shared" si="20"/>
        <v>20000</v>
      </c>
    </row>
    <row r="131" spans="2:7" ht="15.75" thickTop="1"/>
    <row r="132" spans="2:7" ht="15.75" thickTop="1"/>
  </sheetData>
  <mergeCells count="13">
    <mergeCell ref="H13:I13"/>
    <mergeCell ref="B7:B9"/>
    <mergeCell ref="C7:C9"/>
    <mergeCell ref="D7:G7"/>
    <mergeCell ref="D8:D9"/>
    <mergeCell ref="E8:E9"/>
    <mergeCell ref="H12:I12"/>
    <mergeCell ref="B5:G5"/>
    <mergeCell ref="B2:G2"/>
    <mergeCell ref="B3:G3"/>
    <mergeCell ref="T3:U3"/>
    <mergeCell ref="B4:G4"/>
    <mergeCell ref="T4:U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orientation="portrait" horizontalDpi="4294967293" verticalDpi="4294967293" r:id="rId1"/>
  <rowBreaks count="1" manualBreakCount="1">
    <brk id="101" min="1" max="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FF00"/>
  </sheetPr>
  <dimension ref="C1:R659"/>
  <sheetViews>
    <sheetView topLeftCell="A123" zoomScale="70" zoomScaleNormal="70" workbookViewId="0">
      <selection activeCell="I223" sqref="I223"/>
    </sheetView>
  </sheetViews>
  <sheetFormatPr defaultRowHeight="15"/>
  <cols>
    <col min="1" max="2" width="3.28515625" customWidth="1"/>
    <col min="3" max="3" width="6.85546875" customWidth="1"/>
    <col min="4" max="4" width="51.28515625" customWidth="1"/>
    <col min="5" max="5" width="10.140625" customWidth="1"/>
    <col min="6" max="6" width="11.42578125" customWidth="1"/>
    <col min="7" max="8" width="17.5703125" style="655" hidden="1" customWidth="1"/>
    <col min="9" max="9" width="17.5703125" style="932" customWidth="1"/>
    <col min="10" max="10" width="19.85546875" style="932" bestFit="1" customWidth="1"/>
    <col min="11" max="11" width="13.5703125" style="655" customWidth="1"/>
    <col min="12" max="12" width="6.7109375" customWidth="1"/>
    <col min="253" max="253" width="3.28515625" customWidth="1"/>
    <col min="254" max="254" width="3.85546875" bestFit="1" customWidth="1"/>
    <col min="255" max="255" width="61.7109375" customWidth="1"/>
    <col min="256" max="256" width="10.140625" customWidth="1"/>
    <col min="257" max="257" width="11.42578125" customWidth="1"/>
    <col min="258" max="258" width="17.5703125" customWidth="1"/>
    <col min="259" max="259" width="19.7109375" customWidth="1"/>
    <col min="262" max="262" width="10.5703125" bestFit="1" customWidth="1"/>
    <col min="263" max="263" width="25.7109375" bestFit="1" customWidth="1"/>
    <col min="264" max="265" width="20.7109375" bestFit="1" customWidth="1"/>
    <col min="266" max="266" width="18.7109375" customWidth="1"/>
    <col min="509" max="509" width="3.28515625" customWidth="1"/>
    <col min="510" max="510" width="3.85546875" bestFit="1" customWidth="1"/>
    <col min="511" max="511" width="61.7109375" customWidth="1"/>
    <col min="512" max="512" width="10.140625" customWidth="1"/>
    <col min="513" max="513" width="11.42578125" customWidth="1"/>
    <col min="514" max="514" width="17.5703125" customWidth="1"/>
    <col min="515" max="515" width="19.7109375" customWidth="1"/>
    <col min="518" max="518" width="10.5703125" bestFit="1" customWidth="1"/>
    <col min="519" max="519" width="25.7109375" bestFit="1" customWidth="1"/>
    <col min="520" max="521" width="20.7109375" bestFit="1" customWidth="1"/>
    <col min="522" max="522" width="18.7109375" customWidth="1"/>
    <col min="765" max="765" width="3.28515625" customWidth="1"/>
    <col min="766" max="766" width="3.85546875" bestFit="1" customWidth="1"/>
    <col min="767" max="767" width="61.7109375" customWidth="1"/>
    <col min="768" max="768" width="10.140625" customWidth="1"/>
    <col min="769" max="769" width="11.42578125" customWidth="1"/>
    <col min="770" max="770" width="17.5703125" customWidth="1"/>
    <col min="771" max="771" width="19.7109375" customWidth="1"/>
    <col min="774" max="774" width="10.5703125" bestFit="1" customWidth="1"/>
    <col min="775" max="775" width="25.7109375" bestFit="1" customWidth="1"/>
    <col min="776" max="777" width="20.7109375" bestFit="1" customWidth="1"/>
    <col min="778" max="778" width="18.7109375" customWidth="1"/>
    <col min="1021" max="1021" width="3.28515625" customWidth="1"/>
    <col min="1022" max="1022" width="3.85546875" bestFit="1" customWidth="1"/>
    <col min="1023" max="1023" width="61.7109375" customWidth="1"/>
    <col min="1024" max="1024" width="10.140625" customWidth="1"/>
    <col min="1025" max="1025" width="11.42578125" customWidth="1"/>
    <col min="1026" max="1026" width="17.5703125" customWidth="1"/>
    <col min="1027" max="1027" width="19.7109375" customWidth="1"/>
    <col min="1030" max="1030" width="10.5703125" bestFit="1" customWidth="1"/>
    <col min="1031" max="1031" width="25.7109375" bestFit="1" customWidth="1"/>
    <col min="1032" max="1033" width="20.7109375" bestFit="1" customWidth="1"/>
    <col min="1034" max="1034" width="18.7109375" customWidth="1"/>
    <col min="1277" max="1277" width="3.28515625" customWidth="1"/>
    <col min="1278" max="1278" width="3.85546875" bestFit="1" customWidth="1"/>
    <col min="1279" max="1279" width="61.7109375" customWidth="1"/>
    <col min="1280" max="1280" width="10.140625" customWidth="1"/>
    <col min="1281" max="1281" width="11.42578125" customWidth="1"/>
    <col min="1282" max="1282" width="17.5703125" customWidth="1"/>
    <col min="1283" max="1283" width="19.7109375" customWidth="1"/>
    <col min="1286" max="1286" width="10.5703125" bestFit="1" customWidth="1"/>
    <col min="1287" max="1287" width="25.7109375" bestFit="1" customWidth="1"/>
    <col min="1288" max="1289" width="20.7109375" bestFit="1" customWidth="1"/>
    <col min="1290" max="1290" width="18.7109375" customWidth="1"/>
    <col min="1533" max="1533" width="3.28515625" customWidth="1"/>
    <col min="1534" max="1534" width="3.85546875" bestFit="1" customWidth="1"/>
    <col min="1535" max="1535" width="61.7109375" customWidth="1"/>
    <col min="1536" max="1536" width="10.140625" customWidth="1"/>
    <col min="1537" max="1537" width="11.42578125" customWidth="1"/>
    <col min="1538" max="1538" width="17.5703125" customWidth="1"/>
    <col min="1539" max="1539" width="19.7109375" customWidth="1"/>
    <col min="1542" max="1542" width="10.5703125" bestFit="1" customWidth="1"/>
    <col min="1543" max="1543" width="25.7109375" bestFit="1" customWidth="1"/>
    <col min="1544" max="1545" width="20.7109375" bestFit="1" customWidth="1"/>
    <col min="1546" max="1546" width="18.7109375" customWidth="1"/>
    <col min="1789" max="1789" width="3.28515625" customWidth="1"/>
    <col min="1790" max="1790" width="3.85546875" bestFit="1" customWidth="1"/>
    <col min="1791" max="1791" width="61.7109375" customWidth="1"/>
    <col min="1792" max="1792" width="10.140625" customWidth="1"/>
    <col min="1793" max="1793" width="11.42578125" customWidth="1"/>
    <col min="1794" max="1794" width="17.5703125" customWidth="1"/>
    <col min="1795" max="1795" width="19.7109375" customWidth="1"/>
    <col min="1798" max="1798" width="10.5703125" bestFit="1" customWidth="1"/>
    <col min="1799" max="1799" width="25.7109375" bestFit="1" customWidth="1"/>
    <col min="1800" max="1801" width="20.7109375" bestFit="1" customWidth="1"/>
    <col min="1802" max="1802" width="18.7109375" customWidth="1"/>
    <col min="2045" max="2045" width="3.28515625" customWidth="1"/>
    <col min="2046" max="2046" width="3.85546875" bestFit="1" customWidth="1"/>
    <col min="2047" max="2047" width="61.7109375" customWidth="1"/>
    <col min="2048" max="2048" width="10.140625" customWidth="1"/>
    <col min="2049" max="2049" width="11.42578125" customWidth="1"/>
    <col min="2050" max="2050" width="17.5703125" customWidth="1"/>
    <col min="2051" max="2051" width="19.7109375" customWidth="1"/>
    <col min="2054" max="2054" width="10.5703125" bestFit="1" customWidth="1"/>
    <col min="2055" max="2055" width="25.7109375" bestFit="1" customWidth="1"/>
    <col min="2056" max="2057" width="20.7109375" bestFit="1" customWidth="1"/>
    <col min="2058" max="2058" width="18.7109375" customWidth="1"/>
    <col min="2301" max="2301" width="3.28515625" customWidth="1"/>
    <col min="2302" max="2302" width="3.85546875" bestFit="1" customWidth="1"/>
    <col min="2303" max="2303" width="61.7109375" customWidth="1"/>
    <col min="2304" max="2304" width="10.140625" customWidth="1"/>
    <col min="2305" max="2305" width="11.42578125" customWidth="1"/>
    <col min="2306" max="2306" width="17.5703125" customWidth="1"/>
    <col min="2307" max="2307" width="19.7109375" customWidth="1"/>
    <col min="2310" max="2310" width="10.5703125" bestFit="1" customWidth="1"/>
    <col min="2311" max="2311" width="25.7109375" bestFit="1" customWidth="1"/>
    <col min="2312" max="2313" width="20.7109375" bestFit="1" customWidth="1"/>
    <col min="2314" max="2314" width="18.7109375" customWidth="1"/>
    <col min="2557" max="2557" width="3.28515625" customWidth="1"/>
    <col min="2558" max="2558" width="3.85546875" bestFit="1" customWidth="1"/>
    <col min="2559" max="2559" width="61.7109375" customWidth="1"/>
    <col min="2560" max="2560" width="10.140625" customWidth="1"/>
    <col min="2561" max="2561" width="11.42578125" customWidth="1"/>
    <col min="2562" max="2562" width="17.5703125" customWidth="1"/>
    <col min="2563" max="2563" width="19.7109375" customWidth="1"/>
    <col min="2566" max="2566" width="10.5703125" bestFit="1" customWidth="1"/>
    <col min="2567" max="2567" width="25.7109375" bestFit="1" customWidth="1"/>
    <col min="2568" max="2569" width="20.7109375" bestFit="1" customWidth="1"/>
    <col min="2570" max="2570" width="18.7109375" customWidth="1"/>
    <col min="2813" max="2813" width="3.28515625" customWidth="1"/>
    <col min="2814" max="2814" width="3.85546875" bestFit="1" customWidth="1"/>
    <col min="2815" max="2815" width="61.7109375" customWidth="1"/>
    <col min="2816" max="2816" width="10.140625" customWidth="1"/>
    <col min="2817" max="2817" width="11.42578125" customWidth="1"/>
    <col min="2818" max="2818" width="17.5703125" customWidth="1"/>
    <col min="2819" max="2819" width="19.7109375" customWidth="1"/>
    <col min="2822" max="2822" width="10.5703125" bestFit="1" customWidth="1"/>
    <col min="2823" max="2823" width="25.7109375" bestFit="1" customWidth="1"/>
    <col min="2824" max="2825" width="20.7109375" bestFit="1" customWidth="1"/>
    <col min="2826" max="2826" width="18.7109375" customWidth="1"/>
    <col min="3069" max="3069" width="3.28515625" customWidth="1"/>
    <col min="3070" max="3070" width="3.85546875" bestFit="1" customWidth="1"/>
    <col min="3071" max="3071" width="61.7109375" customWidth="1"/>
    <col min="3072" max="3072" width="10.140625" customWidth="1"/>
    <col min="3073" max="3073" width="11.42578125" customWidth="1"/>
    <col min="3074" max="3074" width="17.5703125" customWidth="1"/>
    <col min="3075" max="3075" width="19.7109375" customWidth="1"/>
    <col min="3078" max="3078" width="10.5703125" bestFit="1" customWidth="1"/>
    <col min="3079" max="3079" width="25.7109375" bestFit="1" customWidth="1"/>
    <col min="3080" max="3081" width="20.7109375" bestFit="1" customWidth="1"/>
    <col min="3082" max="3082" width="18.7109375" customWidth="1"/>
    <col min="3325" max="3325" width="3.28515625" customWidth="1"/>
    <col min="3326" max="3326" width="3.85546875" bestFit="1" customWidth="1"/>
    <col min="3327" max="3327" width="61.7109375" customWidth="1"/>
    <col min="3328" max="3328" width="10.140625" customWidth="1"/>
    <col min="3329" max="3329" width="11.42578125" customWidth="1"/>
    <col min="3330" max="3330" width="17.5703125" customWidth="1"/>
    <col min="3331" max="3331" width="19.7109375" customWidth="1"/>
    <col min="3334" max="3334" width="10.5703125" bestFit="1" customWidth="1"/>
    <col min="3335" max="3335" width="25.7109375" bestFit="1" customWidth="1"/>
    <col min="3336" max="3337" width="20.7109375" bestFit="1" customWidth="1"/>
    <col min="3338" max="3338" width="18.7109375" customWidth="1"/>
    <col min="3581" max="3581" width="3.28515625" customWidth="1"/>
    <col min="3582" max="3582" width="3.85546875" bestFit="1" customWidth="1"/>
    <col min="3583" max="3583" width="61.7109375" customWidth="1"/>
    <col min="3584" max="3584" width="10.140625" customWidth="1"/>
    <col min="3585" max="3585" width="11.42578125" customWidth="1"/>
    <col min="3586" max="3586" width="17.5703125" customWidth="1"/>
    <col min="3587" max="3587" width="19.7109375" customWidth="1"/>
    <col min="3590" max="3590" width="10.5703125" bestFit="1" customWidth="1"/>
    <col min="3591" max="3591" width="25.7109375" bestFit="1" customWidth="1"/>
    <col min="3592" max="3593" width="20.7109375" bestFit="1" customWidth="1"/>
    <col min="3594" max="3594" width="18.7109375" customWidth="1"/>
    <col min="3837" max="3837" width="3.28515625" customWidth="1"/>
    <col min="3838" max="3838" width="3.85546875" bestFit="1" customWidth="1"/>
    <col min="3839" max="3839" width="61.7109375" customWidth="1"/>
    <col min="3840" max="3840" width="10.140625" customWidth="1"/>
    <col min="3841" max="3841" width="11.42578125" customWidth="1"/>
    <col min="3842" max="3842" width="17.5703125" customWidth="1"/>
    <col min="3843" max="3843" width="19.7109375" customWidth="1"/>
    <col min="3846" max="3846" width="10.5703125" bestFit="1" customWidth="1"/>
    <col min="3847" max="3847" width="25.7109375" bestFit="1" customWidth="1"/>
    <col min="3848" max="3849" width="20.7109375" bestFit="1" customWidth="1"/>
    <col min="3850" max="3850" width="18.7109375" customWidth="1"/>
    <col min="4093" max="4093" width="3.28515625" customWidth="1"/>
    <col min="4094" max="4094" width="3.85546875" bestFit="1" customWidth="1"/>
    <col min="4095" max="4095" width="61.7109375" customWidth="1"/>
    <col min="4096" max="4096" width="10.140625" customWidth="1"/>
    <col min="4097" max="4097" width="11.42578125" customWidth="1"/>
    <col min="4098" max="4098" width="17.5703125" customWidth="1"/>
    <col min="4099" max="4099" width="19.7109375" customWidth="1"/>
    <col min="4102" max="4102" width="10.5703125" bestFit="1" customWidth="1"/>
    <col min="4103" max="4103" width="25.7109375" bestFit="1" customWidth="1"/>
    <col min="4104" max="4105" width="20.7109375" bestFit="1" customWidth="1"/>
    <col min="4106" max="4106" width="18.7109375" customWidth="1"/>
    <col min="4349" max="4349" width="3.28515625" customWidth="1"/>
    <col min="4350" max="4350" width="3.85546875" bestFit="1" customWidth="1"/>
    <col min="4351" max="4351" width="61.7109375" customWidth="1"/>
    <col min="4352" max="4352" width="10.140625" customWidth="1"/>
    <col min="4353" max="4353" width="11.42578125" customWidth="1"/>
    <col min="4354" max="4354" width="17.5703125" customWidth="1"/>
    <col min="4355" max="4355" width="19.7109375" customWidth="1"/>
    <col min="4358" max="4358" width="10.5703125" bestFit="1" customWidth="1"/>
    <col min="4359" max="4359" width="25.7109375" bestFit="1" customWidth="1"/>
    <col min="4360" max="4361" width="20.7109375" bestFit="1" customWidth="1"/>
    <col min="4362" max="4362" width="18.7109375" customWidth="1"/>
    <col min="4605" max="4605" width="3.28515625" customWidth="1"/>
    <col min="4606" max="4606" width="3.85546875" bestFit="1" customWidth="1"/>
    <col min="4607" max="4607" width="61.7109375" customWidth="1"/>
    <col min="4608" max="4608" width="10.140625" customWidth="1"/>
    <col min="4609" max="4609" width="11.42578125" customWidth="1"/>
    <col min="4610" max="4610" width="17.5703125" customWidth="1"/>
    <col min="4611" max="4611" width="19.7109375" customWidth="1"/>
    <col min="4614" max="4614" width="10.5703125" bestFit="1" customWidth="1"/>
    <col min="4615" max="4615" width="25.7109375" bestFit="1" customWidth="1"/>
    <col min="4616" max="4617" width="20.7109375" bestFit="1" customWidth="1"/>
    <col min="4618" max="4618" width="18.7109375" customWidth="1"/>
    <col min="4861" max="4861" width="3.28515625" customWidth="1"/>
    <col min="4862" max="4862" width="3.85546875" bestFit="1" customWidth="1"/>
    <col min="4863" max="4863" width="61.7109375" customWidth="1"/>
    <col min="4864" max="4864" width="10.140625" customWidth="1"/>
    <col min="4865" max="4865" width="11.42578125" customWidth="1"/>
    <col min="4866" max="4866" width="17.5703125" customWidth="1"/>
    <col min="4867" max="4867" width="19.7109375" customWidth="1"/>
    <col min="4870" max="4870" width="10.5703125" bestFit="1" customWidth="1"/>
    <col min="4871" max="4871" width="25.7109375" bestFit="1" customWidth="1"/>
    <col min="4872" max="4873" width="20.7109375" bestFit="1" customWidth="1"/>
    <col min="4874" max="4874" width="18.7109375" customWidth="1"/>
    <col min="5117" max="5117" width="3.28515625" customWidth="1"/>
    <col min="5118" max="5118" width="3.85546875" bestFit="1" customWidth="1"/>
    <col min="5119" max="5119" width="61.7109375" customWidth="1"/>
    <col min="5120" max="5120" width="10.140625" customWidth="1"/>
    <col min="5121" max="5121" width="11.42578125" customWidth="1"/>
    <col min="5122" max="5122" width="17.5703125" customWidth="1"/>
    <col min="5123" max="5123" width="19.7109375" customWidth="1"/>
    <col min="5126" max="5126" width="10.5703125" bestFit="1" customWidth="1"/>
    <col min="5127" max="5127" width="25.7109375" bestFit="1" customWidth="1"/>
    <col min="5128" max="5129" width="20.7109375" bestFit="1" customWidth="1"/>
    <col min="5130" max="5130" width="18.7109375" customWidth="1"/>
    <col min="5373" max="5373" width="3.28515625" customWidth="1"/>
    <col min="5374" max="5374" width="3.85546875" bestFit="1" customWidth="1"/>
    <col min="5375" max="5375" width="61.7109375" customWidth="1"/>
    <col min="5376" max="5376" width="10.140625" customWidth="1"/>
    <col min="5377" max="5377" width="11.42578125" customWidth="1"/>
    <col min="5378" max="5378" width="17.5703125" customWidth="1"/>
    <col min="5379" max="5379" width="19.7109375" customWidth="1"/>
    <col min="5382" max="5382" width="10.5703125" bestFit="1" customWidth="1"/>
    <col min="5383" max="5383" width="25.7109375" bestFit="1" customWidth="1"/>
    <col min="5384" max="5385" width="20.7109375" bestFit="1" customWidth="1"/>
    <col min="5386" max="5386" width="18.7109375" customWidth="1"/>
    <col min="5629" max="5629" width="3.28515625" customWidth="1"/>
    <col min="5630" max="5630" width="3.85546875" bestFit="1" customWidth="1"/>
    <col min="5631" max="5631" width="61.7109375" customWidth="1"/>
    <col min="5632" max="5632" width="10.140625" customWidth="1"/>
    <col min="5633" max="5633" width="11.42578125" customWidth="1"/>
    <col min="5634" max="5634" width="17.5703125" customWidth="1"/>
    <col min="5635" max="5635" width="19.7109375" customWidth="1"/>
    <col min="5638" max="5638" width="10.5703125" bestFit="1" customWidth="1"/>
    <col min="5639" max="5639" width="25.7109375" bestFit="1" customWidth="1"/>
    <col min="5640" max="5641" width="20.7109375" bestFit="1" customWidth="1"/>
    <col min="5642" max="5642" width="18.7109375" customWidth="1"/>
    <col min="5885" max="5885" width="3.28515625" customWidth="1"/>
    <col min="5886" max="5886" width="3.85546875" bestFit="1" customWidth="1"/>
    <col min="5887" max="5887" width="61.7109375" customWidth="1"/>
    <col min="5888" max="5888" width="10.140625" customWidth="1"/>
    <col min="5889" max="5889" width="11.42578125" customWidth="1"/>
    <col min="5890" max="5890" width="17.5703125" customWidth="1"/>
    <col min="5891" max="5891" width="19.7109375" customWidth="1"/>
    <col min="5894" max="5894" width="10.5703125" bestFit="1" customWidth="1"/>
    <col min="5895" max="5895" width="25.7109375" bestFit="1" customWidth="1"/>
    <col min="5896" max="5897" width="20.7109375" bestFit="1" customWidth="1"/>
    <col min="5898" max="5898" width="18.7109375" customWidth="1"/>
    <col min="6141" max="6141" width="3.28515625" customWidth="1"/>
    <col min="6142" max="6142" width="3.85546875" bestFit="1" customWidth="1"/>
    <col min="6143" max="6143" width="61.7109375" customWidth="1"/>
    <col min="6144" max="6144" width="10.140625" customWidth="1"/>
    <col min="6145" max="6145" width="11.42578125" customWidth="1"/>
    <col min="6146" max="6146" width="17.5703125" customWidth="1"/>
    <col min="6147" max="6147" width="19.7109375" customWidth="1"/>
    <col min="6150" max="6150" width="10.5703125" bestFit="1" customWidth="1"/>
    <col min="6151" max="6151" width="25.7109375" bestFit="1" customWidth="1"/>
    <col min="6152" max="6153" width="20.7109375" bestFit="1" customWidth="1"/>
    <col min="6154" max="6154" width="18.7109375" customWidth="1"/>
    <col min="6397" max="6397" width="3.28515625" customWidth="1"/>
    <col min="6398" max="6398" width="3.85546875" bestFit="1" customWidth="1"/>
    <col min="6399" max="6399" width="61.7109375" customWidth="1"/>
    <col min="6400" max="6400" width="10.140625" customWidth="1"/>
    <col min="6401" max="6401" width="11.42578125" customWidth="1"/>
    <col min="6402" max="6402" width="17.5703125" customWidth="1"/>
    <col min="6403" max="6403" width="19.7109375" customWidth="1"/>
    <col min="6406" max="6406" width="10.5703125" bestFit="1" customWidth="1"/>
    <col min="6407" max="6407" width="25.7109375" bestFit="1" customWidth="1"/>
    <col min="6408" max="6409" width="20.7109375" bestFit="1" customWidth="1"/>
    <col min="6410" max="6410" width="18.7109375" customWidth="1"/>
    <col min="6653" max="6653" width="3.28515625" customWidth="1"/>
    <col min="6654" max="6654" width="3.85546875" bestFit="1" customWidth="1"/>
    <col min="6655" max="6655" width="61.7109375" customWidth="1"/>
    <col min="6656" max="6656" width="10.140625" customWidth="1"/>
    <col min="6657" max="6657" width="11.42578125" customWidth="1"/>
    <col min="6658" max="6658" width="17.5703125" customWidth="1"/>
    <col min="6659" max="6659" width="19.7109375" customWidth="1"/>
    <col min="6662" max="6662" width="10.5703125" bestFit="1" customWidth="1"/>
    <col min="6663" max="6663" width="25.7109375" bestFit="1" customWidth="1"/>
    <col min="6664" max="6665" width="20.7109375" bestFit="1" customWidth="1"/>
    <col min="6666" max="6666" width="18.7109375" customWidth="1"/>
    <col min="6909" max="6909" width="3.28515625" customWidth="1"/>
    <col min="6910" max="6910" width="3.85546875" bestFit="1" customWidth="1"/>
    <col min="6911" max="6911" width="61.7109375" customWidth="1"/>
    <col min="6912" max="6912" width="10.140625" customWidth="1"/>
    <col min="6913" max="6913" width="11.42578125" customWidth="1"/>
    <col min="6914" max="6914" width="17.5703125" customWidth="1"/>
    <col min="6915" max="6915" width="19.7109375" customWidth="1"/>
    <col min="6918" max="6918" width="10.5703125" bestFit="1" customWidth="1"/>
    <col min="6919" max="6919" width="25.7109375" bestFit="1" customWidth="1"/>
    <col min="6920" max="6921" width="20.7109375" bestFit="1" customWidth="1"/>
    <col min="6922" max="6922" width="18.7109375" customWidth="1"/>
    <col min="7165" max="7165" width="3.28515625" customWidth="1"/>
    <col min="7166" max="7166" width="3.85546875" bestFit="1" customWidth="1"/>
    <col min="7167" max="7167" width="61.7109375" customWidth="1"/>
    <col min="7168" max="7168" width="10.140625" customWidth="1"/>
    <col min="7169" max="7169" width="11.42578125" customWidth="1"/>
    <col min="7170" max="7170" width="17.5703125" customWidth="1"/>
    <col min="7171" max="7171" width="19.7109375" customWidth="1"/>
    <col min="7174" max="7174" width="10.5703125" bestFit="1" customWidth="1"/>
    <col min="7175" max="7175" width="25.7109375" bestFit="1" customWidth="1"/>
    <col min="7176" max="7177" width="20.7109375" bestFit="1" customWidth="1"/>
    <col min="7178" max="7178" width="18.7109375" customWidth="1"/>
    <col min="7421" max="7421" width="3.28515625" customWidth="1"/>
    <col min="7422" max="7422" width="3.85546875" bestFit="1" customWidth="1"/>
    <col min="7423" max="7423" width="61.7109375" customWidth="1"/>
    <col min="7424" max="7424" width="10.140625" customWidth="1"/>
    <col min="7425" max="7425" width="11.42578125" customWidth="1"/>
    <col min="7426" max="7426" width="17.5703125" customWidth="1"/>
    <col min="7427" max="7427" width="19.7109375" customWidth="1"/>
    <col min="7430" max="7430" width="10.5703125" bestFit="1" customWidth="1"/>
    <col min="7431" max="7431" width="25.7109375" bestFit="1" customWidth="1"/>
    <col min="7432" max="7433" width="20.7109375" bestFit="1" customWidth="1"/>
    <col min="7434" max="7434" width="18.7109375" customWidth="1"/>
    <col min="7677" max="7677" width="3.28515625" customWidth="1"/>
    <col min="7678" max="7678" width="3.85546875" bestFit="1" customWidth="1"/>
    <col min="7679" max="7679" width="61.7109375" customWidth="1"/>
    <col min="7680" max="7680" width="10.140625" customWidth="1"/>
    <col min="7681" max="7681" width="11.42578125" customWidth="1"/>
    <col min="7682" max="7682" width="17.5703125" customWidth="1"/>
    <col min="7683" max="7683" width="19.7109375" customWidth="1"/>
    <col min="7686" max="7686" width="10.5703125" bestFit="1" customWidth="1"/>
    <col min="7687" max="7687" width="25.7109375" bestFit="1" customWidth="1"/>
    <col min="7688" max="7689" width="20.7109375" bestFit="1" customWidth="1"/>
    <col min="7690" max="7690" width="18.7109375" customWidth="1"/>
    <col min="7933" max="7933" width="3.28515625" customWidth="1"/>
    <col min="7934" max="7934" width="3.85546875" bestFit="1" customWidth="1"/>
    <col min="7935" max="7935" width="61.7109375" customWidth="1"/>
    <col min="7936" max="7936" width="10.140625" customWidth="1"/>
    <col min="7937" max="7937" width="11.42578125" customWidth="1"/>
    <col min="7938" max="7938" width="17.5703125" customWidth="1"/>
    <col min="7939" max="7939" width="19.7109375" customWidth="1"/>
    <col min="7942" max="7942" width="10.5703125" bestFit="1" customWidth="1"/>
    <col min="7943" max="7943" width="25.7109375" bestFit="1" customWidth="1"/>
    <col min="7944" max="7945" width="20.7109375" bestFit="1" customWidth="1"/>
    <col min="7946" max="7946" width="18.7109375" customWidth="1"/>
    <col min="8189" max="8189" width="3.28515625" customWidth="1"/>
    <col min="8190" max="8190" width="3.85546875" bestFit="1" customWidth="1"/>
    <col min="8191" max="8191" width="61.7109375" customWidth="1"/>
    <col min="8192" max="8192" width="10.140625" customWidth="1"/>
    <col min="8193" max="8193" width="11.42578125" customWidth="1"/>
    <col min="8194" max="8194" width="17.5703125" customWidth="1"/>
    <col min="8195" max="8195" width="19.7109375" customWidth="1"/>
    <col min="8198" max="8198" width="10.5703125" bestFit="1" customWidth="1"/>
    <col min="8199" max="8199" width="25.7109375" bestFit="1" customWidth="1"/>
    <col min="8200" max="8201" width="20.7109375" bestFit="1" customWidth="1"/>
    <col min="8202" max="8202" width="18.7109375" customWidth="1"/>
    <col min="8445" max="8445" width="3.28515625" customWidth="1"/>
    <col min="8446" max="8446" width="3.85546875" bestFit="1" customWidth="1"/>
    <col min="8447" max="8447" width="61.7109375" customWidth="1"/>
    <col min="8448" max="8448" width="10.140625" customWidth="1"/>
    <col min="8449" max="8449" width="11.42578125" customWidth="1"/>
    <col min="8450" max="8450" width="17.5703125" customWidth="1"/>
    <col min="8451" max="8451" width="19.7109375" customWidth="1"/>
    <col min="8454" max="8454" width="10.5703125" bestFit="1" customWidth="1"/>
    <col min="8455" max="8455" width="25.7109375" bestFit="1" customWidth="1"/>
    <col min="8456" max="8457" width="20.7109375" bestFit="1" customWidth="1"/>
    <col min="8458" max="8458" width="18.7109375" customWidth="1"/>
    <col min="8701" max="8701" width="3.28515625" customWidth="1"/>
    <col min="8702" max="8702" width="3.85546875" bestFit="1" customWidth="1"/>
    <col min="8703" max="8703" width="61.7109375" customWidth="1"/>
    <col min="8704" max="8704" width="10.140625" customWidth="1"/>
    <col min="8705" max="8705" width="11.42578125" customWidth="1"/>
    <col min="8706" max="8706" width="17.5703125" customWidth="1"/>
    <col min="8707" max="8707" width="19.7109375" customWidth="1"/>
    <col min="8710" max="8710" width="10.5703125" bestFit="1" customWidth="1"/>
    <col min="8711" max="8711" width="25.7109375" bestFit="1" customWidth="1"/>
    <col min="8712" max="8713" width="20.7109375" bestFit="1" customWidth="1"/>
    <col min="8714" max="8714" width="18.7109375" customWidth="1"/>
    <col min="8957" max="8957" width="3.28515625" customWidth="1"/>
    <col min="8958" max="8958" width="3.85546875" bestFit="1" customWidth="1"/>
    <col min="8959" max="8959" width="61.7109375" customWidth="1"/>
    <col min="8960" max="8960" width="10.140625" customWidth="1"/>
    <col min="8961" max="8961" width="11.42578125" customWidth="1"/>
    <col min="8962" max="8962" width="17.5703125" customWidth="1"/>
    <col min="8963" max="8963" width="19.7109375" customWidth="1"/>
    <col min="8966" max="8966" width="10.5703125" bestFit="1" customWidth="1"/>
    <col min="8967" max="8967" width="25.7109375" bestFit="1" customWidth="1"/>
    <col min="8968" max="8969" width="20.7109375" bestFit="1" customWidth="1"/>
    <col min="8970" max="8970" width="18.7109375" customWidth="1"/>
    <col min="9213" max="9213" width="3.28515625" customWidth="1"/>
    <col min="9214" max="9214" width="3.85546875" bestFit="1" customWidth="1"/>
    <col min="9215" max="9215" width="61.7109375" customWidth="1"/>
    <col min="9216" max="9216" width="10.140625" customWidth="1"/>
    <col min="9217" max="9217" width="11.42578125" customWidth="1"/>
    <col min="9218" max="9218" width="17.5703125" customWidth="1"/>
    <col min="9219" max="9219" width="19.7109375" customWidth="1"/>
    <col min="9222" max="9222" width="10.5703125" bestFit="1" customWidth="1"/>
    <col min="9223" max="9223" width="25.7109375" bestFit="1" customWidth="1"/>
    <col min="9224" max="9225" width="20.7109375" bestFit="1" customWidth="1"/>
    <col min="9226" max="9226" width="18.7109375" customWidth="1"/>
    <col min="9469" max="9469" width="3.28515625" customWidth="1"/>
    <col min="9470" max="9470" width="3.85546875" bestFit="1" customWidth="1"/>
    <col min="9471" max="9471" width="61.7109375" customWidth="1"/>
    <col min="9472" max="9472" width="10.140625" customWidth="1"/>
    <col min="9473" max="9473" width="11.42578125" customWidth="1"/>
    <col min="9474" max="9474" width="17.5703125" customWidth="1"/>
    <col min="9475" max="9475" width="19.7109375" customWidth="1"/>
    <col min="9478" max="9478" width="10.5703125" bestFit="1" customWidth="1"/>
    <col min="9479" max="9479" width="25.7109375" bestFit="1" customWidth="1"/>
    <col min="9480" max="9481" width="20.7109375" bestFit="1" customWidth="1"/>
    <col min="9482" max="9482" width="18.7109375" customWidth="1"/>
    <col min="9725" max="9725" width="3.28515625" customWidth="1"/>
    <col min="9726" max="9726" width="3.85546875" bestFit="1" customWidth="1"/>
    <col min="9727" max="9727" width="61.7109375" customWidth="1"/>
    <col min="9728" max="9728" width="10.140625" customWidth="1"/>
    <col min="9729" max="9729" width="11.42578125" customWidth="1"/>
    <col min="9730" max="9730" width="17.5703125" customWidth="1"/>
    <col min="9731" max="9731" width="19.7109375" customWidth="1"/>
    <col min="9734" max="9734" width="10.5703125" bestFit="1" customWidth="1"/>
    <col min="9735" max="9735" width="25.7109375" bestFit="1" customWidth="1"/>
    <col min="9736" max="9737" width="20.7109375" bestFit="1" customWidth="1"/>
    <col min="9738" max="9738" width="18.7109375" customWidth="1"/>
    <col min="9981" max="9981" width="3.28515625" customWidth="1"/>
    <col min="9982" max="9982" width="3.85546875" bestFit="1" customWidth="1"/>
    <col min="9983" max="9983" width="61.7109375" customWidth="1"/>
    <col min="9984" max="9984" width="10.140625" customWidth="1"/>
    <col min="9985" max="9985" width="11.42578125" customWidth="1"/>
    <col min="9986" max="9986" width="17.5703125" customWidth="1"/>
    <col min="9987" max="9987" width="19.7109375" customWidth="1"/>
    <col min="9990" max="9990" width="10.5703125" bestFit="1" customWidth="1"/>
    <col min="9991" max="9991" width="25.7109375" bestFit="1" customWidth="1"/>
    <col min="9992" max="9993" width="20.7109375" bestFit="1" customWidth="1"/>
    <col min="9994" max="9994" width="18.7109375" customWidth="1"/>
    <col min="10237" max="10237" width="3.28515625" customWidth="1"/>
    <col min="10238" max="10238" width="3.85546875" bestFit="1" customWidth="1"/>
    <col min="10239" max="10239" width="61.7109375" customWidth="1"/>
    <col min="10240" max="10240" width="10.140625" customWidth="1"/>
    <col min="10241" max="10241" width="11.42578125" customWidth="1"/>
    <col min="10242" max="10242" width="17.5703125" customWidth="1"/>
    <col min="10243" max="10243" width="19.7109375" customWidth="1"/>
    <col min="10246" max="10246" width="10.5703125" bestFit="1" customWidth="1"/>
    <col min="10247" max="10247" width="25.7109375" bestFit="1" customWidth="1"/>
    <col min="10248" max="10249" width="20.7109375" bestFit="1" customWidth="1"/>
    <col min="10250" max="10250" width="18.7109375" customWidth="1"/>
    <col min="10493" max="10493" width="3.28515625" customWidth="1"/>
    <col min="10494" max="10494" width="3.85546875" bestFit="1" customWidth="1"/>
    <col min="10495" max="10495" width="61.7109375" customWidth="1"/>
    <col min="10496" max="10496" width="10.140625" customWidth="1"/>
    <col min="10497" max="10497" width="11.42578125" customWidth="1"/>
    <col min="10498" max="10498" width="17.5703125" customWidth="1"/>
    <col min="10499" max="10499" width="19.7109375" customWidth="1"/>
    <col min="10502" max="10502" width="10.5703125" bestFit="1" customWidth="1"/>
    <col min="10503" max="10503" width="25.7109375" bestFit="1" customWidth="1"/>
    <col min="10504" max="10505" width="20.7109375" bestFit="1" customWidth="1"/>
    <col min="10506" max="10506" width="18.7109375" customWidth="1"/>
    <col min="10749" max="10749" width="3.28515625" customWidth="1"/>
    <col min="10750" max="10750" width="3.85546875" bestFit="1" customWidth="1"/>
    <col min="10751" max="10751" width="61.7109375" customWidth="1"/>
    <col min="10752" max="10752" width="10.140625" customWidth="1"/>
    <col min="10753" max="10753" width="11.42578125" customWidth="1"/>
    <col min="10754" max="10754" width="17.5703125" customWidth="1"/>
    <col min="10755" max="10755" width="19.7109375" customWidth="1"/>
    <col min="10758" max="10758" width="10.5703125" bestFit="1" customWidth="1"/>
    <col min="10759" max="10759" width="25.7109375" bestFit="1" customWidth="1"/>
    <col min="10760" max="10761" width="20.7109375" bestFit="1" customWidth="1"/>
    <col min="10762" max="10762" width="18.7109375" customWidth="1"/>
    <col min="11005" max="11005" width="3.28515625" customWidth="1"/>
    <col min="11006" max="11006" width="3.85546875" bestFit="1" customWidth="1"/>
    <col min="11007" max="11007" width="61.7109375" customWidth="1"/>
    <col min="11008" max="11008" width="10.140625" customWidth="1"/>
    <col min="11009" max="11009" width="11.42578125" customWidth="1"/>
    <col min="11010" max="11010" width="17.5703125" customWidth="1"/>
    <col min="11011" max="11011" width="19.7109375" customWidth="1"/>
    <col min="11014" max="11014" width="10.5703125" bestFit="1" customWidth="1"/>
    <col min="11015" max="11015" width="25.7109375" bestFit="1" customWidth="1"/>
    <col min="11016" max="11017" width="20.7109375" bestFit="1" customWidth="1"/>
    <col min="11018" max="11018" width="18.7109375" customWidth="1"/>
    <col min="11261" max="11261" width="3.28515625" customWidth="1"/>
    <col min="11262" max="11262" width="3.85546875" bestFit="1" customWidth="1"/>
    <col min="11263" max="11263" width="61.7109375" customWidth="1"/>
    <col min="11264" max="11264" width="10.140625" customWidth="1"/>
    <col min="11265" max="11265" width="11.42578125" customWidth="1"/>
    <col min="11266" max="11266" width="17.5703125" customWidth="1"/>
    <col min="11267" max="11267" width="19.7109375" customWidth="1"/>
    <col min="11270" max="11270" width="10.5703125" bestFit="1" customWidth="1"/>
    <col min="11271" max="11271" width="25.7109375" bestFit="1" customWidth="1"/>
    <col min="11272" max="11273" width="20.7109375" bestFit="1" customWidth="1"/>
    <col min="11274" max="11274" width="18.7109375" customWidth="1"/>
    <col min="11517" max="11517" width="3.28515625" customWidth="1"/>
    <col min="11518" max="11518" width="3.85546875" bestFit="1" customWidth="1"/>
    <col min="11519" max="11519" width="61.7109375" customWidth="1"/>
    <col min="11520" max="11520" width="10.140625" customWidth="1"/>
    <col min="11521" max="11521" width="11.42578125" customWidth="1"/>
    <col min="11522" max="11522" width="17.5703125" customWidth="1"/>
    <col min="11523" max="11523" width="19.7109375" customWidth="1"/>
    <col min="11526" max="11526" width="10.5703125" bestFit="1" customWidth="1"/>
    <col min="11527" max="11527" width="25.7109375" bestFit="1" customWidth="1"/>
    <col min="11528" max="11529" width="20.7109375" bestFit="1" customWidth="1"/>
    <col min="11530" max="11530" width="18.7109375" customWidth="1"/>
    <col min="11773" max="11773" width="3.28515625" customWidth="1"/>
    <col min="11774" max="11774" width="3.85546875" bestFit="1" customWidth="1"/>
    <col min="11775" max="11775" width="61.7109375" customWidth="1"/>
    <col min="11776" max="11776" width="10.140625" customWidth="1"/>
    <col min="11777" max="11777" width="11.42578125" customWidth="1"/>
    <col min="11778" max="11778" width="17.5703125" customWidth="1"/>
    <col min="11779" max="11779" width="19.7109375" customWidth="1"/>
    <col min="11782" max="11782" width="10.5703125" bestFit="1" customWidth="1"/>
    <col min="11783" max="11783" width="25.7109375" bestFit="1" customWidth="1"/>
    <col min="11784" max="11785" width="20.7109375" bestFit="1" customWidth="1"/>
    <col min="11786" max="11786" width="18.7109375" customWidth="1"/>
    <col min="12029" max="12029" width="3.28515625" customWidth="1"/>
    <col min="12030" max="12030" width="3.85546875" bestFit="1" customWidth="1"/>
    <col min="12031" max="12031" width="61.7109375" customWidth="1"/>
    <col min="12032" max="12032" width="10.140625" customWidth="1"/>
    <col min="12033" max="12033" width="11.42578125" customWidth="1"/>
    <col min="12034" max="12034" width="17.5703125" customWidth="1"/>
    <col min="12035" max="12035" width="19.7109375" customWidth="1"/>
    <col min="12038" max="12038" width="10.5703125" bestFit="1" customWidth="1"/>
    <col min="12039" max="12039" width="25.7109375" bestFit="1" customWidth="1"/>
    <col min="12040" max="12041" width="20.7109375" bestFit="1" customWidth="1"/>
    <col min="12042" max="12042" width="18.7109375" customWidth="1"/>
    <col min="12285" max="12285" width="3.28515625" customWidth="1"/>
    <col min="12286" max="12286" width="3.85546875" bestFit="1" customWidth="1"/>
    <col min="12287" max="12287" width="61.7109375" customWidth="1"/>
    <col min="12288" max="12288" width="10.140625" customWidth="1"/>
    <col min="12289" max="12289" width="11.42578125" customWidth="1"/>
    <col min="12290" max="12290" width="17.5703125" customWidth="1"/>
    <col min="12291" max="12291" width="19.7109375" customWidth="1"/>
    <col min="12294" max="12294" width="10.5703125" bestFit="1" customWidth="1"/>
    <col min="12295" max="12295" width="25.7109375" bestFit="1" customWidth="1"/>
    <col min="12296" max="12297" width="20.7109375" bestFit="1" customWidth="1"/>
    <col min="12298" max="12298" width="18.7109375" customWidth="1"/>
    <col min="12541" max="12541" width="3.28515625" customWidth="1"/>
    <col min="12542" max="12542" width="3.85546875" bestFit="1" customWidth="1"/>
    <col min="12543" max="12543" width="61.7109375" customWidth="1"/>
    <col min="12544" max="12544" width="10.140625" customWidth="1"/>
    <col min="12545" max="12545" width="11.42578125" customWidth="1"/>
    <col min="12546" max="12546" width="17.5703125" customWidth="1"/>
    <col min="12547" max="12547" width="19.7109375" customWidth="1"/>
    <col min="12550" max="12550" width="10.5703125" bestFit="1" customWidth="1"/>
    <col min="12551" max="12551" width="25.7109375" bestFit="1" customWidth="1"/>
    <col min="12552" max="12553" width="20.7109375" bestFit="1" customWidth="1"/>
    <col min="12554" max="12554" width="18.7109375" customWidth="1"/>
    <col min="12797" max="12797" width="3.28515625" customWidth="1"/>
    <col min="12798" max="12798" width="3.85546875" bestFit="1" customWidth="1"/>
    <col min="12799" max="12799" width="61.7109375" customWidth="1"/>
    <col min="12800" max="12800" width="10.140625" customWidth="1"/>
    <col min="12801" max="12801" width="11.42578125" customWidth="1"/>
    <col min="12802" max="12802" width="17.5703125" customWidth="1"/>
    <col min="12803" max="12803" width="19.7109375" customWidth="1"/>
    <col min="12806" max="12806" width="10.5703125" bestFit="1" customWidth="1"/>
    <col min="12807" max="12807" width="25.7109375" bestFit="1" customWidth="1"/>
    <col min="12808" max="12809" width="20.7109375" bestFit="1" customWidth="1"/>
    <col min="12810" max="12810" width="18.7109375" customWidth="1"/>
    <col min="13053" max="13053" width="3.28515625" customWidth="1"/>
    <col min="13054" max="13054" width="3.85546875" bestFit="1" customWidth="1"/>
    <col min="13055" max="13055" width="61.7109375" customWidth="1"/>
    <col min="13056" max="13056" width="10.140625" customWidth="1"/>
    <col min="13057" max="13057" width="11.42578125" customWidth="1"/>
    <col min="13058" max="13058" width="17.5703125" customWidth="1"/>
    <col min="13059" max="13059" width="19.7109375" customWidth="1"/>
    <col min="13062" max="13062" width="10.5703125" bestFit="1" customWidth="1"/>
    <col min="13063" max="13063" width="25.7109375" bestFit="1" customWidth="1"/>
    <col min="13064" max="13065" width="20.7109375" bestFit="1" customWidth="1"/>
    <col min="13066" max="13066" width="18.7109375" customWidth="1"/>
    <col min="13309" max="13309" width="3.28515625" customWidth="1"/>
    <col min="13310" max="13310" width="3.85546875" bestFit="1" customWidth="1"/>
    <col min="13311" max="13311" width="61.7109375" customWidth="1"/>
    <col min="13312" max="13312" width="10.140625" customWidth="1"/>
    <col min="13313" max="13313" width="11.42578125" customWidth="1"/>
    <col min="13314" max="13314" width="17.5703125" customWidth="1"/>
    <col min="13315" max="13315" width="19.7109375" customWidth="1"/>
    <col min="13318" max="13318" width="10.5703125" bestFit="1" customWidth="1"/>
    <col min="13319" max="13319" width="25.7109375" bestFit="1" customWidth="1"/>
    <col min="13320" max="13321" width="20.7109375" bestFit="1" customWidth="1"/>
    <col min="13322" max="13322" width="18.7109375" customWidth="1"/>
    <col min="13565" max="13565" width="3.28515625" customWidth="1"/>
    <col min="13566" max="13566" width="3.85546875" bestFit="1" customWidth="1"/>
    <col min="13567" max="13567" width="61.7109375" customWidth="1"/>
    <col min="13568" max="13568" width="10.140625" customWidth="1"/>
    <col min="13569" max="13569" width="11.42578125" customWidth="1"/>
    <col min="13570" max="13570" width="17.5703125" customWidth="1"/>
    <col min="13571" max="13571" width="19.7109375" customWidth="1"/>
    <col min="13574" max="13574" width="10.5703125" bestFit="1" customWidth="1"/>
    <col min="13575" max="13575" width="25.7109375" bestFit="1" customWidth="1"/>
    <col min="13576" max="13577" width="20.7109375" bestFit="1" customWidth="1"/>
    <col min="13578" max="13578" width="18.7109375" customWidth="1"/>
    <col min="13821" max="13821" width="3.28515625" customWidth="1"/>
    <col min="13822" max="13822" width="3.85546875" bestFit="1" customWidth="1"/>
    <col min="13823" max="13823" width="61.7109375" customWidth="1"/>
    <col min="13824" max="13824" width="10.140625" customWidth="1"/>
    <col min="13825" max="13825" width="11.42578125" customWidth="1"/>
    <col min="13826" max="13826" width="17.5703125" customWidth="1"/>
    <col min="13827" max="13827" width="19.7109375" customWidth="1"/>
    <col min="13830" max="13830" width="10.5703125" bestFit="1" customWidth="1"/>
    <col min="13831" max="13831" width="25.7109375" bestFit="1" customWidth="1"/>
    <col min="13832" max="13833" width="20.7109375" bestFit="1" customWidth="1"/>
    <col min="13834" max="13834" width="18.7109375" customWidth="1"/>
    <col min="14077" max="14077" width="3.28515625" customWidth="1"/>
    <col min="14078" max="14078" width="3.85546875" bestFit="1" customWidth="1"/>
    <col min="14079" max="14079" width="61.7109375" customWidth="1"/>
    <col min="14080" max="14080" width="10.140625" customWidth="1"/>
    <col min="14081" max="14081" width="11.42578125" customWidth="1"/>
    <col min="14082" max="14082" width="17.5703125" customWidth="1"/>
    <col min="14083" max="14083" width="19.7109375" customWidth="1"/>
    <col min="14086" max="14086" width="10.5703125" bestFit="1" customWidth="1"/>
    <col min="14087" max="14087" width="25.7109375" bestFit="1" customWidth="1"/>
    <col min="14088" max="14089" width="20.7109375" bestFit="1" customWidth="1"/>
    <col min="14090" max="14090" width="18.7109375" customWidth="1"/>
    <col min="14333" max="14333" width="3.28515625" customWidth="1"/>
    <col min="14334" max="14334" width="3.85546875" bestFit="1" customWidth="1"/>
    <col min="14335" max="14335" width="61.7109375" customWidth="1"/>
    <col min="14336" max="14336" width="10.140625" customWidth="1"/>
    <col min="14337" max="14337" width="11.42578125" customWidth="1"/>
    <col min="14338" max="14338" width="17.5703125" customWidth="1"/>
    <col min="14339" max="14339" width="19.7109375" customWidth="1"/>
    <col min="14342" max="14342" width="10.5703125" bestFit="1" customWidth="1"/>
    <col min="14343" max="14343" width="25.7109375" bestFit="1" customWidth="1"/>
    <col min="14344" max="14345" width="20.7109375" bestFit="1" customWidth="1"/>
    <col min="14346" max="14346" width="18.7109375" customWidth="1"/>
    <col min="14589" max="14589" width="3.28515625" customWidth="1"/>
    <col min="14590" max="14590" width="3.85546875" bestFit="1" customWidth="1"/>
    <col min="14591" max="14591" width="61.7109375" customWidth="1"/>
    <col min="14592" max="14592" width="10.140625" customWidth="1"/>
    <col min="14593" max="14593" width="11.42578125" customWidth="1"/>
    <col min="14594" max="14594" width="17.5703125" customWidth="1"/>
    <col min="14595" max="14595" width="19.7109375" customWidth="1"/>
    <col min="14598" max="14598" width="10.5703125" bestFit="1" customWidth="1"/>
    <col min="14599" max="14599" width="25.7109375" bestFit="1" customWidth="1"/>
    <col min="14600" max="14601" width="20.7109375" bestFit="1" customWidth="1"/>
    <col min="14602" max="14602" width="18.7109375" customWidth="1"/>
    <col min="14845" max="14845" width="3.28515625" customWidth="1"/>
    <col min="14846" max="14846" width="3.85546875" bestFit="1" customWidth="1"/>
    <col min="14847" max="14847" width="61.7109375" customWidth="1"/>
    <col min="14848" max="14848" width="10.140625" customWidth="1"/>
    <col min="14849" max="14849" width="11.42578125" customWidth="1"/>
    <col min="14850" max="14850" width="17.5703125" customWidth="1"/>
    <col min="14851" max="14851" width="19.7109375" customWidth="1"/>
    <col min="14854" max="14854" width="10.5703125" bestFit="1" customWidth="1"/>
    <col min="14855" max="14855" width="25.7109375" bestFit="1" customWidth="1"/>
    <col min="14856" max="14857" width="20.7109375" bestFit="1" customWidth="1"/>
    <col min="14858" max="14858" width="18.7109375" customWidth="1"/>
    <col min="15101" max="15101" width="3.28515625" customWidth="1"/>
    <col min="15102" max="15102" width="3.85546875" bestFit="1" customWidth="1"/>
    <col min="15103" max="15103" width="61.7109375" customWidth="1"/>
    <col min="15104" max="15104" width="10.140625" customWidth="1"/>
    <col min="15105" max="15105" width="11.42578125" customWidth="1"/>
    <col min="15106" max="15106" width="17.5703125" customWidth="1"/>
    <col min="15107" max="15107" width="19.7109375" customWidth="1"/>
    <col min="15110" max="15110" width="10.5703125" bestFit="1" customWidth="1"/>
    <col min="15111" max="15111" width="25.7109375" bestFit="1" customWidth="1"/>
    <col min="15112" max="15113" width="20.7109375" bestFit="1" customWidth="1"/>
    <col min="15114" max="15114" width="18.7109375" customWidth="1"/>
    <col min="15357" max="15357" width="3.28515625" customWidth="1"/>
    <col min="15358" max="15358" width="3.85546875" bestFit="1" customWidth="1"/>
    <col min="15359" max="15359" width="61.7109375" customWidth="1"/>
    <col min="15360" max="15360" width="10.140625" customWidth="1"/>
    <col min="15361" max="15361" width="11.42578125" customWidth="1"/>
    <col min="15362" max="15362" width="17.5703125" customWidth="1"/>
    <col min="15363" max="15363" width="19.7109375" customWidth="1"/>
    <col min="15366" max="15366" width="10.5703125" bestFit="1" customWidth="1"/>
    <col min="15367" max="15367" width="25.7109375" bestFit="1" customWidth="1"/>
    <col min="15368" max="15369" width="20.7109375" bestFit="1" customWidth="1"/>
    <col min="15370" max="15370" width="18.7109375" customWidth="1"/>
    <col min="15613" max="15613" width="3.28515625" customWidth="1"/>
    <col min="15614" max="15614" width="3.85546875" bestFit="1" customWidth="1"/>
    <col min="15615" max="15615" width="61.7109375" customWidth="1"/>
    <col min="15616" max="15616" width="10.140625" customWidth="1"/>
    <col min="15617" max="15617" width="11.42578125" customWidth="1"/>
    <col min="15618" max="15618" width="17.5703125" customWidth="1"/>
    <col min="15619" max="15619" width="19.7109375" customWidth="1"/>
    <col min="15622" max="15622" width="10.5703125" bestFit="1" customWidth="1"/>
    <col min="15623" max="15623" width="25.7109375" bestFit="1" customWidth="1"/>
    <col min="15624" max="15625" width="20.7109375" bestFit="1" customWidth="1"/>
    <col min="15626" max="15626" width="18.7109375" customWidth="1"/>
    <col min="15869" max="15869" width="3.28515625" customWidth="1"/>
    <col min="15870" max="15870" width="3.85546875" bestFit="1" customWidth="1"/>
    <col min="15871" max="15871" width="61.7109375" customWidth="1"/>
    <col min="15872" max="15872" width="10.140625" customWidth="1"/>
    <col min="15873" max="15873" width="11.42578125" customWidth="1"/>
    <col min="15874" max="15874" width="17.5703125" customWidth="1"/>
    <col min="15875" max="15875" width="19.7109375" customWidth="1"/>
    <col min="15878" max="15878" width="10.5703125" bestFit="1" customWidth="1"/>
    <col min="15879" max="15879" width="25.7109375" bestFit="1" customWidth="1"/>
    <col min="15880" max="15881" width="20.7109375" bestFit="1" customWidth="1"/>
    <col min="15882" max="15882" width="18.7109375" customWidth="1"/>
    <col min="16125" max="16125" width="3.28515625" customWidth="1"/>
    <col min="16126" max="16126" width="3.85546875" bestFit="1" customWidth="1"/>
    <col min="16127" max="16127" width="61.7109375" customWidth="1"/>
    <col min="16128" max="16128" width="10.140625" customWidth="1"/>
    <col min="16129" max="16129" width="11.42578125" customWidth="1"/>
    <col min="16130" max="16130" width="17.5703125" customWidth="1"/>
    <col min="16131" max="16131" width="19.7109375" customWidth="1"/>
    <col min="16134" max="16134" width="10.5703125" bestFit="1" customWidth="1"/>
    <col min="16135" max="16135" width="25.7109375" bestFit="1" customWidth="1"/>
    <col min="16136" max="16137" width="20.7109375" bestFit="1" customWidth="1"/>
    <col min="16138" max="16138" width="18.7109375" customWidth="1"/>
  </cols>
  <sheetData>
    <row r="1" spans="3:18">
      <c r="C1" s="559"/>
      <c r="D1" s="559"/>
      <c r="E1" s="559"/>
      <c r="F1" s="321"/>
      <c r="G1" s="321"/>
      <c r="H1" s="321"/>
      <c r="I1" s="902"/>
      <c r="J1" s="903"/>
      <c r="K1" s="320"/>
    </row>
    <row r="2" spans="3:18">
      <c r="C2" s="559"/>
      <c r="D2" s="559"/>
      <c r="E2" s="559"/>
      <c r="F2" s="559"/>
      <c r="G2" s="559"/>
      <c r="H2" s="559"/>
      <c r="I2" s="902"/>
      <c r="J2" s="902"/>
      <c r="K2" s="559"/>
    </row>
    <row r="3" spans="3:18" ht="21">
      <c r="C3" s="1066" t="s">
        <v>2144</v>
      </c>
      <c r="D3" s="1066"/>
      <c r="E3" s="1066"/>
      <c r="F3" s="1066"/>
      <c r="G3" s="1066"/>
      <c r="H3" s="1066"/>
      <c r="I3" s="1066"/>
      <c r="J3" s="1066"/>
      <c r="K3" s="656"/>
    </row>
    <row r="4" spans="3:18" ht="18" customHeight="1">
      <c r="C4" s="1067" t="str">
        <f>Rekapitulasi!B3</f>
        <v>PEMBANGUNAN T/L 150 kV PASAMAN - SIMPANG EMPAT (SECTION 2)</v>
      </c>
      <c r="D4" s="1067"/>
      <c r="E4" s="1067"/>
      <c r="F4" s="1067"/>
      <c r="G4" s="1067"/>
      <c r="H4" s="1067"/>
      <c r="I4" s="1067"/>
      <c r="J4" s="1067"/>
      <c r="K4" s="657"/>
      <c r="M4" s="1041"/>
      <c r="N4" s="1041"/>
      <c r="O4" s="1041"/>
      <c r="P4" s="1041"/>
      <c r="Q4" s="1041"/>
      <c r="R4" s="1041"/>
    </row>
    <row r="5" spans="3:18" ht="21.75" customHeight="1">
      <c r="C5" s="1077"/>
      <c r="D5" s="1077"/>
      <c r="E5" s="1077"/>
      <c r="F5" s="1077"/>
      <c r="G5" s="1077"/>
      <c r="H5" s="1077"/>
      <c r="I5" s="1077"/>
      <c r="J5" s="1077"/>
      <c r="K5" s="658"/>
      <c r="M5" s="1041"/>
      <c r="N5" s="1041"/>
      <c r="O5" s="1041"/>
      <c r="P5" s="1041"/>
      <c r="Q5" s="1041"/>
      <c r="R5" s="1041"/>
    </row>
    <row r="6" spans="3:18" ht="21.75" customHeight="1">
      <c r="C6" s="1077" t="s">
        <v>4329</v>
      </c>
      <c r="D6" s="1077"/>
      <c r="E6" s="1077"/>
      <c r="F6" s="1077"/>
      <c r="G6" s="1077"/>
      <c r="H6" s="1077"/>
      <c r="I6" s="1077"/>
      <c r="J6" s="1077"/>
      <c r="K6" s="658"/>
    </row>
    <row r="7" spans="3:18" ht="15.75" thickBot="1">
      <c r="C7" s="319"/>
      <c r="D7" s="319"/>
      <c r="E7" s="319"/>
      <c r="F7" s="318"/>
      <c r="G7" s="318"/>
      <c r="H7" s="318"/>
      <c r="I7" s="904"/>
      <c r="J7" s="905"/>
      <c r="K7" s="317"/>
    </row>
    <row r="8" spans="3:18" ht="30.75" thickTop="1">
      <c r="C8" s="1186" t="s">
        <v>10</v>
      </c>
      <c r="D8" s="1187" t="s">
        <v>2079</v>
      </c>
      <c r="E8" s="1187" t="s">
        <v>2087</v>
      </c>
      <c r="F8" s="1188" t="s">
        <v>4338</v>
      </c>
      <c r="G8" s="679" t="s">
        <v>4340</v>
      </c>
      <c r="H8" s="684" t="s">
        <v>4341</v>
      </c>
      <c r="I8" s="906" t="s">
        <v>4347</v>
      </c>
      <c r="J8" s="907" t="s">
        <v>4348</v>
      </c>
      <c r="K8"/>
    </row>
    <row r="9" spans="3:18" ht="16.5">
      <c r="C9" s="1174"/>
      <c r="D9" s="1164"/>
      <c r="E9" s="1164"/>
      <c r="F9" s="1189"/>
      <c r="G9" s="316" t="s">
        <v>2152</v>
      </c>
      <c r="H9" s="685" t="s">
        <v>2152</v>
      </c>
      <c r="I9" s="908" t="s">
        <v>2152</v>
      </c>
      <c r="J9" s="909" t="s">
        <v>2152</v>
      </c>
      <c r="K9"/>
      <c r="L9" s="176">
        <f>95/95</f>
        <v>1</v>
      </c>
    </row>
    <row r="10" spans="3:18">
      <c r="C10" s="315">
        <v>1</v>
      </c>
      <c r="D10" s="314">
        <v>2</v>
      </c>
      <c r="E10" s="314">
        <v>3</v>
      </c>
      <c r="F10" s="313">
        <v>4</v>
      </c>
      <c r="G10" s="314">
        <v>5</v>
      </c>
      <c r="H10" s="892" t="s">
        <v>3271</v>
      </c>
      <c r="I10" s="910">
        <v>7</v>
      </c>
      <c r="J10" s="911" t="s">
        <v>4342</v>
      </c>
      <c r="K10"/>
    </row>
    <row r="11" spans="3:18" ht="27.75" customHeight="1">
      <c r="C11" s="312" t="s">
        <v>819</v>
      </c>
      <c r="D11" s="311" t="s">
        <v>3272</v>
      </c>
      <c r="E11" s="310"/>
      <c r="F11" s="309"/>
      <c r="G11" s="310"/>
      <c r="H11" s="893"/>
      <c r="I11" s="912"/>
      <c r="J11" s="913"/>
      <c r="K11"/>
    </row>
    <row r="12" spans="3:18">
      <c r="C12" s="308" t="s">
        <v>504</v>
      </c>
      <c r="D12" s="307" t="s">
        <v>3273</v>
      </c>
      <c r="E12" s="306"/>
      <c r="F12" s="305"/>
      <c r="G12" s="304"/>
      <c r="H12" s="889"/>
      <c r="I12" s="914"/>
      <c r="J12" s="915"/>
      <c r="K12"/>
    </row>
    <row r="13" spans="3:18">
      <c r="C13" s="303"/>
      <c r="D13" s="302" t="s">
        <v>2208</v>
      </c>
      <c r="E13" s="301" t="s">
        <v>74</v>
      </c>
      <c r="F13" s="300">
        <v>1</v>
      </c>
      <c r="G13" s="299">
        <f>$L$9*I13</f>
        <v>80000000</v>
      </c>
      <c r="H13" s="890">
        <f t="shared" ref="H13:H19" si="0">F13*G13</f>
        <v>80000000</v>
      </c>
      <c r="I13" s="916">
        <f>'Pondasi 4 Pile'!G7</f>
        <v>80000000</v>
      </c>
      <c r="J13" s="917">
        <f>F13*I13</f>
        <v>80000000</v>
      </c>
      <c r="K13"/>
    </row>
    <row r="14" spans="3:18">
      <c r="C14" s="303"/>
      <c r="D14" s="302" t="s">
        <v>2211</v>
      </c>
      <c r="E14" s="301" t="s">
        <v>74</v>
      </c>
      <c r="F14" s="300">
        <v>1</v>
      </c>
      <c r="G14" s="299">
        <f>$L$9*I14</f>
        <v>336108399.99999982</v>
      </c>
      <c r="H14" s="890">
        <f t="shared" si="0"/>
        <v>336108399.99999982</v>
      </c>
      <c r="I14" s="916">
        <f>'Pondasi 4 Pile'!G9</f>
        <v>336108399.99999982</v>
      </c>
      <c r="J14" s="917">
        <f>F14*I14</f>
        <v>336108399.99999982</v>
      </c>
      <c r="K14"/>
    </row>
    <row r="15" spans="3:18">
      <c r="C15" s="303"/>
      <c r="D15" s="302" t="s">
        <v>2215</v>
      </c>
      <c r="E15" s="301" t="s">
        <v>74</v>
      </c>
      <c r="F15" s="300">
        <v>1</v>
      </c>
      <c r="G15" s="299">
        <f>$L$9*I15</f>
        <v>0</v>
      </c>
      <c r="H15" s="891">
        <f t="shared" si="0"/>
        <v>0</v>
      </c>
      <c r="I15" s="916">
        <f>'Pondasi 4 Pile'!G11</f>
        <v>0</v>
      </c>
      <c r="J15" s="917">
        <f t="shared" ref="J15:J16" si="1">F15*I15</f>
        <v>0</v>
      </c>
      <c r="K15"/>
    </row>
    <row r="16" spans="3:18">
      <c r="C16" s="303"/>
      <c r="D16" s="302" t="s">
        <v>2218</v>
      </c>
      <c r="E16" s="301" t="s">
        <v>74</v>
      </c>
      <c r="F16" s="300">
        <v>1</v>
      </c>
      <c r="G16" s="299">
        <f t="shared" ref="G16:G19" si="2">$L$9*I16</f>
        <v>0</v>
      </c>
      <c r="H16" s="891">
        <f t="shared" si="0"/>
        <v>0</v>
      </c>
      <c r="I16" s="916">
        <f>'Pondasi 4 Pile'!G13</f>
        <v>0</v>
      </c>
      <c r="J16" s="917">
        <f t="shared" si="1"/>
        <v>0</v>
      </c>
      <c r="K16"/>
    </row>
    <row r="17" spans="3:11">
      <c r="C17" s="303"/>
      <c r="D17" s="302" t="s">
        <v>2221</v>
      </c>
      <c r="E17" s="301" t="s">
        <v>74</v>
      </c>
      <c r="F17" s="300">
        <v>1</v>
      </c>
      <c r="G17" s="299">
        <f t="shared" si="2"/>
        <v>33650974.844192497</v>
      </c>
      <c r="H17" s="890">
        <f t="shared" si="0"/>
        <v>33650974.844192497</v>
      </c>
      <c r="I17" s="916">
        <f>'Pondasi 4 Pile'!G15</f>
        <v>33650974.844192497</v>
      </c>
      <c r="J17" s="917">
        <f t="shared" ref="J17:J19" si="3">F17*I17</f>
        <v>33650974.844192497</v>
      </c>
      <c r="K17"/>
    </row>
    <row r="18" spans="3:11">
      <c r="C18" s="303"/>
      <c r="D18" s="302" t="s">
        <v>2224</v>
      </c>
      <c r="E18" s="301" t="s">
        <v>74</v>
      </c>
      <c r="F18" s="300">
        <v>1</v>
      </c>
      <c r="G18" s="299">
        <f t="shared" si="2"/>
        <v>205929900.00000006</v>
      </c>
      <c r="H18" s="890">
        <f t="shared" si="0"/>
        <v>205929900.00000006</v>
      </c>
      <c r="I18" s="916">
        <f>'Pondasi 4 Pile'!G17</f>
        <v>205929900.00000006</v>
      </c>
      <c r="J18" s="917">
        <f t="shared" si="3"/>
        <v>205929900.00000006</v>
      </c>
      <c r="K18"/>
    </row>
    <row r="19" spans="3:11">
      <c r="C19" s="303"/>
      <c r="D19" s="302" t="s">
        <v>2227</v>
      </c>
      <c r="E19" s="301" t="s">
        <v>74</v>
      </c>
      <c r="F19" s="300">
        <v>1</v>
      </c>
      <c r="G19" s="299">
        <f t="shared" si="2"/>
        <v>464528683.52000004</v>
      </c>
      <c r="H19" s="890">
        <f t="shared" si="0"/>
        <v>464528683.52000004</v>
      </c>
      <c r="I19" s="916">
        <f>'Pondasi 4 Pile'!G19</f>
        <v>464528683.52000004</v>
      </c>
      <c r="J19" s="917">
        <f t="shared" si="3"/>
        <v>464528683.52000004</v>
      </c>
      <c r="K19"/>
    </row>
    <row r="20" spans="3:11" ht="21.75" customHeight="1">
      <c r="C20" s="884" t="s">
        <v>3274</v>
      </c>
      <c r="D20" s="885"/>
      <c r="E20" s="885"/>
      <c r="F20" s="885"/>
      <c r="G20" s="886"/>
      <c r="H20" s="894">
        <f>SUM(H13:H19)</f>
        <v>1120217958.3641925</v>
      </c>
      <c r="I20" s="918"/>
      <c r="J20" s="919">
        <f>SUM(J13:J19)</f>
        <v>1120217958.3641925</v>
      </c>
      <c r="K20"/>
    </row>
    <row r="21" spans="3:11">
      <c r="C21" s="298"/>
      <c r="D21" s="297"/>
      <c r="E21" s="306"/>
      <c r="F21" s="305"/>
      <c r="G21" s="301"/>
      <c r="H21" s="889"/>
      <c r="I21" s="920"/>
      <c r="J21" s="915"/>
      <c r="K21"/>
    </row>
    <row r="22" spans="3:11" ht="18" customHeight="1">
      <c r="C22" s="296" t="s">
        <v>717</v>
      </c>
      <c r="D22" s="295" t="s">
        <v>3275</v>
      </c>
      <c r="E22" s="295"/>
      <c r="F22" s="294"/>
      <c r="G22" s="293"/>
      <c r="H22" s="895"/>
      <c r="I22" s="921"/>
      <c r="J22" s="922"/>
      <c r="K22"/>
    </row>
    <row r="23" spans="3:11">
      <c r="C23" s="303">
        <v>1</v>
      </c>
      <c r="D23" s="292" t="s">
        <v>2315</v>
      </c>
      <c r="E23" s="291"/>
      <c r="F23" s="290"/>
      <c r="G23" s="302"/>
      <c r="H23" s="896"/>
      <c r="I23" s="916"/>
      <c r="J23" s="923"/>
      <c r="K23"/>
    </row>
    <row r="24" spans="3:11">
      <c r="C24" s="288" t="s">
        <v>2316</v>
      </c>
      <c r="D24" s="302" t="s">
        <v>3276</v>
      </c>
      <c r="E24" s="301" t="s">
        <v>2318</v>
      </c>
      <c r="F24" s="287">
        <v>0</v>
      </c>
      <c r="G24" s="299"/>
      <c r="H24" s="890"/>
      <c r="I24" s="916"/>
      <c r="J24" s="917"/>
      <c r="K24"/>
    </row>
    <row r="25" spans="3:11">
      <c r="C25" s="288" t="s">
        <v>2319</v>
      </c>
      <c r="D25" s="302" t="s">
        <v>3277</v>
      </c>
      <c r="E25" s="301" t="s">
        <v>2318</v>
      </c>
      <c r="F25" s="287">
        <v>0</v>
      </c>
      <c r="G25" s="299"/>
      <c r="H25" s="890"/>
      <c r="I25" s="916"/>
      <c r="J25" s="917"/>
      <c r="K25"/>
    </row>
    <row r="26" spans="3:11">
      <c r="C26" s="288" t="s">
        <v>2321</v>
      </c>
      <c r="D26" s="302" t="s">
        <v>3278</v>
      </c>
      <c r="E26" s="301" t="s">
        <v>2318</v>
      </c>
      <c r="F26" s="287">
        <v>0</v>
      </c>
      <c r="G26" s="299"/>
      <c r="H26" s="890"/>
      <c r="I26" s="916"/>
      <c r="J26" s="917"/>
      <c r="K26"/>
    </row>
    <row r="27" spans="3:11">
      <c r="C27" s="288" t="s">
        <v>2323</v>
      </c>
      <c r="D27" s="302" t="s">
        <v>3279</v>
      </c>
      <c r="E27" s="301" t="s">
        <v>2318</v>
      </c>
      <c r="F27" s="287">
        <v>0</v>
      </c>
      <c r="G27" s="299"/>
      <c r="H27" s="890"/>
      <c r="I27" s="916"/>
      <c r="J27" s="917"/>
      <c r="K27"/>
    </row>
    <row r="28" spans="3:11">
      <c r="C28" s="288" t="s">
        <v>2325</v>
      </c>
      <c r="D28" s="302" t="s">
        <v>3280</v>
      </c>
      <c r="E28" s="301" t="s">
        <v>2318</v>
      </c>
      <c r="F28" s="287">
        <v>0</v>
      </c>
      <c r="G28" s="299"/>
      <c r="H28" s="890"/>
      <c r="I28" s="916"/>
      <c r="J28" s="917"/>
      <c r="K28"/>
    </row>
    <row r="29" spans="3:11">
      <c r="C29" s="288" t="s">
        <v>2327</v>
      </c>
      <c r="D29" s="302" t="s">
        <v>3281</v>
      </c>
      <c r="E29" s="301" t="s">
        <v>2318</v>
      </c>
      <c r="F29" s="287">
        <v>0</v>
      </c>
      <c r="G29" s="299"/>
      <c r="H29" s="890"/>
      <c r="I29" s="916"/>
      <c r="J29" s="917"/>
      <c r="K29"/>
    </row>
    <row r="30" spans="3:11">
      <c r="C30" s="288" t="s">
        <v>2329</v>
      </c>
      <c r="D30" s="302" t="s">
        <v>3282</v>
      </c>
      <c r="E30" s="301" t="s">
        <v>2318</v>
      </c>
      <c r="F30" s="287">
        <v>0</v>
      </c>
      <c r="G30" s="299"/>
      <c r="H30" s="890"/>
      <c r="I30" s="916"/>
      <c r="J30" s="917"/>
      <c r="K30"/>
    </row>
    <row r="31" spans="3:11">
      <c r="C31" s="288" t="s">
        <v>2331</v>
      </c>
      <c r="D31" s="302" t="s">
        <v>3283</v>
      </c>
      <c r="E31" s="301" t="s">
        <v>2318</v>
      </c>
      <c r="F31" s="287">
        <v>0</v>
      </c>
      <c r="G31" s="299"/>
      <c r="H31" s="890"/>
      <c r="I31" s="916"/>
      <c r="J31" s="917"/>
      <c r="K31"/>
    </row>
    <row r="32" spans="3:11">
      <c r="C32" s="288" t="s">
        <v>2333</v>
      </c>
      <c r="D32" s="302" t="s">
        <v>3284</v>
      </c>
      <c r="E32" s="301" t="s">
        <v>2318</v>
      </c>
      <c r="F32" s="287">
        <v>0</v>
      </c>
      <c r="G32" s="299"/>
      <c r="H32" s="890"/>
      <c r="I32" s="916"/>
      <c r="J32" s="917"/>
      <c r="K32"/>
    </row>
    <row r="33" spans="3:11">
      <c r="C33" s="288" t="s">
        <v>2335</v>
      </c>
      <c r="D33" s="302" t="s">
        <v>3285</v>
      </c>
      <c r="E33" s="301" t="s">
        <v>2318</v>
      </c>
      <c r="F33" s="287">
        <v>0</v>
      </c>
      <c r="G33" s="299"/>
      <c r="H33" s="890"/>
      <c r="I33" s="916"/>
      <c r="J33" s="917"/>
      <c r="K33"/>
    </row>
    <row r="34" spans="3:11">
      <c r="C34" s="288" t="s">
        <v>2337</v>
      </c>
      <c r="D34" s="302" t="s">
        <v>3286</v>
      </c>
      <c r="E34" s="301" t="s">
        <v>2318</v>
      </c>
      <c r="F34" s="287">
        <v>0</v>
      </c>
      <c r="G34" s="299"/>
      <c r="H34" s="890"/>
      <c r="I34" s="916"/>
      <c r="J34" s="917"/>
      <c r="K34"/>
    </row>
    <row r="35" spans="3:11">
      <c r="C35" s="288" t="s">
        <v>2339</v>
      </c>
      <c r="D35" s="302" t="s">
        <v>3287</v>
      </c>
      <c r="E35" s="301" t="s">
        <v>2318</v>
      </c>
      <c r="F35" s="287">
        <v>0</v>
      </c>
      <c r="G35" s="299"/>
      <c r="H35" s="890"/>
      <c r="I35" s="916"/>
      <c r="J35" s="917"/>
      <c r="K35"/>
    </row>
    <row r="36" spans="3:11">
      <c r="C36" s="288" t="s">
        <v>2341</v>
      </c>
      <c r="D36" s="302" t="s">
        <v>3288</v>
      </c>
      <c r="E36" s="301" t="s">
        <v>2318</v>
      </c>
      <c r="F36" s="287">
        <v>0</v>
      </c>
      <c r="G36" s="299"/>
      <c r="H36" s="890"/>
      <c r="I36" s="916"/>
      <c r="J36" s="917"/>
      <c r="K36"/>
    </row>
    <row r="37" spans="3:11">
      <c r="C37" s="288" t="s">
        <v>2343</v>
      </c>
      <c r="D37" s="302" t="s">
        <v>3289</v>
      </c>
      <c r="E37" s="301" t="s">
        <v>2318</v>
      </c>
      <c r="F37" s="287">
        <v>0</v>
      </c>
      <c r="G37" s="299"/>
      <c r="H37" s="890"/>
      <c r="I37" s="916"/>
      <c r="J37" s="917"/>
      <c r="K37"/>
    </row>
    <row r="38" spans="3:11">
      <c r="C38" s="288" t="s">
        <v>2345</v>
      </c>
      <c r="D38" s="302" t="s">
        <v>3290</v>
      </c>
      <c r="E38" s="301" t="s">
        <v>2318</v>
      </c>
      <c r="F38" s="287">
        <v>0</v>
      </c>
      <c r="G38" s="299"/>
      <c r="H38" s="890"/>
      <c r="I38" s="916"/>
      <c r="J38" s="917"/>
      <c r="K38"/>
    </row>
    <row r="39" spans="3:11">
      <c r="C39" s="288" t="s">
        <v>2347</v>
      </c>
      <c r="D39" s="302" t="s">
        <v>3291</v>
      </c>
      <c r="E39" s="301" t="s">
        <v>2318</v>
      </c>
      <c r="F39" s="287">
        <v>0</v>
      </c>
      <c r="G39" s="299"/>
      <c r="H39" s="890"/>
      <c r="I39" s="916"/>
      <c r="J39" s="917"/>
      <c r="K39"/>
    </row>
    <row r="40" spans="3:11">
      <c r="C40" s="288" t="s">
        <v>2349</v>
      </c>
      <c r="D40" s="302" t="s">
        <v>3292</v>
      </c>
      <c r="E40" s="301" t="s">
        <v>2318</v>
      </c>
      <c r="F40" s="287">
        <v>0</v>
      </c>
      <c r="G40" s="299"/>
      <c r="H40" s="890"/>
      <c r="I40" s="916"/>
      <c r="J40" s="917"/>
      <c r="K40"/>
    </row>
    <row r="41" spans="3:11">
      <c r="C41" s="288" t="s">
        <v>2351</v>
      </c>
      <c r="D41" s="302" t="s">
        <v>3293</v>
      </c>
      <c r="E41" s="301" t="s">
        <v>2318</v>
      </c>
      <c r="F41" s="287">
        <v>0</v>
      </c>
      <c r="G41" s="299"/>
      <c r="H41" s="890"/>
      <c r="I41" s="916"/>
      <c r="J41" s="917"/>
      <c r="K41"/>
    </row>
    <row r="42" spans="3:11">
      <c r="C42" s="288" t="s">
        <v>2353</v>
      </c>
      <c r="D42" s="302" t="s">
        <v>3294</v>
      </c>
      <c r="E42" s="301" t="s">
        <v>2318</v>
      </c>
      <c r="F42" s="287">
        <v>0</v>
      </c>
      <c r="G42" s="299"/>
      <c r="H42" s="890"/>
      <c r="I42" s="916"/>
      <c r="J42" s="917"/>
      <c r="K42"/>
    </row>
    <row r="43" spans="3:11">
      <c r="C43" s="288" t="s">
        <v>2355</v>
      </c>
      <c r="D43" s="302" t="s">
        <v>3295</v>
      </c>
      <c r="E43" s="301" t="s">
        <v>2318</v>
      </c>
      <c r="F43" s="287">
        <v>0</v>
      </c>
      <c r="G43" s="299"/>
      <c r="H43" s="890"/>
      <c r="I43" s="916"/>
      <c r="J43" s="917"/>
      <c r="K43"/>
    </row>
    <row r="44" spans="3:11">
      <c r="C44" s="288"/>
      <c r="D44" s="302"/>
      <c r="E44" s="301"/>
      <c r="F44" s="287"/>
      <c r="G44" s="299"/>
      <c r="H44" s="890"/>
      <c r="I44" s="916"/>
      <c r="J44" s="917"/>
      <c r="K44"/>
    </row>
    <row r="45" spans="3:11">
      <c r="C45" s="286" t="s">
        <v>2357</v>
      </c>
      <c r="D45" s="302" t="s">
        <v>3296</v>
      </c>
      <c r="E45" s="301" t="s">
        <v>2318</v>
      </c>
      <c r="F45" s="287">
        <v>1</v>
      </c>
      <c r="G45" s="299">
        <f t="shared" ref="G45:G46" si="4">$L$9*I45</f>
        <v>109642256.16893256</v>
      </c>
      <c r="H45" s="890">
        <f>F45*G45</f>
        <v>109642256.16893256</v>
      </c>
      <c r="I45" s="916">
        <f>'Pondasi 4 Pile'!G47</f>
        <v>109642256.16893256</v>
      </c>
      <c r="J45" s="917">
        <f t="shared" ref="J45:J46" si="5">F45*I45</f>
        <v>109642256.16893256</v>
      </c>
      <c r="K45"/>
    </row>
    <row r="46" spans="3:11">
      <c r="C46" s="286" t="s">
        <v>2359</v>
      </c>
      <c r="D46" s="302" t="s">
        <v>3297</v>
      </c>
      <c r="E46" s="301" t="s">
        <v>2318</v>
      </c>
      <c r="F46" s="287">
        <v>1</v>
      </c>
      <c r="G46" s="299">
        <f t="shared" si="4"/>
        <v>136408906.32179782</v>
      </c>
      <c r="H46" s="890">
        <f>F46*G46</f>
        <v>136408906.32179782</v>
      </c>
      <c r="I46" s="916">
        <f>'Pondasi 4 Pile'!G70</f>
        <v>136408906.32179782</v>
      </c>
      <c r="J46" s="917">
        <f t="shared" si="5"/>
        <v>136408906.32179782</v>
      </c>
      <c r="K46"/>
    </row>
    <row r="47" spans="3:11">
      <c r="C47" s="286" t="s">
        <v>2361</v>
      </c>
      <c r="D47" s="302" t="s">
        <v>3298</v>
      </c>
      <c r="E47" s="301" t="s">
        <v>2318</v>
      </c>
      <c r="F47" s="287">
        <v>0</v>
      </c>
      <c r="G47" s="299"/>
      <c r="H47" s="890"/>
      <c r="I47" s="916"/>
      <c r="J47" s="917"/>
      <c r="K47"/>
    </row>
    <row r="48" spans="3:11">
      <c r="C48" s="286" t="s">
        <v>2363</v>
      </c>
      <c r="D48" s="302" t="s">
        <v>3299</v>
      </c>
      <c r="E48" s="301" t="s">
        <v>2318</v>
      </c>
      <c r="F48" s="287">
        <v>1</v>
      </c>
      <c r="G48" s="299">
        <f>$L$9*I48</f>
        <v>168895151.31707987</v>
      </c>
      <c r="H48" s="890">
        <f>F48*G48</f>
        <v>168895151.31707987</v>
      </c>
      <c r="I48" s="916">
        <f>'Pondasi 4 Pile'!G116</f>
        <v>168895151.31707987</v>
      </c>
      <c r="J48" s="917">
        <f>F48*I48</f>
        <v>168895151.31707987</v>
      </c>
      <c r="K48"/>
    </row>
    <row r="49" spans="3:11">
      <c r="C49" s="286" t="s">
        <v>2365</v>
      </c>
      <c r="D49" s="302" t="s">
        <v>3300</v>
      </c>
      <c r="E49" s="301" t="s">
        <v>2318</v>
      </c>
      <c r="F49" s="287">
        <v>0</v>
      </c>
      <c r="G49" s="299"/>
      <c r="H49" s="890"/>
      <c r="I49" s="916"/>
      <c r="J49" s="917"/>
      <c r="K49"/>
    </row>
    <row r="50" spans="3:11">
      <c r="C50" s="286" t="s">
        <v>2367</v>
      </c>
      <c r="D50" s="302" t="s">
        <v>3301</v>
      </c>
      <c r="E50" s="301" t="s">
        <v>2318</v>
      </c>
      <c r="F50" s="287">
        <v>0</v>
      </c>
      <c r="G50" s="299"/>
      <c r="H50" s="890"/>
      <c r="I50" s="916"/>
      <c r="J50" s="917"/>
      <c r="K50"/>
    </row>
    <row r="51" spans="3:11">
      <c r="C51" s="286" t="s">
        <v>2369</v>
      </c>
      <c r="D51" s="302" t="s">
        <v>3302</v>
      </c>
      <c r="E51" s="301" t="s">
        <v>2318</v>
      </c>
      <c r="F51" s="287">
        <v>0</v>
      </c>
      <c r="G51" s="299"/>
      <c r="H51" s="890"/>
      <c r="I51" s="916"/>
      <c r="J51" s="917"/>
      <c r="K51"/>
    </row>
    <row r="52" spans="3:11">
      <c r="C52" s="286" t="s">
        <v>2371</v>
      </c>
      <c r="D52" s="302" t="s">
        <v>3303</v>
      </c>
      <c r="E52" s="301" t="s">
        <v>2318</v>
      </c>
      <c r="F52" s="287">
        <v>0</v>
      </c>
      <c r="G52" s="299"/>
      <c r="H52" s="890"/>
      <c r="I52" s="916"/>
      <c r="J52" s="917"/>
      <c r="K52"/>
    </row>
    <row r="53" spans="3:11">
      <c r="C53" s="286" t="s">
        <v>2373</v>
      </c>
      <c r="D53" s="302" t="s">
        <v>3304</v>
      </c>
      <c r="E53" s="301" t="s">
        <v>2318</v>
      </c>
      <c r="F53" s="287">
        <v>0</v>
      </c>
      <c r="G53" s="299"/>
      <c r="H53" s="890"/>
      <c r="I53" s="916"/>
      <c r="J53" s="917"/>
      <c r="K53"/>
    </row>
    <row r="54" spans="3:11">
      <c r="C54" s="286" t="s">
        <v>2375</v>
      </c>
      <c r="D54" s="302" t="s">
        <v>3305</v>
      </c>
      <c r="E54" s="301" t="s">
        <v>2318</v>
      </c>
      <c r="F54" s="287">
        <v>0</v>
      </c>
      <c r="G54" s="299"/>
      <c r="H54" s="890"/>
      <c r="I54" s="916"/>
      <c r="J54" s="917"/>
      <c r="K54"/>
    </row>
    <row r="55" spans="3:11">
      <c r="C55" s="286" t="s">
        <v>2377</v>
      </c>
      <c r="D55" s="302" t="s">
        <v>3306</v>
      </c>
      <c r="E55" s="301" t="s">
        <v>2318</v>
      </c>
      <c r="F55" s="287">
        <v>0</v>
      </c>
      <c r="G55" s="299"/>
      <c r="H55" s="890"/>
      <c r="I55" s="916"/>
      <c r="J55" s="917"/>
      <c r="K55"/>
    </row>
    <row r="56" spans="3:11">
      <c r="C56" s="286" t="s">
        <v>2379</v>
      </c>
      <c r="D56" s="302" t="s">
        <v>3307</v>
      </c>
      <c r="E56" s="301" t="s">
        <v>2318</v>
      </c>
      <c r="F56" s="287">
        <v>0</v>
      </c>
      <c r="G56" s="299"/>
      <c r="H56" s="890"/>
      <c r="I56" s="916"/>
      <c r="J56" s="917"/>
      <c r="K56"/>
    </row>
    <row r="57" spans="3:11">
      <c r="C57" s="286" t="s">
        <v>2381</v>
      </c>
      <c r="D57" s="302" t="s">
        <v>3308</v>
      </c>
      <c r="E57" s="301" t="s">
        <v>2318</v>
      </c>
      <c r="F57" s="287">
        <v>0</v>
      </c>
      <c r="G57" s="299"/>
      <c r="H57" s="890"/>
      <c r="I57" s="916"/>
      <c r="J57" s="917"/>
      <c r="K57"/>
    </row>
    <row r="58" spans="3:11">
      <c r="C58" s="286" t="s">
        <v>2383</v>
      </c>
      <c r="D58" s="302" t="s">
        <v>3309</v>
      </c>
      <c r="E58" s="301" t="s">
        <v>2318</v>
      </c>
      <c r="F58" s="287">
        <v>0</v>
      </c>
      <c r="G58" s="299"/>
      <c r="H58" s="890"/>
      <c r="I58" s="916"/>
      <c r="J58" s="917"/>
      <c r="K58"/>
    </row>
    <row r="59" spans="3:11">
      <c r="C59" s="286" t="s">
        <v>2385</v>
      </c>
      <c r="D59" s="302" t="s">
        <v>3310</v>
      </c>
      <c r="E59" s="301" t="s">
        <v>2318</v>
      </c>
      <c r="F59" s="287">
        <v>0</v>
      </c>
      <c r="G59" s="299"/>
      <c r="H59" s="890"/>
      <c r="I59" s="916"/>
      <c r="J59" s="917"/>
      <c r="K59"/>
    </row>
    <row r="60" spans="3:11">
      <c r="C60" s="286" t="s">
        <v>2387</v>
      </c>
      <c r="D60" s="302" t="s">
        <v>3311</v>
      </c>
      <c r="E60" s="301" t="s">
        <v>2318</v>
      </c>
      <c r="F60" s="287">
        <v>0</v>
      </c>
      <c r="G60" s="299"/>
      <c r="H60" s="890"/>
      <c r="I60" s="916"/>
      <c r="J60" s="917"/>
      <c r="K60"/>
    </row>
    <row r="61" spans="3:11">
      <c r="C61" s="286" t="s">
        <v>2389</v>
      </c>
      <c r="D61" s="302" t="s">
        <v>3312</v>
      </c>
      <c r="E61" s="301" t="s">
        <v>2318</v>
      </c>
      <c r="F61" s="287">
        <v>0</v>
      </c>
      <c r="G61" s="299"/>
      <c r="H61" s="890"/>
      <c r="I61" s="916"/>
      <c r="J61" s="917"/>
      <c r="K61"/>
    </row>
    <row r="62" spans="3:11">
      <c r="C62" s="286" t="s">
        <v>2391</v>
      </c>
      <c r="D62" s="302" t="s">
        <v>3313</v>
      </c>
      <c r="E62" s="301" t="s">
        <v>2318</v>
      </c>
      <c r="F62" s="287">
        <v>0</v>
      </c>
      <c r="G62" s="299"/>
      <c r="H62" s="890"/>
      <c r="I62" s="916"/>
      <c r="J62" s="917"/>
      <c r="K62"/>
    </row>
    <row r="63" spans="3:11">
      <c r="C63" s="286" t="s">
        <v>2393</v>
      </c>
      <c r="D63" s="302" t="s">
        <v>3314</v>
      </c>
      <c r="E63" s="301" t="s">
        <v>2318</v>
      </c>
      <c r="F63" s="287">
        <v>0</v>
      </c>
      <c r="G63" s="299"/>
      <c r="H63" s="890"/>
      <c r="I63" s="916"/>
      <c r="J63" s="917"/>
      <c r="K63"/>
    </row>
    <row r="64" spans="3:11">
      <c r="C64" s="286" t="s">
        <v>2395</v>
      </c>
      <c r="D64" s="302" t="s">
        <v>3315</v>
      </c>
      <c r="E64" s="301" t="s">
        <v>2318</v>
      </c>
      <c r="F64" s="287">
        <v>0</v>
      </c>
      <c r="G64" s="299"/>
      <c r="H64" s="890"/>
      <c r="I64" s="916"/>
      <c r="J64" s="917"/>
      <c r="K64"/>
    </row>
    <row r="65" spans="3:11">
      <c r="C65" s="288"/>
      <c r="D65" s="302"/>
      <c r="E65" s="301"/>
      <c r="F65" s="287"/>
      <c r="G65" s="299"/>
      <c r="H65" s="890"/>
      <c r="I65" s="916"/>
      <c r="J65" s="917"/>
      <c r="K65"/>
    </row>
    <row r="66" spans="3:11">
      <c r="C66" s="286" t="s">
        <v>2397</v>
      </c>
      <c r="D66" s="302" t="s">
        <v>3316</v>
      </c>
      <c r="E66" s="301" t="s">
        <v>2318</v>
      </c>
      <c r="F66" s="287">
        <v>1</v>
      </c>
      <c r="G66" s="299">
        <f t="shared" ref="G66:G67" si="6">$L$9*I66</f>
        <v>109642256.16893256</v>
      </c>
      <c r="H66" s="890">
        <f>F66*G66</f>
        <v>109642256.16893256</v>
      </c>
      <c r="I66" s="916">
        <f>'Pondasi 4 Pile'!G47</f>
        <v>109642256.16893256</v>
      </c>
      <c r="J66" s="917">
        <f t="shared" ref="J66:J67" si="7">F66*I66</f>
        <v>109642256.16893256</v>
      </c>
      <c r="K66"/>
    </row>
    <row r="67" spans="3:11">
      <c r="C67" s="286" t="s">
        <v>2399</v>
      </c>
      <c r="D67" s="302" t="s">
        <v>3317</v>
      </c>
      <c r="E67" s="301" t="s">
        <v>2318</v>
      </c>
      <c r="F67" s="287">
        <v>3</v>
      </c>
      <c r="G67" s="299">
        <f t="shared" si="6"/>
        <v>136408906.32179782</v>
      </c>
      <c r="H67" s="890">
        <f>F67*G67</f>
        <v>409226718.96539342</v>
      </c>
      <c r="I67" s="916">
        <f>'Pondasi 4 Pile'!G70</f>
        <v>136408906.32179782</v>
      </c>
      <c r="J67" s="917">
        <f t="shared" si="7"/>
        <v>409226718.96539342</v>
      </c>
      <c r="K67"/>
    </row>
    <row r="68" spans="3:11">
      <c r="C68" s="286" t="s">
        <v>2401</v>
      </c>
      <c r="D68" s="302" t="s">
        <v>3318</v>
      </c>
      <c r="E68" s="301" t="s">
        <v>2318</v>
      </c>
      <c r="F68" s="287">
        <v>0</v>
      </c>
      <c r="G68" s="299"/>
      <c r="H68" s="890"/>
      <c r="I68" s="916"/>
      <c r="J68" s="917"/>
      <c r="K68"/>
    </row>
    <row r="69" spans="3:11">
      <c r="C69" s="286" t="s">
        <v>2403</v>
      </c>
      <c r="D69" s="302" t="s">
        <v>3319</v>
      </c>
      <c r="E69" s="301" t="s">
        <v>2318</v>
      </c>
      <c r="F69" s="287">
        <v>9</v>
      </c>
      <c r="G69" s="299">
        <f>$L$9*I69</f>
        <v>168895151.31707987</v>
      </c>
      <c r="H69" s="890">
        <f>F69*G69</f>
        <v>1520056361.8537188</v>
      </c>
      <c r="I69" s="916">
        <f>'Pondasi 4 Pile'!G116</f>
        <v>168895151.31707987</v>
      </c>
      <c r="J69" s="917">
        <f>F69*I69</f>
        <v>1520056361.8537188</v>
      </c>
      <c r="K69"/>
    </row>
    <row r="70" spans="3:11">
      <c r="C70" s="286" t="s">
        <v>2405</v>
      </c>
      <c r="D70" s="302" t="s">
        <v>3320</v>
      </c>
      <c r="E70" s="301" t="s">
        <v>2318</v>
      </c>
      <c r="F70" s="287">
        <v>0</v>
      </c>
      <c r="G70" s="299"/>
      <c r="H70" s="890"/>
      <c r="I70" s="916"/>
      <c r="J70" s="917"/>
      <c r="K70"/>
    </row>
    <row r="71" spans="3:11">
      <c r="C71" s="286" t="s">
        <v>2407</v>
      </c>
      <c r="D71" s="302" t="s">
        <v>3321</v>
      </c>
      <c r="E71" s="301" t="s">
        <v>2318</v>
      </c>
      <c r="F71" s="287">
        <v>4</v>
      </c>
      <c r="G71" s="299">
        <f>$L$9*I71</f>
        <v>263118615.38611266</v>
      </c>
      <c r="H71" s="890">
        <f>F71*G71</f>
        <v>1052474461.5444506</v>
      </c>
      <c r="I71" s="916">
        <f>'Pondasi 4 Pile'!G164</f>
        <v>263118615.38611266</v>
      </c>
      <c r="J71" s="917">
        <f>F71*I71</f>
        <v>1052474461.5444506</v>
      </c>
      <c r="K71"/>
    </row>
    <row r="72" spans="3:11">
      <c r="C72" s="286" t="s">
        <v>2409</v>
      </c>
      <c r="D72" s="302" t="s">
        <v>3322</v>
      </c>
      <c r="E72" s="301" t="s">
        <v>2318</v>
      </c>
      <c r="F72" s="287">
        <v>0</v>
      </c>
      <c r="G72" s="299"/>
      <c r="H72" s="890"/>
      <c r="I72" s="916"/>
      <c r="J72" s="917"/>
      <c r="K72"/>
    </row>
    <row r="73" spans="3:11">
      <c r="C73" s="286" t="s">
        <v>2411</v>
      </c>
      <c r="D73" s="302" t="s">
        <v>3323</v>
      </c>
      <c r="E73" s="301" t="s">
        <v>2318</v>
      </c>
      <c r="F73" s="287">
        <v>0</v>
      </c>
      <c r="G73" s="299"/>
      <c r="H73" s="890"/>
      <c r="I73" s="916"/>
      <c r="J73" s="917"/>
      <c r="K73"/>
    </row>
    <row r="74" spans="3:11">
      <c r="C74" s="286" t="s">
        <v>2413</v>
      </c>
      <c r="D74" s="302" t="s">
        <v>3324</v>
      </c>
      <c r="E74" s="301" t="s">
        <v>2318</v>
      </c>
      <c r="F74" s="287">
        <v>0</v>
      </c>
      <c r="G74" s="299"/>
      <c r="H74" s="890"/>
      <c r="I74" s="916"/>
      <c r="J74" s="917"/>
      <c r="K74"/>
    </row>
    <row r="75" spans="3:11">
      <c r="C75" s="286" t="s">
        <v>2415</v>
      </c>
      <c r="D75" s="302" t="s">
        <v>3325</v>
      </c>
      <c r="E75" s="301" t="s">
        <v>2318</v>
      </c>
      <c r="F75" s="287">
        <v>0</v>
      </c>
      <c r="G75" s="299"/>
      <c r="H75" s="890"/>
      <c r="I75" s="916"/>
      <c r="J75" s="917"/>
      <c r="K75"/>
    </row>
    <row r="76" spans="3:11">
      <c r="C76" s="286" t="s">
        <v>2417</v>
      </c>
      <c r="D76" s="302" t="s">
        <v>3326</v>
      </c>
      <c r="E76" s="301" t="s">
        <v>2318</v>
      </c>
      <c r="F76" s="287">
        <v>0</v>
      </c>
      <c r="G76" s="299"/>
      <c r="H76" s="890"/>
      <c r="I76" s="916"/>
      <c r="J76" s="917"/>
      <c r="K76"/>
    </row>
    <row r="77" spans="3:11">
      <c r="C77" s="286" t="s">
        <v>2419</v>
      </c>
      <c r="D77" s="302" t="s">
        <v>3327</v>
      </c>
      <c r="E77" s="301" t="s">
        <v>2318</v>
      </c>
      <c r="F77" s="287">
        <v>0</v>
      </c>
      <c r="G77" s="299"/>
      <c r="H77" s="890"/>
      <c r="I77" s="916"/>
      <c r="J77" s="917"/>
      <c r="K77"/>
    </row>
    <row r="78" spans="3:11">
      <c r="C78" s="286" t="s">
        <v>2421</v>
      </c>
      <c r="D78" s="302" t="s">
        <v>3328</v>
      </c>
      <c r="E78" s="301" t="s">
        <v>2318</v>
      </c>
      <c r="F78" s="287">
        <v>0</v>
      </c>
      <c r="G78" s="299"/>
      <c r="H78" s="890"/>
      <c r="I78" s="916"/>
      <c r="J78" s="917"/>
      <c r="K78"/>
    </row>
    <row r="79" spans="3:11">
      <c r="C79" s="286" t="s">
        <v>2423</v>
      </c>
      <c r="D79" s="302" t="s">
        <v>3329</v>
      </c>
      <c r="E79" s="301" t="s">
        <v>2318</v>
      </c>
      <c r="F79" s="287">
        <v>0</v>
      </c>
      <c r="G79" s="299"/>
      <c r="H79" s="890"/>
      <c r="I79" s="916"/>
      <c r="J79" s="917"/>
      <c r="K79"/>
    </row>
    <row r="80" spans="3:11">
      <c r="C80" s="285" t="s">
        <v>2425</v>
      </c>
      <c r="D80" s="284" t="s">
        <v>3330</v>
      </c>
      <c r="E80" s="283" t="s">
        <v>2318</v>
      </c>
      <c r="F80" s="282">
        <v>0</v>
      </c>
      <c r="G80" s="281"/>
      <c r="H80" s="897"/>
      <c r="I80" s="924"/>
      <c r="J80" s="925"/>
      <c r="K80"/>
    </row>
    <row r="81" spans="3:11">
      <c r="C81" s="280" t="s">
        <v>2427</v>
      </c>
      <c r="D81" s="279" t="s">
        <v>3331</v>
      </c>
      <c r="E81" s="278" t="s">
        <v>2318</v>
      </c>
      <c r="F81" s="277">
        <v>0</v>
      </c>
      <c r="G81" s="276"/>
      <c r="H81" s="898"/>
      <c r="I81" s="926"/>
      <c r="J81" s="927"/>
      <c r="K81"/>
    </row>
    <row r="82" spans="3:11">
      <c r="C82" s="286" t="s">
        <v>2429</v>
      </c>
      <c r="D82" s="302" t="s">
        <v>3332</v>
      </c>
      <c r="E82" s="301" t="s">
        <v>2318</v>
      </c>
      <c r="F82" s="287">
        <v>0</v>
      </c>
      <c r="G82" s="299"/>
      <c r="H82" s="890"/>
      <c r="I82" s="916"/>
      <c r="J82" s="917"/>
      <c r="K82"/>
    </row>
    <row r="83" spans="3:11">
      <c r="C83" s="286" t="s">
        <v>2431</v>
      </c>
      <c r="D83" s="302" t="s">
        <v>3333</v>
      </c>
      <c r="E83" s="301" t="s">
        <v>2318</v>
      </c>
      <c r="F83" s="287">
        <v>0</v>
      </c>
      <c r="G83" s="299"/>
      <c r="H83" s="890"/>
      <c r="I83" s="916"/>
      <c r="J83" s="917"/>
      <c r="K83"/>
    </row>
    <row r="84" spans="3:11">
      <c r="C84" s="286" t="s">
        <v>2433</v>
      </c>
      <c r="D84" s="302" t="s">
        <v>3334</v>
      </c>
      <c r="E84" s="301" t="s">
        <v>2318</v>
      </c>
      <c r="F84" s="287">
        <v>0</v>
      </c>
      <c r="G84" s="299"/>
      <c r="H84" s="890"/>
      <c r="I84" s="916"/>
      <c r="J84" s="917"/>
      <c r="K84"/>
    </row>
    <row r="85" spans="3:11">
      <c r="C85" s="286" t="s">
        <v>2435</v>
      </c>
      <c r="D85" s="302" t="s">
        <v>3335</v>
      </c>
      <c r="E85" s="301" t="s">
        <v>2318</v>
      </c>
      <c r="F85" s="287">
        <v>0</v>
      </c>
      <c r="G85" s="299"/>
      <c r="H85" s="890"/>
      <c r="I85" s="916"/>
      <c r="J85" s="917"/>
      <c r="K85"/>
    </row>
    <row r="86" spans="3:11">
      <c r="C86" s="288"/>
      <c r="D86" s="302"/>
      <c r="E86" s="301"/>
      <c r="F86" s="287"/>
      <c r="G86" s="299"/>
      <c r="H86" s="890"/>
      <c r="I86" s="916"/>
      <c r="J86" s="917"/>
      <c r="K86"/>
    </row>
    <row r="87" spans="3:11">
      <c r="C87" s="286" t="s">
        <v>2437</v>
      </c>
      <c r="D87" s="302" t="s">
        <v>3336</v>
      </c>
      <c r="E87" s="301" t="s">
        <v>2318</v>
      </c>
      <c r="F87" s="287">
        <v>1</v>
      </c>
      <c r="G87" s="299">
        <f t="shared" ref="G87:G88" si="8">$L$9*I87</f>
        <v>109642256.16893256</v>
      </c>
      <c r="H87" s="890">
        <f>F87*G87</f>
        <v>109642256.16893256</v>
      </c>
      <c r="I87" s="916">
        <f>'Pondasi 4 Pile'!G47</f>
        <v>109642256.16893256</v>
      </c>
      <c r="J87" s="917">
        <f t="shared" ref="J87:J88" si="9">F87*I87</f>
        <v>109642256.16893256</v>
      </c>
      <c r="K87"/>
    </row>
    <row r="88" spans="3:11">
      <c r="C88" s="286" t="s">
        <v>2439</v>
      </c>
      <c r="D88" s="302" t="s">
        <v>3337</v>
      </c>
      <c r="E88" s="301" t="s">
        <v>2318</v>
      </c>
      <c r="F88" s="287">
        <v>5</v>
      </c>
      <c r="G88" s="299">
        <f t="shared" si="8"/>
        <v>136408906.32179782</v>
      </c>
      <c r="H88" s="890">
        <f>F88*G88</f>
        <v>682044531.60898912</v>
      </c>
      <c r="I88" s="916">
        <f>'Pondasi 4 Pile'!G70</f>
        <v>136408906.32179782</v>
      </c>
      <c r="J88" s="917">
        <f t="shared" si="9"/>
        <v>682044531.60898912</v>
      </c>
      <c r="K88"/>
    </row>
    <row r="89" spans="3:11">
      <c r="C89" s="286" t="s">
        <v>2441</v>
      </c>
      <c r="D89" s="302" t="s">
        <v>3338</v>
      </c>
      <c r="E89" s="301" t="s">
        <v>2318</v>
      </c>
      <c r="F89" s="287">
        <v>0</v>
      </c>
      <c r="G89" s="299"/>
      <c r="H89" s="890"/>
      <c r="I89" s="916"/>
      <c r="J89" s="917"/>
      <c r="K89"/>
    </row>
    <row r="90" spans="3:11">
      <c r="C90" s="286" t="s">
        <v>2443</v>
      </c>
      <c r="D90" s="302" t="s">
        <v>3339</v>
      </c>
      <c r="E90" s="301" t="s">
        <v>2318</v>
      </c>
      <c r="F90" s="287">
        <v>2</v>
      </c>
      <c r="G90" s="299">
        <f>$L$9*I90</f>
        <v>168895151.31707987</v>
      </c>
      <c r="H90" s="890">
        <f>F90*G90</f>
        <v>337790302.63415974</v>
      </c>
      <c r="I90" s="916">
        <f>'Pondasi 4 Pile'!G116</f>
        <v>168895151.31707987</v>
      </c>
      <c r="J90" s="917">
        <f>F90*I90</f>
        <v>337790302.63415974</v>
      </c>
      <c r="K90"/>
    </row>
    <row r="91" spans="3:11">
      <c r="C91" s="286" t="s">
        <v>2445</v>
      </c>
      <c r="D91" s="302" t="s">
        <v>3340</v>
      </c>
      <c r="E91" s="301" t="s">
        <v>2318</v>
      </c>
      <c r="F91" s="287">
        <v>0</v>
      </c>
      <c r="G91" s="299"/>
      <c r="H91" s="890"/>
      <c r="I91" s="916"/>
      <c r="J91" s="917"/>
      <c r="K91"/>
    </row>
    <row r="92" spans="3:11">
      <c r="C92" s="286" t="s">
        <v>2447</v>
      </c>
      <c r="D92" s="302" t="s">
        <v>3341</v>
      </c>
      <c r="E92" s="301" t="s">
        <v>2318</v>
      </c>
      <c r="F92" s="287">
        <v>2</v>
      </c>
      <c r="G92" s="299">
        <f>$L$9*I92</f>
        <v>263118615.38611266</v>
      </c>
      <c r="H92" s="890">
        <f>F92*G92</f>
        <v>526237230.77222532</v>
      </c>
      <c r="I92" s="916">
        <f>'Pondasi 4 Pile'!G164</f>
        <v>263118615.38611266</v>
      </c>
      <c r="J92" s="917">
        <f>F92*I92</f>
        <v>526237230.77222532</v>
      </c>
      <c r="K92"/>
    </row>
    <row r="93" spans="3:11">
      <c r="C93" s="286" t="s">
        <v>2449</v>
      </c>
      <c r="D93" s="302" t="s">
        <v>3342</v>
      </c>
      <c r="E93" s="301" t="s">
        <v>2318</v>
      </c>
      <c r="F93" s="287">
        <v>0</v>
      </c>
      <c r="G93" s="299"/>
      <c r="H93" s="890"/>
      <c r="I93" s="916"/>
      <c r="J93" s="917"/>
      <c r="K93"/>
    </row>
    <row r="94" spans="3:11">
      <c r="C94" s="286" t="s">
        <v>2451</v>
      </c>
      <c r="D94" s="302" t="s">
        <v>3343</v>
      </c>
      <c r="E94" s="301" t="s">
        <v>2318</v>
      </c>
      <c r="F94" s="287">
        <v>0</v>
      </c>
      <c r="G94" s="299"/>
      <c r="H94" s="890"/>
      <c r="I94" s="916"/>
      <c r="J94" s="917"/>
      <c r="K94"/>
    </row>
    <row r="95" spans="3:11">
      <c r="C95" s="286" t="s">
        <v>2453</v>
      </c>
      <c r="D95" s="302" t="s">
        <v>3344</v>
      </c>
      <c r="E95" s="301" t="s">
        <v>2318</v>
      </c>
      <c r="F95" s="287">
        <v>0</v>
      </c>
      <c r="G95" s="299"/>
      <c r="H95" s="890"/>
      <c r="I95" s="916"/>
      <c r="J95" s="917"/>
      <c r="K95"/>
    </row>
    <row r="96" spans="3:11">
      <c r="C96" s="286" t="s">
        <v>2455</v>
      </c>
      <c r="D96" s="302" t="s">
        <v>3345</v>
      </c>
      <c r="E96" s="301" t="s">
        <v>2318</v>
      </c>
      <c r="F96" s="287">
        <v>0</v>
      </c>
      <c r="G96" s="299"/>
      <c r="H96" s="890"/>
      <c r="I96" s="916"/>
      <c r="J96" s="917"/>
      <c r="K96"/>
    </row>
    <row r="97" spans="3:11">
      <c r="C97" s="286" t="s">
        <v>2457</v>
      </c>
      <c r="D97" s="302" t="s">
        <v>3346</v>
      </c>
      <c r="E97" s="301" t="s">
        <v>2318</v>
      </c>
      <c r="F97" s="287">
        <v>0</v>
      </c>
      <c r="G97" s="299"/>
      <c r="H97" s="890"/>
      <c r="I97" s="916"/>
      <c r="J97" s="917"/>
      <c r="K97"/>
    </row>
    <row r="98" spans="3:11">
      <c r="C98" s="286" t="s">
        <v>2459</v>
      </c>
      <c r="D98" s="302" t="s">
        <v>3347</v>
      </c>
      <c r="E98" s="301" t="s">
        <v>2318</v>
      </c>
      <c r="F98" s="287">
        <v>0</v>
      </c>
      <c r="G98" s="299"/>
      <c r="H98" s="890"/>
      <c r="I98" s="916"/>
      <c r="J98" s="917"/>
      <c r="K98"/>
    </row>
    <row r="99" spans="3:11">
      <c r="C99" s="286" t="s">
        <v>2461</v>
      </c>
      <c r="D99" s="302" t="s">
        <v>3348</v>
      </c>
      <c r="E99" s="301" t="s">
        <v>2318</v>
      </c>
      <c r="F99" s="287">
        <v>0</v>
      </c>
      <c r="G99" s="299"/>
      <c r="H99" s="890"/>
      <c r="I99" s="916"/>
      <c r="J99" s="917"/>
      <c r="K99"/>
    </row>
    <row r="100" spans="3:11">
      <c r="C100" s="286" t="s">
        <v>2463</v>
      </c>
      <c r="D100" s="302" t="s">
        <v>3349</v>
      </c>
      <c r="E100" s="301" t="s">
        <v>2318</v>
      </c>
      <c r="F100" s="287">
        <v>0</v>
      </c>
      <c r="G100" s="299"/>
      <c r="H100" s="890"/>
      <c r="I100" s="916"/>
      <c r="J100" s="917"/>
      <c r="K100"/>
    </row>
    <row r="101" spans="3:11">
      <c r="C101" s="286" t="s">
        <v>2465</v>
      </c>
      <c r="D101" s="302" t="s">
        <v>3350</v>
      </c>
      <c r="E101" s="301" t="s">
        <v>2318</v>
      </c>
      <c r="F101" s="287">
        <v>0</v>
      </c>
      <c r="G101" s="299"/>
      <c r="H101" s="890"/>
      <c r="I101" s="916"/>
      <c r="J101" s="917"/>
      <c r="K101"/>
    </row>
    <row r="102" spans="3:11">
      <c r="C102" s="286" t="s">
        <v>2467</v>
      </c>
      <c r="D102" s="302" t="s">
        <v>3351</v>
      </c>
      <c r="E102" s="301" t="s">
        <v>2318</v>
      </c>
      <c r="F102" s="287">
        <v>0</v>
      </c>
      <c r="G102" s="299"/>
      <c r="H102" s="890"/>
      <c r="I102" s="916"/>
      <c r="J102" s="917"/>
      <c r="K102"/>
    </row>
    <row r="103" spans="3:11">
      <c r="C103" s="286" t="s">
        <v>2470</v>
      </c>
      <c r="D103" s="302" t="s">
        <v>3352</v>
      </c>
      <c r="E103" s="301" t="s">
        <v>2318</v>
      </c>
      <c r="F103" s="287">
        <v>0</v>
      </c>
      <c r="G103" s="299"/>
      <c r="H103" s="890"/>
      <c r="I103" s="916"/>
      <c r="J103" s="917"/>
      <c r="K103"/>
    </row>
    <row r="104" spans="3:11">
      <c r="C104" s="286" t="s">
        <v>2472</v>
      </c>
      <c r="D104" s="302" t="s">
        <v>3353</v>
      </c>
      <c r="E104" s="301" t="s">
        <v>2318</v>
      </c>
      <c r="F104" s="287">
        <v>0</v>
      </c>
      <c r="G104" s="299"/>
      <c r="H104" s="890"/>
      <c r="I104" s="916"/>
      <c r="J104" s="917"/>
      <c r="K104"/>
    </row>
    <row r="105" spans="3:11">
      <c r="C105" s="286" t="s">
        <v>2474</v>
      </c>
      <c r="D105" s="302" t="s">
        <v>3354</v>
      </c>
      <c r="E105" s="301" t="s">
        <v>2318</v>
      </c>
      <c r="F105" s="287">
        <v>0</v>
      </c>
      <c r="G105" s="299"/>
      <c r="H105" s="890"/>
      <c r="I105" s="916"/>
      <c r="J105" s="917"/>
      <c r="K105"/>
    </row>
    <row r="106" spans="3:11">
      <c r="C106" s="286" t="s">
        <v>2476</v>
      </c>
      <c r="D106" s="302" t="s">
        <v>3355</v>
      </c>
      <c r="E106" s="301" t="s">
        <v>2318</v>
      </c>
      <c r="F106" s="287">
        <v>0</v>
      </c>
      <c r="G106" s="299"/>
      <c r="H106" s="890"/>
      <c r="I106" s="916"/>
      <c r="J106" s="917"/>
      <c r="K106"/>
    </row>
    <row r="107" spans="3:11">
      <c r="C107" s="288"/>
      <c r="D107" s="302"/>
      <c r="E107" s="301"/>
      <c r="F107" s="287"/>
      <c r="G107" s="299"/>
      <c r="H107" s="890"/>
      <c r="I107" s="916"/>
      <c r="J107" s="917"/>
      <c r="K107"/>
    </row>
    <row r="108" spans="3:11">
      <c r="C108" s="286" t="s">
        <v>2478</v>
      </c>
      <c r="D108" s="302" t="s">
        <v>3356</v>
      </c>
      <c r="E108" s="301" t="s">
        <v>2318</v>
      </c>
      <c r="F108" s="287">
        <v>0</v>
      </c>
      <c r="G108" s="299"/>
      <c r="H108" s="890"/>
      <c r="I108" s="916"/>
      <c r="J108" s="917"/>
      <c r="K108"/>
    </row>
    <row r="109" spans="3:11">
      <c r="C109" s="286" t="s">
        <v>2480</v>
      </c>
      <c r="D109" s="302" t="s">
        <v>3357</v>
      </c>
      <c r="E109" s="301" t="s">
        <v>2318</v>
      </c>
      <c r="F109" s="287">
        <v>0</v>
      </c>
      <c r="G109" s="299"/>
      <c r="H109" s="890"/>
      <c r="I109" s="916"/>
      <c r="J109" s="917"/>
      <c r="K109"/>
    </row>
    <row r="110" spans="3:11">
      <c r="C110" s="286" t="s">
        <v>2482</v>
      </c>
      <c r="D110" s="302" t="s">
        <v>3358</v>
      </c>
      <c r="E110" s="301" t="s">
        <v>2318</v>
      </c>
      <c r="F110" s="287">
        <v>0</v>
      </c>
      <c r="G110" s="299"/>
      <c r="H110" s="890"/>
      <c r="I110" s="916"/>
      <c r="J110" s="917"/>
      <c r="K110"/>
    </row>
    <row r="111" spans="3:11">
      <c r="C111" s="286" t="s">
        <v>2484</v>
      </c>
      <c r="D111" s="302" t="s">
        <v>3359</v>
      </c>
      <c r="E111" s="301" t="s">
        <v>2318</v>
      </c>
      <c r="F111" s="287">
        <v>1</v>
      </c>
      <c r="G111" s="299">
        <f>$L$9*I111</f>
        <v>168895151.31707987</v>
      </c>
      <c r="H111" s="890">
        <f>F111*G111</f>
        <v>168895151.31707987</v>
      </c>
      <c r="I111" s="916">
        <f>'Pondasi 4 Pile'!G116</f>
        <v>168895151.31707987</v>
      </c>
      <c r="J111" s="917">
        <f>F111*I111</f>
        <v>168895151.31707987</v>
      </c>
      <c r="K111"/>
    </row>
    <row r="112" spans="3:11">
      <c r="C112" s="286" t="s">
        <v>2486</v>
      </c>
      <c r="D112" s="302" t="s">
        <v>3360</v>
      </c>
      <c r="E112" s="301" t="s">
        <v>2318</v>
      </c>
      <c r="F112" s="287">
        <v>0</v>
      </c>
      <c r="G112" s="299"/>
      <c r="H112" s="890"/>
      <c r="I112" s="916"/>
      <c r="J112" s="917"/>
      <c r="K112"/>
    </row>
    <row r="113" spans="3:11">
      <c r="C113" s="286" t="s">
        <v>2488</v>
      </c>
      <c r="D113" s="302" t="s">
        <v>3361</v>
      </c>
      <c r="E113" s="301" t="s">
        <v>2318</v>
      </c>
      <c r="F113" s="287">
        <v>2</v>
      </c>
      <c r="G113" s="299">
        <f>$L$9*I113</f>
        <v>263118615.38611266</v>
      </c>
      <c r="H113" s="890">
        <f>F113*G113</f>
        <v>526237230.77222532</v>
      </c>
      <c r="I113" s="916">
        <f>'Pondasi 4 Pile'!G164</f>
        <v>263118615.38611266</v>
      </c>
      <c r="J113" s="917">
        <f>F113*I113</f>
        <v>526237230.77222532</v>
      </c>
      <c r="K113"/>
    </row>
    <row r="114" spans="3:11">
      <c r="C114" s="286" t="s">
        <v>2490</v>
      </c>
      <c r="D114" s="302" t="s">
        <v>3362</v>
      </c>
      <c r="E114" s="301" t="s">
        <v>2318</v>
      </c>
      <c r="F114" s="287">
        <v>0</v>
      </c>
      <c r="G114" s="299"/>
      <c r="H114" s="890"/>
      <c r="I114" s="916"/>
      <c r="J114" s="917"/>
      <c r="K114"/>
    </row>
    <row r="115" spans="3:11">
      <c r="C115" s="286" t="s">
        <v>2492</v>
      </c>
      <c r="D115" s="302" t="s">
        <v>3363</v>
      </c>
      <c r="E115" s="301" t="s">
        <v>2318</v>
      </c>
      <c r="F115" s="287">
        <v>0</v>
      </c>
      <c r="G115" s="299"/>
      <c r="H115" s="890"/>
      <c r="I115" s="916"/>
      <c r="J115" s="917"/>
      <c r="K115"/>
    </row>
    <row r="116" spans="3:11">
      <c r="C116" s="286" t="s">
        <v>2494</v>
      </c>
      <c r="D116" s="302" t="s">
        <v>3364</v>
      </c>
      <c r="E116" s="301" t="s">
        <v>2318</v>
      </c>
      <c r="F116" s="287">
        <v>0</v>
      </c>
      <c r="G116" s="299"/>
      <c r="H116" s="890"/>
      <c r="I116" s="916"/>
      <c r="J116" s="917"/>
      <c r="K116"/>
    </row>
    <row r="117" spans="3:11">
      <c r="C117" s="286" t="s">
        <v>2496</v>
      </c>
      <c r="D117" s="302" t="s">
        <v>3365</v>
      </c>
      <c r="E117" s="301" t="s">
        <v>2318</v>
      </c>
      <c r="F117" s="287">
        <v>0</v>
      </c>
      <c r="G117" s="299"/>
      <c r="H117" s="890"/>
      <c r="I117" s="916"/>
      <c r="J117" s="917"/>
      <c r="K117"/>
    </row>
    <row r="118" spans="3:11">
      <c r="C118" s="286" t="s">
        <v>3366</v>
      </c>
      <c r="D118" s="302" t="s">
        <v>3367</v>
      </c>
      <c r="E118" s="301" t="s">
        <v>2318</v>
      </c>
      <c r="F118" s="287">
        <v>0</v>
      </c>
      <c r="G118" s="299"/>
      <c r="H118" s="890"/>
      <c r="I118" s="916"/>
      <c r="J118" s="917"/>
      <c r="K118"/>
    </row>
    <row r="119" spans="3:11">
      <c r="C119" s="286" t="s">
        <v>3368</v>
      </c>
      <c r="D119" s="302" t="s">
        <v>3369</v>
      </c>
      <c r="E119" s="301" t="s">
        <v>2318</v>
      </c>
      <c r="F119" s="287">
        <v>0</v>
      </c>
      <c r="G119" s="299"/>
      <c r="H119" s="890"/>
      <c r="I119" s="916"/>
      <c r="J119" s="917"/>
      <c r="K119"/>
    </row>
    <row r="120" spans="3:11">
      <c r="C120" s="286" t="s">
        <v>3370</v>
      </c>
      <c r="D120" s="302" t="s">
        <v>3371</v>
      </c>
      <c r="E120" s="301" t="s">
        <v>2318</v>
      </c>
      <c r="F120" s="287">
        <v>0</v>
      </c>
      <c r="G120" s="299"/>
      <c r="H120" s="890"/>
      <c r="I120" s="916"/>
      <c r="J120" s="917"/>
      <c r="K120"/>
    </row>
    <row r="121" spans="3:11">
      <c r="C121" s="286" t="s">
        <v>3372</v>
      </c>
      <c r="D121" s="302" t="s">
        <v>3373</v>
      </c>
      <c r="E121" s="301" t="s">
        <v>2318</v>
      </c>
      <c r="F121" s="287">
        <v>0</v>
      </c>
      <c r="G121" s="299"/>
      <c r="H121" s="890"/>
      <c r="I121" s="916"/>
      <c r="J121" s="917"/>
      <c r="K121"/>
    </row>
    <row r="122" spans="3:11">
      <c r="C122" s="286" t="s">
        <v>3374</v>
      </c>
      <c r="D122" s="302" t="s">
        <v>3375</v>
      </c>
      <c r="E122" s="301" t="s">
        <v>2318</v>
      </c>
      <c r="F122" s="287">
        <v>0</v>
      </c>
      <c r="G122" s="299"/>
      <c r="H122" s="890"/>
      <c r="I122" s="916"/>
      <c r="J122" s="917"/>
      <c r="K122"/>
    </row>
    <row r="123" spans="3:11">
      <c r="C123" s="286" t="s">
        <v>3376</v>
      </c>
      <c r="D123" s="302" t="s">
        <v>3377</v>
      </c>
      <c r="E123" s="301" t="s">
        <v>2318</v>
      </c>
      <c r="F123" s="287">
        <v>0</v>
      </c>
      <c r="G123" s="299"/>
      <c r="H123" s="890"/>
      <c r="I123" s="916"/>
      <c r="J123" s="917"/>
      <c r="K123"/>
    </row>
    <row r="124" spans="3:11">
      <c r="C124" s="286" t="s">
        <v>3378</v>
      </c>
      <c r="D124" s="302" t="s">
        <v>3379</v>
      </c>
      <c r="E124" s="301" t="s">
        <v>2318</v>
      </c>
      <c r="F124" s="287">
        <v>0</v>
      </c>
      <c r="G124" s="299"/>
      <c r="H124" s="890"/>
      <c r="I124" s="916"/>
      <c r="J124" s="917"/>
      <c r="K124"/>
    </row>
    <row r="125" spans="3:11">
      <c r="C125" s="286" t="s">
        <v>3380</v>
      </c>
      <c r="D125" s="302" t="s">
        <v>3381</v>
      </c>
      <c r="E125" s="301" t="s">
        <v>2318</v>
      </c>
      <c r="F125" s="287">
        <v>0</v>
      </c>
      <c r="G125" s="299"/>
      <c r="H125" s="890"/>
      <c r="I125" s="916"/>
      <c r="J125" s="917"/>
      <c r="K125"/>
    </row>
    <row r="126" spans="3:11">
      <c r="C126" s="286" t="s">
        <v>3382</v>
      </c>
      <c r="D126" s="302" t="s">
        <v>3383</v>
      </c>
      <c r="E126" s="301" t="s">
        <v>2318</v>
      </c>
      <c r="F126" s="287">
        <v>0</v>
      </c>
      <c r="G126" s="299"/>
      <c r="H126" s="890"/>
      <c r="I126" s="916"/>
      <c r="J126" s="917"/>
      <c r="K126"/>
    </row>
    <row r="127" spans="3:11">
      <c r="C127" s="286" t="s">
        <v>3384</v>
      </c>
      <c r="D127" s="302" t="s">
        <v>3385</v>
      </c>
      <c r="E127" s="301" t="s">
        <v>2318</v>
      </c>
      <c r="F127" s="287">
        <v>0</v>
      </c>
      <c r="G127" s="299"/>
      <c r="H127" s="890"/>
      <c r="I127" s="916"/>
      <c r="J127" s="917"/>
      <c r="K127"/>
    </row>
    <row r="128" spans="3:11">
      <c r="C128" s="288"/>
      <c r="D128" s="302"/>
      <c r="E128" s="301"/>
      <c r="F128" s="287"/>
      <c r="G128" s="299"/>
      <c r="H128" s="890"/>
      <c r="I128" s="916"/>
      <c r="J128" s="917"/>
      <c r="K128"/>
    </row>
    <row r="129" spans="3:13">
      <c r="C129" s="286" t="s">
        <v>3386</v>
      </c>
      <c r="D129" s="302" t="s">
        <v>3387</v>
      </c>
      <c r="E129" s="301" t="s">
        <v>2318</v>
      </c>
      <c r="F129" s="287">
        <v>1</v>
      </c>
      <c r="G129" s="299">
        <f t="shared" ref="G129:G130" si="10">$L$9*I129</f>
        <v>109642256.16893256</v>
      </c>
      <c r="H129" s="890">
        <f>F129*G129</f>
        <v>109642256.16893256</v>
      </c>
      <c r="I129" s="916">
        <f>'Pondasi 4 Pile'!G47</f>
        <v>109642256.16893256</v>
      </c>
      <c r="J129" s="917">
        <f t="shared" ref="J129:J130" si="11">F129*I129</f>
        <v>109642256.16893256</v>
      </c>
      <c r="K129"/>
    </row>
    <row r="130" spans="3:13">
      <c r="C130" s="286" t="s">
        <v>3388</v>
      </c>
      <c r="D130" s="302" t="s">
        <v>3389</v>
      </c>
      <c r="E130" s="301" t="s">
        <v>2318</v>
      </c>
      <c r="F130" s="287">
        <v>2</v>
      </c>
      <c r="G130" s="299">
        <f t="shared" si="10"/>
        <v>136408906.32179782</v>
      </c>
      <c r="H130" s="890">
        <f>F130*G130</f>
        <v>272817812.64359564</v>
      </c>
      <c r="I130" s="916">
        <f>'Pondasi 4 Pile'!G70</f>
        <v>136408906.32179782</v>
      </c>
      <c r="J130" s="917">
        <f t="shared" si="11"/>
        <v>272817812.64359564</v>
      </c>
      <c r="K130"/>
    </row>
    <row r="131" spans="3:13">
      <c r="C131" s="286" t="s">
        <v>3390</v>
      </c>
      <c r="D131" s="302" t="s">
        <v>3391</v>
      </c>
      <c r="E131" s="301" t="s">
        <v>2318</v>
      </c>
      <c r="F131" s="287">
        <v>0</v>
      </c>
      <c r="G131" s="299"/>
      <c r="H131" s="890"/>
      <c r="I131" s="916"/>
      <c r="J131" s="917"/>
      <c r="K131"/>
    </row>
    <row r="132" spans="3:13">
      <c r="C132" s="286" t="s">
        <v>3392</v>
      </c>
      <c r="D132" s="302" t="s">
        <v>3393</v>
      </c>
      <c r="E132" s="301" t="s">
        <v>2318</v>
      </c>
      <c r="F132" s="287">
        <v>1</v>
      </c>
      <c r="G132" s="299">
        <f>$L$9*I132</f>
        <v>168895151.31707987</v>
      </c>
      <c r="H132" s="890">
        <f>F132*G132</f>
        <v>168895151.31707987</v>
      </c>
      <c r="I132" s="916">
        <f>'Pondasi 4 Pile'!G116</f>
        <v>168895151.31707987</v>
      </c>
      <c r="J132" s="917">
        <f>F132*I132</f>
        <v>168895151.31707987</v>
      </c>
      <c r="K132"/>
    </row>
    <row r="133" spans="3:13">
      <c r="C133" s="286" t="s">
        <v>3394</v>
      </c>
      <c r="D133" s="302" t="s">
        <v>3395</v>
      </c>
      <c r="E133" s="301" t="s">
        <v>2318</v>
      </c>
      <c r="F133" s="287">
        <v>0</v>
      </c>
      <c r="G133" s="299"/>
      <c r="H133" s="890"/>
      <c r="I133" s="916"/>
      <c r="J133" s="917"/>
      <c r="K133"/>
    </row>
    <row r="134" spans="3:13">
      <c r="C134" s="286" t="s">
        <v>3396</v>
      </c>
      <c r="D134" s="302" t="s">
        <v>3397</v>
      </c>
      <c r="E134" s="301" t="s">
        <v>2318</v>
      </c>
      <c r="F134" s="287">
        <v>0</v>
      </c>
      <c r="G134" s="299"/>
      <c r="H134" s="890"/>
      <c r="I134" s="916"/>
      <c r="J134" s="917"/>
      <c r="K134">
        <f>SUM(F24:F656)</f>
        <v>119</v>
      </c>
      <c r="L134" s="1041" t="s">
        <v>2469</v>
      </c>
      <c r="M134" s="1041"/>
    </row>
    <row r="135" spans="3:13">
      <c r="C135" s="286" t="s">
        <v>3398</v>
      </c>
      <c r="D135" s="302" t="s">
        <v>3399</v>
      </c>
      <c r="E135" s="301" t="s">
        <v>2318</v>
      </c>
      <c r="F135" s="287">
        <v>0</v>
      </c>
      <c r="G135" s="299"/>
      <c r="H135" s="890"/>
      <c r="I135" s="916"/>
      <c r="J135" s="917"/>
      <c r="K135"/>
    </row>
    <row r="136" spans="3:13">
      <c r="C136" s="286" t="s">
        <v>3400</v>
      </c>
      <c r="D136" s="302" t="s">
        <v>3401</v>
      </c>
      <c r="E136" s="301" t="s">
        <v>2318</v>
      </c>
      <c r="F136" s="287">
        <v>0</v>
      </c>
      <c r="G136" s="299"/>
      <c r="H136" s="890"/>
      <c r="I136" s="916"/>
      <c r="J136" s="917"/>
      <c r="K136"/>
    </row>
    <row r="137" spans="3:13">
      <c r="C137" s="286" t="s">
        <v>3402</v>
      </c>
      <c r="D137" s="302" t="s">
        <v>3403</v>
      </c>
      <c r="E137" s="301" t="s">
        <v>2318</v>
      </c>
      <c r="F137" s="287">
        <v>0</v>
      </c>
      <c r="G137" s="299"/>
      <c r="H137" s="890"/>
      <c r="I137" s="916"/>
      <c r="J137" s="917"/>
      <c r="K137"/>
    </row>
    <row r="138" spans="3:13">
      <c r="C138" s="286" t="s">
        <v>3404</v>
      </c>
      <c r="D138" s="302" t="s">
        <v>3405</v>
      </c>
      <c r="E138" s="301" t="s">
        <v>2318</v>
      </c>
      <c r="F138" s="287">
        <v>0</v>
      </c>
      <c r="G138" s="299"/>
      <c r="H138" s="890"/>
      <c r="I138" s="916"/>
      <c r="J138" s="917"/>
      <c r="K138"/>
    </row>
    <row r="139" spans="3:13">
      <c r="C139" s="286" t="s">
        <v>3406</v>
      </c>
      <c r="D139" s="302" t="s">
        <v>3407</v>
      </c>
      <c r="E139" s="301" t="s">
        <v>2318</v>
      </c>
      <c r="F139" s="287">
        <v>0</v>
      </c>
      <c r="G139" s="299"/>
      <c r="H139" s="890"/>
      <c r="I139" s="916"/>
      <c r="J139" s="917"/>
      <c r="K139"/>
    </row>
    <row r="140" spans="3:13">
      <c r="C140" s="286" t="s">
        <v>3408</v>
      </c>
      <c r="D140" s="302" t="s">
        <v>3409</v>
      </c>
      <c r="E140" s="301" t="s">
        <v>2318</v>
      </c>
      <c r="F140" s="287">
        <v>0</v>
      </c>
      <c r="G140" s="299"/>
      <c r="H140" s="890"/>
      <c r="I140" s="916"/>
      <c r="J140" s="917"/>
      <c r="K140"/>
    </row>
    <row r="141" spans="3:13">
      <c r="C141" s="286" t="s">
        <v>3410</v>
      </c>
      <c r="D141" s="302" t="s">
        <v>3411</v>
      </c>
      <c r="E141" s="301" t="s">
        <v>2318</v>
      </c>
      <c r="F141" s="287">
        <v>0</v>
      </c>
      <c r="G141" s="299"/>
      <c r="H141" s="890"/>
      <c r="I141" s="916"/>
      <c r="J141" s="917"/>
      <c r="K141"/>
    </row>
    <row r="142" spans="3:13">
      <c r="C142" s="286" t="s">
        <v>3412</v>
      </c>
      <c r="D142" s="302" t="s">
        <v>3413</v>
      </c>
      <c r="E142" s="301" t="s">
        <v>2318</v>
      </c>
      <c r="F142" s="287">
        <v>0</v>
      </c>
      <c r="G142" s="299"/>
      <c r="H142" s="890"/>
      <c r="I142" s="916"/>
      <c r="J142" s="917"/>
      <c r="K142"/>
    </row>
    <row r="143" spans="3:13">
      <c r="C143" s="286" t="s">
        <v>3414</v>
      </c>
      <c r="D143" s="302" t="s">
        <v>3415</v>
      </c>
      <c r="E143" s="301" t="s">
        <v>2318</v>
      </c>
      <c r="F143" s="287">
        <v>0</v>
      </c>
      <c r="G143" s="299"/>
      <c r="H143" s="890"/>
      <c r="I143" s="916"/>
      <c r="J143" s="917"/>
      <c r="K143"/>
    </row>
    <row r="144" spans="3:13">
      <c r="C144" s="286" t="s">
        <v>3416</v>
      </c>
      <c r="D144" s="302" t="s">
        <v>3417</v>
      </c>
      <c r="E144" s="301" t="s">
        <v>2318</v>
      </c>
      <c r="F144" s="287">
        <v>0</v>
      </c>
      <c r="G144" s="299"/>
      <c r="H144" s="890"/>
      <c r="I144" s="916"/>
      <c r="J144" s="917"/>
      <c r="K144"/>
    </row>
    <row r="145" spans="3:11">
      <c r="C145" s="286" t="s">
        <v>3418</v>
      </c>
      <c r="D145" s="302" t="s">
        <v>3419</v>
      </c>
      <c r="E145" s="301" t="s">
        <v>2318</v>
      </c>
      <c r="F145" s="287">
        <v>0</v>
      </c>
      <c r="G145" s="299"/>
      <c r="H145" s="890"/>
      <c r="I145" s="916"/>
      <c r="J145" s="917"/>
      <c r="K145"/>
    </row>
    <row r="146" spans="3:11">
      <c r="C146" s="286" t="s">
        <v>3420</v>
      </c>
      <c r="D146" s="302" t="s">
        <v>3421</v>
      </c>
      <c r="E146" s="301" t="s">
        <v>2318</v>
      </c>
      <c r="F146" s="287">
        <v>0</v>
      </c>
      <c r="G146" s="299"/>
      <c r="H146" s="890"/>
      <c r="I146" s="916"/>
      <c r="J146" s="917"/>
      <c r="K146"/>
    </row>
    <row r="147" spans="3:11">
      <c r="C147" s="286" t="s">
        <v>3422</v>
      </c>
      <c r="D147" s="302" t="s">
        <v>3423</v>
      </c>
      <c r="E147" s="301" t="s">
        <v>2318</v>
      </c>
      <c r="F147" s="287">
        <v>0</v>
      </c>
      <c r="G147" s="299"/>
      <c r="H147" s="890"/>
      <c r="I147" s="916"/>
      <c r="J147" s="917"/>
      <c r="K147"/>
    </row>
    <row r="148" spans="3:11">
      <c r="C148" s="286" t="s">
        <v>3424</v>
      </c>
      <c r="D148" s="302" t="s">
        <v>3425</v>
      </c>
      <c r="E148" s="301" t="s">
        <v>2318</v>
      </c>
      <c r="F148" s="287">
        <v>0</v>
      </c>
      <c r="G148" s="299"/>
      <c r="H148" s="890"/>
      <c r="I148" s="916"/>
      <c r="J148" s="917"/>
      <c r="K148"/>
    </row>
    <row r="149" spans="3:11">
      <c r="C149" s="288"/>
      <c r="D149" s="302"/>
      <c r="E149" s="301"/>
      <c r="F149" s="287"/>
      <c r="G149" s="299"/>
      <c r="H149" s="890"/>
      <c r="I149" s="916"/>
      <c r="J149" s="917"/>
      <c r="K149"/>
    </row>
    <row r="150" spans="3:11">
      <c r="C150" s="275">
        <v>2</v>
      </c>
      <c r="D150" s="292" t="s">
        <v>2498</v>
      </c>
      <c r="E150" s="291"/>
      <c r="F150" s="274"/>
      <c r="G150" s="299"/>
      <c r="H150" s="899"/>
      <c r="I150" s="916"/>
      <c r="J150" s="923"/>
      <c r="K150"/>
    </row>
    <row r="151" spans="3:11">
      <c r="C151" s="288" t="s">
        <v>2499</v>
      </c>
      <c r="D151" s="302" t="s">
        <v>3426</v>
      </c>
      <c r="E151" s="301" t="s">
        <v>2089</v>
      </c>
      <c r="F151" s="287">
        <v>0</v>
      </c>
      <c r="G151" s="299"/>
      <c r="H151" s="890"/>
      <c r="I151" s="916"/>
      <c r="J151" s="917"/>
      <c r="K151"/>
    </row>
    <row r="152" spans="3:11">
      <c r="C152" s="288" t="s">
        <v>2501</v>
      </c>
      <c r="D152" s="302" t="s">
        <v>3427</v>
      </c>
      <c r="E152" s="301" t="s">
        <v>2089</v>
      </c>
      <c r="F152" s="287">
        <v>0</v>
      </c>
      <c r="G152" s="299"/>
      <c r="H152" s="890"/>
      <c r="I152" s="916"/>
      <c r="J152" s="917"/>
      <c r="K152"/>
    </row>
    <row r="153" spans="3:11">
      <c r="C153" s="288" t="s">
        <v>2503</v>
      </c>
      <c r="D153" s="302" t="s">
        <v>3428</v>
      </c>
      <c r="E153" s="301" t="s">
        <v>2089</v>
      </c>
      <c r="F153" s="287">
        <v>0</v>
      </c>
      <c r="G153" s="299"/>
      <c r="H153" s="890"/>
      <c r="I153" s="916"/>
      <c r="J153" s="917"/>
      <c r="K153"/>
    </row>
    <row r="154" spans="3:11">
      <c r="C154" s="288" t="s">
        <v>2505</v>
      </c>
      <c r="D154" s="302" t="s">
        <v>3429</v>
      </c>
      <c r="E154" s="301" t="s">
        <v>2089</v>
      </c>
      <c r="F154" s="287">
        <v>0</v>
      </c>
      <c r="G154" s="299"/>
      <c r="H154" s="890"/>
      <c r="I154" s="916"/>
      <c r="J154" s="917"/>
      <c r="K154"/>
    </row>
    <row r="155" spans="3:11">
      <c r="C155" s="288" t="s">
        <v>2507</v>
      </c>
      <c r="D155" s="302" t="s">
        <v>3430</v>
      </c>
      <c r="E155" s="301" t="s">
        <v>2089</v>
      </c>
      <c r="F155" s="287">
        <v>0</v>
      </c>
      <c r="G155" s="299"/>
      <c r="H155" s="890"/>
      <c r="I155" s="916"/>
      <c r="J155" s="917"/>
      <c r="K155"/>
    </row>
    <row r="156" spans="3:11">
      <c r="C156" s="288" t="s">
        <v>2509</v>
      </c>
      <c r="D156" s="302" t="s">
        <v>3431</v>
      </c>
      <c r="E156" s="301" t="s">
        <v>2318</v>
      </c>
      <c r="F156" s="287">
        <v>0</v>
      </c>
      <c r="G156" s="299"/>
      <c r="H156" s="890"/>
      <c r="I156" s="916"/>
      <c r="J156" s="917"/>
      <c r="K156"/>
    </row>
    <row r="157" spans="3:11">
      <c r="C157" s="288" t="s">
        <v>2511</v>
      </c>
      <c r="D157" s="302" t="s">
        <v>3432</v>
      </c>
      <c r="E157" s="301" t="s">
        <v>2318</v>
      </c>
      <c r="F157" s="287">
        <v>0</v>
      </c>
      <c r="G157" s="299"/>
      <c r="H157" s="890"/>
      <c r="I157" s="916"/>
      <c r="J157" s="917"/>
      <c r="K157"/>
    </row>
    <row r="158" spans="3:11">
      <c r="C158" s="288" t="s">
        <v>2513</v>
      </c>
      <c r="D158" s="302" t="s">
        <v>3433</v>
      </c>
      <c r="E158" s="301" t="s">
        <v>2318</v>
      </c>
      <c r="F158" s="287">
        <v>0</v>
      </c>
      <c r="G158" s="299"/>
      <c r="H158" s="890"/>
      <c r="I158" s="916"/>
      <c r="J158" s="917"/>
      <c r="K158"/>
    </row>
    <row r="159" spans="3:11">
      <c r="C159" s="288" t="s">
        <v>2515</v>
      </c>
      <c r="D159" s="302" t="s">
        <v>3434</v>
      </c>
      <c r="E159" s="301" t="s">
        <v>2318</v>
      </c>
      <c r="F159" s="287">
        <v>0</v>
      </c>
      <c r="G159" s="299"/>
      <c r="H159" s="890"/>
      <c r="I159" s="916"/>
      <c r="J159" s="917"/>
      <c r="K159"/>
    </row>
    <row r="160" spans="3:11">
      <c r="C160" s="288" t="s">
        <v>2517</v>
      </c>
      <c r="D160" s="302" t="s">
        <v>3435</v>
      </c>
      <c r="E160" s="301" t="s">
        <v>2318</v>
      </c>
      <c r="F160" s="287">
        <v>0</v>
      </c>
      <c r="G160" s="299"/>
      <c r="H160" s="890"/>
      <c r="I160" s="916"/>
      <c r="J160" s="917"/>
      <c r="K160"/>
    </row>
    <row r="161" spans="3:11">
      <c r="C161" s="272" t="s">
        <v>2519</v>
      </c>
      <c r="D161" s="284" t="s">
        <v>3436</v>
      </c>
      <c r="E161" s="283" t="s">
        <v>2318</v>
      </c>
      <c r="F161" s="282">
        <v>0</v>
      </c>
      <c r="G161" s="281"/>
      <c r="H161" s="897"/>
      <c r="I161" s="924"/>
      <c r="J161" s="925"/>
      <c r="K161"/>
    </row>
    <row r="162" spans="3:11">
      <c r="C162" s="271" t="s">
        <v>2521</v>
      </c>
      <c r="D162" s="279" t="s">
        <v>3437</v>
      </c>
      <c r="E162" s="278" t="s">
        <v>2318</v>
      </c>
      <c r="F162" s="277">
        <v>0</v>
      </c>
      <c r="G162" s="276"/>
      <c r="H162" s="898"/>
      <c r="I162" s="926"/>
      <c r="J162" s="927"/>
      <c r="K162"/>
    </row>
    <row r="163" spans="3:11">
      <c r="C163" s="288" t="s">
        <v>2523</v>
      </c>
      <c r="D163" s="302" t="s">
        <v>3438</v>
      </c>
      <c r="E163" s="301" t="s">
        <v>2318</v>
      </c>
      <c r="F163" s="287">
        <v>0</v>
      </c>
      <c r="G163" s="299"/>
      <c r="H163" s="890"/>
      <c r="I163" s="916"/>
      <c r="J163" s="917"/>
      <c r="K163"/>
    </row>
    <row r="164" spans="3:11">
      <c r="C164" s="288" t="s">
        <v>2525</v>
      </c>
      <c r="D164" s="302" t="s">
        <v>3439</v>
      </c>
      <c r="E164" s="301" t="s">
        <v>2318</v>
      </c>
      <c r="F164" s="287">
        <v>0</v>
      </c>
      <c r="G164" s="299"/>
      <c r="H164" s="890"/>
      <c r="I164" s="916"/>
      <c r="J164" s="917"/>
      <c r="K164"/>
    </row>
    <row r="165" spans="3:11">
      <c r="C165" s="288" t="s">
        <v>2527</v>
      </c>
      <c r="D165" s="302" t="s">
        <v>3440</v>
      </c>
      <c r="E165" s="301" t="s">
        <v>2318</v>
      </c>
      <c r="F165" s="287">
        <v>0</v>
      </c>
      <c r="G165" s="299"/>
      <c r="H165" s="890"/>
      <c r="I165" s="916"/>
      <c r="J165" s="917"/>
      <c r="K165"/>
    </row>
    <row r="166" spans="3:11">
      <c r="C166" s="288" t="s">
        <v>2529</v>
      </c>
      <c r="D166" s="302" t="s">
        <v>3441</v>
      </c>
      <c r="E166" s="301" t="s">
        <v>2318</v>
      </c>
      <c r="F166" s="287">
        <v>0</v>
      </c>
      <c r="G166" s="299"/>
      <c r="H166" s="890"/>
      <c r="I166" s="916"/>
      <c r="J166" s="917"/>
      <c r="K166"/>
    </row>
    <row r="167" spans="3:11">
      <c r="C167" s="288" t="s">
        <v>2531</v>
      </c>
      <c r="D167" s="302" t="s">
        <v>3442</v>
      </c>
      <c r="E167" s="301" t="s">
        <v>2318</v>
      </c>
      <c r="F167" s="287">
        <v>0</v>
      </c>
      <c r="G167" s="299"/>
      <c r="H167" s="890"/>
      <c r="I167" s="916"/>
      <c r="J167" s="917"/>
      <c r="K167"/>
    </row>
    <row r="168" spans="3:11">
      <c r="C168" s="288" t="s">
        <v>2533</v>
      </c>
      <c r="D168" s="302" t="s">
        <v>3443</v>
      </c>
      <c r="E168" s="301" t="s">
        <v>2318</v>
      </c>
      <c r="F168" s="287">
        <v>0</v>
      </c>
      <c r="G168" s="299"/>
      <c r="H168" s="890"/>
      <c r="I168" s="916"/>
      <c r="J168" s="917"/>
      <c r="K168"/>
    </row>
    <row r="169" spans="3:11">
      <c r="C169" s="288" t="s">
        <v>2535</v>
      </c>
      <c r="D169" s="302" t="s">
        <v>3444</v>
      </c>
      <c r="E169" s="301" t="s">
        <v>2318</v>
      </c>
      <c r="F169" s="287">
        <v>0</v>
      </c>
      <c r="G169" s="299"/>
      <c r="H169" s="890"/>
      <c r="I169" s="916"/>
      <c r="J169" s="917"/>
      <c r="K169"/>
    </row>
    <row r="170" spans="3:11">
      <c r="C170" s="288" t="s">
        <v>2537</v>
      </c>
      <c r="D170" s="302" t="s">
        <v>3445</v>
      </c>
      <c r="E170" s="301" t="s">
        <v>2318</v>
      </c>
      <c r="F170" s="287">
        <v>0</v>
      </c>
      <c r="G170" s="299"/>
      <c r="H170" s="890"/>
      <c r="I170" s="916"/>
      <c r="J170" s="917"/>
      <c r="K170"/>
    </row>
    <row r="171" spans="3:11">
      <c r="C171" s="288"/>
      <c r="D171" s="302"/>
      <c r="E171" s="301"/>
      <c r="F171" s="287"/>
      <c r="G171" s="299"/>
      <c r="H171" s="890"/>
      <c r="I171" s="916"/>
      <c r="J171" s="917"/>
      <c r="K171"/>
    </row>
    <row r="172" spans="3:11">
      <c r="C172" s="270" t="s">
        <v>2539</v>
      </c>
      <c r="D172" s="302" t="s">
        <v>3446</v>
      </c>
      <c r="E172" s="301" t="s">
        <v>2089</v>
      </c>
      <c r="F172" s="287">
        <v>1</v>
      </c>
      <c r="G172" s="299">
        <f t="shared" ref="G172:G173" si="12">$L$9*I172</f>
        <v>200141211.83466542</v>
      </c>
      <c r="H172" s="890">
        <f>F172*G172</f>
        <v>200141211.83466542</v>
      </c>
      <c r="I172" s="916">
        <f>'Pondasi 4 Pile'!S47</f>
        <v>200141211.83466542</v>
      </c>
      <c r="J172" s="917">
        <f t="shared" ref="J172:J173" si="13">F172*I172</f>
        <v>200141211.83466542</v>
      </c>
      <c r="K172"/>
    </row>
    <row r="173" spans="3:11">
      <c r="C173" s="270" t="s">
        <v>2541</v>
      </c>
      <c r="D173" s="302" t="s">
        <v>3447</v>
      </c>
      <c r="E173" s="301" t="s">
        <v>2089</v>
      </c>
      <c r="F173" s="287">
        <v>3</v>
      </c>
      <c r="G173" s="299">
        <f t="shared" si="12"/>
        <v>265233261.53465185</v>
      </c>
      <c r="H173" s="890">
        <f>F173*G173</f>
        <v>795699784.60395551</v>
      </c>
      <c r="I173" s="916">
        <f>'Pondasi 4 Pile'!S70</f>
        <v>265233261.53465185</v>
      </c>
      <c r="J173" s="917">
        <f t="shared" si="13"/>
        <v>795699784.60395551</v>
      </c>
      <c r="K173"/>
    </row>
    <row r="174" spans="3:11">
      <c r="C174" s="270" t="s">
        <v>2543</v>
      </c>
      <c r="D174" s="302" t="s">
        <v>3448</v>
      </c>
      <c r="E174" s="301" t="s">
        <v>2089</v>
      </c>
      <c r="F174" s="287">
        <v>0</v>
      </c>
      <c r="G174" s="299"/>
      <c r="H174" s="890"/>
      <c r="I174" s="916"/>
      <c r="J174" s="917"/>
      <c r="K174"/>
    </row>
    <row r="175" spans="3:11">
      <c r="C175" s="270" t="s">
        <v>2545</v>
      </c>
      <c r="D175" s="302" t="s">
        <v>3449</v>
      </c>
      <c r="E175" s="301" t="s">
        <v>2089</v>
      </c>
      <c r="F175" s="287">
        <v>4</v>
      </c>
      <c r="G175" s="299">
        <f>$L$9*I175</f>
        <v>334787700.89826727</v>
      </c>
      <c r="H175" s="890">
        <f>F175*G175</f>
        <v>1339150803.5930691</v>
      </c>
      <c r="I175" s="916">
        <f>'Pondasi 4 Pile'!S116</f>
        <v>334787700.89826727</v>
      </c>
      <c r="J175" s="917">
        <f>F175*I175</f>
        <v>1339150803.5930691</v>
      </c>
      <c r="K175"/>
    </row>
    <row r="176" spans="3:11">
      <c r="C176" s="270" t="s">
        <v>2547</v>
      </c>
      <c r="D176" s="302" t="s">
        <v>3450</v>
      </c>
      <c r="E176" s="301" t="s">
        <v>2089</v>
      </c>
      <c r="F176" s="287">
        <v>0</v>
      </c>
      <c r="G176" s="299"/>
      <c r="H176" s="890"/>
      <c r="I176" s="916"/>
      <c r="J176" s="917"/>
      <c r="K176"/>
    </row>
    <row r="177" spans="3:11">
      <c r="C177" s="270" t="s">
        <v>2549</v>
      </c>
      <c r="D177" s="302" t="s">
        <v>3451</v>
      </c>
      <c r="E177" s="301" t="s">
        <v>2318</v>
      </c>
      <c r="F177" s="287">
        <v>0</v>
      </c>
      <c r="G177" s="299"/>
      <c r="H177" s="890"/>
      <c r="I177" s="916"/>
      <c r="J177" s="917"/>
      <c r="K177"/>
    </row>
    <row r="178" spans="3:11">
      <c r="C178" s="270" t="s">
        <v>2551</v>
      </c>
      <c r="D178" s="302" t="s">
        <v>3452</v>
      </c>
      <c r="E178" s="301" t="s">
        <v>2318</v>
      </c>
      <c r="F178" s="287">
        <v>0</v>
      </c>
      <c r="G178" s="299"/>
      <c r="H178" s="890"/>
      <c r="I178" s="916"/>
      <c r="J178" s="917"/>
      <c r="K178"/>
    </row>
    <row r="179" spans="3:11">
      <c r="C179" s="270" t="s">
        <v>2553</v>
      </c>
      <c r="D179" s="302" t="s">
        <v>3453</v>
      </c>
      <c r="E179" s="301" t="s">
        <v>2318</v>
      </c>
      <c r="F179" s="287">
        <v>0</v>
      </c>
      <c r="G179" s="299"/>
      <c r="H179" s="890"/>
      <c r="I179" s="916"/>
      <c r="J179" s="917"/>
      <c r="K179"/>
    </row>
    <row r="180" spans="3:11">
      <c r="C180" s="270" t="s">
        <v>2555</v>
      </c>
      <c r="D180" s="302" t="s">
        <v>3454</v>
      </c>
      <c r="E180" s="301" t="s">
        <v>2318</v>
      </c>
      <c r="F180" s="287">
        <v>0</v>
      </c>
      <c r="G180" s="299"/>
      <c r="H180" s="890"/>
      <c r="I180" s="916"/>
      <c r="J180" s="917"/>
      <c r="K180"/>
    </row>
    <row r="181" spans="3:11">
      <c r="C181" s="270" t="s">
        <v>2557</v>
      </c>
      <c r="D181" s="302" t="s">
        <v>3455</v>
      </c>
      <c r="E181" s="301" t="s">
        <v>2318</v>
      </c>
      <c r="F181" s="287">
        <v>1</v>
      </c>
      <c r="G181" s="299">
        <f>$L$9*I181</f>
        <v>347951614.54216343</v>
      </c>
      <c r="H181" s="890">
        <f>F181*G181</f>
        <v>347951614.54216343</v>
      </c>
      <c r="I181" s="916">
        <f>'Pondasi 4 Pile'!S264</f>
        <v>347951614.54216343</v>
      </c>
      <c r="J181" s="917">
        <f>F181*I181</f>
        <v>347951614.54216343</v>
      </c>
      <c r="K181"/>
    </row>
    <row r="182" spans="3:11">
      <c r="C182" s="270" t="s">
        <v>2559</v>
      </c>
      <c r="D182" s="302" t="s">
        <v>3456</v>
      </c>
      <c r="E182" s="301" t="s">
        <v>2318</v>
      </c>
      <c r="F182" s="287">
        <v>0</v>
      </c>
      <c r="G182" s="299"/>
      <c r="H182" s="890"/>
      <c r="I182" s="916"/>
      <c r="J182" s="917"/>
      <c r="K182"/>
    </row>
    <row r="183" spans="3:11">
      <c r="C183" s="270" t="s">
        <v>2561</v>
      </c>
      <c r="D183" s="302" t="s">
        <v>3457</v>
      </c>
      <c r="E183" s="301" t="s">
        <v>2318</v>
      </c>
      <c r="F183" s="287">
        <v>0</v>
      </c>
      <c r="G183" s="299"/>
      <c r="H183" s="890"/>
      <c r="I183" s="916"/>
      <c r="J183" s="917"/>
      <c r="K183"/>
    </row>
    <row r="184" spans="3:11">
      <c r="C184" s="270" t="s">
        <v>2563</v>
      </c>
      <c r="D184" s="302" t="s">
        <v>3458</v>
      </c>
      <c r="E184" s="301" t="s">
        <v>2318</v>
      </c>
      <c r="F184" s="287">
        <v>0</v>
      </c>
      <c r="G184" s="299"/>
      <c r="H184" s="890"/>
      <c r="I184" s="916"/>
      <c r="J184" s="917"/>
      <c r="K184"/>
    </row>
    <row r="185" spans="3:11">
      <c r="C185" s="270" t="s">
        <v>2565</v>
      </c>
      <c r="D185" s="302" t="s">
        <v>3459</v>
      </c>
      <c r="E185" s="301" t="s">
        <v>2318</v>
      </c>
      <c r="F185" s="287">
        <v>0</v>
      </c>
      <c r="G185" s="299"/>
      <c r="H185" s="890"/>
      <c r="I185" s="916"/>
      <c r="J185" s="917"/>
      <c r="K185"/>
    </row>
    <row r="186" spans="3:11">
      <c r="C186" s="270" t="s">
        <v>2567</v>
      </c>
      <c r="D186" s="302" t="s">
        <v>3460</v>
      </c>
      <c r="E186" s="301" t="s">
        <v>2318</v>
      </c>
      <c r="F186" s="287">
        <v>0</v>
      </c>
      <c r="G186" s="299"/>
      <c r="H186" s="890"/>
      <c r="I186" s="916"/>
      <c r="J186" s="917"/>
      <c r="K186"/>
    </row>
    <row r="187" spans="3:11">
      <c r="C187" s="270" t="s">
        <v>2569</v>
      </c>
      <c r="D187" s="302" t="s">
        <v>3461</v>
      </c>
      <c r="E187" s="301" t="s">
        <v>2318</v>
      </c>
      <c r="F187" s="287">
        <v>0</v>
      </c>
      <c r="G187" s="299"/>
      <c r="H187" s="890"/>
      <c r="I187" s="916"/>
      <c r="J187" s="917"/>
      <c r="K187"/>
    </row>
    <row r="188" spans="3:11">
      <c r="C188" s="270" t="s">
        <v>2571</v>
      </c>
      <c r="D188" s="302" t="s">
        <v>3462</v>
      </c>
      <c r="E188" s="301" t="s">
        <v>2318</v>
      </c>
      <c r="F188" s="287">
        <v>0</v>
      </c>
      <c r="G188" s="299"/>
      <c r="H188" s="890"/>
      <c r="I188" s="916"/>
      <c r="J188" s="917"/>
      <c r="K188"/>
    </row>
    <row r="189" spans="3:11">
      <c r="C189" s="270" t="s">
        <v>2573</v>
      </c>
      <c r="D189" s="302" t="s">
        <v>3463</v>
      </c>
      <c r="E189" s="301" t="s">
        <v>2318</v>
      </c>
      <c r="F189" s="287">
        <v>0</v>
      </c>
      <c r="G189" s="299"/>
      <c r="H189" s="890"/>
      <c r="I189" s="916"/>
      <c r="J189" s="917"/>
      <c r="K189"/>
    </row>
    <row r="190" spans="3:11">
      <c r="C190" s="270" t="s">
        <v>2575</v>
      </c>
      <c r="D190" s="302" t="s">
        <v>3464</v>
      </c>
      <c r="E190" s="301" t="s">
        <v>2318</v>
      </c>
      <c r="F190" s="287">
        <v>0</v>
      </c>
      <c r="G190" s="299"/>
      <c r="H190" s="890"/>
      <c r="I190" s="916"/>
      <c r="J190" s="917"/>
      <c r="K190"/>
    </row>
    <row r="191" spans="3:11">
      <c r="C191" s="270" t="s">
        <v>2577</v>
      </c>
      <c r="D191" s="302" t="s">
        <v>3465</v>
      </c>
      <c r="E191" s="301" t="s">
        <v>2318</v>
      </c>
      <c r="F191" s="287">
        <v>0</v>
      </c>
      <c r="G191" s="299"/>
      <c r="H191" s="890"/>
      <c r="I191" s="916"/>
      <c r="J191" s="917"/>
      <c r="K191"/>
    </row>
    <row r="192" spans="3:11">
      <c r="C192" s="288"/>
      <c r="D192" s="302"/>
      <c r="E192" s="301"/>
      <c r="F192" s="287"/>
      <c r="G192" s="299"/>
      <c r="H192" s="890"/>
      <c r="I192" s="916"/>
      <c r="J192" s="917"/>
      <c r="K192"/>
    </row>
    <row r="193" spans="3:11">
      <c r="C193" s="270" t="s">
        <v>2579</v>
      </c>
      <c r="D193" s="302" t="s">
        <v>3466</v>
      </c>
      <c r="E193" s="301" t="s">
        <v>2089</v>
      </c>
      <c r="F193" s="287">
        <v>2</v>
      </c>
      <c r="G193" s="299">
        <f t="shared" ref="G193:G194" si="14">$L$9*I193</f>
        <v>200141211.83466542</v>
      </c>
      <c r="H193" s="890">
        <f>F193*G193</f>
        <v>400282423.66933084</v>
      </c>
      <c r="I193" s="916">
        <f>'Pondasi 4 Pile'!S47</f>
        <v>200141211.83466542</v>
      </c>
      <c r="J193" s="917">
        <f t="shared" ref="J193:J194" si="15">F193*I193</f>
        <v>400282423.66933084</v>
      </c>
      <c r="K193"/>
    </row>
    <row r="194" spans="3:11">
      <c r="C194" s="270" t="s">
        <v>2581</v>
      </c>
      <c r="D194" s="302" t="s">
        <v>3467</v>
      </c>
      <c r="E194" s="301" t="s">
        <v>2089</v>
      </c>
      <c r="F194" s="287">
        <v>7</v>
      </c>
      <c r="G194" s="299">
        <f t="shared" si="14"/>
        <v>265233261.53465185</v>
      </c>
      <c r="H194" s="890">
        <f>F194*G194</f>
        <v>1856632830.742563</v>
      </c>
      <c r="I194" s="916">
        <f>'Pondasi 4 Pile'!S70</f>
        <v>265233261.53465185</v>
      </c>
      <c r="J194" s="917">
        <f t="shared" si="15"/>
        <v>1856632830.742563</v>
      </c>
      <c r="K194"/>
    </row>
    <row r="195" spans="3:11">
      <c r="C195" s="270" t="s">
        <v>2583</v>
      </c>
      <c r="D195" s="302" t="s">
        <v>3468</v>
      </c>
      <c r="E195" s="301" t="s">
        <v>2089</v>
      </c>
      <c r="F195" s="287">
        <v>0</v>
      </c>
      <c r="G195" s="299"/>
      <c r="H195" s="890"/>
      <c r="I195" s="916"/>
      <c r="J195" s="917"/>
      <c r="K195"/>
    </row>
    <row r="196" spans="3:11">
      <c r="C196" s="270" t="s">
        <v>2585</v>
      </c>
      <c r="D196" s="302" t="s">
        <v>3469</v>
      </c>
      <c r="E196" s="301" t="s">
        <v>2089</v>
      </c>
      <c r="F196" s="287">
        <v>4</v>
      </c>
      <c r="G196" s="299">
        <f>$L$9*I196</f>
        <v>334787700.89826727</v>
      </c>
      <c r="H196" s="890">
        <f>F196*G196</f>
        <v>1339150803.5930691</v>
      </c>
      <c r="I196" s="916">
        <f>'Pondasi 4 Pile'!S116</f>
        <v>334787700.89826727</v>
      </c>
      <c r="J196" s="917">
        <f>F196*I196</f>
        <v>1339150803.5930691</v>
      </c>
      <c r="K196"/>
    </row>
    <row r="197" spans="3:11">
      <c r="C197" s="270" t="s">
        <v>2587</v>
      </c>
      <c r="D197" s="302" t="s">
        <v>3470</v>
      </c>
      <c r="E197" s="301" t="s">
        <v>2089</v>
      </c>
      <c r="F197" s="287">
        <v>0</v>
      </c>
      <c r="G197" s="299"/>
      <c r="H197" s="890"/>
      <c r="I197" s="916"/>
      <c r="J197" s="917"/>
      <c r="K197"/>
    </row>
    <row r="198" spans="3:11">
      <c r="C198" s="270" t="s">
        <v>2589</v>
      </c>
      <c r="D198" s="302" t="s">
        <v>3471</v>
      </c>
      <c r="E198" s="301" t="s">
        <v>2318</v>
      </c>
      <c r="F198" s="287">
        <v>1</v>
      </c>
      <c r="G198" s="299">
        <f>$L$9*I198</f>
        <v>263451936.76509979</v>
      </c>
      <c r="H198" s="890">
        <f>F198*G198</f>
        <v>263451936.76509979</v>
      </c>
      <c r="I198" s="916">
        <f>'Pondasi 4 Pile'!S164</f>
        <v>263451936.76509979</v>
      </c>
      <c r="J198" s="917">
        <f>F198*I198</f>
        <v>263451936.76509979</v>
      </c>
      <c r="K198"/>
    </row>
    <row r="199" spans="3:11">
      <c r="C199" s="270" t="s">
        <v>2591</v>
      </c>
      <c r="D199" s="302" t="s">
        <v>3472</v>
      </c>
      <c r="E199" s="301" t="s">
        <v>2318</v>
      </c>
      <c r="F199" s="287">
        <v>0</v>
      </c>
      <c r="G199" s="299"/>
      <c r="H199" s="890"/>
      <c r="I199" s="916"/>
      <c r="J199" s="917"/>
      <c r="K199"/>
    </row>
    <row r="200" spans="3:11">
      <c r="C200" s="270" t="s">
        <v>2593</v>
      </c>
      <c r="D200" s="302" t="s">
        <v>3473</v>
      </c>
      <c r="E200" s="301" t="s">
        <v>2318</v>
      </c>
      <c r="F200" s="287">
        <v>2</v>
      </c>
      <c r="G200" s="299">
        <f>$L$9*I200</f>
        <v>305699861.33593398</v>
      </c>
      <c r="H200" s="890">
        <f>F200*G200</f>
        <v>611399722.67186797</v>
      </c>
      <c r="I200" s="916">
        <f>'Pondasi 4 Pile'!S214</f>
        <v>305699861.33593398</v>
      </c>
      <c r="J200" s="917">
        <f>F200*I200</f>
        <v>611399722.67186797</v>
      </c>
      <c r="K200"/>
    </row>
    <row r="201" spans="3:11">
      <c r="C201" s="270" t="s">
        <v>2595</v>
      </c>
      <c r="D201" s="302" t="s">
        <v>3474</v>
      </c>
      <c r="E201" s="301" t="s">
        <v>2318</v>
      </c>
      <c r="F201" s="287">
        <v>0</v>
      </c>
      <c r="G201" s="299"/>
      <c r="H201" s="890"/>
      <c r="I201" s="916"/>
      <c r="J201" s="917"/>
      <c r="K201"/>
    </row>
    <row r="202" spans="3:11">
      <c r="C202" s="270" t="s">
        <v>2597</v>
      </c>
      <c r="D202" s="302" t="s">
        <v>3475</v>
      </c>
      <c r="E202" s="301" t="s">
        <v>2318</v>
      </c>
      <c r="F202" s="287">
        <v>2</v>
      </c>
      <c r="G202" s="299">
        <f>$L$9*I202</f>
        <v>347951614.54216343</v>
      </c>
      <c r="H202" s="890">
        <f>F202*G202</f>
        <v>695903229.08432686</v>
      </c>
      <c r="I202" s="916">
        <f>'Pondasi 4 Pile'!S264</f>
        <v>347951614.54216343</v>
      </c>
      <c r="J202" s="917">
        <f>F202*I202</f>
        <v>695903229.08432686</v>
      </c>
      <c r="K202"/>
    </row>
    <row r="203" spans="3:11">
      <c r="C203" s="270" t="s">
        <v>2599</v>
      </c>
      <c r="D203" s="302" t="s">
        <v>3476</v>
      </c>
      <c r="E203" s="301" t="s">
        <v>2318</v>
      </c>
      <c r="F203" s="287">
        <v>0</v>
      </c>
      <c r="G203" s="299"/>
      <c r="H203" s="890"/>
      <c r="I203" s="916"/>
      <c r="J203" s="917"/>
      <c r="K203"/>
    </row>
    <row r="204" spans="3:11">
      <c r="C204" s="270" t="s">
        <v>2601</v>
      </c>
      <c r="D204" s="302" t="s">
        <v>3477</v>
      </c>
      <c r="E204" s="301" t="s">
        <v>2318</v>
      </c>
      <c r="F204" s="287">
        <v>0</v>
      </c>
      <c r="G204" s="299"/>
      <c r="H204" s="890"/>
      <c r="I204" s="916"/>
      <c r="J204" s="917"/>
      <c r="K204"/>
    </row>
    <row r="205" spans="3:11">
      <c r="C205" s="270" t="s">
        <v>2603</v>
      </c>
      <c r="D205" s="302" t="s">
        <v>3478</v>
      </c>
      <c r="E205" s="301" t="s">
        <v>2318</v>
      </c>
      <c r="F205" s="287">
        <v>0</v>
      </c>
      <c r="G205" s="299"/>
      <c r="H205" s="890"/>
      <c r="I205" s="916"/>
      <c r="J205" s="917"/>
      <c r="K205"/>
    </row>
    <row r="206" spans="3:11">
      <c r="C206" s="270" t="s">
        <v>2605</v>
      </c>
      <c r="D206" s="302" t="s">
        <v>3479</v>
      </c>
      <c r="E206" s="301" t="s">
        <v>2318</v>
      </c>
      <c r="F206" s="287">
        <v>0</v>
      </c>
      <c r="G206" s="299"/>
      <c r="H206" s="890"/>
      <c r="I206" s="916"/>
      <c r="J206" s="917"/>
      <c r="K206"/>
    </row>
    <row r="207" spans="3:11">
      <c r="C207" s="270" t="s">
        <v>2607</v>
      </c>
      <c r="D207" s="302" t="s">
        <v>3480</v>
      </c>
      <c r="E207" s="301" t="s">
        <v>2318</v>
      </c>
      <c r="F207" s="287">
        <v>0</v>
      </c>
      <c r="G207" s="299"/>
      <c r="H207" s="890"/>
      <c r="I207" s="916"/>
      <c r="J207" s="917"/>
      <c r="K207"/>
    </row>
    <row r="208" spans="3:11">
      <c r="C208" s="270" t="s">
        <v>2609</v>
      </c>
      <c r="D208" s="302" t="s">
        <v>3481</v>
      </c>
      <c r="E208" s="301" t="s">
        <v>2318</v>
      </c>
      <c r="F208" s="287">
        <v>0</v>
      </c>
      <c r="G208" s="299"/>
      <c r="H208" s="890"/>
      <c r="I208" s="916"/>
      <c r="J208" s="917"/>
      <c r="K208"/>
    </row>
    <row r="209" spans="3:11">
      <c r="C209" s="270" t="s">
        <v>2611</v>
      </c>
      <c r="D209" s="302" t="s">
        <v>3482</v>
      </c>
      <c r="E209" s="301" t="s">
        <v>2318</v>
      </c>
      <c r="F209" s="287">
        <v>0</v>
      </c>
      <c r="G209" s="299"/>
      <c r="H209" s="890"/>
      <c r="I209" s="916"/>
      <c r="J209" s="917"/>
      <c r="K209"/>
    </row>
    <row r="210" spans="3:11">
      <c r="C210" s="270" t="s">
        <v>2613</v>
      </c>
      <c r="D210" s="302" t="s">
        <v>3483</v>
      </c>
      <c r="E210" s="301" t="s">
        <v>2318</v>
      </c>
      <c r="F210" s="287">
        <v>0</v>
      </c>
      <c r="G210" s="299"/>
      <c r="H210" s="890"/>
      <c r="I210" s="916"/>
      <c r="J210" s="917"/>
      <c r="K210"/>
    </row>
    <row r="211" spans="3:11">
      <c r="C211" s="270" t="s">
        <v>2615</v>
      </c>
      <c r="D211" s="302" t="s">
        <v>3484</v>
      </c>
      <c r="E211" s="301" t="s">
        <v>2318</v>
      </c>
      <c r="F211" s="287">
        <v>0</v>
      </c>
      <c r="G211" s="299"/>
      <c r="H211" s="890"/>
      <c r="I211" s="916"/>
      <c r="J211" s="917"/>
      <c r="K211"/>
    </row>
    <row r="212" spans="3:11">
      <c r="C212" s="270" t="s">
        <v>2617</v>
      </c>
      <c r="D212" s="302" t="s">
        <v>3485</v>
      </c>
      <c r="E212" s="301" t="s">
        <v>2318</v>
      </c>
      <c r="F212" s="287">
        <v>0</v>
      </c>
      <c r="G212" s="299"/>
      <c r="H212" s="890"/>
      <c r="I212" s="916"/>
      <c r="J212" s="917"/>
      <c r="K212"/>
    </row>
    <row r="213" spans="3:11">
      <c r="C213" s="288"/>
      <c r="D213" s="302"/>
      <c r="E213" s="301"/>
      <c r="F213" s="287"/>
      <c r="G213" s="299"/>
      <c r="H213" s="890"/>
      <c r="I213" s="916"/>
      <c r="J213" s="917"/>
      <c r="K213"/>
    </row>
    <row r="214" spans="3:11">
      <c r="C214" s="270" t="s">
        <v>2619</v>
      </c>
      <c r="D214" s="302" t="s">
        <v>3486</v>
      </c>
      <c r="E214" s="301" t="s">
        <v>2089</v>
      </c>
      <c r="F214" s="287">
        <v>3</v>
      </c>
      <c r="G214" s="299">
        <f t="shared" ref="G214:G215" si="16">$L$9*I214</f>
        <v>200141211.83466542</v>
      </c>
      <c r="H214" s="890">
        <f>F214*G214</f>
        <v>600423635.50399625</v>
      </c>
      <c r="I214" s="916">
        <f>'Pondasi 4 Pile'!S47</f>
        <v>200141211.83466542</v>
      </c>
      <c r="J214" s="917">
        <f t="shared" ref="J214:J215" si="17">F214*I214</f>
        <v>600423635.50399625</v>
      </c>
      <c r="K214"/>
    </row>
    <row r="215" spans="3:11">
      <c r="C215" s="270" t="s">
        <v>2621</v>
      </c>
      <c r="D215" s="302" t="s">
        <v>3487</v>
      </c>
      <c r="E215" s="301" t="s">
        <v>2089</v>
      </c>
      <c r="F215" s="287">
        <v>9</v>
      </c>
      <c r="G215" s="299">
        <f t="shared" si="16"/>
        <v>265233261.53465185</v>
      </c>
      <c r="H215" s="890">
        <f>F215*G215</f>
        <v>2387099353.8118668</v>
      </c>
      <c r="I215" s="916">
        <f>'Pondasi 4 Pile'!S70</f>
        <v>265233261.53465185</v>
      </c>
      <c r="J215" s="917">
        <f t="shared" si="17"/>
        <v>2387099353.8118668</v>
      </c>
      <c r="K215"/>
    </row>
    <row r="216" spans="3:11">
      <c r="C216" s="270" t="s">
        <v>2623</v>
      </c>
      <c r="D216" s="302" t="s">
        <v>3488</v>
      </c>
      <c r="E216" s="301" t="s">
        <v>2089</v>
      </c>
      <c r="F216" s="287">
        <v>0</v>
      </c>
      <c r="G216" s="299"/>
      <c r="H216" s="890"/>
      <c r="I216" s="916"/>
      <c r="J216" s="917"/>
      <c r="K216"/>
    </row>
    <row r="217" spans="3:11">
      <c r="C217" s="270" t="s">
        <v>2625</v>
      </c>
      <c r="D217" s="302" t="s">
        <v>3489</v>
      </c>
      <c r="E217" s="301" t="s">
        <v>2089</v>
      </c>
      <c r="F217" s="287">
        <v>7</v>
      </c>
      <c r="G217" s="299">
        <f>$L$9*I217</f>
        <v>334787700.89826727</v>
      </c>
      <c r="H217" s="890">
        <f>F217*G217</f>
        <v>2343513906.2878709</v>
      </c>
      <c r="I217" s="916">
        <f>'Pondasi 4 Pile'!S116</f>
        <v>334787700.89826727</v>
      </c>
      <c r="J217" s="917">
        <f>F217*I217</f>
        <v>2343513906.2878709</v>
      </c>
      <c r="K217"/>
    </row>
    <row r="218" spans="3:11">
      <c r="C218" s="270" t="s">
        <v>2627</v>
      </c>
      <c r="D218" s="302" t="s">
        <v>3490</v>
      </c>
      <c r="E218" s="301" t="s">
        <v>2089</v>
      </c>
      <c r="F218" s="287">
        <v>0</v>
      </c>
      <c r="G218" s="299"/>
      <c r="H218" s="890"/>
      <c r="I218" s="916"/>
      <c r="J218" s="917"/>
      <c r="K218"/>
    </row>
    <row r="219" spans="3:11">
      <c r="C219" s="270" t="s">
        <v>2629</v>
      </c>
      <c r="D219" s="302" t="s">
        <v>3491</v>
      </c>
      <c r="E219" s="301" t="s">
        <v>2318</v>
      </c>
      <c r="F219" s="287">
        <v>0</v>
      </c>
      <c r="G219" s="299"/>
      <c r="H219" s="890"/>
      <c r="I219" s="916"/>
      <c r="J219" s="917"/>
      <c r="K219"/>
    </row>
    <row r="220" spans="3:11">
      <c r="C220" s="270" t="s">
        <v>2631</v>
      </c>
      <c r="D220" s="302" t="s">
        <v>3492</v>
      </c>
      <c r="E220" s="301" t="s">
        <v>2318</v>
      </c>
      <c r="F220" s="287">
        <v>0</v>
      </c>
      <c r="G220" s="299"/>
      <c r="H220" s="890"/>
      <c r="I220" s="916"/>
      <c r="J220" s="917"/>
      <c r="K220"/>
    </row>
    <row r="221" spans="3:11">
      <c r="C221" s="270" t="s">
        <v>2633</v>
      </c>
      <c r="D221" s="302" t="s">
        <v>3493</v>
      </c>
      <c r="E221" s="301" t="s">
        <v>2318</v>
      </c>
      <c r="F221" s="287">
        <v>6</v>
      </c>
      <c r="G221" s="299">
        <f>$L$9*I221</f>
        <v>305699861.33593398</v>
      </c>
      <c r="H221" s="890">
        <f>F221*G221</f>
        <v>1834199168.015604</v>
      </c>
      <c r="I221" s="916">
        <f>'Pondasi 4 Pile'!S214</f>
        <v>305699861.33593398</v>
      </c>
      <c r="J221" s="917">
        <f>F221*I221</f>
        <v>1834199168.015604</v>
      </c>
      <c r="K221"/>
    </row>
    <row r="222" spans="3:11">
      <c r="C222" s="270" t="s">
        <v>2635</v>
      </c>
      <c r="D222" s="1019" t="s">
        <v>3494</v>
      </c>
      <c r="E222" s="301" t="s">
        <v>2318</v>
      </c>
      <c r="F222" s="287">
        <v>0</v>
      </c>
      <c r="G222" s="299"/>
      <c r="H222" s="890"/>
      <c r="I222" s="916"/>
      <c r="J222" s="917"/>
      <c r="K222"/>
    </row>
    <row r="223" spans="3:11">
      <c r="C223" s="270" t="s">
        <v>2637</v>
      </c>
      <c r="D223" s="302" t="s">
        <v>3495</v>
      </c>
      <c r="E223" s="301" t="s">
        <v>2318</v>
      </c>
      <c r="F223" s="287">
        <v>4</v>
      </c>
      <c r="G223" s="299">
        <f>$L$9*I223</f>
        <v>347951614.54216343</v>
      </c>
      <c r="H223" s="890">
        <f>F223*G223</f>
        <v>1391806458.1686537</v>
      </c>
      <c r="I223" s="916">
        <f>'Pondasi 4 Pile'!S264</f>
        <v>347951614.54216343</v>
      </c>
      <c r="J223" s="917">
        <f>F223*I223</f>
        <v>1391806458.1686537</v>
      </c>
      <c r="K223"/>
    </row>
    <row r="224" spans="3:11">
      <c r="C224" s="270" t="s">
        <v>2639</v>
      </c>
      <c r="D224" s="302" t="s">
        <v>3496</v>
      </c>
      <c r="E224" s="301" t="s">
        <v>2318</v>
      </c>
      <c r="F224" s="287">
        <v>0</v>
      </c>
      <c r="G224" s="299"/>
      <c r="H224" s="890"/>
      <c r="I224" s="916"/>
      <c r="J224" s="917"/>
      <c r="K224"/>
    </row>
    <row r="225" spans="3:11">
      <c r="C225" s="270" t="s">
        <v>2641</v>
      </c>
      <c r="D225" s="302" t="s">
        <v>3497</v>
      </c>
      <c r="E225" s="301" t="s">
        <v>2318</v>
      </c>
      <c r="F225" s="287">
        <v>0</v>
      </c>
      <c r="G225" s="299"/>
      <c r="H225" s="890"/>
      <c r="I225" s="916"/>
      <c r="J225" s="917"/>
      <c r="K225"/>
    </row>
    <row r="226" spans="3:11">
      <c r="C226" s="270" t="s">
        <v>2643</v>
      </c>
      <c r="D226" s="302" t="s">
        <v>3498</v>
      </c>
      <c r="E226" s="301" t="s">
        <v>2318</v>
      </c>
      <c r="F226" s="287">
        <v>0</v>
      </c>
      <c r="G226" s="299"/>
      <c r="H226" s="890"/>
      <c r="I226" s="916"/>
      <c r="J226" s="917"/>
      <c r="K226"/>
    </row>
    <row r="227" spans="3:11">
      <c r="C227" s="270" t="s">
        <v>2645</v>
      </c>
      <c r="D227" s="302" t="s">
        <v>3499</v>
      </c>
      <c r="E227" s="301" t="s">
        <v>2318</v>
      </c>
      <c r="F227" s="287">
        <v>0</v>
      </c>
      <c r="G227" s="299"/>
      <c r="H227" s="890"/>
      <c r="I227" s="916"/>
      <c r="J227" s="917"/>
      <c r="K227"/>
    </row>
    <row r="228" spans="3:11">
      <c r="C228" s="270" t="s">
        <v>2647</v>
      </c>
      <c r="D228" s="302" t="s">
        <v>3500</v>
      </c>
      <c r="E228" s="301" t="s">
        <v>2318</v>
      </c>
      <c r="F228" s="287">
        <v>0</v>
      </c>
      <c r="G228" s="299"/>
      <c r="H228" s="890"/>
      <c r="I228" s="916"/>
      <c r="J228" s="917"/>
      <c r="K228"/>
    </row>
    <row r="229" spans="3:11">
      <c r="C229" s="270" t="s">
        <v>2649</v>
      </c>
      <c r="D229" s="302" t="s">
        <v>3501</v>
      </c>
      <c r="E229" s="301" t="s">
        <v>2318</v>
      </c>
      <c r="F229" s="287">
        <v>0</v>
      </c>
      <c r="G229" s="299"/>
      <c r="H229" s="890"/>
      <c r="I229" s="916"/>
      <c r="J229" s="917"/>
      <c r="K229"/>
    </row>
    <row r="230" spans="3:11">
      <c r="C230" s="270" t="s">
        <v>2651</v>
      </c>
      <c r="D230" s="302" t="s">
        <v>3502</v>
      </c>
      <c r="E230" s="301" t="s">
        <v>2318</v>
      </c>
      <c r="F230" s="287">
        <v>0</v>
      </c>
      <c r="G230" s="299"/>
      <c r="H230" s="890"/>
      <c r="I230" s="916"/>
      <c r="J230" s="917"/>
      <c r="K230"/>
    </row>
    <row r="231" spans="3:11">
      <c r="C231" s="270" t="s">
        <v>2653</v>
      </c>
      <c r="D231" s="302" t="s">
        <v>3503</v>
      </c>
      <c r="E231" s="301" t="s">
        <v>2318</v>
      </c>
      <c r="F231" s="287">
        <v>0</v>
      </c>
      <c r="G231" s="299"/>
      <c r="H231" s="890"/>
      <c r="I231" s="916"/>
      <c r="J231" s="917"/>
      <c r="K231"/>
    </row>
    <row r="232" spans="3:11">
      <c r="C232" s="270" t="s">
        <v>2655</v>
      </c>
      <c r="D232" s="302" t="s">
        <v>3504</v>
      </c>
      <c r="E232" s="301" t="s">
        <v>2318</v>
      </c>
      <c r="F232" s="287">
        <v>0</v>
      </c>
      <c r="G232" s="299"/>
      <c r="H232" s="890"/>
      <c r="I232" s="916"/>
      <c r="J232" s="917"/>
      <c r="K232"/>
    </row>
    <row r="233" spans="3:11">
      <c r="C233" s="270" t="s">
        <v>2657</v>
      </c>
      <c r="D233" s="302" t="s">
        <v>3505</v>
      </c>
      <c r="E233" s="301" t="s">
        <v>2318</v>
      </c>
      <c r="F233" s="287">
        <v>0</v>
      </c>
      <c r="G233" s="299"/>
      <c r="H233" s="890"/>
      <c r="I233" s="916"/>
      <c r="J233" s="917"/>
      <c r="K233"/>
    </row>
    <row r="234" spans="3:11">
      <c r="C234" s="288"/>
      <c r="D234" s="302"/>
      <c r="E234" s="301"/>
      <c r="F234" s="287"/>
      <c r="G234" s="299"/>
      <c r="H234" s="890"/>
      <c r="I234" s="916"/>
      <c r="J234" s="917"/>
      <c r="K234"/>
    </row>
    <row r="235" spans="3:11">
      <c r="C235" s="270" t="s">
        <v>2659</v>
      </c>
      <c r="D235" s="302" t="s">
        <v>3506</v>
      </c>
      <c r="E235" s="301" t="s">
        <v>2089</v>
      </c>
      <c r="F235" s="287">
        <v>2</v>
      </c>
      <c r="G235" s="299">
        <f t="shared" ref="G235:G236" si="18">$L$9*I235</f>
        <v>200141211.83466542</v>
      </c>
      <c r="H235" s="890">
        <f>F235*G235</f>
        <v>400282423.66933084</v>
      </c>
      <c r="I235" s="916">
        <f>G214</f>
        <v>200141211.83466542</v>
      </c>
      <c r="J235" s="917">
        <f t="shared" ref="J235:J236" si="19">F235*I235</f>
        <v>400282423.66933084</v>
      </c>
      <c r="K235"/>
    </row>
    <row r="236" spans="3:11">
      <c r="C236" s="270" t="s">
        <v>2661</v>
      </c>
      <c r="D236" s="302" t="s">
        <v>3507</v>
      </c>
      <c r="E236" s="301" t="s">
        <v>2089</v>
      </c>
      <c r="F236" s="287">
        <v>5</v>
      </c>
      <c r="G236" s="299">
        <f t="shared" si="18"/>
        <v>265233261.53465185</v>
      </c>
      <c r="H236" s="890">
        <f>F236*G236</f>
        <v>1326166307.6732593</v>
      </c>
      <c r="I236" s="916">
        <f>'Pondasi 4 Pile'!S70</f>
        <v>265233261.53465185</v>
      </c>
      <c r="J236" s="917">
        <f t="shared" si="19"/>
        <v>1326166307.6732593</v>
      </c>
      <c r="K236"/>
    </row>
    <row r="237" spans="3:11">
      <c r="C237" s="270" t="s">
        <v>2663</v>
      </c>
      <c r="D237" s="302" t="s">
        <v>3508</v>
      </c>
      <c r="E237" s="301" t="s">
        <v>2089</v>
      </c>
      <c r="F237" s="287">
        <v>0</v>
      </c>
      <c r="G237" s="299"/>
      <c r="H237" s="890"/>
      <c r="I237" s="916"/>
      <c r="J237" s="917"/>
      <c r="K237"/>
    </row>
    <row r="238" spans="3:11">
      <c r="C238" s="270" t="s">
        <v>2665</v>
      </c>
      <c r="D238" s="302" t="s">
        <v>3509</v>
      </c>
      <c r="E238" s="301" t="s">
        <v>2089</v>
      </c>
      <c r="F238" s="287">
        <v>4</v>
      </c>
      <c r="G238" s="299">
        <f>$L$9*I238</f>
        <v>334787700.89826727</v>
      </c>
      <c r="H238" s="890">
        <f>F238*G238</f>
        <v>1339150803.5930691</v>
      </c>
      <c r="I238" s="916">
        <f>'Pondasi 4 Pile'!S116</f>
        <v>334787700.89826727</v>
      </c>
      <c r="J238" s="917">
        <f>F238*I238</f>
        <v>1339150803.5930691</v>
      </c>
      <c r="K238"/>
    </row>
    <row r="239" spans="3:11">
      <c r="C239" s="270" t="s">
        <v>2667</v>
      </c>
      <c r="D239" s="302" t="s">
        <v>3510</v>
      </c>
      <c r="E239" s="301" t="s">
        <v>2089</v>
      </c>
      <c r="F239" s="287">
        <v>0</v>
      </c>
      <c r="G239" s="299"/>
      <c r="H239" s="890"/>
      <c r="I239" s="916"/>
      <c r="J239" s="917"/>
      <c r="K239"/>
    </row>
    <row r="240" spans="3:11">
      <c r="C240" s="270" t="s">
        <v>2669</v>
      </c>
      <c r="D240" s="302" t="s">
        <v>3511</v>
      </c>
      <c r="E240" s="301" t="s">
        <v>2318</v>
      </c>
      <c r="F240" s="287">
        <v>0</v>
      </c>
      <c r="G240" s="299"/>
      <c r="H240" s="890"/>
      <c r="I240" s="916"/>
      <c r="J240" s="917"/>
      <c r="K240"/>
    </row>
    <row r="241" spans="3:11">
      <c r="C241" s="269" t="s">
        <v>2671</v>
      </c>
      <c r="D241" s="284" t="s">
        <v>3512</v>
      </c>
      <c r="E241" s="283" t="s">
        <v>2318</v>
      </c>
      <c r="F241" s="282">
        <v>0</v>
      </c>
      <c r="G241" s="281"/>
      <c r="H241" s="897"/>
      <c r="I241" s="924"/>
      <c r="J241" s="925"/>
      <c r="K241"/>
    </row>
    <row r="242" spans="3:11">
      <c r="C242" s="268" t="s">
        <v>2673</v>
      </c>
      <c r="D242" s="279" t="s">
        <v>3513</v>
      </c>
      <c r="E242" s="278" t="s">
        <v>2318</v>
      </c>
      <c r="F242" s="277">
        <v>3</v>
      </c>
      <c r="G242" s="299">
        <f>$L$9*I242</f>
        <v>305699861.33593398</v>
      </c>
      <c r="H242" s="890">
        <f>F242*G242</f>
        <v>917099584.00780201</v>
      </c>
      <c r="I242" s="926">
        <f>'Pondasi 4 Pile'!S214</f>
        <v>305699861.33593398</v>
      </c>
      <c r="J242" s="917">
        <f>F242*I242</f>
        <v>917099584.00780201</v>
      </c>
      <c r="K242"/>
    </row>
    <row r="243" spans="3:11">
      <c r="C243" s="270" t="s">
        <v>2675</v>
      </c>
      <c r="D243" s="302" t="s">
        <v>3514</v>
      </c>
      <c r="E243" s="301" t="s">
        <v>2318</v>
      </c>
      <c r="F243" s="287">
        <v>0</v>
      </c>
      <c r="G243" s="299"/>
      <c r="H243" s="890"/>
      <c r="I243" s="916"/>
      <c r="J243" s="917"/>
      <c r="K243"/>
    </row>
    <row r="244" spans="3:11">
      <c r="C244" s="270" t="s">
        <v>2677</v>
      </c>
      <c r="D244" s="302" t="s">
        <v>3515</v>
      </c>
      <c r="E244" s="301" t="s">
        <v>2318</v>
      </c>
      <c r="F244" s="287">
        <v>2</v>
      </c>
      <c r="G244" s="299">
        <f>$L$9*I244</f>
        <v>347951614.54216343</v>
      </c>
      <c r="H244" s="890">
        <f>F244*G244</f>
        <v>695903229.08432686</v>
      </c>
      <c r="I244" s="916">
        <f>'Pondasi 4 Pile'!S264</f>
        <v>347951614.54216343</v>
      </c>
      <c r="J244" s="917">
        <f>F244*I244</f>
        <v>695903229.08432686</v>
      </c>
      <c r="K244"/>
    </row>
    <row r="245" spans="3:11">
      <c r="C245" s="270" t="s">
        <v>3516</v>
      </c>
      <c r="D245" s="302" t="s">
        <v>3517</v>
      </c>
      <c r="E245" s="301" t="s">
        <v>2318</v>
      </c>
      <c r="F245" s="287">
        <v>0</v>
      </c>
      <c r="G245" s="299"/>
      <c r="H245" s="890"/>
      <c r="I245" s="916"/>
      <c r="J245" s="917"/>
      <c r="K245"/>
    </row>
    <row r="246" spans="3:11">
      <c r="C246" s="270" t="s">
        <v>3518</v>
      </c>
      <c r="D246" s="302" t="s">
        <v>3519</v>
      </c>
      <c r="E246" s="301" t="s">
        <v>2318</v>
      </c>
      <c r="F246" s="287">
        <v>0</v>
      </c>
      <c r="G246" s="299"/>
      <c r="H246" s="890"/>
      <c r="I246" s="916"/>
      <c r="J246" s="917"/>
      <c r="K246"/>
    </row>
    <row r="247" spans="3:11">
      <c r="C247" s="270" t="s">
        <v>3520</v>
      </c>
      <c r="D247" s="302" t="s">
        <v>3521</v>
      </c>
      <c r="E247" s="301" t="s">
        <v>2318</v>
      </c>
      <c r="F247" s="287">
        <v>0</v>
      </c>
      <c r="G247" s="299"/>
      <c r="H247" s="890"/>
      <c r="I247" s="916"/>
      <c r="J247" s="917"/>
      <c r="K247"/>
    </row>
    <row r="248" spans="3:11">
      <c r="C248" s="270" t="s">
        <v>3522</v>
      </c>
      <c r="D248" s="302" t="s">
        <v>3523</v>
      </c>
      <c r="E248" s="301" t="s">
        <v>2318</v>
      </c>
      <c r="F248" s="287">
        <v>0</v>
      </c>
      <c r="G248" s="299"/>
      <c r="H248" s="890"/>
      <c r="I248" s="916"/>
      <c r="J248" s="917"/>
      <c r="K248"/>
    </row>
    <row r="249" spans="3:11">
      <c r="C249" s="270" t="s">
        <v>3524</v>
      </c>
      <c r="D249" s="302" t="s">
        <v>3525</v>
      </c>
      <c r="E249" s="301" t="s">
        <v>2318</v>
      </c>
      <c r="F249" s="287">
        <v>0</v>
      </c>
      <c r="G249" s="299"/>
      <c r="H249" s="890"/>
      <c r="I249" s="916"/>
      <c r="J249" s="917"/>
      <c r="K249"/>
    </row>
    <row r="250" spans="3:11">
      <c r="C250" s="270" t="s">
        <v>3526</v>
      </c>
      <c r="D250" s="302" t="s">
        <v>3527</v>
      </c>
      <c r="E250" s="301" t="s">
        <v>2318</v>
      </c>
      <c r="F250" s="287">
        <v>0</v>
      </c>
      <c r="G250" s="299"/>
      <c r="H250" s="890"/>
      <c r="I250" s="916"/>
      <c r="J250" s="917"/>
      <c r="K250"/>
    </row>
    <row r="251" spans="3:11">
      <c r="C251" s="270" t="s">
        <v>3528</v>
      </c>
      <c r="D251" s="302" t="s">
        <v>3529</v>
      </c>
      <c r="E251" s="301" t="s">
        <v>2318</v>
      </c>
      <c r="F251" s="287">
        <v>0</v>
      </c>
      <c r="G251" s="299"/>
      <c r="H251" s="890"/>
      <c r="I251" s="916"/>
      <c r="J251" s="917"/>
      <c r="K251"/>
    </row>
    <row r="252" spans="3:11">
      <c r="C252" s="270" t="s">
        <v>3530</v>
      </c>
      <c r="D252" s="302" t="s">
        <v>3531</v>
      </c>
      <c r="E252" s="301" t="s">
        <v>2318</v>
      </c>
      <c r="F252" s="287">
        <v>0</v>
      </c>
      <c r="G252" s="299"/>
      <c r="H252" s="890"/>
      <c r="I252" s="916"/>
      <c r="J252" s="917"/>
      <c r="K252"/>
    </row>
    <row r="253" spans="3:11">
      <c r="C253" s="270" t="s">
        <v>3532</v>
      </c>
      <c r="D253" s="302" t="s">
        <v>3533</v>
      </c>
      <c r="E253" s="301" t="s">
        <v>2318</v>
      </c>
      <c r="F253" s="287">
        <v>0</v>
      </c>
      <c r="G253" s="299"/>
      <c r="H253" s="890"/>
      <c r="I253" s="916"/>
      <c r="J253" s="917"/>
      <c r="K253"/>
    </row>
    <row r="254" spans="3:11">
      <c r="C254" s="286" t="s">
        <v>3534</v>
      </c>
      <c r="D254" s="302" t="s">
        <v>3535</v>
      </c>
      <c r="E254" s="301" t="s">
        <v>2318</v>
      </c>
      <c r="F254" s="287">
        <v>0</v>
      </c>
      <c r="G254" s="299"/>
      <c r="H254" s="890"/>
      <c r="I254" s="916"/>
      <c r="J254" s="917"/>
      <c r="K254"/>
    </row>
    <row r="255" spans="3:11">
      <c r="C255" s="267"/>
      <c r="D255" s="302"/>
      <c r="E255" s="301"/>
      <c r="F255" s="287"/>
      <c r="G255" s="299"/>
      <c r="H255" s="890"/>
      <c r="I255" s="916"/>
      <c r="J255" s="917"/>
      <c r="K255"/>
    </row>
    <row r="256" spans="3:11">
      <c r="C256" s="286" t="s">
        <v>3536</v>
      </c>
      <c r="D256" s="302" t="s">
        <v>3537</v>
      </c>
      <c r="E256" s="301" t="s">
        <v>2089</v>
      </c>
      <c r="F256" s="287">
        <v>1</v>
      </c>
      <c r="G256" s="299">
        <f t="shared" ref="G256:G257" si="20">$L$9*I256</f>
        <v>200141211.83466542</v>
      </c>
      <c r="H256" s="890">
        <f>F256*G256</f>
        <v>200141211.83466542</v>
      </c>
      <c r="I256" s="916">
        <f>G235</f>
        <v>200141211.83466542</v>
      </c>
      <c r="J256" s="917">
        <f t="shared" ref="J256:J257" si="21">F256*I256</f>
        <v>200141211.83466542</v>
      </c>
      <c r="K256"/>
    </row>
    <row r="257" spans="3:11">
      <c r="C257" s="286" t="s">
        <v>3538</v>
      </c>
      <c r="D257" s="302" t="s">
        <v>3539</v>
      </c>
      <c r="E257" s="301" t="s">
        <v>2089</v>
      </c>
      <c r="F257" s="287">
        <v>1</v>
      </c>
      <c r="G257" s="299">
        <f t="shared" si="20"/>
        <v>265233261.53465185</v>
      </c>
      <c r="H257" s="890">
        <f>F257*G257</f>
        <v>265233261.53465185</v>
      </c>
      <c r="I257" s="916">
        <f>G236</f>
        <v>265233261.53465185</v>
      </c>
      <c r="J257" s="917">
        <f t="shared" si="21"/>
        <v>265233261.53465185</v>
      </c>
      <c r="K257"/>
    </row>
    <row r="258" spans="3:11">
      <c r="C258" s="286" t="s">
        <v>3540</v>
      </c>
      <c r="D258" s="302" t="s">
        <v>3541</v>
      </c>
      <c r="E258" s="301" t="s">
        <v>2089</v>
      </c>
      <c r="F258" s="287">
        <v>0</v>
      </c>
      <c r="G258" s="299"/>
      <c r="H258" s="890"/>
      <c r="I258" s="916"/>
      <c r="J258" s="917"/>
      <c r="K258"/>
    </row>
    <row r="259" spans="3:11">
      <c r="C259" s="286" t="s">
        <v>3542</v>
      </c>
      <c r="D259" s="302" t="s">
        <v>3543</v>
      </c>
      <c r="E259" s="301" t="s">
        <v>2089</v>
      </c>
      <c r="F259" s="287">
        <v>1</v>
      </c>
      <c r="G259" s="299">
        <f>$L$9*I259</f>
        <v>334787700.89826727</v>
      </c>
      <c r="H259" s="890">
        <f>F259*G259</f>
        <v>334787700.89826727</v>
      </c>
      <c r="I259" s="916">
        <f>G238</f>
        <v>334787700.89826727</v>
      </c>
      <c r="J259" s="917">
        <f>F259*I259</f>
        <v>334787700.89826727</v>
      </c>
      <c r="K259"/>
    </row>
    <row r="260" spans="3:11">
      <c r="C260" s="286" t="s">
        <v>3544</v>
      </c>
      <c r="D260" s="302" t="s">
        <v>3545</v>
      </c>
      <c r="E260" s="301" t="s">
        <v>2089</v>
      </c>
      <c r="F260" s="287">
        <v>0</v>
      </c>
      <c r="G260" s="299"/>
      <c r="H260" s="890"/>
      <c r="I260" s="916"/>
      <c r="J260" s="917"/>
      <c r="K260"/>
    </row>
    <row r="261" spans="3:11">
      <c r="C261" s="286" t="s">
        <v>3546</v>
      </c>
      <c r="D261" s="302" t="s">
        <v>3547</v>
      </c>
      <c r="E261" s="301" t="s">
        <v>2318</v>
      </c>
      <c r="F261" s="287">
        <v>0</v>
      </c>
      <c r="G261" s="299"/>
      <c r="H261" s="890"/>
      <c r="I261" s="916"/>
      <c r="J261" s="917"/>
      <c r="K261"/>
    </row>
    <row r="262" spans="3:11">
      <c r="C262" s="286" t="s">
        <v>3548</v>
      </c>
      <c r="D262" s="302" t="s">
        <v>3549</v>
      </c>
      <c r="E262" s="301" t="s">
        <v>2318</v>
      </c>
      <c r="F262" s="287">
        <v>0</v>
      </c>
      <c r="G262" s="299"/>
      <c r="H262" s="890"/>
      <c r="I262" s="916"/>
      <c r="J262" s="917"/>
      <c r="K262"/>
    </row>
    <row r="263" spans="3:11">
      <c r="C263" s="286" t="s">
        <v>3550</v>
      </c>
      <c r="D263" s="302" t="s">
        <v>3551</v>
      </c>
      <c r="E263" s="301" t="s">
        <v>2318</v>
      </c>
      <c r="F263" s="287">
        <v>0</v>
      </c>
      <c r="G263" s="299"/>
      <c r="H263" s="890"/>
      <c r="I263" s="916"/>
      <c r="J263" s="917"/>
      <c r="K263"/>
    </row>
    <row r="264" spans="3:11">
      <c r="C264" s="286" t="s">
        <v>3552</v>
      </c>
      <c r="D264" s="302" t="s">
        <v>3553</v>
      </c>
      <c r="E264" s="301" t="s">
        <v>2318</v>
      </c>
      <c r="F264" s="287">
        <v>0</v>
      </c>
      <c r="G264" s="299"/>
      <c r="H264" s="890"/>
      <c r="I264" s="916"/>
      <c r="J264" s="917"/>
      <c r="K264"/>
    </row>
    <row r="265" spans="3:11">
      <c r="C265" s="286" t="s">
        <v>3554</v>
      </c>
      <c r="D265" s="302" t="s">
        <v>3555</v>
      </c>
      <c r="E265" s="301" t="s">
        <v>2318</v>
      </c>
      <c r="F265" s="287">
        <v>1</v>
      </c>
      <c r="G265" s="299">
        <f>$L$9*I265</f>
        <v>347951614.54216343</v>
      </c>
      <c r="H265" s="890">
        <f>F265*G265</f>
        <v>347951614.54216343</v>
      </c>
      <c r="I265" s="916">
        <f>'Pondasi 4 Pile'!S264</f>
        <v>347951614.54216343</v>
      </c>
      <c r="J265" s="917">
        <f>F265*I265</f>
        <v>347951614.54216343</v>
      </c>
      <c r="K265"/>
    </row>
    <row r="266" spans="3:11">
      <c r="C266" s="286" t="s">
        <v>3556</v>
      </c>
      <c r="D266" s="302" t="s">
        <v>3557</v>
      </c>
      <c r="E266" s="301" t="s">
        <v>2318</v>
      </c>
      <c r="F266" s="287">
        <v>0</v>
      </c>
      <c r="G266" s="299"/>
      <c r="H266" s="890"/>
      <c r="I266" s="916"/>
      <c r="J266" s="917"/>
      <c r="K266"/>
    </row>
    <row r="267" spans="3:11">
      <c r="C267" s="286" t="s">
        <v>3558</v>
      </c>
      <c r="D267" s="302" t="s">
        <v>3559</v>
      </c>
      <c r="E267" s="301" t="s">
        <v>2318</v>
      </c>
      <c r="F267" s="287">
        <v>0</v>
      </c>
      <c r="G267" s="299"/>
      <c r="H267" s="890"/>
      <c r="I267" s="916"/>
      <c r="J267" s="917"/>
      <c r="K267"/>
    </row>
    <row r="268" spans="3:11">
      <c r="C268" s="286" t="s">
        <v>3560</v>
      </c>
      <c r="D268" s="302" t="s">
        <v>3561</v>
      </c>
      <c r="E268" s="301" t="s">
        <v>2318</v>
      </c>
      <c r="F268" s="287">
        <v>0</v>
      </c>
      <c r="G268" s="299"/>
      <c r="H268" s="890"/>
      <c r="I268" s="916"/>
      <c r="J268" s="917"/>
      <c r="K268"/>
    </row>
    <row r="269" spans="3:11">
      <c r="C269" s="286" t="s">
        <v>3562</v>
      </c>
      <c r="D269" s="302" t="s">
        <v>3563</v>
      </c>
      <c r="E269" s="301" t="s">
        <v>2318</v>
      </c>
      <c r="F269" s="287">
        <v>0</v>
      </c>
      <c r="G269" s="299"/>
      <c r="H269" s="890"/>
      <c r="I269" s="916"/>
      <c r="J269" s="917"/>
      <c r="K269"/>
    </row>
    <row r="270" spans="3:11">
      <c r="C270" s="286" t="s">
        <v>3564</v>
      </c>
      <c r="D270" s="302" t="s">
        <v>3565</v>
      </c>
      <c r="E270" s="301" t="s">
        <v>2318</v>
      </c>
      <c r="F270" s="287">
        <v>0</v>
      </c>
      <c r="G270" s="299"/>
      <c r="H270" s="890"/>
      <c r="I270" s="916"/>
      <c r="J270" s="917"/>
      <c r="K270"/>
    </row>
    <row r="271" spans="3:11">
      <c r="C271" s="286" t="s">
        <v>3566</v>
      </c>
      <c r="D271" s="302" t="s">
        <v>3567</v>
      </c>
      <c r="E271" s="301" t="s">
        <v>2318</v>
      </c>
      <c r="F271" s="287">
        <v>0</v>
      </c>
      <c r="G271" s="299"/>
      <c r="H271" s="890"/>
      <c r="I271" s="916"/>
      <c r="J271" s="917"/>
      <c r="K271"/>
    </row>
    <row r="272" spans="3:11">
      <c r="C272" s="286" t="s">
        <v>3568</v>
      </c>
      <c r="D272" s="302" t="s">
        <v>3569</v>
      </c>
      <c r="E272" s="301" t="s">
        <v>2318</v>
      </c>
      <c r="F272" s="287">
        <v>0</v>
      </c>
      <c r="G272" s="299"/>
      <c r="H272" s="890"/>
      <c r="I272" s="916"/>
      <c r="J272" s="917"/>
      <c r="K272"/>
    </row>
    <row r="273" spans="3:11">
      <c r="C273" s="286" t="s">
        <v>3570</v>
      </c>
      <c r="D273" s="302" t="s">
        <v>3571</v>
      </c>
      <c r="E273" s="301" t="s">
        <v>2318</v>
      </c>
      <c r="F273" s="287">
        <v>0</v>
      </c>
      <c r="G273" s="299"/>
      <c r="H273" s="890"/>
      <c r="I273" s="916"/>
      <c r="J273" s="917"/>
      <c r="K273"/>
    </row>
    <row r="274" spans="3:11">
      <c r="C274" s="286" t="s">
        <v>3572</v>
      </c>
      <c r="D274" s="302" t="s">
        <v>3573</v>
      </c>
      <c r="E274" s="301" t="s">
        <v>2318</v>
      </c>
      <c r="F274" s="287">
        <v>0</v>
      </c>
      <c r="G274" s="299"/>
      <c r="H274" s="890"/>
      <c r="I274" s="916"/>
      <c r="J274" s="917"/>
      <c r="K274"/>
    </row>
    <row r="275" spans="3:11">
      <c r="C275" s="286" t="s">
        <v>3574</v>
      </c>
      <c r="D275" s="302" t="s">
        <v>3575</v>
      </c>
      <c r="E275" s="301" t="s">
        <v>2318</v>
      </c>
      <c r="F275" s="287">
        <v>0</v>
      </c>
      <c r="G275" s="299"/>
      <c r="H275" s="890"/>
      <c r="I275" s="916"/>
      <c r="J275" s="917"/>
      <c r="K275"/>
    </row>
    <row r="276" spans="3:11">
      <c r="C276" s="288"/>
      <c r="D276" s="302"/>
      <c r="E276" s="301"/>
      <c r="F276" s="287"/>
      <c r="G276" s="299"/>
      <c r="H276" s="890"/>
      <c r="I276" s="916"/>
      <c r="J276" s="917"/>
      <c r="K276"/>
    </row>
    <row r="277" spans="3:11">
      <c r="C277" s="275">
        <v>3</v>
      </c>
      <c r="D277" s="292" t="s">
        <v>2679</v>
      </c>
      <c r="E277" s="291"/>
      <c r="F277" s="287"/>
      <c r="G277" s="299"/>
      <c r="H277" s="899"/>
      <c r="I277" s="916"/>
      <c r="J277" s="923"/>
      <c r="K277"/>
    </row>
    <row r="278" spans="3:11">
      <c r="C278" s="288" t="s">
        <v>2680</v>
      </c>
      <c r="D278" s="302" t="s">
        <v>3576</v>
      </c>
      <c r="E278" s="301" t="s">
        <v>2089</v>
      </c>
      <c r="F278" s="287">
        <v>0</v>
      </c>
      <c r="G278" s="299"/>
      <c r="H278" s="890"/>
      <c r="I278" s="916"/>
      <c r="J278" s="917"/>
      <c r="K278"/>
    </row>
    <row r="279" spans="3:11">
      <c r="C279" s="288" t="s">
        <v>2682</v>
      </c>
      <c r="D279" s="302" t="s">
        <v>3577</v>
      </c>
      <c r="E279" s="301" t="s">
        <v>2089</v>
      </c>
      <c r="F279" s="287">
        <v>0</v>
      </c>
      <c r="G279" s="299"/>
      <c r="H279" s="890"/>
      <c r="I279" s="916"/>
      <c r="J279" s="917"/>
      <c r="K279"/>
    </row>
    <row r="280" spans="3:11">
      <c r="C280" s="288" t="s">
        <v>2684</v>
      </c>
      <c r="D280" s="302" t="s">
        <v>3578</v>
      </c>
      <c r="E280" s="301" t="s">
        <v>2089</v>
      </c>
      <c r="F280" s="287">
        <v>0</v>
      </c>
      <c r="G280" s="299"/>
      <c r="H280" s="890"/>
      <c r="I280" s="916"/>
      <c r="J280" s="917"/>
      <c r="K280"/>
    </row>
    <row r="281" spans="3:11">
      <c r="C281" s="288" t="s">
        <v>2686</v>
      </c>
      <c r="D281" s="302" t="s">
        <v>3579</v>
      </c>
      <c r="E281" s="301" t="s">
        <v>2089</v>
      </c>
      <c r="F281" s="287">
        <v>0</v>
      </c>
      <c r="G281" s="299"/>
      <c r="H281" s="890"/>
      <c r="I281" s="916"/>
      <c r="J281" s="917"/>
      <c r="K281"/>
    </row>
    <row r="282" spans="3:11">
      <c r="C282" s="288" t="s">
        <v>2688</v>
      </c>
      <c r="D282" s="302" t="s">
        <v>3580</v>
      </c>
      <c r="E282" s="301" t="s">
        <v>2089</v>
      </c>
      <c r="F282" s="287">
        <v>0</v>
      </c>
      <c r="G282" s="299"/>
      <c r="H282" s="890"/>
      <c r="I282" s="916"/>
      <c r="J282" s="917"/>
      <c r="K282"/>
    </row>
    <row r="283" spans="3:11">
      <c r="C283" s="288" t="s">
        <v>2690</v>
      </c>
      <c r="D283" s="302" t="s">
        <v>3581</v>
      </c>
      <c r="E283" s="301" t="s">
        <v>2318</v>
      </c>
      <c r="F283" s="287">
        <v>0</v>
      </c>
      <c r="G283" s="299"/>
      <c r="H283" s="890"/>
      <c r="I283" s="916"/>
      <c r="J283" s="917"/>
      <c r="K283"/>
    </row>
    <row r="284" spans="3:11">
      <c r="C284" s="288" t="s">
        <v>2692</v>
      </c>
      <c r="D284" s="302" t="s">
        <v>3582</v>
      </c>
      <c r="E284" s="301" t="s">
        <v>2318</v>
      </c>
      <c r="F284" s="287">
        <v>0</v>
      </c>
      <c r="G284" s="299"/>
      <c r="H284" s="890"/>
      <c r="I284" s="916"/>
      <c r="J284" s="917"/>
      <c r="K284"/>
    </row>
    <row r="285" spans="3:11">
      <c r="C285" s="288" t="s">
        <v>2694</v>
      </c>
      <c r="D285" s="302" t="s">
        <v>3583</v>
      </c>
      <c r="E285" s="301" t="s">
        <v>2318</v>
      </c>
      <c r="F285" s="287">
        <v>0</v>
      </c>
      <c r="G285" s="299"/>
      <c r="H285" s="890"/>
      <c r="I285" s="916"/>
      <c r="J285" s="917"/>
      <c r="K285"/>
    </row>
    <row r="286" spans="3:11">
      <c r="C286" s="288" t="s">
        <v>2696</v>
      </c>
      <c r="D286" s="302" t="s">
        <v>3584</v>
      </c>
      <c r="E286" s="301" t="s">
        <v>2318</v>
      </c>
      <c r="F286" s="287">
        <v>0</v>
      </c>
      <c r="G286" s="299"/>
      <c r="H286" s="890"/>
      <c r="I286" s="916"/>
      <c r="J286" s="917"/>
      <c r="K286"/>
    </row>
    <row r="287" spans="3:11">
      <c r="C287" s="288" t="s">
        <v>2698</v>
      </c>
      <c r="D287" s="302" t="s">
        <v>3585</v>
      </c>
      <c r="E287" s="301" t="s">
        <v>2318</v>
      </c>
      <c r="F287" s="287">
        <v>0</v>
      </c>
      <c r="G287" s="299"/>
      <c r="H287" s="890"/>
      <c r="I287" s="916"/>
      <c r="J287" s="917"/>
      <c r="K287"/>
    </row>
    <row r="288" spans="3:11">
      <c r="C288" s="288" t="s">
        <v>2700</v>
      </c>
      <c r="D288" s="302" t="s">
        <v>3586</v>
      </c>
      <c r="E288" s="301" t="s">
        <v>2318</v>
      </c>
      <c r="F288" s="287">
        <v>0</v>
      </c>
      <c r="G288" s="299"/>
      <c r="H288" s="890"/>
      <c r="I288" s="916"/>
      <c r="J288" s="917"/>
      <c r="K288"/>
    </row>
    <row r="289" spans="3:11">
      <c r="C289" s="288" t="s">
        <v>2702</v>
      </c>
      <c r="D289" s="302" t="s">
        <v>3587</v>
      </c>
      <c r="E289" s="301" t="s">
        <v>2318</v>
      </c>
      <c r="F289" s="287">
        <v>0</v>
      </c>
      <c r="G289" s="299"/>
      <c r="H289" s="890"/>
      <c r="I289" s="916"/>
      <c r="J289" s="917"/>
      <c r="K289"/>
    </row>
    <row r="290" spans="3:11">
      <c r="C290" s="288" t="s">
        <v>2704</v>
      </c>
      <c r="D290" s="302" t="s">
        <v>3588</v>
      </c>
      <c r="E290" s="301" t="s">
        <v>2318</v>
      </c>
      <c r="F290" s="287">
        <v>0</v>
      </c>
      <c r="G290" s="299"/>
      <c r="H290" s="890"/>
      <c r="I290" s="916"/>
      <c r="J290" s="917"/>
      <c r="K290"/>
    </row>
    <row r="291" spans="3:11">
      <c r="C291" s="288" t="s">
        <v>2706</v>
      </c>
      <c r="D291" s="302" t="s">
        <v>3589</v>
      </c>
      <c r="E291" s="301" t="s">
        <v>2318</v>
      </c>
      <c r="F291" s="287">
        <v>0</v>
      </c>
      <c r="G291" s="299"/>
      <c r="H291" s="890"/>
      <c r="I291" s="916"/>
      <c r="J291" s="917"/>
      <c r="K291"/>
    </row>
    <row r="292" spans="3:11">
      <c r="C292" s="288" t="s">
        <v>2708</v>
      </c>
      <c r="D292" s="302" t="s">
        <v>3590</v>
      </c>
      <c r="E292" s="301" t="s">
        <v>2318</v>
      </c>
      <c r="F292" s="287">
        <v>0</v>
      </c>
      <c r="G292" s="299"/>
      <c r="H292" s="890"/>
      <c r="I292" s="916"/>
      <c r="J292" s="917"/>
      <c r="K292"/>
    </row>
    <row r="293" spans="3:11">
      <c r="C293" s="288" t="s">
        <v>2710</v>
      </c>
      <c r="D293" s="302" t="s">
        <v>3591</v>
      </c>
      <c r="E293" s="301" t="s">
        <v>2318</v>
      </c>
      <c r="F293" s="287">
        <v>0</v>
      </c>
      <c r="G293" s="299"/>
      <c r="H293" s="890"/>
      <c r="I293" s="916"/>
      <c r="J293" s="917"/>
      <c r="K293"/>
    </row>
    <row r="294" spans="3:11">
      <c r="C294" s="288" t="s">
        <v>2712</v>
      </c>
      <c r="D294" s="302" t="s">
        <v>3592</v>
      </c>
      <c r="E294" s="301" t="s">
        <v>2318</v>
      </c>
      <c r="F294" s="287">
        <v>0</v>
      </c>
      <c r="G294" s="299"/>
      <c r="H294" s="890"/>
      <c r="I294" s="916"/>
      <c r="J294" s="917"/>
      <c r="K294"/>
    </row>
    <row r="295" spans="3:11">
      <c r="C295" s="288" t="s">
        <v>2714</v>
      </c>
      <c r="D295" s="302" t="s">
        <v>3593</v>
      </c>
      <c r="E295" s="301" t="s">
        <v>2318</v>
      </c>
      <c r="F295" s="287">
        <v>0</v>
      </c>
      <c r="G295" s="299"/>
      <c r="H295" s="890"/>
      <c r="I295" s="916"/>
      <c r="J295" s="917"/>
      <c r="K295"/>
    </row>
    <row r="296" spans="3:11">
      <c r="C296" s="288" t="s">
        <v>2716</v>
      </c>
      <c r="D296" s="302" t="s">
        <v>3594</v>
      </c>
      <c r="E296" s="301" t="s">
        <v>2318</v>
      </c>
      <c r="F296" s="287">
        <v>0</v>
      </c>
      <c r="G296" s="299"/>
      <c r="H296" s="890"/>
      <c r="I296" s="916"/>
      <c r="J296" s="917"/>
      <c r="K296"/>
    </row>
    <row r="297" spans="3:11">
      <c r="C297" s="288" t="s">
        <v>2718</v>
      </c>
      <c r="D297" s="302" t="s">
        <v>3595</v>
      </c>
      <c r="E297" s="301" t="s">
        <v>2318</v>
      </c>
      <c r="F297" s="287">
        <v>0</v>
      </c>
      <c r="G297" s="299"/>
      <c r="H297" s="890"/>
      <c r="I297" s="916"/>
      <c r="J297" s="917"/>
      <c r="K297"/>
    </row>
    <row r="298" spans="3:11">
      <c r="C298" s="288"/>
      <c r="D298" s="302"/>
      <c r="E298" s="301"/>
      <c r="F298" s="287"/>
      <c r="G298" s="299"/>
      <c r="H298" s="890"/>
      <c r="I298" s="916"/>
      <c r="J298" s="917"/>
      <c r="K298"/>
    </row>
    <row r="299" spans="3:11">
      <c r="C299" s="270" t="s">
        <v>2720</v>
      </c>
      <c r="D299" s="302" t="s">
        <v>3596</v>
      </c>
      <c r="E299" s="301" t="s">
        <v>2089</v>
      </c>
      <c r="F299" s="287">
        <v>0</v>
      </c>
      <c r="G299" s="299"/>
      <c r="H299" s="890"/>
      <c r="I299" s="916"/>
      <c r="J299" s="917"/>
      <c r="K299"/>
    </row>
    <row r="300" spans="3:11">
      <c r="C300" s="270" t="s">
        <v>2722</v>
      </c>
      <c r="D300" s="302" t="s">
        <v>3597</v>
      </c>
      <c r="E300" s="301" t="s">
        <v>2089</v>
      </c>
      <c r="F300" s="287">
        <v>0</v>
      </c>
      <c r="G300" s="299"/>
      <c r="H300" s="890"/>
      <c r="I300" s="916"/>
      <c r="J300" s="917"/>
      <c r="K300"/>
    </row>
    <row r="301" spans="3:11">
      <c r="C301" s="270" t="s">
        <v>2724</v>
      </c>
      <c r="D301" s="302" t="s">
        <v>3598</v>
      </c>
      <c r="E301" s="301" t="s">
        <v>2089</v>
      </c>
      <c r="F301" s="287">
        <v>0</v>
      </c>
      <c r="G301" s="299"/>
      <c r="H301" s="890"/>
      <c r="I301" s="916"/>
      <c r="J301" s="917"/>
      <c r="K301"/>
    </row>
    <row r="302" spans="3:11">
      <c r="C302" s="270" t="s">
        <v>2726</v>
      </c>
      <c r="D302" s="302" t="s">
        <v>3599</v>
      </c>
      <c r="E302" s="301" t="s">
        <v>2089</v>
      </c>
      <c r="F302" s="287">
        <v>0</v>
      </c>
      <c r="G302" s="299"/>
      <c r="H302" s="890"/>
      <c r="I302" s="916"/>
      <c r="J302" s="917"/>
      <c r="K302"/>
    </row>
    <row r="303" spans="3:11">
      <c r="C303" s="270" t="s">
        <v>2728</v>
      </c>
      <c r="D303" s="302" t="s">
        <v>3600</v>
      </c>
      <c r="E303" s="301" t="s">
        <v>2089</v>
      </c>
      <c r="F303" s="287">
        <v>0</v>
      </c>
      <c r="G303" s="299"/>
      <c r="H303" s="890"/>
      <c r="I303" s="916"/>
      <c r="J303" s="917"/>
      <c r="K303"/>
    </row>
    <row r="304" spans="3:11">
      <c r="C304" s="270" t="s">
        <v>2730</v>
      </c>
      <c r="D304" s="302" t="s">
        <v>3601</v>
      </c>
      <c r="E304" s="301" t="s">
        <v>2318</v>
      </c>
      <c r="F304" s="287">
        <v>0</v>
      </c>
      <c r="G304" s="299"/>
      <c r="H304" s="890"/>
      <c r="I304" s="916"/>
      <c r="J304" s="917"/>
      <c r="K304"/>
    </row>
    <row r="305" spans="3:11">
      <c r="C305" s="270" t="s">
        <v>2732</v>
      </c>
      <c r="D305" s="302" t="s">
        <v>3602</v>
      </c>
      <c r="E305" s="301" t="s">
        <v>2318</v>
      </c>
      <c r="F305" s="287">
        <v>0</v>
      </c>
      <c r="G305" s="299"/>
      <c r="H305" s="890"/>
      <c r="I305" s="916"/>
      <c r="J305" s="917"/>
      <c r="K305"/>
    </row>
    <row r="306" spans="3:11">
      <c r="C306" s="270" t="s">
        <v>2734</v>
      </c>
      <c r="D306" s="302" t="s">
        <v>3603</v>
      </c>
      <c r="E306" s="301" t="s">
        <v>2318</v>
      </c>
      <c r="F306" s="287">
        <v>0</v>
      </c>
      <c r="G306" s="299"/>
      <c r="H306" s="890"/>
      <c r="I306" s="916"/>
      <c r="J306" s="917"/>
      <c r="K306"/>
    </row>
    <row r="307" spans="3:11">
      <c r="C307" s="270" t="s">
        <v>2736</v>
      </c>
      <c r="D307" s="302" t="s">
        <v>3604</v>
      </c>
      <c r="E307" s="301" t="s">
        <v>2318</v>
      </c>
      <c r="F307" s="287">
        <v>0</v>
      </c>
      <c r="G307" s="299"/>
      <c r="H307" s="890"/>
      <c r="I307" s="916"/>
      <c r="J307" s="917"/>
      <c r="K307"/>
    </row>
    <row r="308" spans="3:11">
      <c r="C308" s="270" t="s">
        <v>2738</v>
      </c>
      <c r="D308" s="302" t="s">
        <v>3605</v>
      </c>
      <c r="E308" s="301" t="s">
        <v>2318</v>
      </c>
      <c r="F308" s="287">
        <v>0</v>
      </c>
      <c r="G308" s="299"/>
      <c r="H308" s="890"/>
      <c r="I308" s="916"/>
      <c r="J308" s="917"/>
      <c r="K308"/>
    </row>
    <row r="309" spans="3:11">
      <c r="C309" s="270" t="s">
        <v>2740</v>
      </c>
      <c r="D309" s="302" t="s">
        <v>3606</v>
      </c>
      <c r="E309" s="301" t="s">
        <v>2318</v>
      </c>
      <c r="F309" s="287">
        <v>0</v>
      </c>
      <c r="G309" s="299"/>
      <c r="H309" s="890"/>
      <c r="I309" s="916"/>
      <c r="J309" s="917"/>
      <c r="K309"/>
    </row>
    <row r="310" spans="3:11">
      <c r="C310" s="270" t="s">
        <v>2742</v>
      </c>
      <c r="D310" s="302" t="s">
        <v>3607</v>
      </c>
      <c r="E310" s="301" t="s">
        <v>2318</v>
      </c>
      <c r="F310" s="287">
        <v>0</v>
      </c>
      <c r="G310" s="299"/>
      <c r="H310" s="890"/>
      <c r="I310" s="916"/>
      <c r="J310" s="917"/>
      <c r="K310"/>
    </row>
    <row r="311" spans="3:11">
      <c r="C311" s="270" t="s">
        <v>2744</v>
      </c>
      <c r="D311" s="302" t="s">
        <v>3608</v>
      </c>
      <c r="E311" s="301" t="s">
        <v>2318</v>
      </c>
      <c r="F311" s="287">
        <v>0</v>
      </c>
      <c r="G311" s="299"/>
      <c r="H311" s="890"/>
      <c r="I311" s="916"/>
      <c r="J311" s="917"/>
      <c r="K311"/>
    </row>
    <row r="312" spans="3:11">
      <c r="C312" s="270" t="s">
        <v>2746</v>
      </c>
      <c r="D312" s="302" t="s">
        <v>3609</v>
      </c>
      <c r="E312" s="301" t="s">
        <v>2318</v>
      </c>
      <c r="F312" s="287">
        <v>0</v>
      </c>
      <c r="G312" s="299"/>
      <c r="H312" s="890"/>
      <c r="I312" s="916"/>
      <c r="J312" s="917"/>
      <c r="K312"/>
    </row>
    <row r="313" spans="3:11">
      <c r="C313" s="270" t="s">
        <v>2748</v>
      </c>
      <c r="D313" s="302" t="s">
        <v>3610</v>
      </c>
      <c r="E313" s="301" t="s">
        <v>2318</v>
      </c>
      <c r="F313" s="287">
        <v>0</v>
      </c>
      <c r="G313" s="299"/>
      <c r="H313" s="890"/>
      <c r="I313" s="916"/>
      <c r="J313" s="917"/>
      <c r="K313"/>
    </row>
    <row r="314" spans="3:11">
      <c r="C314" s="270" t="s">
        <v>2750</v>
      </c>
      <c r="D314" s="302" t="s">
        <v>3611</v>
      </c>
      <c r="E314" s="301" t="s">
        <v>2318</v>
      </c>
      <c r="F314" s="287">
        <v>0</v>
      </c>
      <c r="G314" s="299"/>
      <c r="H314" s="890"/>
      <c r="I314" s="916"/>
      <c r="J314" s="917"/>
      <c r="K314"/>
    </row>
    <row r="315" spans="3:11">
      <c r="C315" s="270" t="s">
        <v>2752</v>
      </c>
      <c r="D315" s="302" t="s">
        <v>3612</v>
      </c>
      <c r="E315" s="301" t="s">
        <v>2318</v>
      </c>
      <c r="F315" s="287">
        <v>0</v>
      </c>
      <c r="G315" s="299"/>
      <c r="H315" s="890"/>
      <c r="I315" s="916"/>
      <c r="J315" s="917"/>
      <c r="K315"/>
    </row>
    <row r="316" spans="3:11">
      <c r="C316" s="270" t="s">
        <v>2754</v>
      </c>
      <c r="D316" s="302" t="s">
        <v>3613</v>
      </c>
      <c r="E316" s="301" t="s">
        <v>2318</v>
      </c>
      <c r="F316" s="287">
        <v>0</v>
      </c>
      <c r="G316" s="299"/>
      <c r="H316" s="890"/>
      <c r="I316" s="916"/>
      <c r="J316" s="917"/>
      <c r="K316"/>
    </row>
    <row r="317" spans="3:11">
      <c r="C317" s="270" t="s">
        <v>2756</v>
      </c>
      <c r="D317" s="302" t="s">
        <v>3614</v>
      </c>
      <c r="E317" s="301" t="s">
        <v>2318</v>
      </c>
      <c r="F317" s="287">
        <v>0</v>
      </c>
      <c r="G317" s="299"/>
      <c r="H317" s="890"/>
      <c r="I317" s="916"/>
      <c r="J317" s="917"/>
      <c r="K317"/>
    </row>
    <row r="318" spans="3:11">
      <c r="C318" s="270" t="s">
        <v>2758</v>
      </c>
      <c r="D318" s="302" t="s">
        <v>3615</v>
      </c>
      <c r="E318" s="301" t="s">
        <v>2318</v>
      </c>
      <c r="F318" s="287">
        <v>0</v>
      </c>
      <c r="G318" s="299"/>
      <c r="H318" s="890"/>
      <c r="I318" s="916"/>
      <c r="J318" s="917"/>
      <c r="K318"/>
    </row>
    <row r="319" spans="3:11">
      <c r="C319" s="288"/>
      <c r="D319" s="302"/>
      <c r="E319" s="301"/>
      <c r="F319" s="287"/>
      <c r="G319" s="299"/>
      <c r="H319" s="890"/>
      <c r="I319" s="916"/>
      <c r="J319" s="917"/>
      <c r="K319"/>
    </row>
    <row r="320" spans="3:11">
      <c r="C320" s="270" t="s">
        <v>2760</v>
      </c>
      <c r="D320" s="302" t="s">
        <v>3616</v>
      </c>
      <c r="E320" s="301" t="s">
        <v>2089</v>
      </c>
      <c r="F320" s="287">
        <v>0</v>
      </c>
      <c r="G320" s="299"/>
      <c r="H320" s="890"/>
      <c r="I320" s="916"/>
      <c r="J320" s="917"/>
      <c r="K320"/>
    </row>
    <row r="321" spans="3:11">
      <c r="C321" s="269" t="s">
        <v>2762</v>
      </c>
      <c r="D321" s="284" t="s">
        <v>3617</v>
      </c>
      <c r="E321" s="283" t="s">
        <v>2089</v>
      </c>
      <c r="F321" s="282">
        <v>0</v>
      </c>
      <c r="G321" s="281"/>
      <c r="H321" s="897"/>
      <c r="I321" s="924"/>
      <c r="J321" s="925"/>
      <c r="K321"/>
    </row>
    <row r="322" spans="3:11">
      <c r="C322" s="268" t="s">
        <v>2764</v>
      </c>
      <c r="D322" s="279" t="s">
        <v>3618</v>
      </c>
      <c r="E322" s="278" t="s">
        <v>2089</v>
      </c>
      <c r="F322" s="277">
        <v>0</v>
      </c>
      <c r="G322" s="276"/>
      <c r="H322" s="898"/>
      <c r="I322" s="926"/>
      <c r="J322" s="927"/>
      <c r="K322"/>
    </row>
    <row r="323" spans="3:11">
      <c r="C323" s="270" t="s">
        <v>2766</v>
      </c>
      <c r="D323" s="302" t="s">
        <v>3619</v>
      </c>
      <c r="E323" s="301" t="s">
        <v>2089</v>
      </c>
      <c r="F323" s="287">
        <v>0</v>
      </c>
      <c r="G323" s="299"/>
      <c r="H323" s="890"/>
      <c r="I323" s="916"/>
      <c r="J323" s="917"/>
      <c r="K323"/>
    </row>
    <row r="324" spans="3:11">
      <c r="C324" s="270" t="s">
        <v>2768</v>
      </c>
      <c r="D324" s="302" t="s">
        <v>3620</v>
      </c>
      <c r="E324" s="301" t="s">
        <v>2089</v>
      </c>
      <c r="F324" s="287">
        <v>0</v>
      </c>
      <c r="G324" s="299"/>
      <c r="H324" s="890"/>
      <c r="I324" s="916"/>
      <c r="J324" s="917"/>
      <c r="K324"/>
    </row>
    <row r="325" spans="3:11">
      <c r="C325" s="270" t="s">
        <v>2770</v>
      </c>
      <c r="D325" s="302" t="s">
        <v>3621</v>
      </c>
      <c r="E325" s="301" t="s">
        <v>2318</v>
      </c>
      <c r="F325" s="287">
        <v>0</v>
      </c>
      <c r="G325" s="299"/>
      <c r="H325" s="890"/>
      <c r="I325" s="916"/>
      <c r="J325" s="917"/>
      <c r="K325"/>
    </row>
    <row r="326" spans="3:11">
      <c r="C326" s="270" t="s">
        <v>2772</v>
      </c>
      <c r="D326" s="302" t="s">
        <v>3622</v>
      </c>
      <c r="E326" s="301" t="s">
        <v>2318</v>
      </c>
      <c r="F326" s="287">
        <v>0</v>
      </c>
      <c r="G326" s="299"/>
      <c r="H326" s="890"/>
      <c r="I326" s="916"/>
      <c r="J326" s="917"/>
      <c r="K326"/>
    </row>
    <row r="327" spans="3:11">
      <c r="C327" s="270" t="s">
        <v>2774</v>
      </c>
      <c r="D327" s="302" t="s">
        <v>3623</v>
      </c>
      <c r="E327" s="301" t="s">
        <v>2318</v>
      </c>
      <c r="F327" s="287">
        <v>0</v>
      </c>
      <c r="G327" s="299"/>
      <c r="H327" s="890"/>
      <c r="I327" s="916"/>
      <c r="J327" s="917"/>
      <c r="K327"/>
    </row>
    <row r="328" spans="3:11">
      <c r="C328" s="270" t="s">
        <v>2776</v>
      </c>
      <c r="D328" s="302" t="s">
        <v>3624</v>
      </c>
      <c r="E328" s="301" t="s">
        <v>2318</v>
      </c>
      <c r="F328" s="287">
        <v>0</v>
      </c>
      <c r="G328" s="299"/>
      <c r="H328" s="890"/>
      <c r="I328" s="916"/>
      <c r="J328" s="917"/>
      <c r="K328"/>
    </row>
    <row r="329" spans="3:11">
      <c r="C329" s="270" t="s">
        <v>2778</v>
      </c>
      <c r="D329" s="302" t="s">
        <v>3625</v>
      </c>
      <c r="E329" s="301" t="s">
        <v>2318</v>
      </c>
      <c r="F329" s="287">
        <v>0</v>
      </c>
      <c r="G329" s="299"/>
      <c r="H329" s="890"/>
      <c r="I329" s="916"/>
      <c r="J329" s="917"/>
      <c r="K329"/>
    </row>
    <row r="330" spans="3:11">
      <c r="C330" s="270" t="s">
        <v>2780</v>
      </c>
      <c r="D330" s="302" t="s">
        <v>3626</v>
      </c>
      <c r="E330" s="301" t="s">
        <v>2318</v>
      </c>
      <c r="F330" s="287">
        <v>0</v>
      </c>
      <c r="G330" s="299"/>
      <c r="H330" s="890"/>
      <c r="I330" s="916"/>
      <c r="J330" s="917"/>
      <c r="K330"/>
    </row>
    <row r="331" spans="3:11">
      <c r="C331" s="270" t="s">
        <v>2782</v>
      </c>
      <c r="D331" s="302" t="s">
        <v>3627</v>
      </c>
      <c r="E331" s="301" t="s">
        <v>2318</v>
      </c>
      <c r="F331" s="287">
        <v>0</v>
      </c>
      <c r="G331" s="299"/>
      <c r="H331" s="890"/>
      <c r="I331" s="916"/>
      <c r="J331" s="917"/>
      <c r="K331"/>
    </row>
    <row r="332" spans="3:11">
      <c r="C332" s="270" t="s">
        <v>2784</v>
      </c>
      <c r="D332" s="302" t="s">
        <v>3628</v>
      </c>
      <c r="E332" s="301" t="s">
        <v>2318</v>
      </c>
      <c r="F332" s="287">
        <v>0</v>
      </c>
      <c r="G332" s="299"/>
      <c r="H332" s="890"/>
      <c r="I332" s="916"/>
      <c r="J332" s="917"/>
      <c r="K332"/>
    </row>
    <row r="333" spans="3:11">
      <c r="C333" s="270" t="s">
        <v>2786</v>
      </c>
      <c r="D333" s="302" t="s">
        <v>3629</v>
      </c>
      <c r="E333" s="301" t="s">
        <v>2318</v>
      </c>
      <c r="F333" s="287">
        <v>0</v>
      </c>
      <c r="G333" s="299"/>
      <c r="H333" s="890"/>
      <c r="I333" s="916"/>
      <c r="J333" s="917"/>
      <c r="K333"/>
    </row>
    <row r="334" spans="3:11">
      <c r="C334" s="270" t="s">
        <v>2788</v>
      </c>
      <c r="D334" s="302" t="s">
        <v>3630</v>
      </c>
      <c r="E334" s="301" t="s">
        <v>2318</v>
      </c>
      <c r="F334" s="287">
        <v>0</v>
      </c>
      <c r="G334" s="299"/>
      <c r="H334" s="890"/>
      <c r="I334" s="916"/>
      <c r="J334" s="917"/>
      <c r="K334"/>
    </row>
    <row r="335" spans="3:11">
      <c r="C335" s="270" t="s">
        <v>2790</v>
      </c>
      <c r="D335" s="302" t="s">
        <v>3631</v>
      </c>
      <c r="E335" s="301" t="s">
        <v>2318</v>
      </c>
      <c r="F335" s="287">
        <v>0</v>
      </c>
      <c r="G335" s="299"/>
      <c r="H335" s="890"/>
      <c r="I335" s="916"/>
      <c r="J335" s="917"/>
      <c r="K335"/>
    </row>
    <row r="336" spans="3:11">
      <c r="C336" s="270" t="s">
        <v>2792</v>
      </c>
      <c r="D336" s="302" t="s">
        <v>3632</v>
      </c>
      <c r="E336" s="301" t="s">
        <v>2318</v>
      </c>
      <c r="F336" s="287">
        <v>0</v>
      </c>
      <c r="G336" s="299"/>
      <c r="H336" s="890"/>
      <c r="I336" s="916"/>
      <c r="J336" s="917"/>
      <c r="K336"/>
    </row>
    <row r="337" spans="3:11">
      <c r="C337" s="270" t="s">
        <v>2794</v>
      </c>
      <c r="D337" s="302" t="s">
        <v>3633</v>
      </c>
      <c r="E337" s="301" t="s">
        <v>2318</v>
      </c>
      <c r="F337" s="287">
        <v>0</v>
      </c>
      <c r="G337" s="299"/>
      <c r="H337" s="890"/>
      <c r="I337" s="916"/>
      <c r="J337" s="917"/>
      <c r="K337"/>
    </row>
    <row r="338" spans="3:11">
      <c r="C338" s="270" t="s">
        <v>2796</v>
      </c>
      <c r="D338" s="302" t="s">
        <v>3634</v>
      </c>
      <c r="E338" s="301" t="s">
        <v>2318</v>
      </c>
      <c r="F338" s="287">
        <v>0</v>
      </c>
      <c r="G338" s="299"/>
      <c r="H338" s="890"/>
      <c r="I338" s="916"/>
      <c r="J338" s="917"/>
      <c r="K338"/>
    </row>
    <row r="339" spans="3:11">
      <c r="C339" s="270" t="s">
        <v>2798</v>
      </c>
      <c r="D339" s="302" t="s">
        <v>3635</v>
      </c>
      <c r="E339" s="301" t="s">
        <v>2318</v>
      </c>
      <c r="F339" s="287">
        <v>0</v>
      </c>
      <c r="G339" s="299"/>
      <c r="H339" s="890"/>
      <c r="I339" s="916"/>
      <c r="J339" s="917"/>
      <c r="K339"/>
    </row>
    <row r="340" spans="3:11">
      <c r="C340" s="288"/>
      <c r="D340" s="302"/>
      <c r="E340" s="301"/>
      <c r="F340" s="287"/>
      <c r="G340" s="299"/>
      <c r="H340" s="890"/>
      <c r="I340" s="916"/>
      <c r="J340" s="917"/>
      <c r="K340"/>
    </row>
    <row r="341" spans="3:11">
      <c r="C341" s="286" t="s">
        <v>2800</v>
      </c>
      <c r="D341" s="302" t="s">
        <v>3636</v>
      </c>
      <c r="E341" s="301" t="s">
        <v>2089</v>
      </c>
      <c r="F341" s="287">
        <v>0</v>
      </c>
      <c r="G341" s="299"/>
      <c r="H341" s="890"/>
      <c r="I341" s="916"/>
      <c r="J341" s="917"/>
      <c r="K341"/>
    </row>
    <row r="342" spans="3:11">
      <c r="C342" s="286" t="s">
        <v>2802</v>
      </c>
      <c r="D342" s="302" t="s">
        <v>3637</v>
      </c>
      <c r="E342" s="301" t="s">
        <v>2089</v>
      </c>
      <c r="F342" s="287">
        <v>0</v>
      </c>
      <c r="G342" s="299"/>
      <c r="H342" s="890"/>
      <c r="I342" s="916"/>
      <c r="J342" s="917"/>
      <c r="K342"/>
    </row>
    <row r="343" spans="3:11">
      <c r="C343" s="286" t="s">
        <v>2804</v>
      </c>
      <c r="D343" s="302" t="s">
        <v>3638</v>
      </c>
      <c r="E343" s="301" t="s">
        <v>2089</v>
      </c>
      <c r="F343" s="287">
        <v>0</v>
      </c>
      <c r="G343" s="299"/>
      <c r="H343" s="890"/>
      <c r="I343" s="916"/>
      <c r="J343" s="917"/>
      <c r="K343"/>
    </row>
    <row r="344" spans="3:11">
      <c r="C344" s="286" t="s">
        <v>2806</v>
      </c>
      <c r="D344" s="302" t="s">
        <v>3639</v>
      </c>
      <c r="E344" s="301" t="s">
        <v>2089</v>
      </c>
      <c r="F344" s="287">
        <v>2</v>
      </c>
      <c r="G344" s="299">
        <f>$L$9*I344</f>
        <v>457646678.97941977</v>
      </c>
      <c r="H344" s="890">
        <f>F344*G344</f>
        <v>915293357.95883954</v>
      </c>
      <c r="I344" s="916">
        <f>'Pondasi 4 Pile'!AA116</f>
        <v>457646678.97941977</v>
      </c>
      <c r="J344" s="917">
        <f>F344*I344</f>
        <v>915293357.95883954</v>
      </c>
      <c r="K344"/>
    </row>
    <row r="345" spans="3:11">
      <c r="C345" s="286" t="s">
        <v>2808</v>
      </c>
      <c r="D345" s="302" t="s">
        <v>3640</v>
      </c>
      <c r="E345" s="301" t="s">
        <v>2089</v>
      </c>
      <c r="F345" s="287">
        <v>0</v>
      </c>
      <c r="G345" s="299"/>
      <c r="H345" s="890"/>
      <c r="I345" s="916"/>
      <c r="J345" s="917"/>
      <c r="K345"/>
    </row>
    <row r="346" spans="3:11">
      <c r="C346" s="286" t="s">
        <v>2810</v>
      </c>
      <c r="D346" s="302" t="s">
        <v>3641</v>
      </c>
      <c r="E346" s="301" t="s">
        <v>2318</v>
      </c>
      <c r="F346" s="287">
        <v>0</v>
      </c>
      <c r="G346" s="299"/>
      <c r="H346" s="890"/>
      <c r="I346" s="916"/>
      <c r="J346" s="917"/>
      <c r="K346"/>
    </row>
    <row r="347" spans="3:11">
      <c r="C347" s="286" t="s">
        <v>2812</v>
      </c>
      <c r="D347" s="302" t="s">
        <v>3642</v>
      </c>
      <c r="E347" s="301" t="s">
        <v>2318</v>
      </c>
      <c r="F347" s="287">
        <v>0</v>
      </c>
      <c r="G347" s="299"/>
      <c r="H347" s="890"/>
      <c r="I347" s="916"/>
      <c r="J347" s="917"/>
      <c r="K347"/>
    </row>
    <row r="348" spans="3:11">
      <c r="C348" s="286" t="s">
        <v>2814</v>
      </c>
      <c r="D348" s="302" t="s">
        <v>3643</v>
      </c>
      <c r="E348" s="301" t="s">
        <v>2318</v>
      </c>
      <c r="F348" s="287">
        <v>0</v>
      </c>
      <c r="G348" s="299"/>
      <c r="H348" s="890"/>
      <c r="I348" s="916"/>
      <c r="J348" s="917"/>
      <c r="K348"/>
    </row>
    <row r="349" spans="3:11">
      <c r="C349" s="286" t="s">
        <v>2816</v>
      </c>
      <c r="D349" s="302" t="s">
        <v>3644</v>
      </c>
      <c r="E349" s="301" t="s">
        <v>2318</v>
      </c>
      <c r="F349" s="287">
        <v>0</v>
      </c>
      <c r="G349" s="299"/>
      <c r="H349" s="890"/>
      <c r="I349" s="916"/>
      <c r="J349" s="917"/>
      <c r="K349"/>
    </row>
    <row r="350" spans="3:11">
      <c r="C350" s="286" t="s">
        <v>2818</v>
      </c>
      <c r="D350" s="302" t="s">
        <v>3645</v>
      </c>
      <c r="E350" s="301" t="s">
        <v>2318</v>
      </c>
      <c r="F350" s="287">
        <v>0</v>
      </c>
      <c r="G350" s="299"/>
      <c r="H350" s="890"/>
      <c r="I350" s="916"/>
      <c r="J350" s="917"/>
      <c r="K350"/>
    </row>
    <row r="351" spans="3:11">
      <c r="C351" s="286" t="s">
        <v>2820</v>
      </c>
      <c r="D351" s="302" t="s">
        <v>3646</v>
      </c>
      <c r="E351" s="301" t="s">
        <v>2318</v>
      </c>
      <c r="F351" s="287">
        <v>0</v>
      </c>
      <c r="G351" s="299"/>
      <c r="H351" s="890"/>
      <c r="I351" s="916"/>
      <c r="J351" s="917"/>
      <c r="K351"/>
    </row>
    <row r="352" spans="3:11">
      <c r="C352" s="286" t="s">
        <v>2822</v>
      </c>
      <c r="D352" s="302" t="s">
        <v>3647</v>
      </c>
      <c r="E352" s="301" t="s">
        <v>2318</v>
      </c>
      <c r="F352" s="287">
        <v>0</v>
      </c>
      <c r="G352" s="299"/>
      <c r="H352" s="890"/>
      <c r="I352" s="916"/>
      <c r="J352" s="917"/>
      <c r="K352"/>
    </row>
    <row r="353" spans="3:11">
      <c r="C353" s="286" t="s">
        <v>2824</v>
      </c>
      <c r="D353" s="302" t="s">
        <v>3648</v>
      </c>
      <c r="E353" s="301" t="s">
        <v>2318</v>
      </c>
      <c r="F353" s="287">
        <v>0</v>
      </c>
      <c r="G353" s="299"/>
      <c r="H353" s="890"/>
      <c r="I353" s="916"/>
      <c r="J353" s="917"/>
      <c r="K353"/>
    </row>
    <row r="354" spans="3:11">
      <c r="C354" s="286" t="s">
        <v>2826</v>
      </c>
      <c r="D354" s="302" t="s">
        <v>3649</v>
      </c>
      <c r="E354" s="301" t="s">
        <v>2318</v>
      </c>
      <c r="F354" s="287">
        <v>0</v>
      </c>
      <c r="G354" s="299"/>
      <c r="H354" s="890"/>
      <c r="I354" s="916"/>
      <c r="J354" s="917"/>
      <c r="K354"/>
    </row>
    <row r="355" spans="3:11">
      <c r="C355" s="286" t="s">
        <v>2828</v>
      </c>
      <c r="D355" s="302" t="s">
        <v>3650</v>
      </c>
      <c r="E355" s="301" t="s">
        <v>2318</v>
      </c>
      <c r="F355" s="287">
        <v>0</v>
      </c>
      <c r="G355" s="299"/>
      <c r="H355" s="890"/>
      <c r="I355" s="916"/>
      <c r="J355" s="917"/>
      <c r="K355"/>
    </row>
    <row r="356" spans="3:11">
      <c r="C356" s="286" t="s">
        <v>2830</v>
      </c>
      <c r="D356" s="302" t="s">
        <v>3651</v>
      </c>
      <c r="E356" s="301" t="s">
        <v>2318</v>
      </c>
      <c r="F356" s="287">
        <v>0</v>
      </c>
      <c r="G356" s="299"/>
      <c r="H356" s="890"/>
      <c r="I356" s="916"/>
      <c r="J356" s="917"/>
      <c r="K356"/>
    </row>
    <row r="357" spans="3:11">
      <c r="C357" s="286" t="s">
        <v>2832</v>
      </c>
      <c r="D357" s="302" t="s">
        <v>3652</v>
      </c>
      <c r="E357" s="301" t="s">
        <v>2318</v>
      </c>
      <c r="F357" s="287">
        <v>0</v>
      </c>
      <c r="G357" s="299"/>
      <c r="H357" s="890"/>
      <c r="I357" s="916"/>
      <c r="J357" s="917"/>
      <c r="K357"/>
    </row>
    <row r="358" spans="3:11">
      <c r="C358" s="286" t="s">
        <v>2834</v>
      </c>
      <c r="D358" s="302" t="s">
        <v>3653</v>
      </c>
      <c r="E358" s="301" t="s">
        <v>2318</v>
      </c>
      <c r="F358" s="287">
        <v>0</v>
      </c>
      <c r="G358" s="299"/>
      <c r="H358" s="890"/>
      <c r="I358" s="916"/>
      <c r="J358" s="917"/>
      <c r="K358"/>
    </row>
    <row r="359" spans="3:11">
      <c r="C359" s="286" t="s">
        <v>2836</v>
      </c>
      <c r="D359" s="302" t="s">
        <v>3654</v>
      </c>
      <c r="E359" s="301" t="s">
        <v>2318</v>
      </c>
      <c r="F359" s="287">
        <v>0</v>
      </c>
      <c r="G359" s="299"/>
      <c r="H359" s="890"/>
      <c r="I359" s="916"/>
      <c r="J359" s="917"/>
      <c r="K359"/>
    </row>
    <row r="360" spans="3:11">
      <c r="C360" s="286" t="s">
        <v>2838</v>
      </c>
      <c r="D360" s="302" t="s">
        <v>3655</v>
      </c>
      <c r="E360" s="301" t="s">
        <v>2318</v>
      </c>
      <c r="F360" s="287">
        <v>0</v>
      </c>
      <c r="G360" s="299"/>
      <c r="H360" s="890"/>
      <c r="I360" s="916"/>
      <c r="J360" s="917"/>
      <c r="K360"/>
    </row>
    <row r="361" spans="3:11">
      <c r="C361" s="288"/>
      <c r="D361" s="302"/>
      <c r="E361" s="301"/>
      <c r="F361" s="287"/>
      <c r="G361" s="299"/>
      <c r="H361" s="890"/>
      <c r="I361" s="916"/>
      <c r="J361" s="917"/>
      <c r="K361"/>
    </row>
    <row r="362" spans="3:11">
      <c r="C362" s="286" t="s">
        <v>2840</v>
      </c>
      <c r="D362" s="302" t="s">
        <v>3656</v>
      </c>
      <c r="E362" s="301" t="s">
        <v>2089</v>
      </c>
      <c r="F362" s="287">
        <v>0</v>
      </c>
      <c r="G362" s="299"/>
      <c r="H362" s="890"/>
      <c r="I362" s="916"/>
      <c r="J362" s="917"/>
      <c r="K362"/>
    </row>
    <row r="363" spans="3:11">
      <c r="C363" s="286" t="s">
        <v>2842</v>
      </c>
      <c r="D363" s="302" t="s">
        <v>3657</v>
      </c>
      <c r="E363" s="301" t="s">
        <v>2089</v>
      </c>
      <c r="F363" s="287">
        <v>0</v>
      </c>
      <c r="G363" s="299"/>
      <c r="H363" s="890"/>
      <c r="I363" s="916"/>
      <c r="J363" s="917"/>
      <c r="K363"/>
    </row>
    <row r="364" spans="3:11">
      <c r="C364" s="286" t="s">
        <v>2844</v>
      </c>
      <c r="D364" s="302" t="s">
        <v>3658</v>
      </c>
      <c r="E364" s="301" t="s">
        <v>2089</v>
      </c>
      <c r="F364" s="287">
        <v>0</v>
      </c>
      <c r="G364" s="299"/>
      <c r="H364" s="890"/>
      <c r="I364" s="916"/>
      <c r="J364" s="917"/>
      <c r="K364"/>
    </row>
    <row r="365" spans="3:11">
      <c r="C365" s="286" t="s">
        <v>2846</v>
      </c>
      <c r="D365" s="302" t="s">
        <v>3659</v>
      </c>
      <c r="E365" s="301" t="s">
        <v>2089</v>
      </c>
      <c r="F365" s="287">
        <v>1</v>
      </c>
      <c r="G365" s="299">
        <f>$L$9*I365</f>
        <v>457646678.97941977</v>
      </c>
      <c r="H365" s="890">
        <f>F365*G365</f>
        <v>457646678.97941977</v>
      </c>
      <c r="I365" s="916">
        <f>'Pondasi 4 Pile'!AA116</f>
        <v>457646678.97941977</v>
      </c>
      <c r="J365" s="917">
        <f>F365*I365</f>
        <v>457646678.97941977</v>
      </c>
      <c r="K365"/>
    </row>
    <row r="366" spans="3:11">
      <c r="C366" s="286" t="s">
        <v>2848</v>
      </c>
      <c r="D366" s="302" t="s">
        <v>3660</v>
      </c>
      <c r="E366" s="301" t="s">
        <v>2089</v>
      </c>
      <c r="F366" s="287">
        <v>0</v>
      </c>
      <c r="G366" s="299"/>
      <c r="H366" s="890"/>
      <c r="I366" s="916"/>
      <c r="J366" s="917"/>
      <c r="K366"/>
    </row>
    <row r="367" spans="3:11">
      <c r="C367" s="286" t="s">
        <v>2850</v>
      </c>
      <c r="D367" s="302" t="s">
        <v>3661</v>
      </c>
      <c r="E367" s="301" t="s">
        <v>2318</v>
      </c>
      <c r="F367" s="287">
        <v>0</v>
      </c>
      <c r="G367" s="299"/>
      <c r="H367" s="890"/>
      <c r="I367" s="916"/>
      <c r="J367" s="917"/>
      <c r="K367"/>
    </row>
    <row r="368" spans="3:11">
      <c r="C368" s="286" t="s">
        <v>2852</v>
      </c>
      <c r="D368" s="302" t="s">
        <v>3662</v>
      </c>
      <c r="E368" s="301" t="s">
        <v>2318</v>
      </c>
      <c r="F368" s="287">
        <v>0</v>
      </c>
      <c r="G368" s="299"/>
      <c r="H368" s="890"/>
      <c r="I368" s="916"/>
      <c r="J368" s="917"/>
      <c r="K368"/>
    </row>
    <row r="369" spans="3:11">
      <c r="C369" s="286" t="s">
        <v>2854</v>
      </c>
      <c r="D369" s="302" t="s">
        <v>3663</v>
      </c>
      <c r="E369" s="301" t="s">
        <v>2318</v>
      </c>
      <c r="F369" s="287">
        <v>0</v>
      </c>
      <c r="G369" s="299"/>
      <c r="H369" s="890"/>
      <c r="I369" s="916"/>
      <c r="J369" s="917"/>
      <c r="K369"/>
    </row>
    <row r="370" spans="3:11">
      <c r="C370" s="286" t="s">
        <v>2856</v>
      </c>
      <c r="D370" s="302" t="s">
        <v>3664</v>
      </c>
      <c r="E370" s="301" t="s">
        <v>2318</v>
      </c>
      <c r="F370" s="287">
        <v>0</v>
      </c>
      <c r="G370" s="299"/>
      <c r="H370" s="890"/>
      <c r="I370" s="916"/>
      <c r="J370" s="917"/>
      <c r="K370"/>
    </row>
    <row r="371" spans="3:11">
      <c r="C371" s="286" t="s">
        <v>2858</v>
      </c>
      <c r="D371" s="302" t="s">
        <v>3665</v>
      </c>
      <c r="E371" s="301" t="s">
        <v>2318</v>
      </c>
      <c r="F371" s="287">
        <v>0</v>
      </c>
      <c r="G371" s="299"/>
      <c r="H371" s="890"/>
      <c r="I371" s="916"/>
      <c r="J371" s="917"/>
      <c r="K371"/>
    </row>
    <row r="372" spans="3:11">
      <c r="C372" s="286" t="s">
        <v>3666</v>
      </c>
      <c r="D372" s="302" t="s">
        <v>3667</v>
      </c>
      <c r="E372" s="301" t="s">
        <v>2318</v>
      </c>
      <c r="F372" s="287">
        <v>0</v>
      </c>
      <c r="G372" s="299"/>
      <c r="H372" s="890"/>
      <c r="I372" s="916"/>
      <c r="J372" s="917"/>
      <c r="K372"/>
    </row>
    <row r="373" spans="3:11">
      <c r="C373" s="286" t="s">
        <v>3668</v>
      </c>
      <c r="D373" s="302" t="s">
        <v>3669</v>
      </c>
      <c r="E373" s="301" t="s">
        <v>2318</v>
      </c>
      <c r="F373" s="287">
        <v>0</v>
      </c>
      <c r="G373" s="299"/>
      <c r="H373" s="890"/>
      <c r="I373" s="916"/>
      <c r="J373" s="917"/>
      <c r="K373"/>
    </row>
    <row r="374" spans="3:11">
      <c r="C374" s="286" t="s">
        <v>3670</v>
      </c>
      <c r="D374" s="302" t="s">
        <v>3671</v>
      </c>
      <c r="E374" s="301" t="s">
        <v>2318</v>
      </c>
      <c r="F374" s="287">
        <v>0</v>
      </c>
      <c r="G374" s="299"/>
      <c r="H374" s="890"/>
      <c r="I374" s="916"/>
      <c r="J374" s="917"/>
      <c r="K374"/>
    </row>
    <row r="375" spans="3:11">
      <c r="C375" s="286" t="s">
        <v>3672</v>
      </c>
      <c r="D375" s="302" t="s">
        <v>3673</v>
      </c>
      <c r="E375" s="301" t="s">
        <v>2318</v>
      </c>
      <c r="F375" s="287">
        <v>0</v>
      </c>
      <c r="G375" s="299"/>
      <c r="H375" s="890"/>
      <c r="I375" s="916"/>
      <c r="J375" s="917"/>
      <c r="K375"/>
    </row>
    <row r="376" spans="3:11">
      <c r="C376" s="286" t="s">
        <v>3674</v>
      </c>
      <c r="D376" s="302" t="s">
        <v>3675</v>
      </c>
      <c r="E376" s="301" t="s">
        <v>2318</v>
      </c>
      <c r="F376" s="287">
        <v>0</v>
      </c>
      <c r="G376" s="299"/>
      <c r="H376" s="890"/>
      <c r="I376" s="916"/>
      <c r="J376" s="917"/>
      <c r="K376"/>
    </row>
    <row r="377" spans="3:11">
      <c r="C377" s="286" t="s">
        <v>3676</v>
      </c>
      <c r="D377" s="302" t="s">
        <v>3677</v>
      </c>
      <c r="E377" s="301" t="s">
        <v>2318</v>
      </c>
      <c r="F377" s="287">
        <v>0</v>
      </c>
      <c r="G377" s="299"/>
      <c r="H377" s="890"/>
      <c r="I377" s="916"/>
      <c r="J377" s="917"/>
      <c r="K377"/>
    </row>
    <row r="378" spans="3:11">
      <c r="C378" s="286" t="s">
        <v>3678</v>
      </c>
      <c r="D378" s="302" t="s">
        <v>3679</v>
      </c>
      <c r="E378" s="301" t="s">
        <v>2318</v>
      </c>
      <c r="F378" s="287">
        <v>0</v>
      </c>
      <c r="G378" s="299"/>
      <c r="H378" s="890"/>
      <c r="I378" s="916"/>
      <c r="J378" s="917"/>
      <c r="K378"/>
    </row>
    <row r="379" spans="3:11">
      <c r="C379" s="286" t="s">
        <v>3680</v>
      </c>
      <c r="D379" s="302" t="s">
        <v>3681</v>
      </c>
      <c r="E379" s="301" t="s">
        <v>2318</v>
      </c>
      <c r="F379" s="287">
        <v>0</v>
      </c>
      <c r="G379" s="299"/>
      <c r="H379" s="890"/>
      <c r="I379" s="916"/>
      <c r="J379" s="917"/>
      <c r="K379"/>
    </row>
    <row r="380" spans="3:11">
      <c r="C380" s="286" t="s">
        <v>3682</v>
      </c>
      <c r="D380" s="302" t="s">
        <v>3683</v>
      </c>
      <c r="E380" s="301" t="s">
        <v>2318</v>
      </c>
      <c r="F380" s="287">
        <v>0</v>
      </c>
      <c r="G380" s="299"/>
      <c r="H380" s="890"/>
      <c r="I380" s="916"/>
      <c r="J380" s="917"/>
      <c r="K380"/>
    </row>
    <row r="381" spans="3:11">
      <c r="C381" s="286" t="s">
        <v>3684</v>
      </c>
      <c r="D381" s="302" t="s">
        <v>3685</v>
      </c>
      <c r="E381" s="301" t="s">
        <v>2318</v>
      </c>
      <c r="F381" s="287">
        <v>0</v>
      </c>
      <c r="G381" s="299"/>
      <c r="H381" s="890"/>
      <c r="I381" s="916"/>
      <c r="J381" s="917"/>
      <c r="K381"/>
    </row>
    <row r="382" spans="3:11">
      <c r="C382" s="267"/>
      <c r="D382" s="302"/>
      <c r="E382" s="301"/>
      <c r="F382" s="287"/>
      <c r="G382" s="299"/>
      <c r="H382" s="890"/>
      <c r="I382" s="916"/>
      <c r="J382" s="917"/>
      <c r="K382"/>
    </row>
    <row r="383" spans="3:11">
      <c r="C383" s="286" t="s">
        <v>3686</v>
      </c>
      <c r="D383" s="302" t="s">
        <v>3687</v>
      </c>
      <c r="E383" s="301" t="s">
        <v>2089</v>
      </c>
      <c r="F383" s="287">
        <v>0</v>
      </c>
      <c r="G383" s="299"/>
      <c r="H383" s="890"/>
      <c r="I383" s="916"/>
      <c r="J383" s="917"/>
      <c r="K383"/>
    </row>
    <row r="384" spans="3:11">
      <c r="C384" s="286" t="s">
        <v>3688</v>
      </c>
      <c r="D384" s="302" t="s">
        <v>3689</v>
      </c>
      <c r="E384" s="301" t="s">
        <v>2089</v>
      </c>
      <c r="F384" s="287">
        <v>0</v>
      </c>
      <c r="G384" s="299"/>
      <c r="H384" s="890"/>
      <c r="I384" s="916"/>
      <c r="J384" s="917"/>
      <c r="K384"/>
    </row>
    <row r="385" spans="3:11">
      <c r="C385" s="286" t="s">
        <v>3690</v>
      </c>
      <c r="D385" s="302" t="s">
        <v>3691</v>
      </c>
      <c r="E385" s="301" t="s">
        <v>2089</v>
      </c>
      <c r="F385" s="287">
        <v>0</v>
      </c>
      <c r="G385" s="299"/>
      <c r="H385" s="890"/>
      <c r="I385" s="916"/>
      <c r="J385" s="917"/>
      <c r="K385"/>
    </row>
    <row r="386" spans="3:11">
      <c r="C386" s="286" t="s">
        <v>3692</v>
      </c>
      <c r="D386" s="302" t="s">
        <v>3693</v>
      </c>
      <c r="E386" s="301" t="s">
        <v>2089</v>
      </c>
      <c r="F386" s="287">
        <v>0</v>
      </c>
      <c r="G386" s="299"/>
      <c r="H386" s="890"/>
      <c r="I386" s="916"/>
      <c r="J386" s="917"/>
      <c r="K386"/>
    </row>
    <row r="387" spans="3:11">
      <c r="C387" s="286" t="s">
        <v>3694</v>
      </c>
      <c r="D387" s="302" t="s">
        <v>3695</v>
      </c>
      <c r="E387" s="301" t="s">
        <v>2089</v>
      </c>
      <c r="F387" s="287">
        <v>0</v>
      </c>
      <c r="G387" s="299"/>
      <c r="H387" s="890"/>
      <c r="I387" s="916"/>
      <c r="J387" s="917"/>
      <c r="K387"/>
    </row>
    <row r="388" spans="3:11">
      <c r="C388" s="286" t="s">
        <v>3696</v>
      </c>
      <c r="D388" s="302" t="s">
        <v>3697</v>
      </c>
      <c r="E388" s="301" t="s">
        <v>2318</v>
      </c>
      <c r="F388" s="287">
        <v>0</v>
      </c>
      <c r="G388" s="299"/>
      <c r="H388" s="890"/>
      <c r="I388" s="916"/>
      <c r="J388" s="917"/>
      <c r="K388"/>
    </row>
    <row r="389" spans="3:11">
      <c r="C389" s="286" t="s">
        <v>3698</v>
      </c>
      <c r="D389" s="302" t="s">
        <v>3699</v>
      </c>
      <c r="E389" s="301" t="s">
        <v>2318</v>
      </c>
      <c r="F389" s="287">
        <v>0</v>
      </c>
      <c r="G389" s="299"/>
      <c r="H389" s="890"/>
      <c r="I389" s="916"/>
      <c r="J389" s="917"/>
      <c r="K389"/>
    </row>
    <row r="390" spans="3:11">
      <c r="C390" s="286" t="s">
        <v>3700</v>
      </c>
      <c r="D390" s="302" t="s">
        <v>3701</v>
      </c>
      <c r="E390" s="301" t="s">
        <v>2318</v>
      </c>
      <c r="F390" s="287">
        <v>0</v>
      </c>
      <c r="G390" s="299"/>
      <c r="H390" s="890"/>
      <c r="I390" s="916"/>
      <c r="J390" s="917"/>
      <c r="K390"/>
    </row>
    <row r="391" spans="3:11">
      <c r="C391" s="286" t="s">
        <v>3702</v>
      </c>
      <c r="D391" s="302" t="s">
        <v>3703</v>
      </c>
      <c r="E391" s="301" t="s">
        <v>2318</v>
      </c>
      <c r="F391" s="287">
        <v>0</v>
      </c>
      <c r="G391" s="299"/>
      <c r="H391" s="890"/>
      <c r="I391" s="916"/>
      <c r="J391" s="917"/>
      <c r="K391"/>
    </row>
    <row r="392" spans="3:11">
      <c r="C392" s="286" t="s">
        <v>3704</v>
      </c>
      <c r="D392" s="302" t="s">
        <v>3705</v>
      </c>
      <c r="E392" s="301" t="s">
        <v>2318</v>
      </c>
      <c r="F392" s="287">
        <v>0</v>
      </c>
      <c r="G392" s="299"/>
      <c r="H392" s="890"/>
      <c r="I392" s="916"/>
      <c r="J392" s="917"/>
      <c r="K392"/>
    </row>
    <row r="393" spans="3:11">
      <c r="C393" s="286" t="s">
        <v>3706</v>
      </c>
      <c r="D393" s="302" t="s">
        <v>3707</v>
      </c>
      <c r="E393" s="301" t="s">
        <v>2318</v>
      </c>
      <c r="F393" s="287">
        <v>0</v>
      </c>
      <c r="G393" s="299"/>
      <c r="H393" s="890"/>
      <c r="I393" s="916"/>
      <c r="J393" s="917"/>
      <c r="K393"/>
    </row>
    <row r="394" spans="3:11">
      <c r="C394" s="286" t="s">
        <v>3708</v>
      </c>
      <c r="D394" s="302" t="s">
        <v>3709</v>
      </c>
      <c r="E394" s="301" t="s">
        <v>2318</v>
      </c>
      <c r="F394" s="287">
        <v>0</v>
      </c>
      <c r="G394" s="299"/>
      <c r="H394" s="890"/>
      <c r="I394" s="916"/>
      <c r="J394" s="917"/>
      <c r="K394"/>
    </row>
    <row r="395" spans="3:11">
      <c r="C395" s="286" t="s">
        <v>3710</v>
      </c>
      <c r="D395" s="302" t="s">
        <v>3711</v>
      </c>
      <c r="E395" s="301" t="s">
        <v>2318</v>
      </c>
      <c r="F395" s="287">
        <v>0</v>
      </c>
      <c r="G395" s="299"/>
      <c r="H395" s="890"/>
      <c r="I395" s="916"/>
      <c r="J395" s="917"/>
      <c r="K395"/>
    </row>
    <row r="396" spans="3:11">
      <c r="C396" s="286" t="s">
        <v>3712</v>
      </c>
      <c r="D396" s="302" t="s">
        <v>3713</v>
      </c>
      <c r="E396" s="301" t="s">
        <v>2318</v>
      </c>
      <c r="F396" s="287">
        <v>0</v>
      </c>
      <c r="G396" s="299"/>
      <c r="H396" s="890"/>
      <c r="I396" s="916"/>
      <c r="J396" s="917"/>
      <c r="K396"/>
    </row>
    <row r="397" spans="3:11">
      <c r="C397" s="286" t="s">
        <v>3714</v>
      </c>
      <c r="D397" s="302" t="s">
        <v>3715</v>
      </c>
      <c r="E397" s="301" t="s">
        <v>2318</v>
      </c>
      <c r="F397" s="287">
        <v>0</v>
      </c>
      <c r="G397" s="299"/>
      <c r="H397" s="890"/>
      <c r="I397" s="916"/>
      <c r="J397" s="917"/>
      <c r="K397"/>
    </row>
    <row r="398" spans="3:11">
      <c r="C398" s="286" t="s">
        <v>3716</v>
      </c>
      <c r="D398" s="302" t="s">
        <v>3717</v>
      </c>
      <c r="E398" s="301" t="s">
        <v>2318</v>
      </c>
      <c r="F398" s="287">
        <v>0</v>
      </c>
      <c r="G398" s="299"/>
      <c r="H398" s="890"/>
      <c r="I398" s="916"/>
      <c r="J398" s="917"/>
      <c r="K398"/>
    </row>
    <row r="399" spans="3:11">
      <c r="C399" s="286" t="s">
        <v>3718</v>
      </c>
      <c r="D399" s="302" t="s">
        <v>3719</v>
      </c>
      <c r="E399" s="301" t="s">
        <v>2318</v>
      </c>
      <c r="F399" s="287">
        <v>0</v>
      </c>
      <c r="G399" s="299"/>
      <c r="H399" s="890"/>
      <c r="I399" s="916"/>
      <c r="J399" s="917"/>
      <c r="K399"/>
    </row>
    <row r="400" spans="3:11">
      <c r="C400" s="286" t="s">
        <v>3720</v>
      </c>
      <c r="D400" s="302" t="s">
        <v>3721</v>
      </c>
      <c r="E400" s="301" t="s">
        <v>2318</v>
      </c>
      <c r="F400" s="287">
        <v>0</v>
      </c>
      <c r="G400" s="299"/>
      <c r="H400" s="890"/>
      <c r="I400" s="916"/>
      <c r="J400" s="917"/>
      <c r="K400"/>
    </row>
    <row r="401" spans="3:11">
      <c r="C401" s="286" t="s">
        <v>3722</v>
      </c>
      <c r="D401" s="302" t="s">
        <v>3723</v>
      </c>
      <c r="E401" s="301" t="s">
        <v>2318</v>
      </c>
      <c r="F401" s="287">
        <v>0</v>
      </c>
      <c r="G401" s="299"/>
      <c r="H401" s="890"/>
      <c r="I401" s="916"/>
      <c r="J401" s="917"/>
      <c r="K401"/>
    </row>
    <row r="402" spans="3:11">
      <c r="C402" s="285" t="s">
        <v>3724</v>
      </c>
      <c r="D402" s="284" t="s">
        <v>3725</v>
      </c>
      <c r="E402" s="283" t="s">
        <v>2318</v>
      </c>
      <c r="F402" s="282">
        <v>0</v>
      </c>
      <c r="G402" s="281"/>
      <c r="H402" s="897"/>
      <c r="I402" s="924"/>
      <c r="J402" s="925"/>
      <c r="K402"/>
    </row>
    <row r="403" spans="3:11">
      <c r="C403" s="266"/>
      <c r="D403" s="265"/>
      <c r="E403" s="265"/>
      <c r="F403" s="277"/>
      <c r="G403" s="264"/>
      <c r="H403" s="900"/>
      <c r="I403" s="928"/>
      <c r="J403" s="929"/>
      <c r="K403"/>
    </row>
    <row r="404" spans="3:11">
      <c r="C404" s="275">
        <v>4</v>
      </c>
      <c r="D404" s="292" t="s">
        <v>2860</v>
      </c>
      <c r="E404" s="291"/>
      <c r="F404" s="287"/>
      <c r="G404" s="299"/>
      <c r="H404" s="899"/>
      <c r="I404" s="916"/>
      <c r="J404" s="923"/>
      <c r="K404"/>
    </row>
    <row r="405" spans="3:11">
      <c r="C405" s="288" t="s">
        <v>2861</v>
      </c>
      <c r="D405" s="302" t="s">
        <v>3726</v>
      </c>
      <c r="E405" s="301" t="s">
        <v>2089</v>
      </c>
      <c r="F405" s="287">
        <v>0</v>
      </c>
      <c r="G405" s="299"/>
      <c r="H405" s="890"/>
      <c r="I405" s="916"/>
      <c r="J405" s="917"/>
      <c r="K405"/>
    </row>
    <row r="406" spans="3:11">
      <c r="C406" s="288" t="s">
        <v>2863</v>
      </c>
      <c r="D406" s="302" t="s">
        <v>3727</v>
      </c>
      <c r="E406" s="301" t="s">
        <v>2089</v>
      </c>
      <c r="F406" s="287">
        <v>0</v>
      </c>
      <c r="G406" s="299"/>
      <c r="H406" s="890"/>
      <c r="I406" s="916"/>
      <c r="J406" s="917"/>
      <c r="K406"/>
    </row>
    <row r="407" spans="3:11">
      <c r="C407" s="288" t="s">
        <v>2865</v>
      </c>
      <c r="D407" s="302" t="s">
        <v>3728</v>
      </c>
      <c r="E407" s="301" t="s">
        <v>2089</v>
      </c>
      <c r="F407" s="287">
        <v>0</v>
      </c>
      <c r="G407" s="299"/>
      <c r="H407" s="890"/>
      <c r="I407" s="916"/>
      <c r="J407" s="917"/>
      <c r="K407"/>
    </row>
    <row r="408" spans="3:11">
      <c r="C408" s="288" t="s">
        <v>2867</v>
      </c>
      <c r="D408" s="302" t="s">
        <v>3729</v>
      </c>
      <c r="E408" s="301" t="s">
        <v>2089</v>
      </c>
      <c r="F408" s="287">
        <v>0</v>
      </c>
      <c r="G408" s="299"/>
      <c r="H408" s="890"/>
      <c r="I408" s="916"/>
      <c r="J408" s="917"/>
      <c r="K408"/>
    </row>
    <row r="409" spans="3:11">
      <c r="C409" s="288" t="s">
        <v>2869</v>
      </c>
      <c r="D409" s="302" t="s">
        <v>3730</v>
      </c>
      <c r="E409" s="301" t="s">
        <v>2089</v>
      </c>
      <c r="F409" s="287">
        <v>0</v>
      </c>
      <c r="G409" s="299"/>
      <c r="H409" s="890"/>
      <c r="I409" s="916"/>
      <c r="J409" s="917"/>
      <c r="K409"/>
    </row>
    <row r="410" spans="3:11">
      <c r="C410" s="288" t="s">
        <v>2871</v>
      </c>
      <c r="D410" s="302" t="s">
        <v>3731</v>
      </c>
      <c r="E410" s="301" t="s">
        <v>2318</v>
      </c>
      <c r="F410" s="287">
        <v>0</v>
      </c>
      <c r="G410" s="299"/>
      <c r="H410" s="890"/>
      <c r="I410" s="916"/>
      <c r="J410" s="917"/>
      <c r="K410"/>
    </row>
    <row r="411" spans="3:11">
      <c r="C411" s="288" t="s">
        <v>2873</v>
      </c>
      <c r="D411" s="302" t="s">
        <v>3732</v>
      </c>
      <c r="E411" s="301" t="s">
        <v>2318</v>
      </c>
      <c r="F411" s="287">
        <v>0</v>
      </c>
      <c r="G411" s="299"/>
      <c r="H411" s="890"/>
      <c r="I411" s="916"/>
      <c r="J411" s="917"/>
      <c r="K411"/>
    </row>
    <row r="412" spans="3:11">
      <c r="C412" s="288" t="s">
        <v>2875</v>
      </c>
      <c r="D412" s="302" t="s">
        <v>3733</v>
      </c>
      <c r="E412" s="301" t="s">
        <v>2318</v>
      </c>
      <c r="F412" s="287">
        <v>0</v>
      </c>
      <c r="G412" s="299"/>
      <c r="H412" s="890"/>
      <c r="I412" s="916"/>
      <c r="J412" s="917"/>
      <c r="K412"/>
    </row>
    <row r="413" spans="3:11">
      <c r="C413" s="288" t="s">
        <v>2877</v>
      </c>
      <c r="D413" s="302" t="s">
        <v>3734</v>
      </c>
      <c r="E413" s="301" t="s">
        <v>2318</v>
      </c>
      <c r="F413" s="287">
        <v>0</v>
      </c>
      <c r="G413" s="299"/>
      <c r="H413" s="890"/>
      <c r="I413" s="916"/>
      <c r="J413" s="917"/>
      <c r="K413"/>
    </row>
    <row r="414" spans="3:11">
      <c r="C414" s="288" t="s">
        <v>2879</v>
      </c>
      <c r="D414" s="302" t="s">
        <v>3735</v>
      </c>
      <c r="E414" s="301" t="s">
        <v>2318</v>
      </c>
      <c r="F414" s="287">
        <v>0</v>
      </c>
      <c r="G414" s="299"/>
      <c r="H414" s="890"/>
      <c r="I414" s="916"/>
      <c r="J414" s="917"/>
      <c r="K414"/>
    </row>
    <row r="415" spans="3:11">
      <c r="C415" s="288" t="s">
        <v>2881</v>
      </c>
      <c r="D415" s="302" t="s">
        <v>3736</v>
      </c>
      <c r="E415" s="301" t="s">
        <v>2318</v>
      </c>
      <c r="F415" s="287">
        <v>0</v>
      </c>
      <c r="G415" s="299"/>
      <c r="H415" s="890"/>
      <c r="I415" s="916"/>
      <c r="J415" s="917"/>
      <c r="K415"/>
    </row>
    <row r="416" spans="3:11">
      <c r="C416" s="288" t="s">
        <v>2883</v>
      </c>
      <c r="D416" s="302" t="s">
        <v>3737</v>
      </c>
      <c r="E416" s="301" t="s">
        <v>2318</v>
      </c>
      <c r="F416" s="287">
        <v>0</v>
      </c>
      <c r="G416" s="299"/>
      <c r="H416" s="890"/>
      <c r="I416" s="916"/>
      <c r="J416" s="917"/>
      <c r="K416"/>
    </row>
    <row r="417" spans="3:11">
      <c r="C417" s="288" t="s">
        <v>2885</v>
      </c>
      <c r="D417" s="302" t="s">
        <v>3738</v>
      </c>
      <c r="E417" s="301" t="s">
        <v>2318</v>
      </c>
      <c r="F417" s="287">
        <v>0</v>
      </c>
      <c r="G417" s="299"/>
      <c r="H417" s="890"/>
      <c r="I417" s="916"/>
      <c r="J417" s="917"/>
      <c r="K417"/>
    </row>
    <row r="418" spans="3:11">
      <c r="C418" s="288" t="s">
        <v>2887</v>
      </c>
      <c r="D418" s="302" t="s">
        <v>3739</v>
      </c>
      <c r="E418" s="301" t="s">
        <v>2318</v>
      </c>
      <c r="F418" s="287">
        <v>0</v>
      </c>
      <c r="G418" s="299"/>
      <c r="H418" s="890"/>
      <c r="I418" s="916"/>
      <c r="J418" s="917"/>
      <c r="K418"/>
    </row>
    <row r="419" spans="3:11">
      <c r="C419" s="288" t="s">
        <v>2889</v>
      </c>
      <c r="D419" s="302" t="s">
        <v>3740</v>
      </c>
      <c r="E419" s="301" t="s">
        <v>2318</v>
      </c>
      <c r="F419" s="287">
        <v>0</v>
      </c>
      <c r="G419" s="299"/>
      <c r="H419" s="890"/>
      <c r="I419" s="916"/>
      <c r="J419" s="917"/>
      <c r="K419"/>
    </row>
    <row r="420" spans="3:11">
      <c r="C420" s="288" t="s">
        <v>2891</v>
      </c>
      <c r="D420" s="302" t="s">
        <v>3741</v>
      </c>
      <c r="E420" s="301" t="s">
        <v>2318</v>
      </c>
      <c r="F420" s="287">
        <v>0</v>
      </c>
      <c r="G420" s="299"/>
      <c r="H420" s="890"/>
      <c r="I420" s="916"/>
      <c r="J420" s="917"/>
      <c r="K420"/>
    </row>
    <row r="421" spans="3:11">
      <c r="C421" s="288" t="s">
        <v>2893</v>
      </c>
      <c r="D421" s="302" t="s">
        <v>3742</v>
      </c>
      <c r="E421" s="301" t="s">
        <v>2318</v>
      </c>
      <c r="F421" s="287">
        <v>0</v>
      </c>
      <c r="G421" s="299"/>
      <c r="H421" s="890"/>
      <c r="I421" s="916"/>
      <c r="J421" s="917"/>
      <c r="K421"/>
    </row>
    <row r="422" spans="3:11">
      <c r="C422" s="288" t="s">
        <v>2895</v>
      </c>
      <c r="D422" s="302" t="s">
        <v>3743</v>
      </c>
      <c r="E422" s="301" t="s">
        <v>2318</v>
      </c>
      <c r="F422" s="287">
        <v>0</v>
      </c>
      <c r="G422" s="299"/>
      <c r="H422" s="890"/>
      <c r="I422" s="916"/>
      <c r="J422" s="917"/>
      <c r="K422"/>
    </row>
    <row r="423" spans="3:11">
      <c r="C423" s="288" t="s">
        <v>2897</v>
      </c>
      <c r="D423" s="302" t="s">
        <v>3744</v>
      </c>
      <c r="E423" s="301" t="s">
        <v>2318</v>
      </c>
      <c r="F423" s="287">
        <v>0</v>
      </c>
      <c r="G423" s="299"/>
      <c r="H423" s="890"/>
      <c r="I423" s="916"/>
      <c r="J423" s="917"/>
      <c r="K423"/>
    </row>
    <row r="424" spans="3:11">
      <c r="C424" s="288" t="s">
        <v>2899</v>
      </c>
      <c r="D424" s="302" t="s">
        <v>3745</v>
      </c>
      <c r="E424" s="301" t="s">
        <v>2318</v>
      </c>
      <c r="F424" s="287">
        <v>0</v>
      </c>
      <c r="G424" s="299"/>
      <c r="H424" s="890"/>
      <c r="I424" s="916"/>
      <c r="J424" s="917"/>
      <c r="K424"/>
    </row>
    <row r="425" spans="3:11">
      <c r="C425" s="288"/>
      <c r="D425" s="302"/>
      <c r="E425" s="301"/>
      <c r="F425" s="287"/>
      <c r="G425" s="299"/>
      <c r="H425" s="890"/>
      <c r="I425" s="916"/>
      <c r="J425" s="917"/>
      <c r="K425"/>
    </row>
    <row r="426" spans="3:11">
      <c r="C426" s="270" t="s">
        <v>2901</v>
      </c>
      <c r="D426" s="302" t="s">
        <v>3746</v>
      </c>
      <c r="E426" s="301" t="s">
        <v>2089</v>
      </c>
      <c r="F426" s="287">
        <v>1</v>
      </c>
      <c r="G426" s="299">
        <f>$L$9*I426</f>
        <v>377477066.31296837</v>
      </c>
      <c r="H426" s="890">
        <f>F426*G426</f>
        <v>377477066.31296837</v>
      </c>
      <c r="I426" s="916">
        <f>'Pondasi 4 Pile'!AI47</f>
        <v>377477066.31296837</v>
      </c>
      <c r="J426" s="917">
        <f>F426*I426</f>
        <v>377477066.31296837</v>
      </c>
      <c r="K426"/>
    </row>
    <row r="427" spans="3:11">
      <c r="C427" s="270" t="s">
        <v>2903</v>
      </c>
      <c r="D427" s="302" t="s">
        <v>3747</v>
      </c>
      <c r="E427" s="301" t="s">
        <v>2089</v>
      </c>
      <c r="F427" s="287">
        <v>0</v>
      </c>
      <c r="G427" s="299"/>
      <c r="H427" s="890"/>
      <c r="I427" s="916"/>
      <c r="J427" s="917"/>
      <c r="K427"/>
    </row>
    <row r="428" spans="3:11">
      <c r="C428" s="270" t="s">
        <v>2905</v>
      </c>
      <c r="D428" s="302" t="s">
        <v>3748</v>
      </c>
      <c r="E428" s="301" t="s">
        <v>2089</v>
      </c>
      <c r="F428" s="287">
        <v>0</v>
      </c>
      <c r="G428" s="299"/>
      <c r="H428" s="890"/>
      <c r="I428" s="916"/>
      <c r="J428" s="917"/>
      <c r="K428"/>
    </row>
    <row r="429" spans="3:11">
      <c r="C429" s="270" t="s">
        <v>2907</v>
      </c>
      <c r="D429" s="302" t="s">
        <v>3749</v>
      </c>
      <c r="E429" s="301" t="s">
        <v>2089</v>
      </c>
      <c r="F429" s="287">
        <v>0</v>
      </c>
      <c r="G429" s="299"/>
      <c r="H429" s="890"/>
      <c r="I429" s="916"/>
      <c r="J429" s="917"/>
      <c r="K429"/>
    </row>
    <row r="430" spans="3:11">
      <c r="C430" s="270" t="s">
        <v>2909</v>
      </c>
      <c r="D430" s="302" t="s">
        <v>3750</v>
      </c>
      <c r="E430" s="301" t="s">
        <v>2089</v>
      </c>
      <c r="F430" s="287">
        <v>0</v>
      </c>
      <c r="G430" s="299"/>
      <c r="H430" s="890"/>
      <c r="I430" s="916"/>
      <c r="J430" s="917"/>
      <c r="K430"/>
    </row>
    <row r="431" spans="3:11">
      <c r="C431" s="270" t="s">
        <v>2911</v>
      </c>
      <c r="D431" s="302" t="s">
        <v>3751</v>
      </c>
      <c r="E431" s="301" t="s">
        <v>2318</v>
      </c>
      <c r="F431" s="287">
        <v>0</v>
      </c>
      <c r="G431" s="299"/>
      <c r="H431" s="890"/>
      <c r="I431" s="916"/>
      <c r="J431" s="917"/>
      <c r="K431"/>
    </row>
    <row r="432" spans="3:11">
      <c r="C432" s="270" t="s">
        <v>2913</v>
      </c>
      <c r="D432" s="302" t="s">
        <v>3752</v>
      </c>
      <c r="E432" s="301" t="s">
        <v>2318</v>
      </c>
      <c r="F432" s="287">
        <v>0</v>
      </c>
      <c r="G432" s="299"/>
      <c r="H432" s="890"/>
      <c r="I432" s="916"/>
      <c r="J432" s="917"/>
      <c r="K432"/>
    </row>
    <row r="433" spans="3:11">
      <c r="C433" s="270" t="s">
        <v>2915</v>
      </c>
      <c r="D433" s="302" t="s">
        <v>3753</v>
      </c>
      <c r="E433" s="301" t="s">
        <v>2318</v>
      </c>
      <c r="F433" s="287">
        <v>0</v>
      </c>
      <c r="G433" s="299"/>
      <c r="H433" s="890"/>
      <c r="I433" s="916"/>
      <c r="J433" s="917"/>
      <c r="K433"/>
    </row>
    <row r="434" spans="3:11">
      <c r="C434" s="270" t="s">
        <v>2917</v>
      </c>
      <c r="D434" s="302" t="s">
        <v>3754</v>
      </c>
      <c r="E434" s="301" t="s">
        <v>2318</v>
      </c>
      <c r="F434" s="287">
        <v>0</v>
      </c>
      <c r="G434" s="299"/>
      <c r="H434" s="890"/>
      <c r="I434" s="916"/>
      <c r="J434" s="917"/>
      <c r="K434"/>
    </row>
    <row r="435" spans="3:11">
      <c r="C435" s="270" t="s">
        <v>2919</v>
      </c>
      <c r="D435" s="302" t="s">
        <v>3755</v>
      </c>
      <c r="E435" s="301" t="s">
        <v>2318</v>
      </c>
      <c r="F435" s="287">
        <v>0</v>
      </c>
      <c r="G435" s="299"/>
      <c r="H435" s="890"/>
      <c r="I435" s="916"/>
      <c r="J435" s="917"/>
      <c r="K435"/>
    </row>
    <row r="436" spans="3:11">
      <c r="C436" s="270" t="s">
        <v>2921</v>
      </c>
      <c r="D436" s="302" t="s">
        <v>3756</v>
      </c>
      <c r="E436" s="301" t="s">
        <v>2318</v>
      </c>
      <c r="F436" s="287">
        <v>0</v>
      </c>
      <c r="G436" s="299"/>
      <c r="H436" s="890"/>
      <c r="I436" s="916"/>
      <c r="J436" s="917"/>
      <c r="K436"/>
    </row>
    <row r="437" spans="3:11">
      <c r="C437" s="270" t="s">
        <v>2923</v>
      </c>
      <c r="D437" s="302" t="s">
        <v>3757</v>
      </c>
      <c r="E437" s="301" t="s">
        <v>2318</v>
      </c>
      <c r="F437" s="287">
        <v>0</v>
      </c>
      <c r="G437" s="299"/>
      <c r="H437" s="890"/>
      <c r="I437" s="916"/>
      <c r="J437" s="917"/>
      <c r="K437"/>
    </row>
    <row r="438" spans="3:11">
      <c r="C438" s="270" t="s">
        <v>2925</v>
      </c>
      <c r="D438" s="302" t="s">
        <v>3758</v>
      </c>
      <c r="E438" s="301" t="s">
        <v>2318</v>
      </c>
      <c r="F438" s="287">
        <v>0</v>
      </c>
      <c r="G438" s="299"/>
      <c r="H438" s="890"/>
      <c r="I438" s="916"/>
      <c r="J438" s="917"/>
      <c r="K438"/>
    </row>
    <row r="439" spans="3:11">
      <c r="C439" s="270" t="s">
        <v>2927</v>
      </c>
      <c r="D439" s="302" t="s">
        <v>3759</v>
      </c>
      <c r="E439" s="301" t="s">
        <v>2318</v>
      </c>
      <c r="F439" s="287">
        <v>0</v>
      </c>
      <c r="G439" s="299"/>
      <c r="H439" s="890"/>
      <c r="I439" s="916"/>
      <c r="J439" s="917"/>
      <c r="K439"/>
    </row>
    <row r="440" spans="3:11">
      <c r="C440" s="270" t="s">
        <v>2929</v>
      </c>
      <c r="D440" s="302" t="s">
        <v>3760</v>
      </c>
      <c r="E440" s="301" t="s">
        <v>2318</v>
      </c>
      <c r="F440" s="287">
        <v>0</v>
      </c>
      <c r="G440" s="299"/>
      <c r="H440" s="890"/>
      <c r="I440" s="916"/>
      <c r="J440" s="917"/>
      <c r="K440"/>
    </row>
    <row r="441" spans="3:11">
      <c r="C441" s="270" t="s">
        <v>2931</v>
      </c>
      <c r="D441" s="302" t="s">
        <v>3761</v>
      </c>
      <c r="E441" s="301" t="s">
        <v>2318</v>
      </c>
      <c r="F441" s="287">
        <v>0</v>
      </c>
      <c r="G441" s="299"/>
      <c r="H441" s="890"/>
      <c r="I441" s="916"/>
      <c r="J441" s="917"/>
      <c r="K441"/>
    </row>
    <row r="442" spans="3:11">
      <c r="C442" s="270" t="s">
        <v>2933</v>
      </c>
      <c r="D442" s="302" t="s">
        <v>3762</v>
      </c>
      <c r="E442" s="301" t="s">
        <v>2318</v>
      </c>
      <c r="F442" s="287">
        <v>0</v>
      </c>
      <c r="G442" s="299"/>
      <c r="H442" s="890"/>
      <c r="I442" s="916"/>
      <c r="J442" s="917"/>
      <c r="K442"/>
    </row>
    <row r="443" spans="3:11">
      <c r="C443" s="270" t="s">
        <v>2935</v>
      </c>
      <c r="D443" s="302" t="s">
        <v>3763</v>
      </c>
      <c r="E443" s="301" t="s">
        <v>2318</v>
      </c>
      <c r="F443" s="287">
        <v>0</v>
      </c>
      <c r="G443" s="299"/>
      <c r="H443" s="890"/>
      <c r="I443" s="916"/>
      <c r="J443" s="917"/>
      <c r="K443"/>
    </row>
    <row r="444" spans="3:11">
      <c r="C444" s="270" t="s">
        <v>2937</v>
      </c>
      <c r="D444" s="302" t="s">
        <v>3764</v>
      </c>
      <c r="E444" s="301" t="s">
        <v>2318</v>
      </c>
      <c r="F444" s="287">
        <v>0</v>
      </c>
      <c r="G444" s="299"/>
      <c r="H444" s="890"/>
      <c r="I444" s="916"/>
      <c r="J444" s="917"/>
      <c r="K444"/>
    </row>
    <row r="445" spans="3:11">
      <c r="C445" s="270" t="s">
        <v>2939</v>
      </c>
      <c r="D445" s="302" t="s">
        <v>3765</v>
      </c>
      <c r="E445" s="301" t="s">
        <v>2318</v>
      </c>
      <c r="F445" s="287">
        <v>0</v>
      </c>
      <c r="G445" s="299"/>
      <c r="H445" s="890"/>
      <c r="I445" s="916"/>
      <c r="J445" s="917"/>
      <c r="K445"/>
    </row>
    <row r="446" spans="3:11">
      <c r="C446" s="288"/>
      <c r="D446" s="302"/>
      <c r="E446" s="301"/>
      <c r="F446" s="287"/>
      <c r="G446" s="299"/>
      <c r="H446" s="890"/>
      <c r="I446" s="916"/>
      <c r="J446" s="917"/>
      <c r="K446"/>
    </row>
    <row r="447" spans="3:11">
      <c r="C447" s="270" t="s">
        <v>2941</v>
      </c>
      <c r="D447" s="302" t="s">
        <v>3766</v>
      </c>
      <c r="E447" s="301" t="s">
        <v>2089</v>
      </c>
      <c r="F447" s="287">
        <v>0</v>
      </c>
      <c r="G447" s="299"/>
      <c r="H447" s="890"/>
      <c r="I447" s="916"/>
      <c r="J447" s="917"/>
      <c r="K447"/>
    </row>
    <row r="448" spans="3:11">
      <c r="C448" s="270" t="s">
        <v>2943</v>
      </c>
      <c r="D448" s="302" t="s">
        <v>3767</v>
      </c>
      <c r="E448" s="301" t="s">
        <v>2089</v>
      </c>
      <c r="F448" s="287">
        <v>0</v>
      </c>
      <c r="G448" s="299"/>
      <c r="H448" s="890"/>
      <c r="I448" s="916"/>
      <c r="J448" s="917"/>
      <c r="K448"/>
    </row>
    <row r="449" spans="3:11">
      <c r="C449" s="270" t="s">
        <v>2945</v>
      </c>
      <c r="D449" s="302" t="s">
        <v>3768</v>
      </c>
      <c r="E449" s="301" t="s">
        <v>2089</v>
      </c>
      <c r="F449" s="287">
        <v>0</v>
      </c>
      <c r="G449" s="299"/>
      <c r="H449" s="890"/>
      <c r="I449" s="916"/>
      <c r="J449" s="917"/>
      <c r="K449"/>
    </row>
    <row r="450" spans="3:11">
      <c r="C450" s="270" t="s">
        <v>2947</v>
      </c>
      <c r="D450" s="302" t="s">
        <v>3769</v>
      </c>
      <c r="E450" s="301" t="s">
        <v>2089</v>
      </c>
      <c r="F450" s="287">
        <v>1</v>
      </c>
      <c r="G450" s="299">
        <f>$L$9*I450</f>
        <v>626817371.58625579</v>
      </c>
      <c r="H450" s="890">
        <f>F450*G450</f>
        <v>626817371.58625579</v>
      </c>
      <c r="I450" s="916">
        <f>'Pondasi 4 Pile'!AI116</f>
        <v>626817371.58625579</v>
      </c>
      <c r="J450" s="917">
        <f>F450*I450</f>
        <v>626817371.58625579</v>
      </c>
      <c r="K450"/>
    </row>
    <row r="451" spans="3:11">
      <c r="C451" s="270" t="s">
        <v>2949</v>
      </c>
      <c r="D451" s="302" t="s">
        <v>3770</v>
      </c>
      <c r="E451" s="301" t="s">
        <v>2089</v>
      </c>
      <c r="F451" s="287">
        <v>0</v>
      </c>
      <c r="G451" s="299"/>
      <c r="H451" s="890"/>
      <c r="I451" s="916"/>
      <c r="J451" s="917"/>
      <c r="K451"/>
    </row>
    <row r="452" spans="3:11">
      <c r="C452" s="270" t="s">
        <v>2951</v>
      </c>
      <c r="D452" s="302" t="s">
        <v>3771</v>
      </c>
      <c r="E452" s="301" t="s">
        <v>2318</v>
      </c>
      <c r="F452" s="287">
        <v>0</v>
      </c>
      <c r="G452" s="299"/>
      <c r="H452" s="890"/>
      <c r="I452" s="916"/>
      <c r="J452" s="917"/>
      <c r="K452"/>
    </row>
    <row r="453" spans="3:11">
      <c r="C453" s="270" t="s">
        <v>2953</v>
      </c>
      <c r="D453" s="302" t="s">
        <v>3772</v>
      </c>
      <c r="E453" s="301" t="s">
        <v>2318</v>
      </c>
      <c r="F453" s="287">
        <v>0</v>
      </c>
      <c r="G453" s="299"/>
      <c r="H453" s="890"/>
      <c r="I453" s="916"/>
      <c r="J453" s="917"/>
      <c r="K453"/>
    </row>
    <row r="454" spans="3:11">
      <c r="C454" s="270" t="s">
        <v>2955</v>
      </c>
      <c r="D454" s="302" t="s">
        <v>3773</v>
      </c>
      <c r="E454" s="301" t="s">
        <v>2318</v>
      </c>
      <c r="F454" s="287">
        <v>0</v>
      </c>
      <c r="G454" s="299"/>
      <c r="H454" s="890"/>
      <c r="I454" s="916"/>
      <c r="J454" s="917"/>
      <c r="K454"/>
    </row>
    <row r="455" spans="3:11">
      <c r="C455" s="270" t="s">
        <v>2957</v>
      </c>
      <c r="D455" s="302" t="s">
        <v>3774</v>
      </c>
      <c r="E455" s="301" t="s">
        <v>2318</v>
      </c>
      <c r="F455" s="287">
        <v>0</v>
      </c>
      <c r="G455" s="299"/>
      <c r="H455" s="890"/>
      <c r="I455" s="916"/>
      <c r="J455" s="917"/>
      <c r="K455"/>
    </row>
    <row r="456" spans="3:11">
      <c r="C456" s="270" t="s">
        <v>2959</v>
      </c>
      <c r="D456" s="302" t="s">
        <v>3775</v>
      </c>
      <c r="E456" s="301" t="s">
        <v>2318</v>
      </c>
      <c r="F456" s="287">
        <v>0</v>
      </c>
      <c r="G456" s="299"/>
      <c r="H456" s="890"/>
      <c r="I456" s="916"/>
      <c r="J456" s="917"/>
      <c r="K456"/>
    </row>
    <row r="457" spans="3:11">
      <c r="C457" s="270" t="s">
        <v>2961</v>
      </c>
      <c r="D457" s="302" t="s">
        <v>3776</v>
      </c>
      <c r="E457" s="301" t="s">
        <v>2318</v>
      </c>
      <c r="F457" s="287">
        <v>0</v>
      </c>
      <c r="G457" s="299"/>
      <c r="H457" s="890"/>
      <c r="I457" s="916"/>
      <c r="J457" s="917"/>
      <c r="K457"/>
    </row>
    <row r="458" spans="3:11">
      <c r="C458" s="270" t="s">
        <v>2963</v>
      </c>
      <c r="D458" s="302" t="s">
        <v>3777</v>
      </c>
      <c r="E458" s="301" t="s">
        <v>2318</v>
      </c>
      <c r="F458" s="287">
        <v>0</v>
      </c>
      <c r="G458" s="299"/>
      <c r="H458" s="890"/>
      <c r="I458" s="916"/>
      <c r="J458" s="917"/>
      <c r="K458"/>
    </row>
    <row r="459" spans="3:11">
      <c r="C459" s="270" t="s">
        <v>2965</v>
      </c>
      <c r="D459" s="302" t="s">
        <v>3778</v>
      </c>
      <c r="E459" s="301" t="s">
        <v>2318</v>
      </c>
      <c r="F459" s="287">
        <v>0</v>
      </c>
      <c r="G459" s="299"/>
      <c r="H459" s="890"/>
      <c r="I459" s="916"/>
      <c r="J459" s="917"/>
      <c r="K459"/>
    </row>
    <row r="460" spans="3:11">
      <c r="C460" s="270" t="s">
        <v>2967</v>
      </c>
      <c r="D460" s="302" t="s">
        <v>3779</v>
      </c>
      <c r="E460" s="301" t="s">
        <v>2318</v>
      </c>
      <c r="F460" s="287">
        <v>0</v>
      </c>
      <c r="G460" s="299"/>
      <c r="H460" s="890"/>
      <c r="I460" s="916"/>
      <c r="J460" s="917"/>
      <c r="K460"/>
    </row>
    <row r="461" spans="3:11">
      <c r="C461" s="270" t="s">
        <v>2969</v>
      </c>
      <c r="D461" s="302" t="s">
        <v>3780</v>
      </c>
      <c r="E461" s="301" t="s">
        <v>2318</v>
      </c>
      <c r="F461" s="287">
        <v>0</v>
      </c>
      <c r="G461" s="299"/>
      <c r="H461" s="890"/>
      <c r="I461" s="916"/>
      <c r="J461" s="917"/>
      <c r="K461"/>
    </row>
    <row r="462" spans="3:11">
      <c r="C462" s="270" t="s">
        <v>2971</v>
      </c>
      <c r="D462" s="302" t="s">
        <v>3781</v>
      </c>
      <c r="E462" s="301" t="s">
        <v>2318</v>
      </c>
      <c r="F462" s="287">
        <v>0</v>
      </c>
      <c r="G462" s="299"/>
      <c r="H462" s="890"/>
      <c r="I462" s="916"/>
      <c r="J462" s="917"/>
      <c r="K462"/>
    </row>
    <row r="463" spans="3:11">
      <c r="C463" s="270" t="s">
        <v>2973</v>
      </c>
      <c r="D463" s="302" t="s">
        <v>3782</v>
      </c>
      <c r="E463" s="301" t="s">
        <v>2318</v>
      </c>
      <c r="F463" s="287">
        <v>0</v>
      </c>
      <c r="G463" s="299"/>
      <c r="H463" s="890"/>
      <c r="I463" s="916"/>
      <c r="J463" s="917"/>
      <c r="K463"/>
    </row>
    <row r="464" spans="3:11">
      <c r="C464" s="270" t="s">
        <v>2975</v>
      </c>
      <c r="D464" s="302" t="s">
        <v>3783</v>
      </c>
      <c r="E464" s="301" t="s">
        <v>2318</v>
      </c>
      <c r="F464" s="287">
        <v>0</v>
      </c>
      <c r="G464" s="299"/>
      <c r="H464" s="890"/>
      <c r="I464" s="916"/>
      <c r="J464" s="917"/>
      <c r="K464"/>
    </row>
    <row r="465" spans="3:11">
      <c r="C465" s="270" t="s">
        <v>2977</v>
      </c>
      <c r="D465" s="302" t="s">
        <v>3784</v>
      </c>
      <c r="E465" s="301" t="s">
        <v>2318</v>
      </c>
      <c r="F465" s="287">
        <v>0</v>
      </c>
      <c r="G465" s="299"/>
      <c r="H465" s="890"/>
      <c r="I465" s="916"/>
      <c r="J465" s="917"/>
      <c r="K465"/>
    </row>
    <row r="466" spans="3:11">
      <c r="C466" s="270" t="s">
        <v>2979</v>
      </c>
      <c r="D466" s="302" t="s">
        <v>3785</v>
      </c>
      <c r="E466" s="301" t="s">
        <v>2318</v>
      </c>
      <c r="F466" s="287">
        <v>0</v>
      </c>
      <c r="G466" s="299"/>
      <c r="H466" s="890"/>
      <c r="I466" s="916"/>
      <c r="J466" s="917"/>
      <c r="K466"/>
    </row>
    <row r="467" spans="3:11">
      <c r="C467" s="288"/>
      <c r="D467" s="302"/>
      <c r="E467" s="301"/>
      <c r="F467" s="287"/>
      <c r="G467" s="299"/>
      <c r="H467" s="890"/>
      <c r="I467" s="916"/>
      <c r="J467" s="917"/>
      <c r="K467"/>
    </row>
    <row r="468" spans="3:11">
      <c r="C468" s="270" t="s">
        <v>2981</v>
      </c>
      <c r="D468" s="302" t="s">
        <v>3786</v>
      </c>
      <c r="E468" s="301" t="s">
        <v>2089</v>
      </c>
      <c r="F468" s="287">
        <v>0</v>
      </c>
      <c r="G468" s="299"/>
      <c r="H468" s="890"/>
      <c r="I468" s="916"/>
      <c r="J468" s="917"/>
      <c r="K468"/>
    </row>
    <row r="469" spans="3:11">
      <c r="C469" s="270" t="s">
        <v>2983</v>
      </c>
      <c r="D469" s="302" t="s">
        <v>3787</v>
      </c>
      <c r="E469" s="301" t="s">
        <v>2089</v>
      </c>
      <c r="F469" s="287">
        <v>0</v>
      </c>
      <c r="G469" s="299"/>
      <c r="H469" s="890"/>
      <c r="I469" s="916"/>
      <c r="J469" s="917"/>
      <c r="K469"/>
    </row>
    <row r="470" spans="3:11">
      <c r="C470" s="270" t="s">
        <v>2985</v>
      </c>
      <c r="D470" s="302" t="s">
        <v>3788</v>
      </c>
      <c r="E470" s="301" t="s">
        <v>2089</v>
      </c>
      <c r="F470" s="287">
        <v>0</v>
      </c>
      <c r="G470" s="299"/>
      <c r="H470" s="890"/>
      <c r="I470" s="916"/>
      <c r="J470" s="917"/>
      <c r="K470"/>
    </row>
    <row r="471" spans="3:11">
      <c r="C471" s="270" t="s">
        <v>2987</v>
      </c>
      <c r="D471" s="302" t="s">
        <v>3789</v>
      </c>
      <c r="E471" s="301" t="s">
        <v>2089</v>
      </c>
      <c r="F471" s="287">
        <v>0</v>
      </c>
      <c r="G471" s="299"/>
      <c r="H471" s="890"/>
      <c r="I471" s="916"/>
      <c r="J471" s="917"/>
      <c r="K471"/>
    </row>
    <row r="472" spans="3:11">
      <c r="C472" s="270" t="s">
        <v>2989</v>
      </c>
      <c r="D472" s="302" t="s">
        <v>3790</v>
      </c>
      <c r="E472" s="301" t="s">
        <v>2089</v>
      </c>
      <c r="F472" s="287">
        <v>0</v>
      </c>
      <c r="G472" s="299"/>
      <c r="H472" s="890"/>
      <c r="I472" s="916"/>
      <c r="J472" s="917"/>
      <c r="K472"/>
    </row>
    <row r="473" spans="3:11">
      <c r="C473" s="270" t="s">
        <v>2991</v>
      </c>
      <c r="D473" s="302" t="s">
        <v>3791</v>
      </c>
      <c r="E473" s="301" t="s">
        <v>2318</v>
      </c>
      <c r="F473" s="287">
        <v>0</v>
      </c>
      <c r="G473" s="299"/>
      <c r="H473" s="890"/>
      <c r="I473" s="916"/>
      <c r="J473" s="917"/>
      <c r="K473"/>
    </row>
    <row r="474" spans="3:11">
      <c r="C474" s="270" t="s">
        <v>2993</v>
      </c>
      <c r="D474" s="302" t="s">
        <v>3792</v>
      </c>
      <c r="E474" s="301" t="s">
        <v>2318</v>
      </c>
      <c r="F474" s="287">
        <v>0</v>
      </c>
      <c r="G474" s="299"/>
      <c r="H474" s="890"/>
      <c r="I474" s="916"/>
      <c r="J474" s="917"/>
      <c r="K474"/>
    </row>
    <row r="475" spans="3:11">
      <c r="C475" s="270" t="s">
        <v>2995</v>
      </c>
      <c r="D475" s="302" t="s">
        <v>3793</v>
      </c>
      <c r="E475" s="301" t="s">
        <v>2318</v>
      </c>
      <c r="F475" s="287">
        <v>0</v>
      </c>
      <c r="G475" s="299"/>
      <c r="H475" s="890"/>
      <c r="I475" s="916"/>
      <c r="J475" s="917"/>
      <c r="K475"/>
    </row>
    <row r="476" spans="3:11">
      <c r="C476" s="270" t="s">
        <v>2997</v>
      </c>
      <c r="D476" s="302" t="s">
        <v>3794</v>
      </c>
      <c r="E476" s="301" t="s">
        <v>2318</v>
      </c>
      <c r="F476" s="287">
        <v>0</v>
      </c>
      <c r="G476" s="299"/>
      <c r="H476" s="890"/>
      <c r="I476" s="916"/>
      <c r="J476" s="917"/>
      <c r="K476"/>
    </row>
    <row r="477" spans="3:11">
      <c r="C477" s="270" t="s">
        <v>2999</v>
      </c>
      <c r="D477" s="302" t="s">
        <v>3795</v>
      </c>
      <c r="E477" s="301" t="s">
        <v>2318</v>
      </c>
      <c r="F477" s="287">
        <v>0</v>
      </c>
      <c r="G477" s="299"/>
      <c r="H477" s="890"/>
      <c r="I477" s="916"/>
      <c r="J477" s="917"/>
      <c r="K477"/>
    </row>
    <row r="478" spans="3:11">
      <c r="C478" s="270" t="s">
        <v>3001</v>
      </c>
      <c r="D478" s="302" t="s">
        <v>3796</v>
      </c>
      <c r="E478" s="301" t="s">
        <v>2318</v>
      </c>
      <c r="F478" s="287">
        <v>0</v>
      </c>
      <c r="G478" s="299"/>
      <c r="H478" s="890"/>
      <c r="I478" s="916"/>
      <c r="J478" s="917"/>
      <c r="K478"/>
    </row>
    <row r="479" spans="3:11">
      <c r="C479" s="270" t="s">
        <v>3003</v>
      </c>
      <c r="D479" s="302" t="s">
        <v>3797</v>
      </c>
      <c r="E479" s="301" t="s">
        <v>2318</v>
      </c>
      <c r="F479" s="287">
        <v>0</v>
      </c>
      <c r="G479" s="299"/>
      <c r="H479" s="890"/>
      <c r="I479" s="916"/>
      <c r="J479" s="917"/>
      <c r="K479"/>
    </row>
    <row r="480" spans="3:11">
      <c r="C480" s="270" t="s">
        <v>3005</v>
      </c>
      <c r="D480" s="302" t="s">
        <v>3798</v>
      </c>
      <c r="E480" s="301" t="s">
        <v>2318</v>
      </c>
      <c r="F480" s="287">
        <v>0</v>
      </c>
      <c r="G480" s="299"/>
      <c r="H480" s="890"/>
      <c r="I480" s="916"/>
      <c r="J480" s="917"/>
      <c r="K480"/>
    </row>
    <row r="481" spans="3:11">
      <c r="C481" s="269" t="s">
        <v>3007</v>
      </c>
      <c r="D481" s="284" t="s">
        <v>3799</v>
      </c>
      <c r="E481" s="283" t="s">
        <v>2318</v>
      </c>
      <c r="F481" s="282">
        <v>0</v>
      </c>
      <c r="G481" s="281"/>
      <c r="H481" s="897"/>
      <c r="I481" s="924"/>
      <c r="J481" s="925"/>
      <c r="K481"/>
    </row>
    <row r="482" spans="3:11">
      <c r="C482" s="268" t="s">
        <v>3009</v>
      </c>
      <c r="D482" s="279" t="s">
        <v>3800</v>
      </c>
      <c r="E482" s="278" t="s">
        <v>2318</v>
      </c>
      <c r="F482" s="277">
        <v>0</v>
      </c>
      <c r="G482" s="276"/>
      <c r="H482" s="898"/>
      <c r="I482" s="926"/>
      <c r="J482" s="927"/>
      <c r="K482"/>
    </row>
    <row r="483" spans="3:11">
      <c r="C483" s="270" t="s">
        <v>3011</v>
      </c>
      <c r="D483" s="302" t="s">
        <v>3801</v>
      </c>
      <c r="E483" s="301" t="s">
        <v>2318</v>
      </c>
      <c r="F483" s="287">
        <v>0</v>
      </c>
      <c r="G483" s="299"/>
      <c r="H483" s="890"/>
      <c r="I483" s="916"/>
      <c r="J483" s="917"/>
      <c r="K483"/>
    </row>
    <row r="484" spans="3:11">
      <c r="C484" s="270" t="s">
        <v>3013</v>
      </c>
      <c r="D484" s="302" t="s">
        <v>3802</v>
      </c>
      <c r="E484" s="301" t="s">
        <v>2318</v>
      </c>
      <c r="F484" s="287">
        <v>0</v>
      </c>
      <c r="G484" s="299"/>
      <c r="H484" s="890"/>
      <c r="I484" s="916"/>
      <c r="J484" s="917"/>
      <c r="K484"/>
    </row>
    <row r="485" spans="3:11">
      <c r="C485" s="270" t="s">
        <v>3015</v>
      </c>
      <c r="D485" s="302" t="s">
        <v>3803</v>
      </c>
      <c r="E485" s="301" t="s">
        <v>2318</v>
      </c>
      <c r="F485" s="287">
        <v>0</v>
      </c>
      <c r="G485" s="299"/>
      <c r="H485" s="890"/>
      <c r="I485" s="916"/>
      <c r="J485" s="917"/>
      <c r="K485"/>
    </row>
    <row r="486" spans="3:11">
      <c r="C486" s="270" t="s">
        <v>3017</v>
      </c>
      <c r="D486" s="302" t="s">
        <v>3804</v>
      </c>
      <c r="E486" s="301" t="s">
        <v>2318</v>
      </c>
      <c r="F486" s="287">
        <v>0</v>
      </c>
      <c r="G486" s="299"/>
      <c r="H486" s="890"/>
      <c r="I486" s="916"/>
      <c r="J486" s="917"/>
      <c r="K486"/>
    </row>
    <row r="487" spans="3:11">
      <c r="C487" s="270" t="s">
        <v>3019</v>
      </c>
      <c r="D487" s="302" t="s">
        <v>3805</v>
      </c>
      <c r="E487" s="301" t="s">
        <v>2318</v>
      </c>
      <c r="F487" s="287">
        <v>0</v>
      </c>
      <c r="G487" s="299"/>
      <c r="H487" s="890"/>
      <c r="I487" s="916"/>
      <c r="J487" s="917"/>
      <c r="K487"/>
    </row>
    <row r="488" spans="3:11">
      <c r="C488" s="288"/>
      <c r="D488" s="302"/>
      <c r="E488" s="301"/>
      <c r="F488" s="287"/>
      <c r="G488" s="299"/>
      <c r="H488" s="890"/>
      <c r="I488" s="916"/>
      <c r="J488" s="917"/>
      <c r="K488"/>
    </row>
    <row r="489" spans="3:11">
      <c r="C489" s="270" t="s">
        <v>3021</v>
      </c>
      <c r="D489" s="302" t="s">
        <v>3806</v>
      </c>
      <c r="E489" s="301" t="s">
        <v>2089</v>
      </c>
      <c r="F489" s="287">
        <v>0</v>
      </c>
      <c r="G489" s="299"/>
      <c r="H489" s="890"/>
      <c r="I489" s="916"/>
      <c r="J489" s="917"/>
      <c r="K489"/>
    </row>
    <row r="490" spans="3:11">
      <c r="C490" s="270" t="s">
        <v>3023</v>
      </c>
      <c r="D490" s="302" t="s">
        <v>3807</v>
      </c>
      <c r="E490" s="301" t="s">
        <v>2089</v>
      </c>
      <c r="F490" s="287">
        <v>0</v>
      </c>
      <c r="G490" s="299"/>
      <c r="H490" s="890"/>
      <c r="I490" s="916"/>
      <c r="J490" s="917"/>
      <c r="K490"/>
    </row>
    <row r="491" spans="3:11">
      <c r="C491" s="270" t="s">
        <v>3025</v>
      </c>
      <c r="D491" s="302" t="s">
        <v>3808</v>
      </c>
      <c r="E491" s="301" t="s">
        <v>2089</v>
      </c>
      <c r="F491" s="287">
        <v>0</v>
      </c>
      <c r="G491" s="299"/>
      <c r="H491" s="890"/>
      <c r="I491" s="916"/>
      <c r="J491" s="917"/>
      <c r="K491"/>
    </row>
    <row r="492" spans="3:11">
      <c r="C492" s="270" t="s">
        <v>3027</v>
      </c>
      <c r="D492" s="302" t="s">
        <v>3809</v>
      </c>
      <c r="E492" s="301" t="s">
        <v>2089</v>
      </c>
      <c r="F492" s="287">
        <v>0</v>
      </c>
      <c r="G492" s="299"/>
      <c r="H492" s="890"/>
      <c r="I492" s="916"/>
      <c r="J492" s="917"/>
      <c r="K492"/>
    </row>
    <row r="493" spans="3:11">
      <c r="C493" s="270" t="s">
        <v>3029</v>
      </c>
      <c r="D493" s="302" t="s">
        <v>3810</v>
      </c>
      <c r="E493" s="301" t="s">
        <v>2089</v>
      </c>
      <c r="F493" s="287">
        <v>0</v>
      </c>
      <c r="G493" s="299"/>
      <c r="H493" s="890"/>
      <c r="I493" s="916"/>
      <c r="J493" s="917"/>
      <c r="K493"/>
    </row>
    <row r="494" spans="3:11">
      <c r="C494" s="270" t="s">
        <v>3031</v>
      </c>
      <c r="D494" s="302" t="s">
        <v>3811</v>
      </c>
      <c r="E494" s="301" t="s">
        <v>2318</v>
      </c>
      <c r="F494" s="287">
        <v>0</v>
      </c>
      <c r="G494" s="299"/>
      <c r="H494" s="890"/>
      <c r="I494" s="916"/>
      <c r="J494" s="917"/>
      <c r="K494"/>
    </row>
    <row r="495" spans="3:11">
      <c r="C495" s="270" t="s">
        <v>3033</v>
      </c>
      <c r="D495" s="302" t="s">
        <v>3812</v>
      </c>
      <c r="E495" s="301" t="s">
        <v>2318</v>
      </c>
      <c r="F495" s="287">
        <v>0</v>
      </c>
      <c r="G495" s="299"/>
      <c r="H495" s="890"/>
      <c r="I495" s="916"/>
      <c r="J495" s="917"/>
      <c r="K495"/>
    </row>
    <row r="496" spans="3:11">
      <c r="C496" s="270" t="s">
        <v>3035</v>
      </c>
      <c r="D496" s="302" t="s">
        <v>3813</v>
      </c>
      <c r="E496" s="301" t="s">
        <v>2318</v>
      </c>
      <c r="F496" s="287">
        <v>0</v>
      </c>
      <c r="G496" s="299"/>
      <c r="H496" s="890"/>
      <c r="I496" s="916"/>
      <c r="J496" s="917"/>
      <c r="K496"/>
    </row>
    <row r="497" spans="3:11">
      <c r="C497" s="270" t="s">
        <v>3037</v>
      </c>
      <c r="D497" s="302" t="s">
        <v>3814</v>
      </c>
      <c r="E497" s="301" t="s">
        <v>2318</v>
      </c>
      <c r="F497" s="287">
        <v>0</v>
      </c>
      <c r="G497" s="299"/>
      <c r="H497" s="890"/>
      <c r="I497" s="916"/>
      <c r="J497" s="917"/>
      <c r="K497"/>
    </row>
    <row r="498" spans="3:11">
      <c r="C498" s="270" t="s">
        <v>3039</v>
      </c>
      <c r="D498" s="302" t="s">
        <v>3815</v>
      </c>
      <c r="E498" s="301" t="s">
        <v>2318</v>
      </c>
      <c r="F498" s="287">
        <v>0</v>
      </c>
      <c r="G498" s="299"/>
      <c r="H498" s="890"/>
      <c r="I498" s="916"/>
      <c r="J498" s="917"/>
      <c r="K498"/>
    </row>
    <row r="499" spans="3:11">
      <c r="C499" s="270" t="s">
        <v>3816</v>
      </c>
      <c r="D499" s="302" t="s">
        <v>3817</v>
      </c>
      <c r="E499" s="301" t="s">
        <v>2318</v>
      </c>
      <c r="F499" s="287">
        <v>0</v>
      </c>
      <c r="G499" s="299"/>
      <c r="H499" s="890"/>
      <c r="I499" s="916"/>
      <c r="J499" s="917"/>
      <c r="K499"/>
    </row>
    <row r="500" spans="3:11">
      <c r="C500" s="270" t="s">
        <v>3818</v>
      </c>
      <c r="D500" s="302" t="s">
        <v>3819</v>
      </c>
      <c r="E500" s="301" t="s">
        <v>2318</v>
      </c>
      <c r="F500" s="287">
        <v>0</v>
      </c>
      <c r="G500" s="299"/>
      <c r="H500" s="890"/>
      <c r="I500" s="916"/>
      <c r="J500" s="917"/>
      <c r="K500"/>
    </row>
    <row r="501" spans="3:11">
      <c r="C501" s="270" t="s">
        <v>3820</v>
      </c>
      <c r="D501" s="302" t="s">
        <v>3821</v>
      </c>
      <c r="E501" s="301" t="s">
        <v>2318</v>
      </c>
      <c r="F501" s="287">
        <v>0</v>
      </c>
      <c r="G501" s="299"/>
      <c r="H501" s="890"/>
      <c r="I501" s="916"/>
      <c r="J501" s="917"/>
      <c r="K501"/>
    </row>
    <row r="502" spans="3:11">
      <c r="C502" s="270" t="s">
        <v>3822</v>
      </c>
      <c r="D502" s="302" t="s">
        <v>3823</v>
      </c>
      <c r="E502" s="301" t="s">
        <v>2318</v>
      </c>
      <c r="F502" s="287">
        <v>0</v>
      </c>
      <c r="G502" s="299"/>
      <c r="H502" s="890"/>
      <c r="I502" s="916"/>
      <c r="J502" s="917"/>
      <c r="K502"/>
    </row>
    <row r="503" spans="3:11">
      <c r="C503" s="270" t="s">
        <v>3824</v>
      </c>
      <c r="D503" s="302" t="s">
        <v>3825</v>
      </c>
      <c r="E503" s="301" t="s">
        <v>2318</v>
      </c>
      <c r="F503" s="287">
        <v>0</v>
      </c>
      <c r="G503" s="299"/>
      <c r="H503" s="890"/>
      <c r="I503" s="916"/>
      <c r="J503" s="917"/>
      <c r="K503"/>
    </row>
    <row r="504" spans="3:11">
      <c r="C504" s="270" t="s">
        <v>3826</v>
      </c>
      <c r="D504" s="302" t="s">
        <v>3827</v>
      </c>
      <c r="E504" s="301" t="s">
        <v>2318</v>
      </c>
      <c r="F504" s="287">
        <v>0</v>
      </c>
      <c r="G504" s="299"/>
      <c r="H504" s="890"/>
      <c r="I504" s="916"/>
      <c r="J504" s="917"/>
      <c r="K504"/>
    </row>
    <row r="505" spans="3:11">
      <c r="C505" s="270" t="s">
        <v>3828</v>
      </c>
      <c r="D505" s="302" t="s">
        <v>3829</v>
      </c>
      <c r="E505" s="301" t="s">
        <v>2318</v>
      </c>
      <c r="F505" s="287">
        <v>0</v>
      </c>
      <c r="G505" s="299"/>
      <c r="H505" s="890"/>
      <c r="I505" s="916"/>
      <c r="J505" s="917"/>
      <c r="K505"/>
    </row>
    <row r="506" spans="3:11">
      <c r="C506" s="270" t="s">
        <v>3830</v>
      </c>
      <c r="D506" s="302" t="s">
        <v>3831</v>
      </c>
      <c r="E506" s="301" t="s">
        <v>2318</v>
      </c>
      <c r="F506" s="287">
        <v>0</v>
      </c>
      <c r="G506" s="299"/>
      <c r="H506" s="890"/>
      <c r="I506" s="916"/>
      <c r="J506" s="917"/>
      <c r="K506"/>
    </row>
    <row r="507" spans="3:11">
      <c r="C507" s="270" t="s">
        <v>3832</v>
      </c>
      <c r="D507" s="302" t="s">
        <v>3833</v>
      </c>
      <c r="E507" s="301" t="s">
        <v>2318</v>
      </c>
      <c r="F507" s="287">
        <v>0</v>
      </c>
      <c r="G507" s="299"/>
      <c r="H507" s="890"/>
      <c r="I507" s="916"/>
      <c r="J507" s="917"/>
      <c r="K507"/>
    </row>
    <row r="508" spans="3:11">
      <c r="C508" s="286" t="s">
        <v>3834</v>
      </c>
      <c r="D508" s="302" t="s">
        <v>3835</v>
      </c>
      <c r="E508" s="301" t="s">
        <v>2318</v>
      </c>
      <c r="F508" s="287">
        <v>0</v>
      </c>
      <c r="G508" s="299"/>
      <c r="H508" s="890"/>
      <c r="I508" s="916"/>
      <c r="J508" s="917"/>
      <c r="K508"/>
    </row>
    <row r="509" spans="3:11">
      <c r="C509" s="267"/>
      <c r="D509" s="302"/>
      <c r="E509" s="301"/>
      <c r="F509" s="287"/>
      <c r="G509" s="299"/>
      <c r="H509" s="890"/>
      <c r="I509" s="916"/>
      <c r="J509" s="917"/>
      <c r="K509"/>
    </row>
    <row r="510" spans="3:11">
      <c r="C510" s="286" t="s">
        <v>3836</v>
      </c>
      <c r="D510" s="302" t="s">
        <v>3837</v>
      </c>
      <c r="E510" s="301" t="s">
        <v>2089</v>
      </c>
      <c r="F510" s="287">
        <v>0</v>
      </c>
      <c r="G510" s="299"/>
      <c r="H510" s="890"/>
      <c r="I510" s="916"/>
      <c r="J510" s="917"/>
      <c r="K510"/>
    </row>
    <row r="511" spans="3:11">
      <c r="C511" s="286" t="s">
        <v>3838</v>
      </c>
      <c r="D511" s="302" t="s">
        <v>3839</v>
      </c>
      <c r="E511" s="301" t="s">
        <v>2089</v>
      </c>
      <c r="F511" s="287">
        <v>0</v>
      </c>
      <c r="G511" s="299"/>
      <c r="H511" s="890"/>
      <c r="I511" s="916"/>
      <c r="J511" s="917"/>
      <c r="K511"/>
    </row>
    <row r="512" spans="3:11">
      <c r="C512" s="286" t="s">
        <v>3840</v>
      </c>
      <c r="D512" s="302" t="s">
        <v>3841</v>
      </c>
      <c r="E512" s="301" t="s">
        <v>2089</v>
      </c>
      <c r="F512" s="287">
        <v>0</v>
      </c>
      <c r="G512" s="299"/>
      <c r="H512" s="890"/>
      <c r="I512" s="916"/>
      <c r="J512" s="917"/>
      <c r="K512"/>
    </row>
    <row r="513" spans="3:11">
      <c r="C513" s="286" t="s">
        <v>3842</v>
      </c>
      <c r="D513" s="302" t="s">
        <v>3843</v>
      </c>
      <c r="E513" s="301" t="s">
        <v>2089</v>
      </c>
      <c r="F513" s="287">
        <v>0</v>
      </c>
      <c r="G513" s="299"/>
      <c r="H513" s="890"/>
      <c r="I513" s="916"/>
      <c r="J513" s="917"/>
      <c r="K513"/>
    </row>
    <row r="514" spans="3:11">
      <c r="C514" s="286" t="s">
        <v>3844</v>
      </c>
      <c r="D514" s="302" t="s">
        <v>3845</v>
      </c>
      <c r="E514" s="301" t="s">
        <v>2089</v>
      </c>
      <c r="F514" s="287">
        <v>0</v>
      </c>
      <c r="G514" s="299"/>
      <c r="H514" s="890"/>
      <c r="I514" s="916"/>
      <c r="J514" s="917"/>
      <c r="K514"/>
    </row>
    <row r="515" spans="3:11">
      <c r="C515" s="286" t="s">
        <v>3846</v>
      </c>
      <c r="D515" s="302" t="s">
        <v>3847</v>
      </c>
      <c r="E515" s="301" t="s">
        <v>2318</v>
      </c>
      <c r="F515" s="287">
        <v>0</v>
      </c>
      <c r="G515" s="299"/>
      <c r="H515" s="890"/>
      <c r="I515" s="916"/>
      <c r="J515" s="917"/>
      <c r="K515"/>
    </row>
    <row r="516" spans="3:11">
      <c r="C516" s="286" t="s">
        <v>3848</v>
      </c>
      <c r="D516" s="302" t="s">
        <v>3849</v>
      </c>
      <c r="E516" s="301" t="s">
        <v>2318</v>
      </c>
      <c r="F516" s="287">
        <v>0</v>
      </c>
      <c r="G516" s="299"/>
      <c r="H516" s="890"/>
      <c r="I516" s="916"/>
      <c r="J516" s="917"/>
      <c r="K516"/>
    </row>
    <row r="517" spans="3:11">
      <c r="C517" s="286" t="s">
        <v>3850</v>
      </c>
      <c r="D517" s="302" t="s">
        <v>3851</v>
      </c>
      <c r="E517" s="301" t="s">
        <v>2318</v>
      </c>
      <c r="F517" s="287">
        <v>0</v>
      </c>
      <c r="G517" s="299"/>
      <c r="H517" s="890"/>
      <c r="I517" s="916"/>
      <c r="J517" s="917"/>
      <c r="K517"/>
    </row>
    <row r="518" spans="3:11">
      <c r="C518" s="286" t="s">
        <v>3852</v>
      </c>
      <c r="D518" s="302" t="s">
        <v>3853</v>
      </c>
      <c r="E518" s="301" t="s">
        <v>2318</v>
      </c>
      <c r="F518" s="287">
        <v>0</v>
      </c>
      <c r="G518" s="299"/>
      <c r="H518" s="890"/>
      <c r="I518" s="916"/>
      <c r="J518" s="917"/>
      <c r="K518"/>
    </row>
    <row r="519" spans="3:11">
      <c r="C519" s="286" t="s">
        <v>3854</v>
      </c>
      <c r="D519" s="302" t="s">
        <v>3855</v>
      </c>
      <c r="E519" s="301" t="s">
        <v>2318</v>
      </c>
      <c r="F519" s="287">
        <v>0</v>
      </c>
      <c r="G519" s="299"/>
      <c r="H519" s="890"/>
      <c r="I519" s="916"/>
      <c r="J519" s="917"/>
      <c r="K519"/>
    </row>
    <row r="520" spans="3:11">
      <c r="C520" s="286" t="s">
        <v>3856</v>
      </c>
      <c r="D520" s="302" t="s">
        <v>3857</v>
      </c>
      <c r="E520" s="301" t="s">
        <v>2318</v>
      </c>
      <c r="F520" s="287">
        <v>0</v>
      </c>
      <c r="G520" s="299"/>
      <c r="H520" s="890"/>
      <c r="I520" s="916"/>
      <c r="J520" s="917"/>
      <c r="K520"/>
    </row>
    <row r="521" spans="3:11">
      <c r="C521" s="286" t="s">
        <v>3858</v>
      </c>
      <c r="D521" s="302" t="s">
        <v>3859</v>
      </c>
      <c r="E521" s="301" t="s">
        <v>2318</v>
      </c>
      <c r="F521" s="287">
        <v>0</v>
      </c>
      <c r="G521" s="299"/>
      <c r="H521" s="890"/>
      <c r="I521" s="916"/>
      <c r="J521" s="917"/>
      <c r="K521"/>
    </row>
    <row r="522" spans="3:11">
      <c r="C522" s="286" t="s">
        <v>3860</v>
      </c>
      <c r="D522" s="302" t="s">
        <v>3861</v>
      </c>
      <c r="E522" s="301" t="s">
        <v>2318</v>
      </c>
      <c r="F522" s="287">
        <v>0</v>
      </c>
      <c r="G522" s="299"/>
      <c r="H522" s="890"/>
      <c r="I522" s="916"/>
      <c r="J522" s="917"/>
      <c r="K522"/>
    </row>
    <row r="523" spans="3:11">
      <c r="C523" s="286" t="s">
        <v>3862</v>
      </c>
      <c r="D523" s="302" t="s">
        <v>3863</v>
      </c>
      <c r="E523" s="301" t="s">
        <v>2318</v>
      </c>
      <c r="F523" s="287">
        <v>0</v>
      </c>
      <c r="G523" s="299"/>
      <c r="H523" s="890"/>
      <c r="I523" s="916"/>
      <c r="J523" s="917"/>
      <c r="K523"/>
    </row>
    <row r="524" spans="3:11">
      <c r="C524" s="286" t="s">
        <v>3864</v>
      </c>
      <c r="D524" s="302" t="s">
        <v>3865</v>
      </c>
      <c r="E524" s="301" t="s">
        <v>2318</v>
      </c>
      <c r="F524" s="287">
        <v>0</v>
      </c>
      <c r="G524" s="299"/>
      <c r="H524" s="890"/>
      <c r="I524" s="916"/>
      <c r="J524" s="917"/>
      <c r="K524"/>
    </row>
    <row r="525" spans="3:11">
      <c r="C525" s="286" t="s">
        <v>3866</v>
      </c>
      <c r="D525" s="302" t="s">
        <v>3867</v>
      </c>
      <c r="E525" s="301" t="s">
        <v>2318</v>
      </c>
      <c r="F525" s="287">
        <v>0</v>
      </c>
      <c r="G525" s="299"/>
      <c r="H525" s="890"/>
      <c r="I525" s="916"/>
      <c r="J525" s="917"/>
      <c r="K525"/>
    </row>
    <row r="526" spans="3:11">
      <c r="C526" s="286" t="s">
        <v>3868</v>
      </c>
      <c r="D526" s="302" t="s">
        <v>3869</v>
      </c>
      <c r="E526" s="301" t="s">
        <v>2318</v>
      </c>
      <c r="F526" s="287">
        <v>0</v>
      </c>
      <c r="G526" s="299"/>
      <c r="H526" s="890"/>
      <c r="I526" s="916"/>
      <c r="J526" s="917"/>
      <c r="K526"/>
    </row>
    <row r="527" spans="3:11">
      <c r="C527" s="286" t="s">
        <v>3870</v>
      </c>
      <c r="D527" s="302" t="s">
        <v>3871</v>
      </c>
      <c r="E527" s="301" t="s">
        <v>2318</v>
      </c>
      <c r="F527" s="287">
        <v>0</v>
      </c>
      <c r="G527" s="299"/>
      <c r="H527" s="890"/>
      <c r="I527" s="916"/>
      <c r="J527" s="917"/>
      <c r="K527"/>
    </row>
    <row r="528" spans="3:11">
      <c r="C528" s="286" t="s">
        <v>3872</v>
      </c>
      <c r="D528" s="302" t="s">
        <v>3873</v>
      </c>
      <c r="E528" s="301" t="s">
        <v>2318</v>
      </c>
      <c r="F528" s="287">
        <v>0</v>
      </c>
      <c r="G528" s="299"/>
      <c r="H528" s="890"/>
      <c r="I528" s="916"/>
      <c r="J528" s="917"/>
      <c r="K528"/>
    </row>
    <row r="529" spans="3:11">
      <c r="C529" s="286" t="s">
        <v>3874</v>
      </c>
      <c r="D529" s="302" t="s">
        <v>3875</v>
      </c>
      <c r="E529" s="301" t="s">
        <v>2318</v>
      </c>
      <c r="F529" s="287">
        <v>0</v>
      </c>
      <c r="G529" s="299"/>
      <c r="H529" s="890"/>
      <c r="I529" s="916"/>
      <c r="J529" s="917"/>
      <c r="K529"/>
    </row>
    <row r="530" spans="3:11">
      <c r="C530" s="288"/>
      <c r="D530" s="302"/>
      <c r="E530" s="301"/>
      <c r="F530" s="287"/>
      <c r="G530" s="299"/>
      <c r="H530" s="890"/>
      <c r="I530" s="916"/>
      <c r="J530" s="917"/>
      <c r="K530"/>
    </row>
    <row r="531" spans="3:11">
      <c r="C531" s="275">
        <v>5</v>
      </c>
      <c r="D531" s="292" t="s">
        <v>3041</v>
      </c>
      <c r="E531" s="291"/>
      <c r="F531" s="287"/>
      <c r="G531" s="299"/>
      <c r="H531" s="899"/>
      <c r="I531" s="916"/>
      <c r="J531" s="923"/>
      <c r="K531"/>
    </row>
    <row r="532" spans="3:11">
      <c r="C532" s="288" t="s">
        <v>3042</v>
      </c>
      <c r="D532" s="302" t="s">
        <v>3876</v>
      </c>
      <c r="E532" s="301" t="s">
        <v>2089</v>
      </c>
      <c r="F532" s="287">
        <v>0</v>
      </c>
      <c r="G532" s="299"/>
      <c r="H532" s="890"/>
      <c r="I532" s="916"/>
      <c r="J532" s="917"/>
      <c r="K532"/>
    </row>
    <row r="533" spans="3:11">
      <c r="C533" s="288" t="s">
        <v>3044</v>
      </c>
      <c r="D533" s="302" t="s">
        <v>3877</v>
      </c>
      <c r="E533" s="301" t="s">
        <v>2089</v>
      </c>
      <c r="F533" s="287">
        <v>0</v>
      </c>
      <c r="G533" s="299"/>
      <c r="H533" s="890"/>
      <c r="I533" s="916"/>
      <c r="J533" s="917"/>
      <c r="K533"/>
    </row>
    <row r="534" spans="3:11">
      <c r="C534" s="288" t="s">
        <v>3046</v>
      </c>
      <c r="D534" s="302" t="s">
        <v>3878</v>
      </c>
      <c r="E534" s="301" t="s">
        <v>2089</v>
      </c>
      <c r="F534" s="287">
        <v>0</v>
      </c>
      <c r="G534" s="299"/>
      <c r="H534" s="890"/>
      <c r="I534" s="916"/>
      <c r="J534" s="917"/>
      <c r="K534"/>
    </row>
    <row r="535" spans="3:11">
      <c r="C535" s="288" t="s">
        <v>3048</v>
      </c>
      <c r="D535" s="302" t="s">
        <v>3879</v>
      </c>
      <c r="E535" s="301" t="s">
        <v>2089</v>
      </c>
      <c r="F535" s="287">
        <v>0</v>
      </c>
      <c r="G535" s="299"/>
      <c r="H535" s="890"/>
      <c r="I535" s="916"/>
      <c r="J535" s="917"/>
      <c r="K535"/>
    </row>
    <row r="536" spans="3:11">
      <c r="C536" s="288" t="s">
        <v>3050</v>
      </c>
      <c r="D536" s="302" t="s">
        <v>3880</v>
      </c>
      <c r="E536" s="301" t="s">
        <v>2089</v>
      </c>
      <c r="F536" s="287">
        <v>0</v>
      </c>
      <c r="G536" s="299"/>
      <c r="H536" s="890"/>
      <c r="I536" s="916"/>
      <c r="J536" s="917"/>
      <c r="K536"/>
    </row>
    <row r="537" spans="3:11">
      <c r="C537" s="288" t="s">
        <v>3052</v>
      </c>
      <c r="D537" s="302" t="s">
        <v>3881</v>
      </c>
      <c r="E537" s="301" t="s">
        <v>2318</v>
      </c>
      <c r="F537" s="287">
        <v>0</v>
      </c>
      <c r="G537" s="299"/>
      <c r="H537" s="890"/>
      <c r="I537" s="916"/>
      <c r="J537" s="917"/>
      <c r="K537"/>
    </row>
    <row r="538" spans="3:11">
      <c r="C538" s="288" t="s">
        <v>3054</v>
      </c>
      <c r="D538" s="302" t="s">
        <v>3882</v>
      </c>
      <c r="E538" s="301" t="s">
        <v>2318</v>
      </c>
      <c r="F538" s="287">
        <v>0</v>
      </c>
      <c r="G538" s="299"/>
      <c r="H538" s="890"/>
      <c r="I538" s="916"/>
      <c r="J538" s="917"/>
      <c r="K538"/>
    </row>
    <row r="539" spans="3:11">
      <c r="C539" s="288" t="s">
        <v>3056</v>
      </c>
      <c r="D539" s="302" t="s">
        <v>3883</v>
      </c>
      <c r="E539" s="301" t="s">
        <v>2318</v>
      </c>
      <c r="F539" s="287">
        <v>0</v>
      </c>
      <c r="G539" s="299"/>
      <c r="H539" s="890"/>
      <c r="I539" s="916"/>
      <c r="J539" s="917"/>
      <c r="K539"/>
    </row>
    <row r="540" spans="3:11">
      <c r="C540" s="288" t="s">
        <v>3058</v>
      </c>
      <c r="D540" s="302" t="s">
        <v>3884</v>
      </c>
      <c r="E540" s="301" t="s">
        <v>2318</v>
      </c>
      <c r="F540" s="287">
        <v>0</v>
      </c>
      <c r="G540" s="299"/>
      <c r="H540" s="890"/>
      <c r="I540" s="916"/>
      <c r="J540" s="917"/>
      <c r="K540"/>
    </row>
    <row r="541" spans="3:11">
      <c r="C541" s="288" t="s">
        <v>3060</v>
      </c>
      <c r="D541" s="302" t="s">
        <v>3885</v>
      </c>
      <c r="E541" s="301" t="s">
        <v>2318</v>
      </c>
      <c r="F541" s="287">
        <v>0</v>
      </c>
      <c r="G541" s="299"/>
      <c r="H541" s="890"/>
      <c r="I541" s="916"/>
      <c r="J541" s="917"/>
      <c r="K541"/>
    </row>
    <row r="542" spans="3:11">
      <c r="C542" s="288" t="s">
        <v>3062</v>
      </c>
      <c r="D542" s="302" t="s">
        <v>3886</v>
      </c>
      <c r="E542" s="301" t="s">
        <v>2318</v>
      </c>
      <c r="F542" s="287">
        <v>0</v>
      </c>
      <c r="G542" s="299"/>
      <c r="H542" s="890"/>
      <c r="I542" s="916"/>
      <c r="J542" s="917"/>
      <c r="K542"/>
    </row>
    <row r="543" spans="3:11">
      <c r="C543" s="288" t="s">
        <v>3064</v>
      </c>
      <c r="D543" s="302" t="s">
        <v>3887</v>
      </c>
      <c r="E543" s="301" t="s">
        <v>2318</v>
      </c>
      <c r="F543" s="287">
        <v>0</v>
      </c>
      <c r="G543" s="299"/>
      <c r="H543" s="890"/>
      <c r="I543" s="916"/>
      <c r="J543" s="917"/>
      <c r="K543"/>
    </row>
    <row r="544" spans="3:11">
      <c r="C544" s="288" t="s">
        <v>3066</v>
      </c>
      <c r="D544" s="302" t="s">
        <v>3888</v>
      </c>
      <c r="E544" s="301" t="s">
        <v>2318</v>
      </c>
      <c r="F544" s="287">
        <v>0</v>
      </c>
      <c r="G544" s="299"/>
      <c r="H544" s="890"/>
      <c r="I544" s="916"/>
      <c r="J544" s="917"/>
      <c r="K544"/>
    </row>
    <row r="545" spans="3:11">
      <c r="C545" s="288" t="s">
        <v>3068</v>
      </c>
      <c r="D545" s="302" t="s">
        <v>3889</v>
      </c>
      <c r="E545" s="301" t="s">
        <v>2318</v>
      </c>
      <c r="F545" s="287">
        <v>0</v>
      </c>
      <c r="G545" s="299"/>
      <c r="H545" s="890"/>
      <c r="I545" s="916"/>
      <c r="J545" s="917"/>
      <c r="K545"/>
    </row>
    <row r="546" spans="3:11">
      <c r="C546" s="288" t="s">
        <v>3070</v>
      </c>
      <c r="D546" s="302" t="s">
        <v>3890</v>
      </c>
      <c r="E546" s="301" t="s">
        <v>2318</v>
      </c>
      <c r="F546" s="287">
        <v>0</v>
      </c>
      <c r="G546" s="299"/>
      <c r="H546" s="890"/>
      <c r="I546" s="916"/>
      <c r="J546" s="917"/>
      <c r="K546"/>
    </row>
    <row r="547" spans="3:11">
      <c r="C547" s="288" t="s">
        <v>3072</v>
      </c>
      <c r="D547" s="302" t="s">
        <v>3891</v>
      </c>
      <c r="E547" s="301" t="s">
        <v>2318</v>
      </c>
      <c r="F547" s="287">
        <v>0</v>
      </c>
      <c r="G547" s="299"/>
      <c r="H547" s="890"/>
      <c r="I547" s="916"/>
      <c r="J547" s="917"/>
      <c r="K547"/>
    </row>
    <row r="548" spans="3:11">
      <c r="C548" s="288" t="s">
        <v>3074</v>
      </c>
      <c r="D548" s="302" t="s">
        <v>3892</v>
      </c>
      <c r="E548" s="301" t="s">
        <v>2318</v>
      </c>
      <c r="F548" s="287">
        <v>0</v>
      </c>
      <c r="G548" s="299"/>
      <c r="H548" s="890"/>
      <c r="I548" s="916"/>
      <c r="J548" s="917"/>
      <c r="K548"/>
    </row>
    <row r="549" spans="3:11">
      <c r="C549" s="288" t="s">
        <v>3076</v>
      </c>
      <c r="D549" s="302" t="s">
        <v>3893</v>
      </c>
      <c r="E549" s="301" t="s">
        <v>2318</v>
      </c>
      <c r="F549" s="287">
        <v>0</v>
      </c>
      <c r="G549" s="299"/>
      <c r="H549" s="890"/>
      <c r="I549" s="916"/>
      <c r="J549" s="917"/>
      <c r="K549"/>
    </row>
    <row r="550" spans="3:11">
      <c r="C550" s="288" t="s">
        <v>3078</v>
      </c>
      <c r="D550" s="302" t="s">
        <v>3894</v>
      </c>
      <c r="E550" s="301" t="s">
        <v>2318</v>
      </c>
      <c r="F550" s="287">
        <v>0</v>
      </c>
      <c r="G550" s="299"/>
      <c r="H550" s="890"/>
      <c r="I550" s="916"/>
      <c r="J550" s="917"/>
      <c r="K550"/>
    </row>
    <row r="551" spans="3:11">
      <c r="C551" s="288" t="s">
        <v>3080</v>
      </c>
      <c r="D551" s="302" t="s">
        <v>3895</v>
      </c>
      <c r="E551" s="301" t="s">
        <v>2318</v>
      </c>
      <c r="F551" s="287">
        <v>0</v>
      </c>
      <c r="G551" s="299"/>
      <c r="H551" s="890"/>
      <c r="I551" s="916"/>
      <c r="J551" s="917"/>
      <c r="K551"/>
    </row>
    <row r="552" spans="3:11">
      <c r="C552" s="288"/>
      <c r="D552" s="302"/>
      <c r="E552" s="301"/>
      <c r="F552" s="287"/>
      <c r="G552" s="299"/>
      <c r="H552" s="890"/>
      <c r="I552" s="916"/>
      <c r="J552" s="917"/>
      <c r="K552"/>
    </row>
    <row r="553" spans="3:11">
      <c r="C553" s="270" t="s">
        <v>3082</v>
      </c>
      <c r="D553" s="302" t="s">
        <v>3896</v>
      </c>
      <c r="E553" s="301" t="s">
        <v>2089</v>
      </c>
      <c r="F553" s="287">
        <v>0</v>
      </c>
      <c r="G553" s="299"/>
      <c r="H553" s="890"/>
      <c r="I553" s="916"/>
      <c r="J553" s="917"/>
      <c r="K553"/>
    </row>
    <row r="554" spans="3:11">
      <c r="C554" s="270" t="s">
        <v>3084</v>
      </c>
      <c r="D554" s="302" t="s">
        <v>3897</v>
      </c>
      <c r="E554" s="301" t="s">
        <v>2089</v>
      </c>
      <c r="F554" s="287">
        <v>0</v>
      </c>
      <c r="G554" s="299"/>
      <c r="H554" s="890"/>
      <c r="I554" s="916"/>
      <c r="J554" s="917"/>
      <c r="K554"/>
    </row>
    <row r="555" spans="3:11">
      <c r="C555" s="270" t="s">
        <v>3086</v>
      </c>
      <c r="D555" s="302" t="s">
        <v>3898</v>
      </c>
      <c r="E555" s="301" t="s">
        <v>2089</v>
      </c>
      <c r="F555" s="287">
        <v>0</v>
      </c>
      <c r="G555" s="299"/>
      <c r="H555" s="890"/>
      <c r="I555" s="916"/>
      <c r="J555" s="917"/>
      <c r="K555"/>
    </row>
    <row r="556" spans="3:11">
      <c r="C556" s="270" t="s">
        <v>3088</v>
      </c>
      <c r="D556" s="302" t="s">
        <v>3899</v>
      </c>
      <c r="E556" s="301" t="s">
        <v>2089</v>
      </c>
      <c r="F556" s="287">
        <v>1</v>
      </c>
      <c r="G556" s="299">
        <f>$L$9*I556</f>
        <v>626817371.58625579</v>
      </c>
      <c r="H556" s="890">
        <f>F556*G556</f>
        <v>626817371.58625579</v>
      </c>
      <c r="I556" s="916">
        <f>'Pondasi 4 Pile'!AI116</f>
        <v>626817371.58625579</v>
      </c>
      <c r="J556" s="917">
        <f>F556*I556</f>
        <v>626817371.58625579</v>
      </c>
      <c r="K556"/>
    </row>
    <row r="557" spans="3:11">
      <c r="C557" s="270" t="s">
        <v>3090</v>
      </c>
      <c r="D557" s="302" t="s">
        <v>3900</v>
      </c>
      <c r="E557" s="301" t="s">
        <v>2089</v>
      </c>
      <c r="F557" s="287">
        <v>0</v>
      </c>
      <c r="G557" s="299"/>
      <c r="H557" s="890"/>
      <c r="I557" s="916"/>
      <c r="J557" s="917"/>
      <c r="K557"/>
    </row>
    <row r="558" spans="3:11">
      <c r="C558" s="270" t="s">
        <v>3092</v>
      </c>
      <c r="D558" s="302" t="s">
        <v>3901</v>
      </c>
      <c r="E558" s="301" t="s">
        <v>2318</v>
      </c>
      <c r="F558" s="287">
        <v>0</v>
      </c>
      <c r="G558" s="299"/>
      <c r="H558" s="890"/>
      <c r="I558" s="916"/>
      <c r="J558" s="917"/>
      <c r="K558"/>
    </row>
    <row r="559" spans="3:11">
      <c r="C559" s="270" t="s">
        <v>3094</v>
      </c>
      <c r="D559" s="302" t="s">
        <v>3902</v>
      </c>
      <c r="E559" s="301" t="s">
        <v>2318</v>
      </c>
      <c r="F559" s="287">
        <v>0</v>
      </c>
      <c r="G559" s="299"/>
      <c r="H559" s="890"/>
      <c r="I559" s="916"/>
      <c r="J559" s="917"/>
      <c r="K559"/>
    </row>
    <row r="560" spans="3:11">
      <c r="C560" s="270" t="s">
        <v>3096</v>
      </c>
      <c r="D560" s="302" t="s">
        <v>3903</v>
      </c>
      <c r="E560" s="301" t="s">
        <v>2318</v>
      </c>
      <c r="F560" s="287">
        <v>0</v>
      </c>
      <c r="G560" s="299"/>
      <c r="H560" s="890"/>
      <c r="I560" s="916"/>
      <c r="J560" s="917"/>
      <c r="K560"/>
    </row>
    <row r="561" spans="3:11">
      <c r="C561" s="269" t="s">
        <v>3098</v>
      </c>
      <c r="D561" s="284" t="s">
        <v>3904</v>
      </c>
      <c r="E561" s="283" t="s">
        <v>2318</v>
      </c>
      <c r="F561" s="282">
        <v>0</v>
      </c>
      <c r="G561" s="281"/>
      <c r="H561" s="897"/>
      <c r="I561" s="924"/>
      <c r="J561" s="925"/>
      <c r="K561"/>
    </row>
    <row r="562" spans="3:11">
      <c r="C562" s="268" t="s">
        <v>3100</v>
      </c>
      <c r="D562" s="279" t="s">
        <v>3905</v>
      </c>
      <c r="E562" s="278" t="s">
        <v>2318</v>
      </c>
      <c r="F562" s="277">
        <v>0</v>
      </c>
      <c r="G562" s="276"/>
      <c r="H562" s="898"/>
      <c r="I562" s="926"/>
      <c r="J562" s="927"/>
      <c r="K562"/>
    </row>
    <row r="563" spans="3:11">
      <c r="C563" s="270" t="s">
        <v>3102</v>
      </c>
      <c r="D563" s="302" t="s">
        <v>3906</v>
      </c>
      <c r="E563" s="301" t="s">
        <v>2318</v>
      </c>
      <c r="F563" s="287">
        <v>0</v>
      </c>
      <c r="G563" s="299"/>
      <c r="H563" s="890"/>
      <c r="I563" s="916"/>
      <c r="J563" s="917"/>
      <c r="K563"/>
    </row>
    <row r="564" spans="3:11">
      <c r="C564" s="270" t="s">
        <v>3104</v>
      </c>
      <c r="D564" s="302" t="s">
        <v>3907</v>
      </c>
      <c r="E564" s="301" t="s">
        <v>2318</v>
      </c>
      <c r="F564" s="287">
        <v>0</v>
      </c>
      <c r="G564" s="299"/>
      <c r="H564" s="890"/>
      <c r="I564" s="916"/>
      <c r="J564" s="917"/>
      <c r="K564"/>
    </row>
    <row r="565" spans="3:11">
      <c r="C565" s="270" t="s">
        <v>3106</v>
      </c>
      <c r="D565" s="302" t="s">
        <v>3908</v>
      </c>
      <c r="E565" s="301" t="s">
        <v>2318</v>
      </c>
      <c r="F565" s="287">
        <v>0</v>
      </c>
      <c r="G565" s="299"/>
      <c r="H565" s="890"/>
      <c r="I565" s="916"/>
      <c r="J565" s="917"/>
      <c r="K565"/>
    </row>
    <row r="566" spans="3:11">
      <c r="C566" s="270" t="s">
        <v>3108</v>
      </c>
      <c r="D566" s="302" t="s">
        <v>3909</v>
      </c>
      <c r="E566" s="301" t="s">
        <v>2318</v>
      </c>
      <c r="F566" s="287">
        <v>0</v>
      </c>
      <c r="G566" s="299"/>
      <c r="H566" s="890"/>
      <c r="I566" s="916"/>
      <c r="J566" s="917"/>
      <c r="K566"/>
    </row>
    <row r="567" spans="3:11">
      <c r="C567" s="270" t="s">
        <v>3110</v>
      </c>
      <c r="D567" s="302" t="s">
        <v>3910</v>
      </c>
      <c r="E567" s="301" t="s">
        <v>2318</v>
      </c>
      <c r="F567" s="287">
        <v>0</v>
      </c>
      <c r="G567" s="299"/>
      <c r="H567" s="890"/>
      <c r="I567" s="916"/>
      <c r="J567" s="917"/>
      <c r="K567"/>
    </row>
    <row r="568" spans="3:11">
      <c r="C568" s="270" t="s">
        <v>3112</v>
      </c>
      <c r="D568" s="302" t="s">
        <v>3911</v>
      </c>
      <c r="E568" s="301" t="s">
        <v>2318</v>
      </c>
      <c r="F568" s="287">
        <v>0</v>
      </c>
      <c r="G568" s="299"/>
      <c r="H568" s="890"/>
      <c r="I568" s="916"/>
      <c r="J568" s="917"/>
      <c r="K568"/>
    </row>
    <row r="569" spans="3:11">
      <c r="C569" s="270" t="s">
        <v>3114</v>
      </c>
      <c r="D569" s="302" t="s">
        <v>3912</v>
      </c>
      <c r="E569" s="301" t="s">
        <v>2318</v>
      </c>
      <c r="F569" s="287">
        <v>0</v>
      </c>
      <c r="G569" s="299"/>
      <c r="H569" s="890"/>
      <c r="I569" s="916"/>
      <c r="J569" s="917"/>
      <c r="K569"/>
    </row>
    <row r="570" spans="3:11">
      <c r="C570" s="270" t="s">
        <v>3116</v>
      </c>
      <c r="D570" s="302" t="s">
        <v>3913</v>
      </c>
      <c r="E570" s="301" t="s">
        <v>2318</v>
      </c>
      <c r="F570" s="287">
        <v>0</v>
      </c>
      <c r="G570" s="299"/>
      <c r="H570" s="890"/>
      <c r="I570" s="916"/>
      <c r="J570" s="917"/>
      <c r="K570"/>
    </row>
    <row r="571" spans="3:11">
      <c r="C571" s="270" t="s">
        <v>3118</v>
      </c>
      <c r="D571" s="302" t="s">
        <v>3914</v>
      </c>
      <c r="E571" s="301" t="s">
        <v>2318</v>
      </c>
      <c r="F571" s="287">
        <v>0</v>
      </c>
      <c r="G571" s="299"/>
      <c r="H571" s="890"/>
      <c r="I571" s="916"/>
      <c r="J571" s="917"/>
      <c r="K571"/>
    </row>
    <row r="572" spans="3:11">
      <c r="C572" s="270" t="s">
        <v>3120</v>
      </c>
      <c r="D572" s="302" t="s">
        <v>3915</v>
      </c>
      <c r="E572" s="301" t="s">
        <v>2318</v>
      </c>
      <c r="F572" s="287">
        <v>0</v>
      </c>
      <c r="G572" s="299"/>
      <c r="H572" s="890"/>
      <c r="I572" s="916"/>
      <c r="J572" s="917"/>
      <c r="K572"/>
    </row>
    <row r="573" spans="3:11">
      <c r="C573" s="288"/>
      <c r="D573" s="302"/>
      <c r="E573" s="301"/>
      <c r="F573" s="287"/>
      <c r="G573" s="299"/>
      <c r="H573" s="890"/>
      <c r="I573" s="916"/>
      <c r="J573" s="917"/>
      <c r="K573"/>
    </row>
    <row r="574" spans="3:11">
      <c r="C574" s="270" t="s">
        <v>3122</v>
      </c>
      <c r="D574" s="302" t="s">
        <v>3916</v>
      </c>
      <c r="E574" s="301" t="s">
        <v>2089</v>
      </c>
      <c r="F574" s="287">
        <v>0</v>
      </c>
      <c r="G574" s="299"/>
      <c r="H574" s="890"/>
      <c r="I574" s="916"/>
      <c r="J574" s="917"/>
      <c r="K574"/>
    </row>
    <row r="575" spans="3:11">
      <c r="C575" s="270" t="s">
        <v>3124</v>
      </c>
      <c r="D575" s="302" t="s">
        <v>3917</v>
      </c>
      <c r="E575" s="301" t="s">
        <v>2089</v>
      </c>
      <c r="F575" s="287">
        <v>0</v>
      </c>
      <c r="G575" s="299"/>
      <c r="H575" s="890"/>
      <c r="I575" s="916"/>
      <c r="J575" s="917"/>
      <c r="K575"/>
    </row>
    <row r="576" spans="3:11">
      <c r="C576" s="270" t="s">
        <v>3126</v>
      </c>
      <c r="D576" s="302" t="s">
        <v>3918</v>
      </c>
      <c r="E576" s="301" t="s">
        <v>2089</v>
      </c>
      <c r="F576" s="287">
        <v>0</v>
      </c>
      <c r="G576" s="299"/>
      <c r="H576" s="890"/>
      <c r="I576" s="916"/>
      <c r="J576" s="917"/>
      <c r="K576"/>
    </row>
    <row r="577" spans="3:11">
      <c r="C577" s="270" t="s">
        <v>3128</v>
      </c>
      <c r="D577" s="302" t="s">
        <v>3919</v>
      </c>
      <c r="E577" s="301" t="s">
        <v>2089</v>
      </c>
      <c r="F577" s="287">
        <v>0</v>
      </c>
      <c r="G577" s="299"/>
      <c r="H577" s="890"/>
      <c r="I577" s="916"/>
      <c r="J577" s="917"/>
      <c r="K577"/>
    </row>
    <row r="578" spans="3:11">
      <c r="C578" s="270" t="s">
        <v>3130</v>
      </c>
      <c r="D578" s="302" t="s">
        <v>3920</v>
      </c>
      <c r="E578" s="301" t="s">
        <v>2089</v>
      </c>
      <c r="F578" s="287">
        <v>0</v>
      </c>
      <c r="G578" s="299"/>
      <c r="H578" s="890"/>
      <c r="I578" s="916"/>
      <c r="J578" s="917"/>
      <c r="K578"/>
    </row>
    <row r="579" spans="3:11">
      <c r="C579" s="270" t="s">
        <v>3132</v>
      </c>
      <c r="D579" s="302" t="s">
        <v>3921</v>
      </c>
      <c r="E579" s="301" t="s">
        <v>2318</v>
      </c>
      <c r="F579" s="287">
        <v>0</v>
      </c>
      <c r="G579" s="299"/>
      <c r="H579" s="890"/>
      <c r="I579" s="916"/>
      <c r="J579" s="917"/>
      <c r="K579"/>
    </row>
    <row r="580" spans="3:11">
      <c r="C580" s="270" t="s">
        <v>3134</v>
      </c>
      <c r="D580" s="302" t="s">
        <v>3922</v>
      </c>
      <c r="E580" s="301" t="s">
        <v>2318</v>
      </c>
      <c r="F580" s="287">
        <v>0</v>
      </c>
      <c r="G580" s="299"/>
      <c r="H580" s="890"/>
      <c r="I580" s="916"/>
      <c r="J580" s="917"/>
      <c r="K580"/>
    </row>
    <row r="581" spans="3:11">
      <c r="C581" s="270" t="s">
        <v>3136</v>
      </c>
      <c r="D581" s="302" t="s">
        <v>3923</v>
      </c>
      <c r="E581" s="301" t="s">
        <v>2318</v>
      </c>
      <c r="F581" s="287">
        <v>0</v>
      </c>
      <c r="G581" s="299"/>
      <c r="H581" s="890"/>
      <c r="I581" s="916"/>
      <c r="J581" s="917"/>
      <c r="K581"/>
    </row>
    <row r="582" spans="3:11">
      <c r="C582" s="270" t="s">
        <v>3138</v>
      </c>
      <c r="D582" s="302" t="s">
        <v>3924</v>
      </c>
      <c r="E582" s="301" t="s">
        <v>2318</v>
      </c>
      <c r="F582" s="287">
        <v>0</v>
      </c>
      <c r="G582" s="299"/>
      <c r="H582" s="890"/>
      <c r="I582" s="916"/>
      <c r="J582" s="917"/>
      <c r="K582"/>
    </row>
    <row r="583" spans="3:11">
      <c r="C583" s="270" t="s">
        <v>3140</v>
      </c>
      <c r="D583" s="302" t="s">
        <v>3925</v>
      </c>
      <c r="E583" s="301" t="s">
        <v>2318</v>
      </c>
      <c r="F583" s="287">
        <v>0</v>
      </c>
      <c r="G583" s="299"/>
      <c r="H583" s="890"/>
      <c r="I583" s="916"/>
      <c r="J583" s="917"/>
      <c r="K583"/>
    </row>
    <row r="584" spans="3:11">
      <c r="C584" s="270" t="s">
        <v>3142</v>
      </c>
      <c r="D584" s="302" t="s">
        <v>3926</v>
      </c>
      <c r="E584" s="301" t="s">
        <v>2318</v>
      </c>
      <c r="F584" s="287">
        <v>0</v>
      </c>
      <c r="G584" s="299"/>
      <c r="H584" s="890"/>
      <c r="I584" s="916"/>
      <c r="J584" s="917"/>
      <c r="K584"/>
    </row>
    <row r="585" spans="3:11">
      <c r="C585" s="270" t="s">
        <v>3144</v>
      </c>
      <c r="D585" s="302" t="s">
        <v>3927</v>
      </c>
      <c r="E585" s="301" t="s">
        <v>2318</v>
      </c>
      <c r="F585" s="287">
        <v>0</v>
      </c>
      <c r="G585" s="299"/>
      <c r="H585" s="890"/>
      <c r="I585" s="916"/>
      <c r="J585" s="917"/>
      <c r="K585"/>
    </row>
    <row r="586" spans="3:11">
      <c r="C586" s="270" t="s">
        <v>3146</v>
      </c>
      <c r="D586" s="302" t="s">
        <v>3928</v>
      </c>
      <c r="E586" s="301" t="s">
        <v>2318</v>
      </c>
      <c r="F586" s="287">
        <v>0</v>
      </c>
      <c r="G586" s="299"/>
      <c r="H586" s="890"/>
      <c r="I586" s="916"/>
      <c r="J586" s="917"/>
      <c r="K586"/>
    </row>
    <row r="587" spans="3:11">
      <c r="C587" s="270" t="s">
        <v>3148</v>
      </c>
      <c r="D587" s="302" t="s">
        <v>3929</v>
      </c>
      <c r="E587" s="301" t="s">
        <v>2318</v>
      </c>
      <c r="F587" s="287">
        <v>0</v>
      </c>
      <c r="G587" s="299"/>
      <c r="H587" s="890"/>
      <c r="I587" s="916"/>
      <c r="J587" s="917"/>
      <c r="K587"/>
    </row>
    <row r="588" spans="3:11">
      <c r="C588" s="270" t="s">
        <v>3150</v>
      </c>
      <c r="D588" s="302" t="s">
        <v>3930</v>
      </c>
      <c r="E588" s="301" t="s">
        <v>2318</v>
      </c>
      <c r="F588" s="287">
        <v>0</v>
      </c>
      <c r="G588" s="299"/>
      <c r="H588" s="890"/>
      <c r="I588" s="916"/>
      <c r="J588" s="917"/>
      <c r="K588"/>
    </row>
    <row r="589" spans="3:11">
      <c r="C589" s="270" t="s">
        <v>3152</v>
      </c>
      <c r="D589" s="302" t="s">
        <v>3931</v>
      </c>
      <c r="E589" s="301" t="s">
        <v>2318</v>
      </c>
      <c r="F589" s="287">
        <v>0</v>
      </c>
      <c r="G589" s="299"/>
      <c r="H589" s="890"/>
      <c r="I589" s="916"/>
      <c r="J589" s="917"/>
      <c r="K589"/>
    </row>
    <row r="590" spans="3:11">
      <c r="C590" s="270" t="s">
        <v>3154</v>
      </c>
      <c r="D590" s="302" t="s">
        <v>3932</v>
      </c>
      <c r="E590" s="301" t="s">
        <v>2318</v>
      </c>
      <c r="F590" s="287">
        <v>0</v>
      </c>
      <c r="G590" s="299"/>
      <c r="H590" s="890"/>
      <c r="I590" s="916"/>
      <c r="J590" s="917"/>
      <c r="K590"/>
    </row>
    <row r="591" spans="3:11">
      <c r="C591" s="270" t="s">
        <v>3156</v>
      </c>
      <c r="D591" s="302" t="s">
        <v>3933</v>
      </c>
      <c r="E591" s="301" t="s">
        <v>2318</v>
      </c>
      <c r="F591" s="287">
        <v>0</v>
      </c>
      <c r="G591" s="299"/>
      <c r="H591" s="890"/>
      <c r="I591" s="916"/>
      <c r="J591" s="917"/>
      <c r="K591"/>
    </row>
    <row r="592" spans="3:11">
      <c r="C592" s="270" t="s">
        <v>3158</v>
      </c>
      <c r="D592" s="302" t="s">
        <v>3934</v>
      </c>
      <c r="E592" s="301" t="s">
        <v>2318</v>
      </c>
      <c r="F592" s="287">
        <v>0</v>
      </c>
      <c r="G592" s="299"/>
      <c r="H592" s="890"/>
      <c r="I592" s="916"/>
      <c r="J592" s="917"/>
      <c r="K592"/>
    </row>
    <row r="593" spans="3:11">
      <c r="C593" s="270" t="s">
        <v>3160</v>
      </c>
      <c r="D593" s="302" t="s">
        <v>3935</v>
      </c>
      <c r="E593" s="301" t="s">
        <v>2318</v>
      </c>
      <c r="F593" s="287">
        <v>0</v>
      </c>
      <c r="G593" s="299"/>
      <c r="H593" s="890"/>
      <c r="I593" s="916"/>
      <c r="J593" s="917"/>
      <c r="K593"/>
    </row>
    <row r="594" spans="3:11">
      <c r="C594" s="288"/>
      <c r="D594" s="302"/>
      <c r="E594" s="301"/>
      <c r="F594" s="287"/>
      <c r="G594" s="299"/>
      <c r="H594" s="890"/>
      <c r="I594" s="916"/>
      <c r="J594" s="917"/>
      <c r="K594"/>
    </row>
    <row r="595" spans="3:11">
      <c r="C595" s="270" t="s">
        <v>3162</v>
      </c>
      <c r="D595" s="302" t="s">
        <v>3936</v>
      </c>
      <c r="E595" s="301" t="s">
        <v>2089</v>
      </c>
      <c r="F595" s="287">
        <v>0</v>
      </c>
      <c r="G595" s="299"/>
      <c r="H595" s="890"/>
      <c r="I595" s="916"/>
      <c r="J595" s="917"/>
      <c r="K595"/>
    </row>
    <row r="596" spans="3:11">
      <c r="C596" s="270" t="s">
        <v>3164</v>
      </c>
      <c r="D596" s="302" t="s">
        <v>3937</v>
      </c>
      <c r="E596" s="301" t="s">
        <v>2089</v>
      </c>
      <c r="F596" s="287">
        <v>0</v>
      </c>
      <c r="G596" s="299"/>
      <c r="H596" s="890"/>
      <c r="I596" s="916"/>
      <c r="J596" s="917"/>
      <c r="K596"/>
    </row>
    <row r="597" spans="3:11">
      <c r="C597" s="270" t="s">
        <v>3166</v>
      </c>
      <c r="D597" s="302" t="s">
        <v>3938</v>
      </c>
      <c r="E597" s="301" t="s">
        <v>2089</v>
      </c>
      <c r="F597" s="287">
        <v>0</v>
      </c>
      <c r="G597" s="299"/>
      <c r="H597" s="890"/>
      <c r="I597" s="916"/>
      <c r="J597" s="917"/>
      <c r="K597"/>
    </row>
    <row r="598" spans="3:11">
      <c r="C598" s="270" t="s">
        <v>3168</v>
      </c>
      <c r="D598" s="302" t="s">
        <v>3939</v>
      </c>
      <c r="E598" s="301" t="s">
        <v>2089</v>
      </c>
      <c r="F598" s="287">
        <v>0</v>
      </c>
      <c r="G598" s="299"/>
      <c r="H598" s="890"/>
      <c r="I598" s="916"/>
      <c r="J598" s="917"/>
      <c r="K598"/>
    </row>
    <row r="599" spans="3:11">
      <c r="C599" s="270" t="s">
        <v>3170</v>
      </c>
      <c r="D599" s="302" t="s">
        <v>3940</v>
      </c>
      <c r="E599" s="301" t="s">
        <v>2089</v>
      </c>
      <c r="F599" s="287">
        <v>0</v>
      </c>
      <c r="G599" s="299"/>
      <c r="H599" s="890"/>
      <c r="I599" s="916"/>
      <c r="J599" s="917"/>
      <c r="K599"/>
    </row>
    <row r="600" spans="3:11">
      <c r="C600" s="270" t="s">
        <v>3172</v>
      </c>
      <c r="D600" s="302" t="s">
        <v>3941</v>
      </c>
      <c r="E600" s="301" t="s">
        <v>2318</v>
      </c>
      <c r="F600" s="287">
        <v>0</v>
      </c>
      <c r="G600" s="299"/>
      <c r="H600" s="890"/>
      <c r="I600" s="916"/>
      <c r="J600" s="917"/>
      <c r="K600"/>
    </row>
    <row r="601" spans="3:11">
      <c r="C601" s="270" t="s">
        <v>3174</v>
      </c>
      <c r="D601" s="302" t="s">
        <v>3942</v>
      </c>
      <c r="E601" s="301" t="s">
        <v>2318</v>
      </c>
      <c r="F601" s="287">
        <v>0</v>
      </c>
      <c r="G601" s="299"/>
      <c r="H601" s="890"/>
      <c r="I601" s="916"/>
      <c r="J601" s="917"/>
      <c r="K601"/>
    </row>
    <row r="602" spans="3:11">
      <c r="C602" s="270" t="s">
        <v>3176</v>
      </c>
      <c r="D602" s="302" t="s">
        <v>3943</v>
      </c>
      <c r="E602" s="301" t="s">
        <v>2318</v>
      </c>
      <c r="F602" s="287">
        <v>0</v>
      </c>
      <c r="G602" s="299"/>
      <c r="H602" s="890"/>
      <c r="I602" s="916"/>
      <c r="J602" s="917"/>
      <c r="K602"/>
    </row>
    <row r="603" spans="3:11">
      <c r="C603" s="270" t="s">
        <v>3178</v>
      </c>
      <c r="D603" s="302" t="s">
        <v>3944</v>
      </c>
      <c r="E603" s="301" t="s">
        <v>2318</v>
      </c>
      <c r="F603" s="287">
        <v>0</v>
      </c>
      <c r="G603" s="299"/>
      <c r="H603" s="890"/>
      <c r="I603" s="916"/>
      <c r="J603" s="917"/>
      <c r="K603"/>
    </row>
    <row r="604" spans="3:11">
      <c r="C604" s="270" t="s">
        <v>3180</v>
      </c>
      <c r="D604" s="302" t="s">
        <v>3945</v>
      </c>
      <c r="E604" s="301" t="s">
        <v>2318</v>
      </c>
      <c r="F604" s="287">
        <v>0</v>
      </c>
      <c r="G604" s="299"/>
      <c r="H604" s="890"/>
      <c r="I604" s="916"/>
      <c r="J604" s="917"/>
      <c r="K604"/>
    </row>
    <row r="605" spans="3:11">
      <c r="C605" s="270" t="s">
        <v>3182</v>
      </c>
      <c r="D605" s="302" t="s">
        <v>3946</v>
      </c>
      <c r="E605" s="301" t="s">
        <v>2318</v>
      </c>
      <c r="F605" s="287">
        <v>0</v>
      </c>
      <c r="G605" s="299"/>
      <c r="H605" s="890"/>
      <c r="I605" s="916"/>
      <c r="J605" s="917"/>
      <c r="K605"/>
    </row>
    <row r="606" spans="3:11">
      <c r="C606" s="270" t="s">
        <v>3184</v>
      </c>
      <c r="D606" s="302" t="s">
        <v>3947</v>
      </c>
      <c r="E606" s="301" t="s">
        <v>2318</v>
      </c>
      <c r="F606" s="287">
        <v>0</v>
      </c>
      <c r="G606" s="299"/>
      <c r="H606" s="890"/>
      <c r="I606" s="916"/>
      <c r="J606" s="917"/>
      <c r="K606"/>
    </row>
    <row r="607" spans="3:11">
      <c r="C607" s="270" t="s">
        <v>3186</v>
      </c>
      <c r="D607" s="302" t="s">
        <v>3948</v>
      </c>
      <c r="E607" s="301" t="s">
        <v>2318</v>
      </c>
      <c r="F607" s="287">
        <v>0</v>
      </c>
      <c r="G607" s="299"/>
      <c r="H607" s="890"/>
      <c r="I607" s="916"/>
      <c r="J607" s="917"/>
      <c r="K607"/>
    </row>
    <row r="608" spans="3:11">
      <c r="C608" s="270" t="s">
        <v>3188</v>
      </c>
      <c r="D608" s="302" t="s">
        <v>3949</v>
      </c>
      <c r="E608" s="301" t="s">
        <v>2318</v>
      </c>
      <c r="F608" s="287">
        <v>0</v>
      </c>
      <c r="G608" s="299"/>
      <c r="H608" s="890"/>
      <c r="I608" s="916"/>
      <c r="J608" s="917"/>
      <c r="K608"/>
    </row>
    <row r="609" spans="3:11">
      <c r="C609" s="270" t="s">
        <v>3190</v>
      </c>
      <c r="D609" s="302" t="s">
        <v>3950</v>
      </c>
      <c r="E609" s="301" t="s">
        <v>2318</v>
      </c>
      <c r="F609" s="287">
        <v>0</v>
      </c>
      <c r="G609" s="299"/>
      <c r="H609" s="890"/>
      <c r="I609" s="916"/>
      <c r="J609" s="917"/>
      <c r="K609"/>
    </row>
    <row r="610" spans="3:11">
      <c r="C610" s="270" t="s">
        <v>3192</v>
      </c>
      <c r="D610" s="302" t="s">
        <v>3951</v>
      </c>
      <c r="E610" s="301" t="s">
        <v>2318</v>
      </c>
      <c r="F610" s="287">
        <v>0</v>
      </c>
      <c r="G610" s="299"/>
      <c r="H610" s="890"/>
      <c r="I610" s="916"/>
      <c r="J610" s="917"/>
      <c r="K610"/>
    </row>
    <row r="611" spans="3:11">
      <c r="C611" s="270" t="s">
        <v>3194</v>
      </c>
      <c r="D611" s="302" t="s">
        <v>3952</v>
      </c>
      <c r="E611" s="301" t="s">
        <v>2318</v>
      </c>
      <c r="F611" s="287">
        <v>0</v>
      </c>
      <c r="G611" s="299"/>
      <c r="H611" s="890"/>
      <c r="I611" s="916"/>
      <c r="J611" s="917"/>
      <c r="K611"/>
    </row>
    <row r="612" spans="3:11">
      <c r="C612" s="270" t="s">
        <v>3196</v>
      </c>
      <c r="D612" s="302" t="s">
        <v>3953</v>
      </c>
      <c r="E612" s="301" t="s">
        <v>2318</v>
      </c>
      <c r="F612" s="287">
        <v>0</v>
      </c>
      <c r="G612" s="299"/>
      <c r="H612" s="890"/>
      <c r="I612" s="916"/>
      <c r="J612" s="917"/>
      <c r="K612"/>
    </row>
    <row r="613" spans="3:11">
      <c r="C613" s="270" t="s">
        <v>3198</v>
      </c>
      <c r="D613" s="302" t="s">
        <v>3954</v>
      </c>
      <c r="E613" s="301" t="s">
        <v>2318</v>
      </c>
      <c r="F613" s="287">
        <v>0</v>
      </c>
      <c r="G613" s="299"/>
      <c r="H613" s="890"/>
      <c r="I613" s="916"/>
      <c r="J613" s="917"/>
      <c r="K613"/>
    </row>
    <row r="614" spans="3:11">
      <c r="C614" s="270" t="s">
        <v>3200</v>
      </c>
      <c r="D614" s="302" t="s">
        <v>3955</v>
      </c>
      <c r="E614" s="301" t="s">
        <v>2318</v>
      </c>
      <c r="F614" s="287">
        <v>0</v>
      </c>
      <c r="G614" s="299"/>
      <c r="H614" s="890"/>
      <c r="I614" s="916"/>
      <c r="J614" s="917"/>
      <c r="K614"/>
    </row>
    <row r="615" spans="3:11">
      <c r="C615" s="288"/>
      <c r="D615" s="302"/>
      <c r="E615" s="301"/>
      <c r="F615" s="287"/>
      <c r="G615" s="299"/>
      <c r="H615" s="890"/>
      <c r="I615" s="916"/>
      <c r="J615" s="917"/>
      <c r="K615"/>
    </row>
    <row r="616" spans="3:11">
      <c r="C616" s="270" t="s">
        <v>3202</v>
      </c>
      <c r="D616" s="302" t="s">
        <v>3956</v>
      </c>
      <c r="E616" s="301" t="s">
        <v>2089</v>
      </c>
      <c r="F616" s="287">
        <v>0</v>
      </c>
      <c r="G616" s="299"/>
      <c r="H616" s="890"/>
      <c r="I616" s="916"/>
      <c r="J616" s="917"/>
      <c r="K616"/>
    </row>
    <row r="617" spans="3:11">
      <c r="C617" s="270" t="s">
        <v>3204</v>
      </c>
      <c r="D617" s="302" t="s">
        <v>3957</v>
      </c>
      <c r="E617" s="301" t="s">
        <v>2089</v>
      </c>
      <c r="F617" s="287">
        <v>0</v>
      </c>
      <c r="G617" s="299"/>
      <c r="H617" s="890"/>
      <c r="I617" s="916"/>
      <c r="J617" s="917"/>
      <c r="K617"/>
    </row>
    <row r="618" spans="3:11">
      <c r="C618" s="270" t="s">
        <v>3206</v>
      </c>
      <c r="D618" s="302" t="s">
        <v>3958</v>
      </c>
      <c r="E618" s="301" t="s">
        <v>2089</v>
      </c>
      <c r="F618" s="287">
        <v>0</v>
      </c>
      <c r="G618" s="299"/>
      <c r="H618" s="890"/>
      <c r="I618" s="916"/>
      <c r="J618" s="917"/>
      <c r="K618"/>
    </row>
    <row r="619" spans="3:11">
      <c r="C619" s="270" t="s">
        <v>3208</v>
      </c>
      <c r="D619" s="302" t="s">
        <v>3959</v>
      </c>
      <c r="E619" s="301" t="s">
        <v>2089</v>
      </c>
      <c r="F619" s="287">
        <v>0</v>
      </c>
      <c r="G619" s="299"/>
      <c r="H619" s="890"/>
      <c r="I619" s="916"/>
      <c r="J619" s="917"/>
      <c r="K619"/>
    </row>
    <row r="620" spans="3:11">
      <c r="C620" s="270" t="s">
        <v>3210</v>
      </c>
      <c r="D620" s="302" t="s">
        <v>3960</v>
      </c>
      <c r="E620" s="301" t="s">
        <v>2089</v>
      </c>
      <c r="F620" s="287">
        <v>0</v>
      </c>
      <c r="G620" s="299"/>
      <c r="H620" s="890"/>
      <c r="I620" s="916"/>
      <c r="J620" s="917"/>
      <c r="K620"/>
    </row>
    <row r="621" spans="3:11">
      <c r="C621" s="270" t="s">
        <v>3212</v>
      </c>
      <c r="D621" s="302" t="s">
        <v>3961</v>
      </c>
      <c r="E621" s="301" t="s">
        <v>2318</v>
      </c>
      <c r="F621" s="287">
        <v>0</v>
      </c>
      <c r="G621" s="299"/>
      <c r="H621" s="890"/>
      <c r="I621" s="916"/>
      <c r="J621" s="917"/>
      <c r="K621"/>
    </row>
    <row r="622" spans="3:11">
      <c r="C622" s="270" t="s">
        <v>3214</v>
      </c>
      <c r="D622" s="302" t="s">
        <v>3962</v>
      </c>
      <c r="E622" s="301" t="s">
        <v>2318</v>
      </c>
      <c r="F622" s="287">
        <v>0</v>
      </c>
      <c r="G622" s="299"/>
      <c r="H622" s="890"/>
      <c r="I622" s="916"/>
      <c r="J622" s="917"/>
      <c r="K622"/>
    </row>
    <row r="623" spans="3:11">
      <c r="C623" s="270" t="s">
        <v>3216</v>
      </c>
      <c r="D623" s="302" t="s">
        <v>3963</v>
      </c>
      <c r="E623" s="301" t="s">
        <v>2318</v>
      </c>
      <c r="F623" s="287">
        <v>0</v>
      </c>
      <c r="G623" s="299"/>
      <c r="H623" s="890"/>
      <c r="I623" s="916"/>
      <c r="J623" s="917"/>
      <c r="K623"/>
    </row>
    <row r="624" spans="3:11">
      <c r="C624" s="270" t="s">
        <v>3218</v>
      </c>
      <c r="D624" s="302" t="s">
        <v>3964</v>
      </c>
      <c r="E624" s="301" t="s">
        <v>2318</v>
      </c>
      <c r="F624" s="287">
        <v>0</v>
      </c>
      <c r="G624" s="299"/>
      <c r="H624" s="890"/>
      <c r="I624" s="916"/>
      <c r="J624" s="917"/>
      <c r="K624"/>
    </row>
    <row r="625" spans="3:11">
      <c r="C625" s="270" t="s">
        <v>3220</v>
      </c>
      <c r="D625" s="302" t="s">
        <v>3965</v>
      </c>
      <c r="E625" s="301" t="s">
        <v>2318</v>
      </c>
      <c r="F625" s="287">
        <v>0</v>
      </c>
      <c r="G625" s="299"/>
      <c r="H625" s="890"/>
      <c r="I625" s="916"/>
      <c r="J625" s="917"/>
      <c r="K625"/>
    </row>
    <row r="626" spans="3:11">
      <c r="C626" s="270" t="s">
        <v>3966</v>
      </c>
      <c r="D626" s="302" t="s">
        <v>3967</v>
      </c>
      <c r="E626" s="301" t="s">
        <v>2318</v>
      </c>
      <c r="F626" s="287">
        <v>0</v>
      </c>
      <c r="G626" s="299"/>
      <c r="H626" s="890"/>
      <c r="I626" s="916"/>
      <c r="J626" s="917"/>
      <c r="K626"/>
    </row>
    <row r="627" spans="3:11">
      <c r="C627" s="270" t="s">
        <v>3968</v>
      </c>
      <c r="D627" s="302" t="s">
        <v>3969</v>
      </c>
      <c r="E627" s="301" t="s">
        <v>2318</v>
      </c>
      <c r="F627" s="287">
        <v>0</v>
      </c>
      <c r="G627" s="299"/>
      <c r="H627" s="890"/>
      <c r="I627" s="916"/>
      <c r="J627" s="917"/>
      <c r="K627"/>
    </row>
    <row r="628" spans="3:11">
      <c r="C628" s="270" t="s">
        <v>3970</v>
      </c>
      <c r="D628" s="302" t="s">
        <v>3971</v>
      </c>
      <c r="E628" s="301" t="s">
        <v>2318</v>
      </c>
      <c r="F628" s="287">
        <v>0</v>
      </c>
      <c r="G628" s="299"/>
      <c r="H628" s="890"/>
      <c r="I628" s="916"/>
      <c r="J628" s="917"/>
      <c r="K628"/>
    </row>
    <row r="629" spans="3:11">
      <c r="C629" s="270" t="s">
        <v>3972</v>
      </c>
      <c r="D629" s="302" t="s">
        <v>3973</v>
      </c>
      <c r="E629" s="301" t="s">
        <v>2318</v>
      </c>
      <c r="F629" s="287">
        <v>0</v>
      </c>
      <c r="G629" s="299"/>
      <c r="H629" s="890"/>
      <c r="I629" s="916"/>
      <c r="J629" s="917"/>
      <c r="K629"/>
    </row>
    <row r="630" spans="3:11">
      <c r="C630" s="270" t="s">
        <v>3974</v>
      </c>
      <c r="D630" s="302" t="s">
        <v>3975</v>
      </c>
      <c r="E630" s="301" t="s">
        <v>2318</v>
      </c>
      <c r="F630" s="287">
        <v>0</v>
      </c>
      <c r="G630" s="299"/>
      <c r="H630" s="890"/>
      <c r="I630" s="916"/>
      <c r="J630" s="917"/>
      <c r="K630"/>
    </row>
    <row r="631" spans="3:11">
      <c r="C631" s="270" t="s">
        <v>3976</v>
      </c>
      <c r="D631" s="302" t="s">
        <v>3977</v>
      </c>
      <c r="E631" s="301" t="s">
        <v>2318</v>
      </c>
      <c r="F631" s="287">
        <v>0</v>
      </c>
      <c r="G631" s="299"/>
      <c r="H631" s="890"/>
      <c r="I631" s="916"/>
      <c r="J631" s="917"/>
      <c r="K631"/>
    </row>
    <row r="632" spans="3:11">
      <c r="C632" s="270" t="s">
        <v>3978</v>
      </c>
      <c r="D632" s="302" t="s">
        <v>3979</v>
      </c>
      <c r="E632" s="301" t="s">
        <v>2318</v>
      </c>
      <c r="F632" s="287">
        <v>0</v>
      </c>
      <c r="G632" s="299"/>
      <c r="H632" s="890"/>
      <c r="I632" s="916"/>
      <c r="J632" s="917"/>
      <c r="K632"/>
    </row>
    <row r="633" spans="3:11">
      <c r="C633" s="270" t="s">
        <v>3980</v>
      </c>
      <c r="D633" s="302" t="s">
        <v>3981</v>
      </c>
      <c r="E633" s="301" t="s">
        <v>2318</v>
      </c>
      <c r="F633" s="287">
        <v>0</v>
      </c>
      <c r="G633" s="299"/>
      <c r="H633" s="890"/>
      <c r="I633" s="916"/>
      <c r="J633" s="917"/>
      <c r="K633"/>
    </row>
    <row r="634" spans="3:11">
      <c r="C634" s="270" t="s">
        <v>3982</v>
      </c>
      <c r="D634" s="302" t="s">
        <v>3983</v>
      </c>
      <c r="E634" s="301" t="s">
        <v>2318</v>
      </c>
      <c r="F634" s="287">
        <v>0</v>
      </c>
      <c r="G634" s="299"/>
      <c r="H634" s="890"/>
      <c r="I634" s="916"/>
      <c r="J634" s="917"/>
      <c r="K634"/>
    </row>
    <row r="635" spans="3:11">
      <c r="C635" s="286" t="s">
        <v>3984</v>
      </c>
      <c r="D635" s="302" t="s">
        <v>3985</v>
      </c>
      <c r="E635" s="301" t="s">
        <v>2318</v>
      </c>
      <c r="F635" s="287">
        <v>0</v>
      </c>
      <c r="G635" s="299"/>
      <c r="H635" s="890"/>
      <c r="I635" s="916"/>
      <c r="J635" s="917"/>
      <c r="K635"/>
    </row>
    <row r="636" spans="3:11">
      <c r="C636" s="267"/>
      <c r="D636" s="302"/>
      <c r="E636" s="301"/>
      <c r="F636" s="287"/>
      <c r="G636" s="299"/>
      <c r="H636" s="890"/>
      <c r="I636" s="916"/>
      <c r="J636" s="917"/>
      <c r="K636"/>
    </row>
    <row r="637" spans="3:11">
      <c r="C637" s="286" t="s">
        <v>3986</v>
      </c>
      <c r="D637" s="302" t="s">
        <v>3987</v>
      </c>
      <c r="E637" s="301" t="s">
        <v>2089</v>
      </c>
      <c r="F637" s="287">
        <v>0</v>
      </c>
      <c r="G637" s="299"/>
      <c r="H637" s="890"/>
      <c r="I637" s="916"/>
      <c r="J637" s="917"/>
      <c r="K637"/>
    </row>
    <row r="638" spans="3:11">
      <c r="C638" s="286" t="s">
        <v>3988</v>
      </c>
      <c r="D638" s="302" t="s">
        <v>3989</v>
      </c>
      <c r="E638" s="301" t="s">
        <v>2089</v>
      </c>
      <c r="F638" s="287">
        <v>0</v>
      </c>
      <c r="G638" s="299"/>
      <c r="H638" s="890"/>
      <c r="I638" s="916"/>
      <c r="J638" s="917"/>
      <c r="K638"/>
    </row>
    <row r="639" spans="3:11">
      <c r="C639" s="286" t="s">
        <v>3990</v>
      </c>
      <c r="D639" s="302" t="s">
        <v>3991</v>
      </c>
      <c r="E639" s="301" t="s">
        <v>2089</v>
      </c>
      <c r="F639" s="287">
        <v>0</v>
      </c>
      <c r="G639" s="299"/>
      <c r="H639" s="890"/>
      <c r="I639" s="916"/>
      <c r="J639" s="917"/>
      <c r="K639"/>
    </row>
    <row r="640" spans="3:11">
      <c r="C640" s="286" t="s">
        <v>3992</v>
      </c>
      <c r="D640" s="302" t="s">
        <v>3993</v>
      </c>
      <c r="E640" s="301" t="s">
        <v>2089</v>
      </c>
      <c r="F640" s="287">
        <v>0</v>
      </c>
      <c r="G640" s="299"/>
      <c r="H640" s="890"/>
      <c r="I640" s="916"/>
      <c r="J640" s="917"/>
      <c r="K640"/>
    </row>
    <row r="641" spans="3:11">
      <c r="C641" s="285" t="s">
        <v>3994</v>
      </c>
      <c r="D641" s="284" t="s">
        <v>3995</v>
      </c>
      <c r="E641" s="283" t="s">
        <v>2089</v>
      </c>
      <c r="F641" s="282">
        <v>0</v>
      </c>
      <c r="G641" s="281"/>
      <c r="H641" s="897"/>
      <c r="I641" s="924"/>
      <c r="J641" s="925"/>
      <c r="K641"/>
    </row>
    <row r="642" spans="3:11">
      <c r="C642" s="280" t="s">
        <v>3996</v>
      </c>
      <c r="D642" s="279" t="s">
        <v>3997</v>
      </c>
      <c r="E642" s="278" t="s">
        <v>2318</v>
      </c>
      <c r="F642" s="277">
        <v>0</v>
      </c>
      <c r="G642" s="276"/>
      <c r="H642" s="898"/>
      <c r="I642" s="926"/>
      <c r="J642" s="927"/>
      <c r="K642"/>
    </row>
    <row r="643" spans="3:11">
      <c r="C643" s="286" t="s">
        <v>3998</v>
      </c>
      <c r="D643" s="302" t="s">
        <v>3999</v>
      </c>
      <c r="E643" s="301" t="s">
        <v>2318</v>
      </c>
      <c r="F643" s="287">
        <v>0</v>
      </c>
      <c r="G643" s="299"/>
      <c r="H643" s="890"/>
      <c r="I643" s="916"/>
      <c r="J643" s="917"/>
      <c r="K643"/>
    </row>
    <row r="644" spans="3:11">
      <c r="C644" s="286" t="s">
        <v>4000</v>
      </c>
      <c r="D644" s="302" t="s">
        <v>4001</v>
      </c>
      <c r="E644" s="301" t="s">
        <v>2318</v>
      </c>
      <c r="F644" s="287">
        <v>0</v>
      </c>
      <c r="G644" s="299"/>
      <c r="H644" s="890"/>
      <c r="I644" s="916"/>
      <c r="J644" s="917"/>
      <c r="K644"/>
    </row>
    <row r="645" spans="3:11">
      <c r="C645" s="286" t="s">
        <v>4002</v>
      </c>
      <c r="D645" s="302" t="s">
        <v>4003</v>
      </c>
      <c r="E645" s="301" t="s">
        <v>2318</v>
      </c>
      <c r="F645" s="287">
        <v>0</v>
      </c>
      <c r="G645" s="299"/>
      <c r="H645" s="890"/>
      <c r="I645" s="916"/>
      <c r="J645" s="917"/>
      <c r="K645"/>
    </row>
    <row r="646" spans="3:11">
      <c r="C646" s="286" t="s">
        <v>4004</v>
      </c>
      <c r="D646" s="302" t="s">
        <v>4005</v>
      </c>
      <c r="E646" s="301" t="s">
        <v>2318</v>
      </c>
      <c r="F646" s="287">
        <v>0</v>
      </c>
      <c r="G646" s="299"/>
      <c r="H646" s="890"/>
      <c r="I646" s="916"/>
      <c r="J646" s="917"/>
      <c r="K646"/>
    </row>
    <row r="647" spans="3:11">
      <c r="C647" s="286" t="s">
        <v>4006</v>
      </c>
      <c r="D647" s="302" t="s">
        <v>4007</v>
      </c>
      <c r="E647" s="301" t="s">
        <v>2318</v>
      </c>
      <c r="F647" s="287">
        <v>0</v>
      </c>
      <c r="G647" s="299"/>
      <c r="H647" s="890"/>
      <c r="I647" s="916"/>
      <c r="J647" s="917"/>
      <c r="K647"/>
    </row>
    <row r="648" spans="3:11">
      <c r="C648" s="286" t="s">
        <v>4008</v>
      </c>
      <c r="D648" s="302" t="s">
        <v>4009</v>
      </c>
      <c r="E648" s="301" t="s">
        <v>2318</v>
      </c>
      <c r="F648" s="287">
        <v>0</v>
      </c>
      <c r="G648" s="299"/>
      <c r="H648" s="890"/>
      <c r="I648" s="916"/>
      <c r="J648" s="917"/>
      <c r="K648"/>
    </row>
    <row r="649" spans="3:11">
      <c r="C649" s="286" t="s">
        <v>4010</v>
      </c>
      <c r="D649" s="302" t="s">
        <v>4011</v>
      </c>
      <c r="E649" s="301" t="s">
        <v>2318</v>
      </c>
      <c r="F649" s="287">
        <v>0</v>
      </c>
      <c r="G649" s="299"/>
      <c r="H649" s="890"/>
      <c r="I649" s="916"/>
      <c r="J649" s="917"/>
      <c r="K649"/>
    </row>
    <row r="650" spans="3:11">
      <c r="C650" s="286" t="s">
        <v>4012</v>
      </c>
      <c r="D650" s="302" t="s">
        <v>4013</v>
      </c>
      <c r="E650" s="301" t="s">
        <v>2318</v>
      </c>
      <c r="F650" s="287">
        <v>0</v>
      </c>
      <c r="G650" s="299"/>
      <c r="H650" s="890"/>
      <c r="I650" s="916"/>
      <c r="J650" s="917"/>
      <c r="K650"/>
    </row>
    <row r="651" spans="3:11">
      <c r="C651" s="286" t="s">
        <v>4014</v>
      </c>
      <c r="D651" s="302" t="s">
        <v>4015</v>
      </c>
      <c r="E651" s="301" t="s">
        <v>2318</v>
      </c>
      <c r="F651" s="287">
        <v>0</v>
      </c>
      <c r="G651" s="299"/>
      <c r="H651" s="890"/>
      <c r="I651" s="916"/>
      <c r="J651" s="917"/>
      <c r="K651"/>
    </row>
    <row r="652" spans="3:11">
      <c r="C652" s="286" t="s">
        <v>4016</v>
      </c>
      <c r="D652" s="302" t="s">
        <v>4017</v>
      </c>
      <c r="E652" s="301" t="s">
        <v>2318</v>
      </c>
      <c r="F652" s="287">
        <v>0</v>
      </c>
      <c r="G652" s="299"/>
      <c r="H652" s="890"/>
      <c r="I652" s="916"/>
      <c r="J652" s="917"/>
      <c r="K652"/>
    </row>
    <row r="653" spans="3:11">
      <c r="C653" s="286" t="s">
        <v>4018</v>
      </c>
      <c r="D653" s="302" t="s">
        <v>4019</v>
      </c>
      <c r="E653" s="301" t="s">
        <v>2318</v>
      </c>
      <c r="F653" s="287">
        <v>0</v>
      </c>
      <c r="G653" s="299"/>
      <c r="H653" s="890"/>
      <c r="I653" s="916"/>
      <c r="J653" s="917"/>
      <c r="K653"/>
    </row>
    <row r="654" spans="3:11">
      <c r="C654" s="286" t="s">
        <v>4020</v>
      </c>
      <c r="D654" s="302" t="s">
        <v>4021</v>
      </c>
      <c r="E654" s="301" t="s">
        <v>2318</v>
      </c>
      <c r="F654" s="287">
        <v>0</v>
      </c>
      <c r="G654" s="299"/>
      <c r="H654" s="890"/>
      <c r="I654" s="916"/>
      <c r="J654" s="917"/>
      <c r="K654"/>
    </row>
    <row r="655" spans="3:11">
      <c r="C655" s="286" t="s">
        <v>4022</v>
      </c>
      <c r="D655" s="302" t="s">
        <v>4023</v>
      </c>
      <c r="E655" s="301" t="s">
        <v>2318</v>
      </c>
      <c r="F655" s="287">
        <v>0</v>
      </c>
      <c r="G655" s="299"/>
      <c r="H655" s="890"/>
      <c r="I655" s="916"/>
      <c r="J655" s="917"/>
      <c r="K655"/>
    </row>
    <row r="656" spans="3:11">
      <c r="C656" s="286" t="s">
        <v>4024</v>
      </c>
      <c r="D656" s="302" t="s">
        <v>4025</v>
      </c>
      <c r="E656" s="301" t="s">
        <v>2318</v>
      </c>
      <c r="F656" s="287">
        <v>0</v>
      </c>
      <c r="G656" s="299"/>
      <c r="H656" s="890"/>
      <c r="I656" s="916"/>
      <c r="J656" s="917"/>
      <c r="K656"/>
    </row>
    <row r="657" spans="3:11">
      <c r="C657" s="288"/>
      <c r="D657" s="302"/>
      <c r="E657" s="301"/>
      <c r="F657" s="287"/>
      <c r="G657" s="299"/>
      <c r="H657" s="890"/>
      <c r="I657" s="916"/>
      <c r="J657" s="917"/>
      <c r="K657"/>
    </row>
    <row r="658" spans="3:11" ht="21" customHeight="1" thickBot="1">
      <c r="C658" s="887" t="s">
        <v>4026</v>
      </c>
      <c r="D658" s="888"/>
      <c r="E658" s="888"/>
      <c r="F658" s="888"/>
      <c r="G658" s="888"/>
      <c r="H658" s="901">
        <f>SUM(H24:H657)</f>
        <v>31646122901.892906</v>
      </c>
      <c r="I658" s="930"/>
      <c r="J658" s="931">
        <f>SUM(J24:J657)</f>
        <v>31646122901.892906</v>
      </c>
      <c r="K658"/>
    </row>
    <row r="659" spans="3:11" ht="15.75" thickTop="1"/>
  </sheetData>
  <mergeCells count="13">
    <mergeCell ref="L134:M134"/>
    <mergeCell ref="C6:J6"/>
    <mergeCell ref="C8:C9"/>
    <mergeCell ref="D8:D9"/>
    <mergeCell ref="E8:E9"/>
    <mergeCell ref="F8:F9"/>
    <mergeCell ref="C3:J3"/>
    <mergeCell ref="C4:J4"/>
    <mergeCell ref="M4:P4"/>
    <mergeCell ref="Q4:R4"/>
    <mergeCell ref="C5:J5"/>
    <mergeCell ref="M5:P5"/>
    <mergeCell ref="Q5:R5"/>
  </mergeCells>
  <printOptions horizontalCentered="1"/>
  <pageMargins left="1.299212598425197" right="0.70866141732283472" top="0.74803149606299213" bottom="0.74803149606299213" header="0.31496062992125984" footer="0.31496062992125984"/>
  <pageSetup paperSize="9" scale="54" orientation="portrait" horizontalDpi="4294967293" verticalDpi="4294967293" r:id="rId1"/>
  <rowBreaks count="8" manualBreakCount="8">
    <brk id="80" min="2" max="7" man="1"/>
    <brk id="161" min="2" max="7" man="1"/>
    <brk id="241" min="2" max="7" man="1"/>
    <brk id="321" min="2" max="7" man="1"/>
    <brk id="402" min="2" max="7" man="1"/>
    <brk id="481" min="2" max="7" man="1"/>
    <brk id="561" min="2" max="7" man="1"/>
    <brk id="641" min="2" max="7" man="1"/>
  </rowBreaks>
  <colBreaks count="1" manualBreakCount="1">
    <brk id="14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2060"/>
    <pageSetUpPr fitToPage="1"/>
  </sheetPr>
  <dimension ref="B1:AK590"/>
  <sheetViews>
    <sheetView zoomScale="85" zoomScaleNormal="85" workbookViewId="0">
      <selection activeCell="O12" sqref="O12"/>
    </sheetView>
  </sheetViews>
  <sheetFormatPr defaultRowHeight="15"/>
  <cols>
    <col min="1" max="1" width="2" style="516" customWidth="1"/>
    <col min="2" max="2" width="4.5703125" style="516" customWidth="1"/>
    <col min="3" max="3" width="41.7109375" style="516" customWidth="1"/>
    <col min="4" max="4" width="8.28515625" style="516" customWidth="1"/>
    <col min="5" max="5" width="10.85546875" style="516" customWidth="1"/>
    <col min="6" max="6" width="16.7109375" style="515" customWidth="1"/>
    <col min="7" max="7" width="19.28515625" style="515" customWidth="1"/>
    <col min="8" max="9" width="8.7109375" style="516" customWidth="1"/>
    <col min="10" max="11" width="8.7109375" style="516" hidden="1" customWidth="1"/>
    <col min="12" max="13" width="6.7109375" style="516" hidden="1" customWidth="1"/>
    <col min="14" max="14" width="4.5703125" style="516" customWidth="1"/>
    <col min="15" max="15" width="41.7109375" style="516" customWidth="1"/>
    <col min="16" max="16" width="8.28515625" style="516" customWidth="1"/>
    <col min="17" max="17" width="11" style="516" customWidth="1"/>
    <col min="18" max="18" width="12.140625" style="515" customWidth="1"/>
    <col min="19" max="19" width="16" style="515" customWidth="1"/>
    <col min="20" max="20" width="8" style="516" bestFit="1" customWidth="1"/>
    <col min="21" max="21" width="9.140625" style="516"/>
    <col min="22" max="22" width="4.5703125" style="516" customWidth="1"/>
    <col min="23" max="23" width="41.7109375" style="516" customWidth="1"/>
    <col min="24" max="24" width="8.28515625" style="516" customWidth="1"/>
    <col min="25" max="25" width="11" style="516" customWidth="1"/>
    <col min="26" max="26" width="13" style="515" customWidth="1"/>
    <col min="27" max="27" width="14.28515625" style="515" customWidth="1"/>
    <col min="28" max="28" width="9" style="516" bestFit="1" customWidth="1"/>
    <col min="29" max="29" width="9.140625" style="516"/>
    <col min="30" max="30" width="4.5703125" style="516" customWidth="1"/>
    <col min="31" max="31" width="41.7109375" style="516" customWidth="1"/>
    <col min="32" max="32" width="8.28515625" style="516" customWidth="1"/>
    <col min="33" max="33" width="11" style="516" customWidth="1"/>
    <col min="34" max="34" width="16.7109375" style="515" customWidth="1"/>
    <col min="35" max="35" width="16.42578125" style="515" customWidth="1"/>
    <col min="36" max="36" width="11.5703125" style="516" bestFit="1" customWidth="1"/>
    <col min="37" max="37" width="9.140625" style="516"/>
    <col min="38" max="38" width="11.5703125" style="516" bestFit="1" customWidth="1"/>
    <col min="39" max="260" width="9.140625" style="516"/>
    <col min="261" max="261" width="4.5703125" style="516" customWidth="1"/>
    <col min="262" max="262" width="41.7109375" style="516" customWidth="1"/>
    <col min="263" max="263" width="8.28515625" style="516" customWidth="1"/>
    <col min="264" max="264" width="11" style="516" customWidth="1"/>
    <col min="265" max="265" width="16.7109375" style="516" customWidth="1"/>
    <col min="266" max="266" width="22.85546875" style="516" customWidth="1"/>
    <col min="267" max="267" width="8.28515625" style="516" customWidth="1"/>
    <col min="268" max="268" width="4.5703125" style="516" customWidth="1"/>
    <col min="269" max="269" width="41.7109375" style="516" customWidth="1"/>
    <col min="270" max="270" width="8.28515625" style="516" customWidth="1"/>
    <col min="271" max="271" width="11" style="516" customWidth="1"/>
    <col min="272" max="272" width="16.7109375" style="516" customWidth="1"/>
    <col min="273" max="273" width="22.85546875" style="516" customWidth="1"/>
    <col min="274" max="274" width="9.140625" style="516"/>
    <col min="275" max="275" width="4.5703125" style="516" customWidth="1"/>
    <col min="276" max="276" width="41.7109375" style="516" customWidth="1"/>
    <col min="277" max="277" width="8.28515625" style="516" customWidth="1"/>
    <col min="278" max="278" width="11" style="516" customWidth="1"/>
    <col min="279" max="279" width="16.7109375" style="516" customWidth="1"/>
    <col min="280" max="280" width="22.85546875" style="516" customWidth="1"/>
    <col min="281" max="281" width="9.140625" style="516"/>
    <col min="282" max="282" width="4.5703125" style="516" customWidth="1"/>
    <col min="283" max="283" width="41.7109375" style="516" customWidth="1"/>
    <col min="284" max="284" width="8.28515625" style="516" customWidth="1"/>
    <col min="285" max="285" width="11" style="516" customWidth="1"/>
    <col min="286" max="286" width="16.7109375" style="516" customWidth="1"/>
    <col min="287" max="287" width="22.85546875" style="516" customWidth="1"/>
    <col min="288" max="288" width="9.140625" style="516"/>
    <col min="289" max="289" width="4.5703125" style="516" customWidth="1"/>
    <col min="290" max="290" width="41.7109375" style="516" customWidth="1"/>
    <col min="291" max="291" width="8.28515625" style="516" customWidth="1"/>
    <col min="292" max="292" width="11" style="516" customWidth="1"/>
    <col min="293" max="293" width="16.7109375" style="516" customWidth="1"/>
    <col min="294" max="294" width="22.85546875" style="516" customWidth="1"/>
    <col min="295" max="516" width="9.140625" style="516"/>
    <col min="517" max="517" width="4.5703125" style="516" customWidth="1"/>
    <col min="518" max="518" width="41.7109375" style="516" customWidth="1"/>
    <col min="519" max="519" width="8.28515625" style="516" customWidth="1"/>
    <col min="520" max="520" width="11" style="516" customWidth="1"/>
    <col min="521" max="521" width="16.7109375" style="516" customWidth="1"/>
    <col min="522" max="522" width="22.85546875" style="516" customWidth="1"/>
    <col min="523" max="523" width="8.28515625" style="516" customWidth="1"/>
    <col min="524" max="524" width="4.5703125" style="516" customWidth="1"/>
    <col min="525" max="525" width="41.7109375" style="516" customWidth="1"/>
    <col min="526" max="526" width="8.28515625" style="516" customWidth="1"/>
    <col min="527" max="527" width="11" style="516" customWidth="1"/>
    <col min="528" max="528" width="16.7109375" style="516" customWidth="1"/>
    <col min="529" max="529" width="22.85546875" style="516" customWidth="1"/>
    <col min="530" max="530" width="9.140625" style="516"/>
    <col min="531" max="531" width="4.5703125" style="516" customWidth="1"/>
    <col min="532" max="532" width="41.7109375" style="516" customWidth="1"/>
    <col min="533" max="533" width="8.28515625" style="516" customWidth="1"/>
    <col min="534" max="534" width="11" style="516" customWidth="1"/>
    <col min="535" max="535" width="16.7109375" style="516" customWidth="1"/>
    <col min="536" max="536" width="22.85546875" style="516" customWidth="1"/>
    <col min="537" max="537" width="9.140625" style="516"/>
    <col min="538" max="538" width="4.5703125" style="516" customWidth="1"/>
    <col min="539" max="539" width="41.7109375" style="516" customWidth="1"/>
    <col min="540" max="540" width="8.28515625" style="516" customWidth="1"/>
    <col min="541" max="541" width="11" style="516" customWidth="1"/>
    <col min="542" max="542" width="16.7109375" style="516" customWidth="1"/>
    <col min="543" max="543" width="22.85546875" style="516" customWidth="1"/>
    <col min="544" max="544" width="9.140625" style="516"/>
    <col min="545" max="545" width="4.5703125" style="516" customWidth="1"/>
    <col min="546" max="546" width="41.7109375" style="516" customWidth="1"/>
    <col min="547" max="547" width="8.28515625" style="516" customWidth="1"/>
    <col min="548" max="548" width="11" style="516" customWidth="1"/>
    <col min="549" max="549" width="16.7109375" style="516" customWidth="1"/>
    <col min="550" max="550" width="22.85546875" style="516" customWidth="1"/>
    <col min="551" max="772" width="9.140625" style="516"/>
    <col min="773" max="773" width="4.5703125" style="516" customWidth="1"/>
    <col min="774" max="774" width="41.7109375" style="516" customWidth="1"/>
    <col min="775" max="775" width="8.28515625" style="516" customWidth="1"/>
    <col min="776" max="776" width="11" style="516" customWidth="1"/>
    <col min="777" max="777" width="16.7109375" style="516" customWidth="1"/>
    <col min="778" max="778" width="22.85546875" style="516" customWidth="1"/>
    <col min="779" max="779" width="8.28515625" style="516" customWidth="1"/>
    <col min="780" max="780" width="4.5703125" style="516" customWidth="1"/>
    <col min="781" max="781" width="41.7109375" style="516" customWidth="1"/>
    <col min="782" max="782" width="8.28515625" style="516" customWidth="1"/>
    <col min="783" max="783" width="11" style="516" customWidth="1"/>
    <col min="784" max="784" width="16.7109375" style="516" customWidth="1"/>
    <col min="785" max="785" width="22.85546875" style="516" customWidth="1"/>
    <col min="786" max="786" width="9.140625" style="516"/>
    <col min="787" max="787" width="4.5703125" style="516" customWidth="1"/>
    <col min="788" max="788" width="41.7109375" style="516" customWidth="1"/>
    <col min="789" max="789" width="8.28515625" style="516" customWidth="1"/>
    <col min="790" max="790" width="11" style="516" customWidth="1"/>
    <col min="791" max="791" width="16.7109375" style="516" customWidth="1"/>
    <col min="792" max="792" width="22.85546875" style="516" customWidth="1"/>
    <col min="793" max="793" width="9.140625" style="516"/>
    <col min="794" max="794" width="4.5703125" style="516" customWidth="1"/>
    <col min="795" max="795" width="41.7109375" style="516" customWidth="1"/>
    <col min="796" max="796" width="8.28515625" style="516" customWidth="1"/>
    <col min="797" max="797" width="11" style="516" customWidth="1"/>
    <col min="798" max="798" width="16.7109375" style="516" customWidth="1"/>
    <col min="799" max="799" width="22.85546875" style="516" customWidth="1"/>
    <col min="800" max="800" width="9.140625" style="516"/>
    <col min="801" max="801" width="4.5703125" style="516" customWidth="1"/>
    <col min="802" max="802" width="41.7109375" style="516" customWidth="1"/>
    <col min="803" max="803" width="8.28515625" style="516" customWidth="1"/>
    <col min="804" max="804" width="11" style="516" customWidth="1"/>
    <col min="805" max="805" width="16.7109375" style="516" customWidth="1"/>
    <col min="806" max="806" width="22.85546875" style="516" customWidth="1"/>
    <col min="807" max="1028" width="9.140625" style="516"/>
    <col min="1029" max="1029" width="4.5703125" style="516" customWidth="1"/>
    <col min="1030" max="1030" width="41.7109375" style="516" customWidth="1"/>
    <col min="1031" max="1031" width="8.28515625" style="516" customWidth="1"/>
    <col min="1032" max="1032" width="11" style="516" customWidth="1"/>
    <col min="1033" max="1033" width="16.7109375" style="516" customWidth="1"/>
    <col min="1034" max="1034" width="22.85546875" style="516" customWidth="1"/>
    <col min="1035" max="1035" width="8.28515625" style="516" customWidth="1"/>
    <col min="1036" max="1036" width="4.5703125" style="516" customWidth="1"/>
    <col min="1037" max="1037" width="41.7109375" style="516" customWidth="1"/>
    <col min="1038" max="1038" width="8.28515625" style="516" customWidth="1"/>
    <col min="1039" max="1039" width="11" style="516" customWidth="1"/>
    <col min="1040" max="1040" width="16.7109375" style="516" customWidth="1"/>
    <col min="1041" max="1041" width="22.85546875" style="516" customWidth="1"/>
    <col min="1042" max="1042" width="9.140625" style="516"/>
    <col min="1043" max="1043" width="4.5703125" style="516" customWidth="1"/>
    <col min="1044" max="1044" width="41.7109375" style="516" customWidth="1"/>
    <col min="1045" max="1045" width="8.28515625" style="516" customWidth="1"/>
    <col min="1046" max="1046" width="11" style="516" customWidth="1"/>
    <col min="1047" max="1047" width="16.7109375" style="516" customWidth="1"/>
    <col min="1048" max="1048" width="22.85546875" style="516" customWidth="1"/>
    <col min="1049" max="1049" width="9.140625" style="516"/>
    <col min="1050" max="1050" width="4.5703125" style="516" customWidth="1"/>
    <col min="1051" max="1051" width="41.7109375" style="516" customWidth="1"/>
    <col min="1052" max="1052" width="8.28515625" style="516" customWidth="1"/>
    <col min="1053" max="1053" width="11" style="516" customWidth="1"/>
    <col min="1054" max="1054" width="16.7109375" style="516" customWidth="1"/>
    <col min="1055" max="1055" width="22.85546875" style="516" customWidth="1"/>
    <col min="1056" max="1056" width="9.140625" style="516"/>
    <col min="1057" max="1057" width="4.5703125" style="516" customWidth="1"/>
    <col min="1058" max="1058" width="41.7109375" style="516" customWidth="1"/>
    <col min="1059" max="1059" width="8.28515625" style="516" customWidth="1"/>
    <col min="1060" max="1060" width="11" style="516" customWidth="1"/>
    <col min="1061" max="1061" width="16.7109375" style="516" customWidth="1"/>
    <col min="1062" max="1062" width="22.85546875" style="516" customWidth="1"/>
    <col min="1063" max="1284" width="9.140625" style="516"/>
    <col min="1285" max="1285" width="4.5703125" style="516" customWidth="1"/>
    <col min="1286" max="1286" width="41.7109375" style="516" customWidth="1"/>
    <col min="1287" max="1287" width="8.28515625" style="516" customWidth="1"/>
    <col min="1288" max="1288" width="11" style="516" customWidth="1"/>
    <col min="1289" max="1289" width="16.7109375" style="516" customWidth="1"/>
    <col min="1290" max="1290" width="22.85546875" style="516" customWidth="1"/>
    <col min="1291" max="1291" width="8.28515625" style="516" customWidth="1"/>
    <col min="1292" max="1292" width="4.5703125" style="516" customWidth="1"/>
    <col min="1293" max="1293" width="41.7109375" style="516" customWidth="1"/>
    <col min="1294" max="1294" width="8.28515625" style="516" customWidth="1"/>
    <col min="1295" max="1295" width="11" style="516" customWidth="1"/>
    <col min="1296" max="1296" width="16.7109375" style="516" customWidth="1"/>
    <col min="1297" max="1297" width="22.85546875" style="516" customWidth="1"/>
    <col min="1298" max="1298" width="9.140625" style="516"/>
    <col min="1299" max="1299" width="4.5703125" style="516" customWidth="1"/>
    <col min="1300" max="1300" width="41.7109375" style="516" customWidth="1"/>
    <col min="1301" max="1301" width="8.28515625" style="516" customWidth="1"/>
    <col min="1302" max="1302" width="11" style="516" customWidth="1"/>
    <col min="1303" max="1303" width="16.7109375" style="516" customWidth="1"/>
    <col min="1304" max="1304" width="22.85546875" style="516" customWidth="1"/>
    <col min="1305" max="1305" width="9.140625" style="516"/>
    <col min="1306" max="1306" width="4.5703125" style="516" customWidth="1"/>
    <col min="1307" max="1307" width="41.7109375" style="516" customWidth="1"/>
    <col min="1308" max="1308" width="8.28515625" style="516" customWidth="1"/>
    <col min="1309" max="1309" width="11" style="516" customWidth="1"/>
    <col min="1310" max="1310" width="16.7109375" style="516" customWidth="1"/>
    <col min="1311" max="1311" width="22.85546875" style="516" customWidth="1"/>
    <col min="1312" max="1312" width="9.140625" style="516"/>
    <col min="1313" max="1313" width="4.5703125" style="516" customWidth="1"/>
    <col min="1314" max="1314" width="41.7109375" style="516" customWidth="1"/>
    <col min="1315" max="1315" width="8.28515625" style="516" customWidth="1"/>
    <col min="1316" max="1316" width="11" style="516" customWidth="1"/>
    <col min="1317" max="1317" width="16.7109375" style="516" customWidth="1"/>
    <col min="1318" max="1318" width="22.85546875" style="516" customWidth="1"/>
    <col min="1319" max="1540" width="9.140625" style="516"/>
    <col min="1541" max="1541" width="4.5703125" style="516" customWidth="1"/>
    <col min="1542" max="1542" width="41.7109375" style="516" customWidth="1"/>
    <col min="1543" max="1543" width="8.28515625" style="516" customWidth="1"/>
    <col min="1544" max="1544" width="11" style="516" customWidth="1"/>
    <col min="1545" max="1545" width="16.7109375" style="516" customWidth="1"/>
    <col min="1546" max="1546" width="22.85546875" style="516" customWidth="1"/>
    <col min="1547" max="1547" width="8.28515625" style="516" customWidth="1"/>
    <col min="1548" max="1548" width="4.5703125" style="516" customWidth="1"/>
    <col min="1549" max="1549" width="41.7109375" style="516" customWidth="1"/>
    <col min="1550" max="1550" width="8.28515625" style="516" customWidth="1"/>
    <col min="1551" max="1551" width="11" style="516" customWidth="1"/>
    <col min="1552" max="1552" width="16.7109375" style="516" customWidth="1"/>
    <col min="1553" max="1553" width="22.85546875" style="516" customWidth="1"/>
    <col min="1554" max="1554" width="9.140625" style="516"/>
    <col min="1555" max="1555" width="4.5703125" style="516" customWidth="1"/>
    <col min="1556" max="1556" width="41.7109375" style="516" customWidth="1"/>
    <col min="1557" max="1557" width="8.28515625" style="516" customWidth="1"/>
    <col min="1558" max="1558" width="11" style="516" customWidth="1"/>
    <col min="1559" max="1559" width="16.7109375" style="516" customWidth="1"/>
    <col min="1560" max="1560" width="22.85546875" style="516" customWidth="1"/>
    <col min="1561" max="1561" width="9.140625" style="516"/>
    <col min="1562" max="1562" width="4.5703125" style="516" customWidth="1"/>
    <col min="1563" max="1563" width="41.7109375" style="516" customWidth="1"/>
    <col min="1564" max="1564" width="8.28515625" style="516" customWidth="1"/>
    <col min="1565" max="1565" width="11" style="516" customWidth="1"/>
    <col min="1566" max="1566" width="16.7109375" style="516" customWidth="1"/>
    <col min="1567" max="1567" width="22.85546875" style="516" customWidth="1"/>
    <col min="1568" max="1568" width="9.140625" style="516"/>
    <col min="1569" max="1569" width="4.5703125" style="516" customWidth="1"/>
    <col min="1570" max="1570" width="41.7109375" style="516" customWidth="1"/>
    <col min="1571" max="1571" width="8.28515625" style="516" customWidth="1"/>
    <col min="1572" max="1572" width="11" style="516" customWidth="1"/>
    <col min="1573" max="1573" width="16.7109375" style="516" customWidth="1"/>
    <col min="1574" max="1574" width="22.85546875" style="516" customWidth="1"/>
    <col min="1575" max="1796" width="9.140625" style="516"/>
    <col min="1797" max="1797" width="4.5703125" style="516" customWidth="1"/>
    <col min="1798" max="1798" width="41.7109375" style="516" customWidth="1"/>
    <col min="1799" max="1799" width="8.28515625" style="516" customWidth="1"/>
    <col min="1800" max="1800" width="11" style="516" customWidth="1"/>
    <col min="1801" max="1801" width="16.7109375" style="516" customWidth="1"/>
    <col min="1802" max="1802" width="22.85546875" style="516" customWidth="1"/>
    <col min="1803" max="1803" width="8.28515625" style="516" customWidth="1"/>
    <col min="1804" max="1804" width="4.5703125" style="516" customWidth="1"/>
    <col min="1805" max="1805" width="41.7109375" style="516" customWidth="1"/>
    <col min="1806" max="1806" width="8.28515625" style="516" customWidth="1"/>
    <col min="1807" max="1807" width="11" style="516" customWidth="1"/>
    <col min="1808" max="1808" width="16.7109375" style="516" customWidth="1"/>
    <col min="1809" max="1809" width="22.85546875" style="516" customWidth="1"/>
    <col min="1810" max="1810" width="9.140625" style="516"/>
    <col min="1811" max="1811" width="4.5703125" style="516" customWidth="1"/>
    <col min="1812" max="1812" width="41.7109375" style="516" customWidth="1"/>
    <col min="1813" max="1813" width="8.28515625" style="516" customWidth="1"/>
    <col min="1814" max="1814" width="11" style="516" customWidth="1"/>
    <col min="1815" max="1815" width="16.7109375" style="516" customWidth="1"/>
    <col min="1816" max="1816" width="22.85546875" style="516" customWidth="1"/>
    <col min="1817" max="1817" width="9.140625" style="516"/>
    <col min="1818" max="1818" width="4.5703125" style="516" customWidth="1"/>
    <col min="1819" max="1819" width="41.7109375" style="516" customWidth="1"/>
    <col min="1820" max="1820" width="8.28515625" style="516" customWidth="1"/>
    <col min="1821" max="1821" width="11" style="516" customWidth="1"/>
    <col min="1822" max="1822" width="16.7109375" style="516" customWidth="1"/>
    <col min="1823" max="1823" width="22.85546875" style="516" customWidth="1"/>
    <col min="1824" max="1824" width="9.140625" style="516"/>
    <col min="1825" max="1825" width="4.5703125" style="516" customWidth="1"/>
    <col min="1826" max="1826" width="41.7109375" style="516" customWidth="1"/>
    <col min="1827" max="1827" width="8.28515625" style="516" customWidth="1"/>
    <col min="1828" max="1828" width="11" style="516" customWidth="1"/>
    <col min="1829" max="1829" width="16.7109375" style="516" customWidth="1"/>
    <col min="1830" max="1830" width="22.85546875" style="516" customWidth="1"/>
    <col min="1831" max="2052" width="9.140625" style="516"/>
    <col min="2053" max="2053" width="4.5703125" style="516" customWidth="1"/>
    <col min="2054" max="2054" width="41.7109375" style="516" customWidth="1"/>
    <col min="2055" max="2055" width="8.28515625" style="516" customWidth="1"/>
    <col min="2056" max="2056" width="11" style="516" customWidth="1"/>
    <col min="2057" max="2057" width="16.7109375" style="516" customWidth="1"/>
    <col min="2058" max="2058" width="22.85546875" style="516" customWidth="1"/>
    <col min="2059" max="2059" width="8.28515625" style="516" customWidth="1"/>
    <col min="2060" max="2060" width="4.5703125" style="516" customWidth="1"/>
    <col min="2061" max="2061" width="41.7109375" style="516" customWidth="1"/>
    <col min="2062" max="2062" width="8.28515625" style="516" customWidth="1"/>
    <col min="2063" max="2063" width="11" style="516" customWidth="1"/>
    <col min="2064" max="2064" width="16.7109375" style="516" customWidth="1"/>
    <col min="2065" max="2065" width="22.85546875" style="516" customWidth="1"/>
    <col min="2066" max="2066" width="9.140625" style="516"/>
    <col min="2067" max="2067" width="4.5703125" style="516" customWidth="1"/>
    <col min="2068" max="2068" width="41.7109375" style="516" customWidth="1"/>
    <col min="2069" max="2069" width="8.28515625" style="516" customWidth="1"/>
    <col min="2070" max="2070" width="11" style="516" customWidth="1"/>
    <col min="2071" max="2071" width="16.7109375" style="516" customWidth="1"/>
    <col min="2072" max="2072" width="22.85546875" style="516" customWidth="1"/>
    <col min="2073" max="2073" width="9.140625" style="516"/>
    <col min="2074" max="2074" width="4.5703125" style="516" customWidth="1"/>
    <col min="2075" max="2075" width="41.7109375" style="516" customWidth="1"/>
    <col min="2076" max="2076" width="8.28515625" style="516" customWidth="1"/>
    <col min="2077" max="2077" width="11" style="516" customWidth="1"/>
    <col min="2078" max="2078" width="16.7109375" style="516" customWidth="1"/>
    <col min="2079" max="2079" width="22.85546875" style="516" customWidth="1"/>
    <col min="2080" max="2080" width="9.140625" style="516"/>
    <col min="2081" max="2081" width="4.5703125" style="516" customWidth="1"/>
    <col min="2082" max="2082" width="41.7109375" style="516" customWidth="1"/>
    <col min="2083" max="2083" width="8.28515625" style="516" customWidth="1"/>
    <col min="2084" max="2084" width="11" style="516" customWidth="1"/>
    <col min="2085" max="2085" width="16.7109375" style="516" customWidth="1"/>
    <col min="2086" max="2086" width="22.85546875" style="516" customWidth="1"/>
    <col min="2087" max="2308" width="9.140625" style="516"/>
    <col min="2309" max="2309" width="4.5703125" style="516" customWidth="1"/>
    <col min="2310" max="2310" width="41.7109375" style="516" customWidth="1"/>
    <col min="2311" max="2311" width="8.28515625" style="516" customWidth="1"/>
    <col min="2312" max="2312" width="11" style="516" customWidth="1"/>
    <col min="2313" max="2313" width="16.7109375" style="516" customWidth="1"/>
    <col min="2314" max="2314" width="22.85546875" style="516" customWidth="1"/>
    <col min="2315" max="2315" width="8.28515625" style="516" customWidth="1"/>
    <col min="2316" max="2316" width="4.5703125" style="516" customWidth="1"/>
    <col min="2317" max="2317" width="41.7109375" style="516" customWidth="1"/>
    <col min="2318" max="2318" width="8.28515625" style="516" customWidth="1"/>
    <col min="2319" max="2319" width="11" style="516" customWidth="1"/>
    <col min="2320" max="2320" width="16.7109375" style="516" customWidth="1"/>
    <col min="2321" max="2321" width="22.85546875" style="516" customWidth="1"/>
    <col min="2322" max="2322" width="9.140625" style="516"/>
    <col min="2323" max="2323" width="4.5703125" style="516" customWidth="1"/>
    <col min="2324" max="2324" width="41.7109375" style="516" customWidth="1"/>
    <col min="2325" max="2325" width="8.28515625" style="516" customWidth="1"/>
    <col min="2326" max="2326" width="11" style="516" customWidth="1"/>
    <col min="2327" max="2327" width="16.7109375" style="516" customWidth="1"/>
    <col min="2328" max="2328" width="22.85546875" style="516" customWidth="1"/>
    <col min="2329" max="2329" width="9.140625" style="516"/>
    <col min="2330" max="2330" width="4.5703125" style="516" customWidth="1"/>
    <col min="2331" max="2331" width="41.7109375" style="516" customWidth="1"/>
    <col min="2332" max="2332" width="8.28515625" style="516" customWidth="1"/>
    <col min="2333" max="2333" width="11" style="516" customWidth="1"/>
    <col min="2334" max="2334" width="16.7109375" style="516" customWidth="1"/>
    <col min="2335" max="2335" width="22.85546875" style="516" customWidth="1"/>
    <col min="2336" max="2336" width="9.140625" style="516"/>
    <col min="2337" max="2337" width="4.5703125" style="516" customWidth="1"/>
    <col min="2338" max="2338" width="41.7109375" style="516" customWidth="1"/>
    <col min="2339" max="2339" width="8.28515625" style="516" customWidth="1"/>
    <col min="2340" max="2340" width="11" style="516" customWidth="1"/>
    <col min="2341" max="2341" width="16.7109375" style="516" customWidth="1"/>
    <col min="2342" max="2342" width="22.85546875" style="516" customWidth="1"/>
    <col min="2343" max="2564" width="9.140625" style="516"/>
    <col min="2565" max="2565" width="4.5703125" style="516" customWidth="1"/>
    <col min="2566" max="2566" width="41.7109375" style="516" customWidth="1"/>
    <col min="2567" max="2567" width="8.28515625" style="516" customWidth="1"/>
    <col min="2568" max="2568" width="11" style="516" customWidth="1"/>
    <col min="2569" max="2569" width="16.7109375" style="516" customWidth="1"/>
    <col min="2570" max="2570" width="22.85546875" style="516" customWidth="1"/>
    <col min="2571" max="2571" width="8.28515625" style="516" customWidth="1"/>
    <col min="2572" max="2572" width="4.5703125" style="516" customWidth="1"/>
    <col min="2573" max="2573" width="41.7109375" style="516" customWidth="1"/>
    <col min="2574" max="2574" width="8.28515625" style="516" customWidth="1"/>
    <col min="2575" max="2575" width="11" style="516" customWidth="1"/>
    <col min="2576" max="2576" width="16.7109375" style="516" customWidth="1"/>
    <col min="2577" max="2577" width="22.85546875" style="516" customWidth="1"/>
    <col min="2578" max="2578" width="9.140625" style="516"/>
    <col min="2579" max="2579" width="4.5703125" style="516" customWidth="1"/>
    <col min="2580" max="2580" width="41.7109375" style="516" customWidth="1"/>
    <col min="2581" max="2581" width="8.28515625" style="516" customWidth="1"/>
    <col min="2582" max="2582" width="11" style="516" customWidth="1"/>
    <col min="2583" max="2583" width="16.7109375" style="516" customWidth="1"/>
    <col min="2584" max="2584" width="22.85546875" style="516" customWidth="1"/>
    <col min="2585" max="2585" width="9.140625" style="516"/>
    <col min="2586" max="2586" width="4.5703125" style="516" customWidth="1"/>
    <col min="2587" max="2587" width="41.7109375" style="516" customWidth="1"/>
    <col min="2588" max="2588" width="8.28515625" style="516" customWidth="1"/>
    <col min="2589" max="2589" width="11" style="516" customWidth="1"/>
    <col min="2590" max="2590" width="16.7109375" style="516" customWidth="1"/>
    <col min="2591" max="2591" width="22.85546875" style="516" customWidth="1"/>
    <col min="2592" max="2592" width="9.140625" style="516"/>
    <col min="2593" max="2593" width="4.5703125" style="516" customWidth="1"/>
    <col min="2594" max="2594" width="41.7109375" style="516" customWidth="1"/>
    <col min="2595" max="2595" width="8.28515625" style="516" customWidth="1"/>
    <col min="2596" max="2596" width="11" style="516" customWidth="1"/>
    <col min="2597" max="2597" width="16.7109375" style="516" customWidth="1"/>
    <col min="2598" max="2598" width="22.85546875" style="516" customWidth="1"/>
    <col min="2599" max="2820" width="9.140625" style="516"/>
    <col min="2821" max="2821" width="4.5703125" style="516" customWidth="1"/>
    <col min="2822" max="2822" width="41.7109375" style="516" customWidth="1"/>
    <col min="2823" max="2823" width="8.28515625" style="516" customWidth="1"/>
    <col min="2824" max="2824" width="11" style="516" customWidth="1"/>
    <col min="2825" max="2825" width="16.7109375" style="516" customWidth="1"/>
    <col min="2826" max="2826" width="22.85546875" style="516" customWidth="1"/>
    <col min="2827" max="2827" width="8.28515625" style="516" customWidth="1"/>
    <col min="2828" max="2828" width="4.5703125" style="516" customWidth="1"/>
    <col min="2829" max="2829" width="41.7109375" style="516" customWidth="1"/>
    <col min="2830" max="2830" width="8.28515625" style="516" customWidth="1"/>
    <col min="2831" max="2831" width="11" style="516" customWidth="1"/>
    <col min="2832" max="2832" width="16.7109375" style="516" customWidth="1"/>
    <col min="2833" max="2833" width="22.85546875" style="516" customWidth="1"/>
    <col min="2834" max="2834" width="9.140625" style="516"/>
    <col min="2835" max="2835" width="4.5703125" style="516" customWidth="1"/>
    <col min="2836" max="2836" width="41.7109375" style="516" customWidth="1"/>
    <col min="2837" max="2837" width="8.28515625" style="516" customWidth="1"/>
    <col min="2838" max="2838" width="11" style="516" customWidth="1"/>
    <col min="2839" max="2839" width="16.7109375" style="516" customWidth="1"/>
    <col min="2840" max="2840" width="22.85546875" style="516" customWidth="1"/>
    <col min="2841" max="2841" width="9.140625" style="516"/>
    <col min="2842" max="2842" width="4.5703125" style="516" customWidth="1"/>
    <col min="2843" max="2843" width="41.7109375" style="516" customWidth="1"/>
    <col min="2844" max="2844" width="8.28515625" style="516" customWidth="1"/>
    <col min="2845" max="2845" width="11" style="516" customWidth="1"/>
    <col min="2846" max="2846" width="16.7109375" style="516" customWidth="1"/>
    <col min="2847" max="2847" width="22.85546875" style="516" customWidth="1"/>
    <col min="2848" max="2848" width="9.140625" style="516"/>
    <col min="2849" max="2849" width="4.5703125" style="516" customWidth="1"/>
    <col min="2850" max="2850" width="41.7109375" style="516" customWidth="1"/>
    <col min="2851" max="2851" width="8.28515625" style="516" customWidth="1"/>
    <col min="2852" max="2852" width="11" style="516" customWidth="1"/>
    <col min="2853" max="2853" width="16.7109375" style="516" customWidth="1"/>
    <col min="2854" max="2854" width="22.85546875" style="516" customWidth="1"/>
    <col min="2855" max="3076" width="9.140625" style="516"/>
    <col min="3077" max="3077" width="4.5703125" style="516" customWidth="1"/>
    <col min="3078" max="3078" width="41.7109375" style="516" customWidth="1"/>
    <col min="3079" max="3079" width="8.28515625" style="516" customWidth="1"/>
    <col min="3080" max="3080" width="11" style="516" customWidth="1"/>
    <col min="3081" max="3081" width="16.7109375" style="516" customWidth="1"/>
    <col min="3082" max="3082" width="22.85546875" style="516" customWidth="1"/>
    <col min="3083" max="3083" width="8.28515625" style="516" customWidth="1"/>
    <col min="3084" max="3084" width="4.5703125" style="516" customWidth="1"/>
    <col min="3085" max="3085" width="41.7109375" style="516" customWidth="1"/>
    <col min="3086" max="3086" width="8.28515625" style="516" customWidth="1"/>
    <col min="3087" max="3087" width="11" style="516" customWidth="1"/>
    <col min="3088" max="3088" width="16.7109375" style="516" customWidth="1"/>
    <col min="3089" max="3089" width="22.85546875" style="516" customWidth="1"/>
    <col min="3090" max="3090" width="9.140625" style="516"/>
    <col min="3091" max="3091" width="4.5703125" style="516" customWidth="1"/>
    <col min="3092" max="3092" width="41.7109375" style="516" customWidth="1"/>
    <col min="3093" max="3093" width="8.28515625" style="516" customWidth="1"/>
    <col min="3094" max="3094" width="11" style="516" customWidth="1"/>
    <col min="3095" max="3095" width="16.7109375" style="516" customWidth="1"/>
    <col min="3096" max="3096" width="22.85546875" style="516" customWidth="1"/>
    <col min="3097" max="3097" width="9.140625" style="516"/>
    <col min="3098" max="3098" width="4.5703125" style="516" customWidth="1"/>
    <col min="3099" max="3099" width="41.7109375" style="516" customWidth="1"/>
    <col min="3100" max="3100" width="8.28515625" style="516" customWidth="1"/>
    <col min="3101" max="3101" width="11" style="516" customWidth="1"/>
    <col min="3102" max="3102" width="16.7109375" style="516" customWidth="1"/>
    <col min="3103" max="3103" width="22.85546875" style="516" customWidth="1"/>
    <col min="3104" max="3104" width="9.140625" style="516"/>
    <col min="3105" max="3105" width="4.5703125" style="516" customWidth="1"/>
    <col min="3106" max="3106" width="41.7109375" style="516" customWidth="1"/>
    <col min="3107" max="3107" width="8.28515625" style="516" customWidth="1"/>
    <col min="3108" max="3108" width="11" style="516" customWidth="1"/>
    <col min="3109" max="3109" width="16.7109375" style="516" customWidth="1"/>
    <col min="3110" max="3110" width="22.85546875" style="516" customWidth="1"/>
    <col min="3111" max="3332" width="9.140625" style="516"/>
    <col min="3333" max="3333" width="4.5703125" style="516" customWidth="1"/>
    <col min="3334" max="3334" width="41.7109375" style="516" customWidth="1"/>
    <col min="3335" max="3335" width="8.28515625" style="516" customWidth="1"/>
    <col min="3336" max="3336" width="11" style="516" customWidth="1"/>
    <col min="3337" max="3337" width="16.7109375" style="516" customWidth="1"/>
    <col min="3338" max="3338" width="22.85546875" style="516" customWidth="1"/>
    <col min="3339" max="3339" width="8.28515625" style="516" customWidth="1"/>
    <col min="3340" max="3340" width="4.5703125" style="516" customWidth="1"/>
    <col min="3341" max="3341" width="41.7109375" style="516" customWidth="1"/>
    <col min="3342" max="3342" width="8.28515625" style="516" customWidth="1"/>
    <col min="3343" max="3343" width="11" style="516" customWidth="1"/>
    <col min="3344" max="3344" width="16.7109375" style="516" customWidth="1"/>
    <col min="3345" max="3345" width="22.85546875" style="516" customWidth="1"/>
    <col min="3346" max="3346" width="9.140625" style="516"/>
    <col min="3347" max="3347" width="4.5703125" style="516" customWidth="1"/>
    <col min="3348" max="3348" width="41.7109375" style="516" customWidth="1"/>
    <col min="3349" max="3349" width="8.28515625" style="516" customWidth="1"/>
    <col min="3350" max="3350" width="11" style="516" customWidth="1"/>
    <col min="3351" max="3351" width="16.7109375" style="516" customWidth="1"/>
    <col min="3352" max="3352" width="22.85546875" style="516" customWidth="1"/>
    <col min="3353" max="3353" width="9.140625" style="516"/>
    <col min="3354" max="3354" width="4.5703125" style="516" customWidth="1"/>
    <col min="3355" max="3355" width="41.7109375" style="516" customWidth="1"/>
    <col min="3356" max="3356" width="8.28515625" style="516" customWidth="1"/>
    <col min="3357" max="3357" width="11" style="516" customWidth="1"/>
    <col min="3358" max="3358" width="16.7109375" style="516" customWidth="1"/>
    <col min="3359" max="3359" width="22.85546875" style="516" customWidth="1"/>
    <col min="3360" max="3360" width="9.140625" style="516"/>
    <col min="3361" max="3361" width="4.5703125" style="516" customWidth="1"/>
    <col min="3362" max="3362" width="41.7109375" style="516" customWidth="1"/>
    <col min="3363" max="3363" width="8.28515625" style="516" customWidth="1"/>
    <col min="3364" max="3364" width="11" style="516" customWidth="1"/>
    <col min="3365" max="3365" width="16.7109375" style="516" customWidth="1"/>
    <col min="3366" max="3366" width="22.85546875" style="516" customWidth="1"/>
    <col min="3367" max="3588" width="9.140625" style="516"/>
    <col min="3589" max="3589" width="4.5703125" style="516" customWidth="1"/>
    <col min="3590" max="3590" width="41.7109375" style="516" customWidth="1"/>
    <col min="3591" max="3591" width="8.28515625" style="516" customWidth="1"/>
    <col min="3592" max="3592" width="11" style="516" customWidth="1"/>
    <col min="3593" max="3593" width="16.7109375" style="516" customWidth="1"/>
    <col min="3594" max="3594" width="22.85546875" style="516" customWidth="1"/>
    <col min="3595" max="3595" width="8.28515625" style="516" customWidth="1"/>
    <col min="3596" max="3596" width="4.5703125" style="516" customWidth="1"/>
    <col min="3597" max="3597" width="41.7109375" style="516" customWidth="1"/>
    <col min="3598" max="3598" width="8.28515625" style="516" customWidth="1"/>
    <col min="3599" max="3599" width="11" style="516" customWidth="1"/>
    <col min="3600" max="3600" width="16.7109375" style="516" customWidth="1"/>
    <col min="3601" max="3601" width="22.85546875" style="516" customWidth="1"/>
    <col min="3602" max="3602" width="9.140625" style="516"/>
    <col min="3603" max="3603" width="4.5703125" style="516" customWidth="1"/>
    <col min="3604" max="3604" width="41.7109375" style="516" customWidth="1"/>
    <col min="3605" max="3605" width="8.28515625" style="516" customWidth="1"/>
    <col min="3606" max="3606" width="11" style="516" customWidth="1"/>
    <col min="3607" max="3607" width="16.7109375" style="516" customWidth="1"/>
    <col min="3608" max="3608" width="22.85546875" style="516" customWidth="1"/>
    <col min="3609" max="3609" width="9.140625" style="516"/>
    <col min="3610" max="3610" width="4.5703125" style="516" customWidth="1"/>
    <col min="3611" max="3611" width="41.7109375" style="516" customWidth="1"/>
    <col min="3612" max="3612" width="8.28515625" style="516" customWidth="1"/>
    <col min="3613" max="3613" width="11" style="516" customWidth="1"/>
    <col min="3614" max="3614" width="16.7109375" style="516" customWidth="1"/>
    <col min="3615" max="3615" width="22.85546875" style="516" customWidth="1"/>
    <col min="3616" max="3616" width="9.140625" style="516"/>
    <col min="3617" max="3617" width="4.5703125" style="516" customWidth="1"/>
    <col min="3618" max="3618" width="41.7109375" style="516" customWidth="1"/>
    <col min="3619" max="3619" width="8.28515625" style="516" customWidth="1"/>
    <col min="3620" max="3620" width="11" style="516" customWidth="1"/>
    <col min="3621" max="3621" width="16.7109375" style="516" customWidth="1"/>
    <col min="3622" max="3622" width="22.85546875" style="516" customWidth="1"/>
    <col min="3623" max="3844" width="9.140625" style="516"/>
    <col min="3845" max="3845" width="4.5703125" style="516" customWidth="1"/>
    <col min="3846" max="3846" width="41.7109375" style="516" customWidth="1"/>
    <col min="3847" max="3847" width="8.28515625" style="516" customWidth="1"/>
    <col min="3848" max="3848" width="11" style="516" customWidth="1"/>
    <col min="3849" max="3849" width="16.7109375" style="516" customWidth="1"/>
    <col min="3850" max="3850" width="22.85546875" style="516" customWidth="1"/>
    <col min="3851" max="3851" width="8.28515625" style="516" customWidth="1"/>
    <col min="3852" max="3852" width="4.5703125" style="516" customWidth="1"/>
    <col min="3853" max="3853" width="41.7109375" style="516" customWidth="1"/>
    <col min="3854" max="3854" width="8.28515625" style="516" customWidth="1"/>
    <col min="3855" max="3855" width="11" style="516" customWidth="1"/>
    <col min="3856" max="3856" width="16.7109375" style="516" customWidth="1"/>
    <col min="3857" max="3857" width="22.85546875" style="516" customWidth="1"/>
    <col min="3858" max="3858" width="9.140625" style="516"/>
    <col min="3859" max="3859" width="4.5703125" style="516" customWidth="1"/>
    <col min="3860" max="3860" width="41.7109375" style="516" customWidth="1"/>
    <col min="3861" max="3861" width="8.28515625" style="516" customWidth="1"/>
    <col min="3862" max="3862" width="11" style="516" customWidth="1"/>
    <col min="3863" max="3863" width="16.7109375" style="516" customWidth="1"/>
    <col min="3864" max="3864" width="22.85546875" style="516" customWidth="1"/>
    <col min="3865" max="3865" width="9.140625" style="516"/>
    <col min="3866" max="3866" width="4.5703125" style="516" customWidth="1"/>
    <col min="3867" max="3867" width="41.7109375" style="516" customWidth="1"/>
    <col min="3868" max="3868" width="8.28515625" style="516" customWidth="1"/>
    <col min="3869" max="3869" width="11" style="516" customWidth="1"/>
    <col min="3870" max="3870" width="16.7109375" style="516" customWidth="1"/>
    <col min="3871" max="3871" width="22.85546875" style="516" customWidth="1"/>
    <col min="3872" max="3872" width="9.140625" style="516"/>
    <col min="3873" max="3873" width="4.5703125" style="516" customWidth="1"/>
    <col min="3874" max="3874" width="41.7109375" style="516" customWidth="1"/>
    <col min="3875" max="3875" width="8.28515625" style="516" customWidth="1"/>
    <col min="3876" max="3876" width="11" style="516" customWidth="1"/>
    <col min="3877" max="3877" width="16.7109375" style="516" customWidth="1"/>
    <col min="3878" max="3878" width="22.85546875" style="516" customWidth="1"/>
    <col min="3879" max="4100" width="9.140625" style="516"/>
    <col min="4101" max="4101" width="4.5703125" style="516" customWidth="1"/>
    <col min="4102" max="4102" width="41.7109375" style="516" customWidth="1"/>
    <col min="4103" max="4103" width="8.28515625" style="516" customWidth="1"/>
    <col min="4104" max="4104" width="11" style="516" customWidth="1"/>
    <col min="4105" max="4105" width="16.7109375" style="516" customWidth="1"/>
    <col min="4106" max="4106" width="22.85546875" style="516" customWidth="1"/>
    <col min="4107" max="4107" width="8.28515625" style="516" customWidth="1"/>
    <col min="4108" max="4108" width="4.5703125" style="516" customWidth="1"/>
    <col min="4109" max="4109" width="41.7109375" style="516" customWidth="1"/>
    <col min="4110" max="4110" width="8.28515625" style="516" customWidth="1"/>
    <col min="4111" max="4111" width="11" style="516" customWidth="1"/>
    <col min="4112" max="4112" width="16.7109375" style="516" customWidth="1"/>
    <col min="4113" max="4113" width="22.85546875" style="516" customWidth="1"/>
    <col min="4114" max="4114" width="9.140625" style="516"/>
    <col min="4115" max="4115" width="4.5703125" style="516" customWidth="1"/>
    <col min="4116" max="4116" width="41.7109375" style="516" customWidth="1"/>
    <col min="4117" max="4117" width="8.28515625" style="516" customWidth="1"/>
    <col min="4118" max="4118" width="11" style="516" customWidth="1"/>
    <col min="4119" max="4119" width="16.7109375" style="516" customWidth="1"/>
    <col min="4120" max="4120" width="22.85546875" style="516" customWidth="1"/>
    <col min="4121" max="4121" width="9.140625" style="516"/>
    <col min="4122" max="4122" width="4.5703125" style="516" customWidth="1"/>
    <col min="4123" max="4123" width="41.7109375" style="516" customWidth="1"/>
    <col min="4124" max="4124" width="8.28515625" style="516" customWidth="1"/>
    <col min="4125" max="4125" width="11" style="516" customWidth="1"/>
    <col min="4126" max="4126" width="16.7109375" style="516" customWidth="1"/>
    <col min="4127" max="4127" width="22.85546875" style="516" customWidth="1"/>
    <col min="4128" max="4128" width="9.140625" style="516"/>
    <col min="4129" max="4129" width="4.5703125" style="516" customWidth="1"/>
    <col min="4130" max="4130" width="41.7109375" style="516" customWidth="1"/>
    <col min="4131" max="4131" width="8.28515625" style="516" customWidth="1"/>
    <col min="4132" max="4132" width="11" style="516" customWidth="1"/>
    <col min="4133" max="4133" width="16.7109375" style="516" customWidth="1"/>
    <col min="4134" max="4134" width="22.85546875" style="516" customWidth="1"/>
    <col min="4135" max="4356" width="9.140625" style="516"/>
    <col min="4357" max="4357" width="4.5703125" style="516" customWidth="1"/>
    <col min="4358" max="4358" width="41.7109375" style="516" customWidth="1"/>
    <col min="4359" max="4359" width="8.28515625" style="516" customWidth="1"/>
    <col min="4360" max="4360" width="11" style="516" customWidth="1"/>
    <col min="4361" max="4361" width="16.7109375" style="516" customWidth="1"/>
    <col min="4362" max="4362" width="22.85546875" style="516" customWidth="1"/>
    <col min="4363" max="4363" width="8.28515625" style="516" customWidth="1"/>
    <col min="4364" max="4364" width="4.5703125" style="516" customWidth="1"/>
    <col min="4365" max="4365" width="41.7109375" style="516" customWidth="1"/>
    <col min="4366" max="4366" width="8.28515625" style="516" customWidth="1"/>
    <col min="4367" max="4367" width="11" style="516" customWidth="1"/>
    <col min="4368" max="4368" width="16.7109375" style="516" customWidth="1"/>
    <col min="4369" max="4369" width="22.85546875" style="516" customWidth="1"/>
    <col min="4370" max="4370" width="9.140625" style="516"/>
    <col min="4371" max="4371" width="4.5703125" style="516" customWidth="1"/>
    <col min="4372" max="4372" width="41.7109375" style="516" customWidth="1"/>
    <col min="4373" max="4373" width="8.28515625" style="516" customWidth="1"/>
    <col min="4374" max="4374" width="11" style="516" customWidth="1"/>
    <col min="4375" max="4375" width="16.7109375" style="516" customWidth="1"/>
    <col min="4376" max="4376" width="22.85546875" style="516" customWidth="1"/>
    <col min="4377" max="4377" width="9.140625" style="516"/>
    <col min="4378" max="4378" width="4.5703125" style="516" customWidth="1"/>
    <col min="4379" max="4379" width="41.7109375" style="516" customWidth="1"/>
    <col min="4380" max="4380" width="8.28515625" style="516" customWidth="1"/>
    <col min="4381" max="4381" width="11" style="516" customWidth="1"/>
    <col min="4382" max="4382" width="16.7109375" style="516" customWidth="1"/>
    <col min="4383" max="4383" width="22.85546875" style="516" customWidth="1"/>
    <col min="4384" max="4384" width="9.140625" style="516"/>
    <col min="4385" max="4385" width="4.5703125" style="516" customWidth="1"/>
    <col min="4386" max="4386" width="41.7109375" style="516" customWidth="1"/>
    <col min="4387" max="4387" width="8.28515625" style="516" customWidth="1"/>
    <col min="4388" max="4388" width="11" style="516" customWidth="1"/>
    <col min="4389" max="4389" width="16.7109375" style="516" customWidth="1"/>
    <col min="4390" max="4390" width="22.85546875" style="516" customWidth="1"/>
    <col min="4391" max="4612" width="9.140625" style="516"/>
    <col min="4613" max="4613" width="4.5703125" style="516" customWidth="1"/>
    <col min="4614" max="4614" width="41.7109375" style="516" customWidth="1"/>
    <col min="4615" max="4615" width="8.28515625" style="516" customWidth="1"/>
    <col min="4616" max="4616" width="11" style="516" customWidth="1"/>
    <col min="4617" max="4617" width="16.7109375" style="516" customWidth="1"/>
    <col min="4618" max="4618" width="22.85546875" style="516" customWidth="1"/>
    <col min="4619" max="4619" width="8.28515625" style="516" customWidth="1"/>
    <col min="4620" max="4620" width="4.5703125" style="516" customWidth="1"/>
    <col min="4621" max="4621" width="41.7109375" style="516" customWidth="1"/>
    <col min="4622" max="4622" width="8.28515625" style="516" customWidth="1"/>
    <col min="4623" max="4623" width="11" style="516" customWidth="1"/>
    <col min="4624" max="4624" width="16.7109375" style="516" customWidth="1"/>
    <col min="4625" max="4625" width="22.85546875" style="516" customWidth="1"/>
    <col min="4626" max="4626" width="9.140625" style="516"/>
    <col min="4627" max="4627" width="4.5703125" style="516" customWidth="1"/>
    <col min="4628" max="4628" width="41.7109375" style="516" customWidth="1"/>
    <col min="4629" max="4629" width="8.28515625" style="516" customWidth="1"/>
    <col min="4630" max="4630" width="11" style="516" customWidth="1"/>
    <col min="4631" max="4631" width="16.7109375" style="516" customWidth="1"/>
    <col min="4632" max="4632" width="22.85546875" style="516" customWidth="1"/>
    <col min="4633" max="4633" width="9.140625" style="516"/>
    <col min="4634" max="4634" width="4.5703125" style="516" customWidth="1"/>
    <col min="4635" max="4635" width="41.7109375" style="516" customWidth="1"/>
    <col min="4636" max="4636" width="8.28515625" style="516" customWidth="1"/>
    <col min="4637" max="4637" width="11" style="516" customWidth="1"/>
    <col min="4638" max="4638" width="16.7109375" style="516" customWidth="1"/>
    <col min="4639" max="4639" width="22.85546875" style="516" customWidth="1"/>
    <col min="4640" max="4640" width="9.140625" style="516"/>
    <col min="4641" max="4641" width="4.5703125" style="516" customWidth="1"/>
    <col min="4642" max="4642" width="41.7109375" style="516" customWidth="1"/>
    <col min="4643" max="4643" width="8.28515625" style="516" customWidth="1"/>
    <col min="4644" max="4644" width="11" style="516" customWidth="1"/>
    <col min="4645" max="4645" width="16.7109375" style="516" customWidth="1"/>
    <col min="4646" max="4646" width="22.85546875" style="516" customWidth="1"/>
    <col min="4647" max="4868" width="9.140625" style="516"/>
    <col min="4869" max="4869" width="4.5703125" style="516" customWidth="1"/>
    <col min="4870" max="4870" width="41.7109375" style="516" customWidth="1"/>
    <col min="4871" max="4871" width="8.28515625" style="516" customWidth="1"/>
    <col min="4872" max="4872" width="11" style="516" customWidth="1"/>
    <col min="4873" max="4873" width="16.7109375" style="516" customWidth="1"/>
    <col min="4874" max="4874" width="22.85546875" style="516" customWidth="1"/>
    <col min="4875" max="4875" width="8.28515625" style="516" customWidth="1"/>
    <col min="4876" max="4876" width="4.5703125" style="516" customWidth="1"/>
    <col min="4877" max="4877" width="41.7109375" style="516" customWidth="1"/>
    <col min="4878" max="4878" width="8.28515625" style="516" customWidth="1"/>
    <col min="4879" max="4879" width="11" style="516" customWidth="1"/>
    <col min="4880" max="4880" width="16.7109375" style="516" customWidth="1"/>
    <col min="4881" max="4881" width="22.85546875" style="516" customWidth="1"/>
    <col min="4882" max="4882" width="9.140625" style="516"/>
    <col min="4883" max="4883" width="4.5703125" style="516" customWidth="1"/>
    <col min="4884" max="4884" width="41.7109375" style="516" customWidth="1"/>
    <col min="4885" max="4885" width="8.28515625" style="516" customWidth="1"/>
    <col min="4886" max="4886" width="11" style="516" customWidth="1"/>
    <col min="4887" max="4887" width="16.7109375" style="516" customWidth="1"/>
    <col min="4888" max="4888" width="22.85546875" style="516" customWidth="1"/>
    <col min="4889" max="4889" width="9.140625" style="516"/>
    <col min="4890" max="4890" width="4.5703125" style="516" customWidth="1"/>
    <col min="4891" max="4891" width="41.7109375" style="516" customWidth="1"/>
    <col min="4892" max="4892" width="8.28515625" style="516" customWidth="1"/>
    <col min="4893" max="4893" width="11" style="516" customWidth="1"/>
    <col min="4894" max="4894" width="16.7109375" style="516" customWidth="1"/>
    <col min="4895" max="4895" width="22.85546875" style="516" customWidth="1"/>
    <col min="4896" max="4896" width="9.140625" style="516"/>
    <col min="4897" max="4897" width="4.5703125" style="516" customWidth="1"/>
    <col min="4898" max="4898" width="41.7109375" style="516" customWidth="1"/>
    <col min="4899" max="4899" width="8.28515625" style="516" customWidth="1"/>
    <col min="4900" max="4900" width="11" style="516" customWidth="1"/>
    <col min="4901" max="4901" width="16.7109375" style="516" customWidth="1"/>
    <col min="4902" max="4902" width="22.85546875" style="516" customWidth="1"/>
    <col min="4903" max="5124" width="9.140625" style="516"/>
    <col min="5125" max="5125" width="4.5703125" style="516" customWidth="1"/>
    <col min="5126" max="5126" width="41.7109375" style="516" customWidth="1"/>
    <col min="5127" max="5127" width="8.28515625" style="516" customWidth="1"/>
    <col min="5128" max="5128" width="11" style="516" customWidth="1"/>
    <col min="5129" max="5129" width="16.7109375" style="516" customWidth="1"/>
    <col min="5130" max="5130" width="22.85546875" style="516" customWidth="1"/>
    <col min="5131" max="5131" width="8.28515625" style="516" customWidth="1"/>
    <col min="5132" max="5132" width="4.5703125" style="516" customWidth="1"/>
    <col min="5133" max="5133" width="41.7109375" style="516" customWidth="1"/>
    <col min="5134" max="5134" width="8.28515625" style="516" customWidth="1"/>
    <col min="5135" max="5135" width="11" style="516" customWidth="1"/>
    <col min="5136" max="5136" width="16.7109375" style="516" customWidth="1"/>
    <col min="5137" max="5137" width="22.85546875" style="516" customWidth="1"/>
    <col min="5138" max="5138" width="9.140625" style="516"/>
    <col min="5139" max="5139" width="4.5703125" style="516" customWidth="1"/>
    <col min="5140" max="5140" width="41.7109375" style="516" customWidth="1"/>
    <col min="5141" max="5141" width="8.28515625" style="516" customWidth="1"/>
    <col min="5142" max="5142" width="11" style="516" customWidth="1"/>
    <col min="5143" max="5143" width="16.7109375" style="516" customWidth="1"/>
    <col min="5144" max="5144" width="22.85546875" style="516" customWidth="1"/>
    <col min="5145" max="5145" width="9.140625" style="516"/>
    <col min="5146" max="5146" width="4.5703125" style="516" customWidth="1"/>
    <col min="5147" max="5147" width="41.7109375" style="516" customWidth="1"/>
    <col min="5148" max="5148" width="8.28515625" style="516" customWidth="1"/>
    <col min="5149" max="5149" width="11" style="516" customWidth="1"/>
    <col min="5150" max="5150" width="16.7109375" style="516" customWidth="1"/>
    <col min="5151" max="5151" width="22.85546875" style="516" customWidth="1"/>
    <col min="5152" max="5152" width="9.140625" style="516"/>
    <col min="5153" max="5153" width="4.5703125" style="516" customWidth="1"/>
    <col min="5154" max="5154" width="41.7109375" style="516" customWidth="1"/>
    <col min="5155" max="5155" width="8.28515625" style="516" customWidth="1"/>
    <col min="5156" max="5156" width="11" style="516" customWidth="1"/>
    <col min="5157" max="5157" width="16.7109375" style="516" customWidth="1"/>
    <col min="5158" max="5158" width="22.85546875" style="516" customWidth="1"/>
    <col min="5159" max="5380" width="9.140625" style="516"/>
    <col min="5381" max="5381" width="4.5703125" style="516" customWidth="1"/>
    <col min="5382" max="5382" width="41.7109375" style="516" customWidth="1"/>
    <col min="5383" max="5383" width="8.28515625" style="516" customWidth="1"/>
    <col min="5384" max="5384" width="11" style="516" customWidth="1"/>
    <col min="5385" max="5385" width="16.7109375" style="516" customWidth="1"/>
    <col min="5386" max="5386" width="22.85546875" style="516" customWidth="1"/>
    <col min="5387" max="5387" width="8.28515625" style="516" customWidth="1"/>
    <col min="5388" max="5388" width="4.5703125" style="516" customWidth="1"/>
    <col min="5389" max="5389" width="41.7109375" style="516" customWidth="1"/>
    <col min="5390" max="5390" width="8.28515625" style="516" customWidth="1"/>
    <col min="5391" max="5391" width="11" style="516" customWidth="1"/>
    <col min="5392" max="5392" width="16.7109375" style="516" customWidth="1"/>
    <col min="5393" max="5393" width="22.85546875" style="516" customWidth="1"/>
    <col min="5394" max="5394" width="9.140625" style="516"/>
    <col min="5395" max="5395" width="4.5703125" style="516" customWidth="1"/>
    <col min="5396" max="5396" width="41.7109375" style="516" customWidth="1"/>
    <col min="5397" max="5397" width="8.28515625" style="516" customWidth="1"/>
    <col min="5398" max="5398" width="11" style="516" customWidth="1"/>
    <col min="5399" max="5399" width="16.7109375" style="516" customWidth="1"/>
    <col min="5400" max="5400" width="22.85546875" style="516" customWidth="1"/>
    <col min="5401" max="5401" width="9.140625" style="516"/>
    <col min="5402" max="5402" width="4.5703125" style="516" customWidth="1"/>
    <col min="5403" max="5403" width="41.7109375" style="516" customWidth="1"/>
    <col min="5404" max="5404" width="8.28515625" style="516" customWidth="1"/>
    <col min="5405" max="5405" width="11" style="516" customWidth="1"/>
    <col min="5406" max="5406" width="16.7109375" style="516" customWidth="1"/>
    <col min="5407" max="5407" width="22.85546875" style="516" customWidth="1"/>
    <col min="5408" max="5408" width="9.140625" style="516"/>
    <col min="5409" max="5409" width="4.5703125" style="516" customWidth="1"/>
    <col min="5410" max="5410" width="41.7109375" style="516" customWidth="1"/>
    <col min="5411" max="5411" width="8.28515625" style="516" customWidth="1"/>
    <col min="5412" max="5412" width="11" style="516" customWidth="1"/>
    <col min="5413" max="5413" width="16.7109375" style="516" customWidth="1"/>
    <col min="5414" max="5414" width="22.85546875" style="516" customWidth="1"/>
    <col min="5415" max="5636" width="9.140625" style="516"/>
    <col min="5637" max="5637" width="4.5703125" style="516" customWidth="1"/>
    <col min="5638" max="5638" width="41.7109375" style="516" customWidth="1"/>
    <col min="5639" max="5639" width="8.28515625" style="516" customWidth="1"/>
    <col min="5640" max="5640" width="11" style="516" customWidth="1"/>
    <col min="5641" max="5641" width="16.7109375" style="516" customWidth="1"/>
    <col min="5642" max="5642" width="22.85546875" style="516" customWidth="1"/>
    <col min="5643" max="5643" width="8.28515625" style="516" customWidth="1"/>
    <col min="5644" max="5644" width="4.5703125" style="516" customWidth="1"/>
    <col min="5645" max="5645" width="41.7109375" style="516" customWidth="1"/>
    <col min="5646" max="5646" width="8.28515625" style="516" customWidth="1"/>
    <col min="5647" max="5647" width="11" style="516" customWidth="1"/>
    <col min="5648" max="5648" width="16.7109375" style="516" customWidth="1"/>
    <col min="5649" max="5649" width="22.85546875" style="516" customWidth="1"/>
    <col min="5650" max="5650" width="9.140625" style="516"/>
    <col min="5651" max="5651" width="4.5703125" style="516" customWidth="1"/>
    <col min="5652" max="5652" width="41.7109375" style="516" customWidth="1"/>
    <col min="5653" max="5653" width="8.28515625" style="516" customWidth="1"/>
    <col min="5654" max="5654" width="11" style="516" customWidth="1"/>
    <col min="5655" max="5655" width="16.7109375" style="516" customWidth="1"/>
    <col min="5656" max="5656" width="22.85546875" style="516" customWidth="1"/>
    <col min="5657" max="5657" width="9.140625" style="516"/>
    <col min="5658" max="5658" width="4.5703125" style="516" customWidth="1"/>
    <col min="5659" max="5659" width="41.7109375" style="516" customWidth="1"/>
    <col min="5660" max="5660" width="8.28515625" style="516" customWidth="1"/>
    <col min="5661" max="5661" width="11" style="516" customWidth="1"/>
    <col min="5662" max="5662" width="16.7109375" style="516" customWidth="1"/>
    <col min="5663" max="5663" width="22.85546875" style="516" customWidth="1"/>
    <col min="5664" max="5664" width="9.140625" style="516"/>
    <col min="5665" max="5665" width="4.5703125" style="516" customWidth="1"/>
    <col min="5666" max="5666" width="41.7109375" style="516" customWidth="1"/>
    <col min="5667" max="5667" width="8.28515625" style="516" customWidth="1"/>
    <col min="5668" max="5668" width="11" style="516" customWidth="1"/>
    <col min="5669" max="5669" width="16.7109375" style="516" customWidth="1"/>
    <col min="5670" max="5670" width="22.85546875" style="516" customWidth="1"/>
    <col min="5671" max="5892" width="9.140625" style="516"/>
    <col min="5893" max="5893" width="4.5703125" style="516" customWidth="1"/>
    <col min="5894" max="5894" width="41.7109375" style="516" customWidth="1"/>
    <col min="5895" max="5895" width="8.28515625" style="516" customWidth="1"/>
    <col min="5896" max="5896" width="11" style="516" customWidth="1"/>
    <col min="5897" max="5897" width="16.7109375" style="516" customWidth="1"/>
    <col min="5898" max="5898" width="22.85546875" style="516" customWidth="1"/>
    <col min="5899" max="5899" width="8.28515625" style="516" customWidth="1"/>
    <col min="5900" max="5900" width="4.5703125" style="516" customWidth="1"/>
    <col min="5901" max="5901" width="41.7109375" style="516" customWidth="1"/>
    <col min="5902" max="5902" width="8.28515625" style="516" customWidth="1"/>
    <col min="5903" max="5903" width="11" style="516" customWidth="1"/>
    <col min="5904" max="5904" width="16.7109375" style="516" customWidth="1"/>
    <col min="5905" max="5905" width="22.85546875" style="516" customWidth="1"/>
    <col min="5906" max="5906" width="9.140625" style="516"/>
    <col min="5907" max="5907" width="4.5703125" style="516" customWidth="1"/>
    <col min="5908" max="5908" width="41.7109375" style="516" customWidth="1"/>
    <col min="5909" max="5909" width="8.28515625" style="516" customWidth="1"/>
    <col min="5910" max="5910" width="11" style="516" customWidth="1"/>
    <col min="5911" max="5911" width="16.7109375" style="516" customWidth="1"/>
    <col min="5912" max="5912" width="22.85546875" style="516" customWidth="1"/>
    <col min="5913" max="5913" width="9.140625" style="516"/>
    <col min="5914" max="5914" width="4.5703125" style="516" customWidth="1"/>
    <col min="5915" max="5915" width="41.7109375" style="516" customWidth="1"/>
    <col min="5916" max="5916" width="8.28515625" style="516" customWidth="1"/>
    <col min="5917" max="5917" width="11" style="516" customWidth="1"/>
    <col min="5918" max="5918" width="16.7109375" style="516" customWidth="1"/>
    <col min="5919" max="5919" width="22.85546875" style="516" customWidth="1"/>
    <col min="5920" max="5920" width="9.140625" style="516"/>
    <col min="5921" max="5921" width="4.5703125" style="516" customWidth="1"/>
    <col min="5922" max="5922" width="41.7109375" style="516" customWidth="1"/>
    <col min="5923" max="5923" width="8.28515625" style="516" customWidth="1"/>
    <col min="5924" max="5924" width="11" style="516" customWidth="1"/>
    <col min="5925" max="5925" width="16.7109375" style="516" customWidth="1"/>
    <col min="5926" max="5926" width="22.85546875" style="516" customWidth="1"/>
    <col min="5927" max="6148" width="9.140625" style="516"/>
    <col min="6149" max="6149" width="4.5703125" style="516" customWidth="1"/>
    <col min="6150" max="6150" width="41.7109375" style="516" customWidth="1"/>
    <col min="6151" max="6151" width="8.28515625" style="516" customWidth="1"/>
    <col min="6152" max="6152" width="11" style="516" customWidth="1"/>
    <col min="6153" max="6153" width="16.7109375" style="516" customWidth="1"/>
    <col min="6154" max="6154" width="22.85546875" style="516" customWidth="1"/>
    <col min="6155" max="6155" width="8.28515625" style="516" customWidth="1"/>
    <col min="6156" max="6156" width="4.5703125" style="516" customWidth="1"/>
    <col min="6157" max="6157" width="41.7109375" style="516" customWidth="1"/>
    <col min="6158" max="6158" width="8.28515625" style="516" customWidth="1"/>
    <col min="6159" max="6159" width="11" style="516" customWidth="1"/>
    <col min="6160" max="6160" width="16.7109375" style="516" customWidth="1"/>
    <col min="6161" max="6161" width="22.85546875" style="516" customWidth="1"/>
    <col min="6162" max="6162" width="9.140625" style="516"/>
    <col min="6163" max="6163" width="4.5703125" style="516" customWidth="1"/>
    <col min="6164" max="6164" width="41.7109375" style="516" customWidth="1"/>
    <col min="6165" max="6165" width="8.28515625" style="516" customWidth="1"/>
    <col min="6166" max="6166" width="11" style="516" customWidth="1"/>
    <col min="6167" max="6167" width="16.7109375" style="516" customWidth="1"/>
    <col min="6168" max="6168" width="22.85546875" style="516" customWidth="1"/>
    <col min="6169" max="6169" width="9.140625" style="516"/>
    <col min="6170" max="6170" width="4.5703125" style="516" customWidth="1"/>
    <col min="6171" max="6171" width="41.7109375" style="516" customWidth="1"/>
    <col min="6172" max="6172" width="8.28515625" style="516" customWidth="1"/>
    <col min="6173" max="6173" width="11" style="516" customWidth="1"/>
    <col min="6174" max="6174" width="16.7109375" style="516" customWidth="1"/>
    <col min="6175" max="6175" width="22.85546875" style="516" customWidth="1"/>
    <col min="6176" max="6176" width="9.140625" style="516"/>
    <col min="6177" max="6177" width="4.5703125" style="516" customWidth="1"/>
    <col min="6178" max="6178" width="41.7109375" style="516" customWidth="1"/>
    <col min="6179" max="6179" width="8.28515625" style="516" customWidth="1"/>
    <col min="6180" max="6180" width="11" style="516" customWidth="1"/>
    <col min="6181" max="6181" width="16.7109375" style="516" customWidth="1"/>
    <col min="6182" max="6182" width="22.85546875" style="516" customWidth="1"/>
    <col min="6183" max="6404" width="9.140625" style="516"/>
    <col min="6405" max="6405" width="4.5703125" style="516" customWidth="1"/>
    <col min="6406" max="6406" width="41.7109375" style="516" customWidth="1"/>
    <col min="6407" max="6407" width="8.28515625" style="516" customWidth="1"/>
    <col min="6408" max="6408" width="11" style="516" customWidth="1"/>
    <col min="6409" max="6409" width="16.7109375" style="516" customWidth="1"/>
    <col min="6410" max="6410" width="22.85546875" style="516" customWidth="1"/>
    <col min="6411" max="6411" width="8.28515625" style="516" customWidth="1"/>
    <col min="6412" max="6412" width="4.5703125" style="516" customWidth="1"/>
    <col min="6413" max="6413" width="41.7109375" style="516" customWidth="1"/>
    <col min="6414" max="6414" width="8.28515625" style="516" customWidth="1"/>
    <col min="6415" max="6415" width="11" style="516" customWidth="1"/>
    <col min="6416" max="6416" width="16.7109375" style="516" customWidth="1"/>
    <col min="6417" max="6417" width="22.85546875" style="516" customWidth="1"/>
    <col min="6418" max="6418" width="9.140625" style="516"/>
    <col min="6419" max="6419" width="4.5703125" style="516" customWidth="1"/>
    <col min="6420" max="6420" width="41.7109375" style="516" customWidth="1"/>
    <col min="6421" max="6421" width="8.28515625" style="516" customWidth="1"/>
    <col min="6422" max="6422" width="11" style="516" customWidth="1"/>
    <col min="6423" max="6423" width="16.7109375" style="516" customWidth="1"/>
    <col min="6424" max="6424" width="22.85546875" style="516" customWidth="1"/>
    <col min="6425" max="6425" width="9.140625" style="516"/>
    <col min="6426" max="6426" width="4.5703125" style="516" customWidth="1"/>
    <col min="6427" max="6427" width="41.7109375" style="516" customWidth="1"/>
    <col min="6428" max="6428" width="8.28515625" style="516" customWidth="1"/>
    <col min="6429" max="6429" width="11" style="516" customWidth="1"/>
    <col min="6430" max="6430" width="16.7109375" style="516" customWidth="1"/>
    <col min="6431" max="6431" width="22.85546875" style="516" customWidth="1"/>
    <col min="6432" max="6432" width="9.140625" style="516"/>
    <col min="6433" max="6433" width="4.5703125" style="516" customWidth="1"/>
    <col min="6434" max="6434" width="41.7109375" style="516" customWidth="1"/>
    <col min="6435" max="6435" width="8.28515625" style="516" customWidth="1"/>
    <col min="6436" max="6436" width="11" style="516" customWidth="1"/>
    <col min="6437" max="6437" width="16.7109375" style="516" customWidth="1"/>
    <col min="6438" max="6438" width="22.85546875" style="516" customWidth="1"/>
    <col min="6439" max="6660" width="9.140625" style="516"/>
    <col min="6661" max="6661" width="4.5703125" style="516" customWidth="1"/>
    <col min="6662" max="6662" width="41.7109375" style="516" customWidth="1"/>
    <col min="6663" max="6663" width="8.28515625" style="516" customWidth="1"/>
    <col min="6664" max="6664" width="11" style="516" customWidth="1"/>
    <col min="6665" max="6665" width="16.7109375" style="516" customWidth="1"/>
    <col min="6666" max="6666" width="22.85546875" style="516" customWidth="1"/>
    <col min="6667" max="6667" width="8.28515625" style="516" customWidth="1"/>
    <col min="6668" max="6668" width="4.5703125" style="516" customWidth="1"/>
    <col min="6669" max="6669" width="41.7109375" style="516" customWidth="1"/>
    <col min="6670" max="6670" width="8.28515625" style="516" customWidth="1"/>
    <col min="6671" max="6671" width="11" style="516" customWidth="1"/>
    <col min="6672" max="6672" width="16.7109375" style="516" customWidth="1"/>
    <col min="6673" max="6673" width="22.85546875" style="516" customWidth="1"/>
    <col min="6674" max="6674" width="9.140625" style="516"/>
    <col min="6675" max="6675" width="4.5703125" style="516" customWidth="1"/>
    <col min="6676" max="6676" width="41.7109375" style="516" customWidth="1"/>
    <col min="6677" max="6677" width="8.28515625" style="516" customWidth="1"/>
    <col min="6678" max="6678" width="11" style="516" customWidth="1"/>
    <col min="6679" max="6679" width="16.7109375" style="516" customWidth="1"/>
    <col min="6680" max="6680" width="22.85546875" style="516" customWidth="1"/>
    <col min="6681" max="6681" width="9.140625" style="516"/>
    <col min="6682" max="6682" width="4.5703125" style="516" customWidth="1"/>
    <col min="6683" max="6683" width="41.7109375" style="516" customWidth="1"/>
    <col min="6684" max="6684" width="8.28515625" style="516" customWidth="1"/>
    <col min="6685" max="6685" width="11" style="516" customWidth="1"/>
    <col min="6686" max="6686" width="16.7109375" style="516" customWidth="1"/>
    <col min="6687" max="6687" width="22.85546875" style="516" customWidth="1"/>
    <col min="6688" max="6688" width="9.140625" style="516"/>
    <col min="6689" max="6689" width="4.5703125" style="516" customWidth="1"/>
    <col min="6690" max="6690" width="41.7109375" style="516" customWidth="1"/>
    <col min="6691" max="6691" width="8.28515625" style="516" customWidth="1"/>
    <col min="6692" max="6692" width="11" style="516" customWidth="1"/>
    <col min="6693" max="6693" width="16.7109375" style="516" customWidth="1"/>
    <col min="6694" max="6694" width="22.85546875" style="516" customWidth="1"/>
    <col min="6695" max="6916" width="9.140625" style="516"/>
    <col min="6917" max="6917" width="4.5703125" style="516" customWidth="1"/>
    <col min="6918" max="6918" width="41.7109375" style="516" customWidth="1"/>
    <col min="6919" max="6919" width="8.28515625" style="516" customWidth="1"/>
    <col min="6920" max="6920" width="11" style="516" customWidth="1"/>
    <col min="6921" max="6921" width="16.7109375" style="516" customWidth="1"/>
    <col min="6922" max="6922" width="22.85546875" style="516" customWidth="1"/>
    <col min="6923" max="6923" width="8.28515625" style="516" customWidth="1"/>
    <col min="6924" max="6924" width="4.5703125" style="516" customWidth="1"/>
    <col min="6925" max="6925" width="41.7109375" style="516" customWidth="1"/>
    <col min="6926" max="6926" width="8.28515625" style="516" customWidth="1"/>
    <col min="6927" max="6927" width="11" style="516" customWidth="1"/>
    <col min="6928" max="6928" width="16.7109375" style="516" customWidth="1"/>
    <col min="6929" max="6929" width="22.85546875" style="516" customWidth="1"/>
    <col min="6930" max="6930" width="9.140625" style="516"/>
    <col min="6931" max="6931" width="4.5703125" style="516" customWidth="1"/>
    <col min="6932" max="6932" width="41.7109375" style="516" customWidth="1"/>
    <col min="6933" max="6933" width="8.28515625" style="516" customWidth="1"/>
    <col min="6934" max="6934" width="11" style="516" customWidth="1"/>
    <col min="6935" max="6935" width="16.7109375" style="516" customWidth="1"/>
    <col min="6936" max="6936" width="22.85546875" style="516" customWidth="1"/>
    <col min="6937" max="6937" width="9.140625" style="516"/>
    <col min="6938" max="6938" width="4.5703125" style="516" customWidth="1"/>
    <col min="6939" max="6939" width="41.7109375" style="516" customWidth="1"/>
    <col min="6940" max="6940" width="8.28515625" style="516" customWidth="1"/>
    <col min="6941" max="6941" width="11" style="516" customWidth="1"/>
    <col min="6942" max="6942" width="16.7109375" style="516" customWidth="1"/>
    <col min="6943" max="6943" width="22.85546875" style="516" customWidth="1"/>
    <col min="6944" max="6944" width="9.140625" style="516"/>
    <col min="6945" max="6945" width="4.5703125" style="516" customWidth="1"/>
    <col min="6946" max="6946" width="41.7109375" style="516" customWidth="1"/>
    <col min="6947" max="6947" width="8.28515625" style="516" customWidth="1"/>
    <col min="6948" max="6948" width="11" style="516" customWidth="1"/>
    <col min="6949" max="6949" width="16.7109375" style="516" customWidth="1"/>
    <col min="6950" max="6950" width="22.85546875" style="516" customWidth="1"/>
    <col min="6951" max="7172" width="9.140625" style="516"/>
    <col min="7173" max="7173" width="4.5703125" style="516" customWidth="1"/>
    <col min="7174" max="7174" width="41.7109375" style="516" customWidth="1"/>
    <col min="7175" max="7175" width="8.28515625" style="516" customWidth="1"/>
    <col min="7176" max="7176" width="11" style="516" customWidth="1"/>
    <col min="7177" max="7177" width="16.7109375" style="516" customWidth="1"/>
    <col min="7178" max="7178" width="22.85546875" style="516" customWidth="1"/>
    <col min="7179" max="7179" width="8.28515625" style="516" customWidth="1"/>
    <col min="7180" max="7180" width="4.5703125" style="516" customWidth="1"/>
    <col min="7181" max="7181" width="41.7109375" style="516" customWidth="1"/>
    <col min="7182" max="7182" width="8.28515625" style="516" customWidth="1"/>
    <col min="7183" max="7183" width="11" style="516" customWidth="1"/>
    <col min="7184" max="7184" width="16.7109375" style="516" customWidth="1"/>
    <col min="7185" max="7185" width="22.85546875" style="516" customWidth="1"/>
    <col min="7186" max="7186" width="9.140625" style="516"/>
    <col min="7187" max="7187" width="4.5703125" style="516" customWidth="1"/>
    <col min="7188" max="7188" width="41.7109375" style="516" customWidth="1"/>
    <col min="7189" max="7189" width="8.28515625" style="516" customWidth="1"/>
    <col min="7190" max="7190" width="11" style="516" customWidth="1"/>
    <col min="7191" max="7191" width="16.7109375" style="516" customWidth="1"/>
    <col min="7192" max="7192" width="22.85546875" style="516" customWidth="1"/>
    <col min="7193" max="7193" width="9.140625" style="516"/>
    <col min="7194" max="7194" width="4.5703125" style="516" customWidth="1"/>
    <col min="7195" max="7195" width="41.7109375" style="516" customWidth="1"/>
    <col min="7196" max="7196" width="8.28515625" style="516" customWidth="1"/>
    <col min="7197" max="7197" width="11" style="516" customWidth="1"/>
    <col min="7198" max="7198" width="16.7109375" style="516" customWidth="1"/>
    <col min="7199" max="7199" width="22.85546875" style="516" customWidth="1"/>
    <col min="7200" max="7200" width="9.140625" style="516"/>
    <col min="7201" max="7201" width="4.5703125" style="516" customWidth="1"/>
    <col min="7202" max="7202" width="41.7109375" style="516" customWidth="1"/>
    <col min="7203" max="7203" width="8.28515625" style="516" customWidth="1"/>
    <col min="7204" max="7204" width="11" style="516" customWidth="1"/>
    <col min="7205" max="7205" width="16.7109375" style="516" customWidth="1"/>
    <col min="7206" max="7206" width="22.85546875" style="516" customWidth="1"/>
    <col min="7207" max="7428" width="9.140625" style="516"/>
    <col min="7429" max="7429" width="4.5703125" style="516" customWidth="1"/>
    <col min="7430" max="7430" width="41.7109375" style="516" customWidth="1"/>
    <col min="7431" max="7431" width="8.28515625" style="516" customWidth="1"/>
    <col min="7432" max="7432" width="11" style="516" customWidth="1"/>
    <col min="7433" max="7433" width="16.7109375" style="516" customWidth="1"/>
    <col min="7434" max="7434" width="22.85546875" style="516" customWidth="1"/>
    <col min="7435" max="7435" width="8.28515625" style="516" customWidth="1"/>
    <col min="7436" max="7436" width="4.5703125" style="516" customWidth="1"/>
    <col min="7437" max="7437" width="41.7109375" style="516" customWidth="1"/>
    <col min="7438" max="7438" width="8.28515625" style="516" customWidth="1"/>
    <col min="7439" max="7439" width="11" style="516" customWidth="1"/>
    <col min="7440" max="7440" width="16.7109375" style="516" customWidth="1"/>
    <col min="7441" max="7441" width="22.85546875" style="516" customWidth="1"/>
    <col min="7442" max="7442" width="9.140625" style="516"/>
    <col min="7443" max="7443" width="4.5703125" style="516" customWidth="1"/>
    <col min="7444" max="7444" width="41.7109375" style="516" customWidth="1"/>
    <col min="7445" max="7445" width="8.28515625" style="516" customWidth="1"/>
    <col min="7446" max="7446" width="11" style="516" customWidth="1"/>
    <col min="7447" max="7447" width="16.7109375" style="516" customWidth="1"/>
    <col min="7448" max="7448" width="22.85546875" style="516" customWidth="1"/>
    <col min="7449" max="7449" width="9.140625" style="516"/>
    <col min="7450" max="7450" width="4.5703125" style="516" customWidth="1"/>
    <col min="7451" max="7451" width="41.7109375" style="516" customWidth="1"/>
    <col min="7452" max="7452" width="8.28515625" style="516" customWidth="1"/>
    <col min="7453" max="7453" width="11" style="516" customWidth="1"/>
    <col min="7454" max="7454" width="16.7109375" style="516" customWidth="1"/>
    <col min="7455" max="7455" width="22.85546875" style="516" customWidth="1"/>
    <col min="7456" max="7456" width="9.140625" style="516"/>
    <col min="7457" max="7457" width="4.5703125" style="516" customWidth="1"/>
    <col min="7458" max="7458" width="41.7109375" style="516" customWidth="1"/>
    <col min="7459" max="7459" width="8.28515625" style="516" customWidth="1"/>
    <col min="7460" max="7460" width="11" style="516" customWidth="1"/>
    <col min="7461" max="7461" width="16.7109375" style="516" customWidth="1"/>
    <col min="7462" max="7462" width="22.85546875" style="516" customWidth="1"/>
    <col min="7463" max="7684" width="9.140625" style="516"/>
    <col min="7685" max="7685" width="4.5703125" style="516" customWidth="1"/>
    <col min="7686" max="7686" width="41.7109375" style="516" customWidth="1"/>
    <col min="7687" max="7687" width="8.28515625" style="516" customWidth="1"/>
    <col min="7688" max="7688" width="11" style="516" customWidth="1"/>
    <col min="7689" max="7689" width="16.7109375" style="516" customWidth="1"/>
    <col min="7690" max="7690" width="22.85546875" style="516" customWidth="1"/>
    <col min="7691" max="7691" width="8.28515625" style="516" customWidth="1"/>
    <col min="7692" max="7692" width="4.5703125" style="516" customWidth="1"/>
    <col min="7693" max="7693" width="41.7109375" style="516" customWidth="1"/>
    <col min="7694" max="7694" width="8.28515625" style="516" customWidth="1"/>
    <col min="7695" max="7695" width="11" style="516" customWidth="1"/>
    <col min="7696" max="7696" width="16.7109375" style="516" customWidth="1"/>
    <col min="7697" max="7697" width="22.85546875" style="516" customWidth="1"/>
    <col min="7698" max="7698" width="9.140625" style="516"/>
    <col min="7699" max="7699" width="4.5703125" style="516" customWidth="1"/>
    <col min="7700" max="7700" width="41.7109375" style="516" customWidth="1"/>
    <col min="7701" max="7701" width="8.28515625" style="516" customWidth="1"/>
    <col min="7702" max="7702" width="11" style="516" customWidth="1"/>
    <col min="7703" max="7703" width="16.7109375" style="516" customWidth="1"/>
    <col min="7704" max="7704" width="22.85546875" style="516" customWidth="1"/>
    <col min="7705" max="7705" width="9.140625" style="516"/>
    <col min="7706" max="7706" width="4.5703125" style="516" customWidth="1"/>
    <col min="7707" max="7707" width="41.7109375" style="516" customWidth="1"/>
    <col min="7708" max="7708" width="8.28515625" style="516" customWidth="1"/>
    <col min="7709" max="7709" width="11" style="516" customWidth="1"/>
    <col min="7710" max="7710" width="16.7109375" style="516" customWidth="1"/>
    <col min="7711" max="7711" width="22.85546875" style="516" customWidth="1"/>
    <col min="7712" max="7712" width="9.140625" style="516"/>
    <col min="7713" max="7713" width="4.5703125" style="516" customWidth="1"/>
    <col min="7714" max="7714" width="41.7109375" style="516" customWidth="1"/>
    <col min="7715" max="7715" width="8.28515625" style="516" customWidth="1"/>
    <col min="7716" max="7716" width="11" style="516" customWidth="1"/>
    <col min="7717" max="7717" width="16.7109375" style="516" customWidth="1"/>
    <col min="7718" max="7718" width="22.85546875" style="516" customWidth="1"/>
    <col min="7719" max="7940" width="9.140625" style="516"/>
    <col min="7941" max="7941" width="4.5703125" style="516" customWidth="1"/>
    <col min="7942" max="7942" width="41.7109375" style="516" customWidth="1"/>
    <col min="7943" max="7943" width="8.28515625" style="516" customWidth="1"/>
    <col min="7944" max="7944" width="11" style="516" customWidth="1"/>
    <col min="7945" max="7945" width="16.7109375" style="516" customWidth="1"/>
    <col min="7946" max="7946" width="22.85546875" style="516" customWidth="1"/>
    <col min="7947" max="7947" width="8.28515625" style="516" customWidth="1"/>
    <col min="7948" max="7948" width="4.5703125" style="516" customWidth="1"/>
    <col min="7949" max="7949" width="41.7109375" style="516" customWidth="1"/>
    <col min="7950" max="7950" width="8.28515625" style="516" customWidth="1"/>
    <col min="7951" max="7951" width="11" style="516" customWidth="1"/>
    <col min="7952" max="7952" width="16.7109375" style="516" customWidth="1"/>
    <col min="7953" max="7953" width="22.85546875" style="516" customWidth="1"/>
    <col min="7954" max="7954" width="9.140625" style="516"/>
    <col min="7955" max="7955" width="4.5703125" style="516" customWidth="1"/>
    <col min="7956" max="7956" width="41.7109375" style="516" customWidth="1"/>
    <col min="7957" max="7957" width="8.28515625" style="516" customWidth="1"/>
    <col min="7958" max="7958" width="11" style="516" customWidth="1"/>
    <col min="7959" max="7959" width="16.7109375" style="516" customWidth="1"/>
    <col min="7960" max="7960" width="22.85546875" style="516" customWidth="1"/>
    <col min="7961" max="7961" width="9.140625" style="516"/>
    <col min="7962" max="7962" width="4.5703125" style="516" customWidth="1"/>
    <col min="7963" max="7963" width="41.7109375" style="516" customWidth="1"/>
    <col min="7964" max="7964" width="8.28515625" style="516" customWidth="1"/>
    <col min="7965" max="7965" width="11" style="516" customWidth="1"/>
    <col min="7966" max="7966" width="16.7109375" style="516" customWidth="1"/>
    <col min="7967" max="7967" width="22.85546875" style="516" customWidth="1"/>
    <col min="7968" max="7968" width="9.140625" style="516"/>
    <col min="7969" max="7969" width="4.5703125" style="516" customWidth="1"/>
    <col min="7970" max="7970" width="41.7109375" style="516" customWidth="1"/>
    <col min="7971" max="7971" width="8.28515625" style="516" customWidth="1"/>
    <col min="7972" max="7972" width="11" style="516" customWidth="1"/>
    <col min="7973" max="7973" width="16.7109375" style="516" customWidth="1"/>
    <col min="7974" max="7974" width="22.85546875" style="516" customWidth="1"/>
    <col min="7975" max="8196" width="9.140625" style="516"/>
    <col min="8197" max="8197" width="4.5703125" style="516" customWidth="1"/>
    <col min="8198" max="8198" width="41.7109375" style="516" customWidth="1"/>
    <col min="8199" max="8199" width="8.28515625" style="516" customWidth="1"/>
    <col min="8200" max="8200" width="11" style="516" customWidth="1"/>
    <col min="8201" max="8201" width="16.7109375" style="516" customWidth="1"/>
    <col min="8202" max="8202" width="22.85546875" style="516" customWidth="1"/>
    <col min="8203" max="8203" width="8.28515625" style="516" customWidth="1"/>
    <col min="8204" max="8204" width="4.5703125" style="516" customWidth="1"/>
    <col min="8205" max="8205" width="41.7109375" style="516" customWidth="1"/>
    <col min="8206" max="8206" width="8.28515625" style="516" customWidth="1"/>
    <col min="8207" max="8207" width="11" style="516" customWidth="1"/>
    <col min="8208" max="8208" width="16.7109375" style="516" customWidth="1"/>
    <col min="8209" max="8209" width="22.85546875" style="516" customWidth="1"/>
    <col min="8210" max="8210" width="9.140625" style="516"/>
    <col min="8211" max="8211" width="4.5703125" style="516" customWidth="1"/>
    <col min="8212" max="8212" width="41.7109375" style="516" customWidth="1"/>
    <col min="8213" max="8213" width="8.28515625" style="516" customWidth="1"/>
    <col min="8214" max="8214" width="11" style="516" customWidth="1"/>
    <col min="8215" max="8215" width="16.7109375" style="516" customWidth="1"/>
    <col min="8216" max="8216" width="22.85546875" style="516" customWidth="1"/>
    <col min="8217" max="8217" width="9.140625" style="516"/>
    <col min="8218" max="8218" width="4.5703125" style="516" customWidth="1"/>
    <col min="8219" max="8219" width="41.7109375" style="516" customWidth="1"/>
    <col min="8220" max="8220" width="8.28515625" style="516" customWidth="1"/>
    <col min="8221" max="8221" width="11" style="516" customWidth="1"/>
    <col min="8222" max="8222" width="16.7109375" style="516" customWidth="1"/>
    <col min="8223" max="8223" width="22.85546875" style="516" customWidth="1"/>
    <col min="8224" max="8224" width="9.140625" style="516"/>
    <col min="8225" max="8225" width="4.5703125" style="516" customWidth="1"/>
    <col min="8226" max="8226" width="41.7109375" style="516" customWidth="1"/>
    <col min="8227" max="8227" width="8.28515625" style="516" customWidth="1"/>
    <col min="8228" max="8228" width="11" style="516" customWidth="1"/>
    <col min="8229" max="8229" width="16.7109375" style="516" customWidth="1"/>
    <col min="8230" max="8230" width="22.85546875" style="516" customWidth="1"/>
    <col min="8231" max="8452" width="9.140625" style="516"/>
    <col min="8453" max="8453" width="4.5703125" style="516" customWidth="1"/>
    <col min="8454" max="8454" width="41.7109375" style="516" customWidth="1"/>
    <col min="8455" max="8455" width="8.28515625" style="516" customWidth="1"/>
    <col min="8456" max="8456" width="11" style="516" customWidth="1"/>
    <col min="8457" max="8457" width="16.7109375" style="516" customWidth="1"/>
    <col min="8458" max="8458" width="22.85546875" style="516" customWidth="1"/>
    <col min="8459" max="8459" width="8.28515625" style="516" customWidth="1"/>
    <col min="8460" max="8460" width="4.5703125" style="516" customWidth="1"/>
    <col min="8461" max="8461" width="41.7109375" style="516" customWidth="1"/>
    <col min="8462" max="8462" width="8.28515625" style="516" customWidth="1"/>
    <col min="8463" max="8463" width="11" style="516" customWidth="1"/>
    <col min="8464" max="8464" width="16.7109375" style="516" customWidth="1"/>
    <col min="8465" max="8465" width="22.85546875" style="516" customWidth="1"/>
    <col min="8466" max="8466" width="9.140625" style="516"/>
    <col min="8467" max="8467" width="4.5703125" style="516" customWidth="1"/>
    <col min="8468" max="8468" width="41.7109375" style="516" customWidth="1"/>
    <col min="8469" max="8469" width="8.28515625" style="516" customWidth="1"/>
    <col min="8470" max="8470" width="11" style="516" customWidth="1"/>
    <col min="8471" max="8471" width="16.7109375" style="516" customWidth="1"/>
    <col min="8472" max="8472" width="22.85546875" style="516" customWidth="1"/>
    <col min="8473" max="8473" width="9.140625" style="516"/>
    <col min="8474" max="8474" width="4.5703125" style="516" customWidth="1"/>
    <col min="8475" max="8475" width="41.7109375" style="516" customWidth="1"/>
    <col min="8476" max="8476" width="8.28515625" style="516" customWidth="1"/>
    <col min="8477" max="8477" width="11" style="516" customWidth="1"/>
    <col min="8478" max="8478" width="16.7109375" style="516" customWidth="1"/>
    <col min="8479" max="8479" width="22.85546875" style="516" customWidth="1"/>
    <col min="8480" max="8480" width="9.140625" style="516"/>
    <col min="8481" max="8481" width="4.5703125" style="516" customWidth="1"/>
    <col min="8482" max="8482" width="41.7109375" style="516" customWidth="1"/>
    <col min="8483" max="8483" width="8.28515625" style="516" customWidth="1"/>
    <col min="8484" max="8484" width="11" style="516" customWidth="1"/>
    <col min="8485" max="8485" width="16.7109375" style="516" customWidth="1"/>
    <col min="8486" max="8486" width="22.85546875" style="516" customWidth="1"/>
    <col min="8487" max="8708" width="9.140625" style="516"/>
    <col min="8709" max="8709" width="4.5703125" style="516" customWidth="1"/>
    <col min="8710" max="8710" width="41.7109375" style="516" customWidth="1"/>
    <col min="8711" max="8711" width="8.28515625" style="516" customWidth="1"/>
    <col min="8712" max="8712" width="11" style="516" customWidth="1"/>
    <col min="8713" max="8713" width="16.7109375" style="516" customWidth="1"/>
    <col min="8714" max="8714" width="22.85546875" style="516" customWidth="1"/>
    <col min="8715" max="8715" width="8.28515625" style="516" customWidth="1"/>
    <col min="8716" max="8716" width="4.5703125" style="516" customWidth="1"/>
    <col min="8717" max="8717" width="41.7109375" style="516" customWidth="1"/>
    <col min="8718" max="8718" width="8.28515625" style="516" customWidth="1"/>
    <col min="8719" max="8719" width="11" style="516" customWidth="1"/>
    <col min="8720" max="8720" width="16.7109375" style="516" customWidth="1"/>
    <col min="8721" max="8721" width="22.85546875" style="516" customWidth="1"/>
    <col min="8722" max="8722" width="9.140625" style="516"/>
    <col min="8723" max="8723" width="4.5703125" style="516" customWidth="1"/>
    <col min="8724" max="8724" width="41.7109375" style="516" customWidth="1"/>
    <col min="8725" max="8725" width="8.28515625" style="516" customWidth="1"/>
    <col min="8726" max="8726" width="11" style="516" customWidth="1"/>
    <col min="8727" max="8727" width="16.7109375" style="516" customWidth="1"/>
    <col min="8728" max="8728" width="22.85546875" style="516" customWidth="1"/>
    <col min="8729" max="8729" width="9.140625" style="516"/>
    <col min="8730" max="8730" width="4.5703125" style="516" customWidth="1"/>
    <col min="8731" max="8731" width="41.7109375" style="516" customWidth="1"/>
    <col min="8732" max="8732" width="8.28515625" style="516" customWidth="1"/>
    <col min="8733" max="8733" width="11" style="516" customWidth="1"/>
    <col min="8734" max="8734" width="16.7109375" style="516" customWidth="1"/>
    <col min="8735" max="8735" width="22.85546875" style="516" customWidth="1"/>
    <col min="8736" max="8736" width="9.140625" style="516"/>
    <col min="8737" max="8737" width="4.5703125" style="516" customWidth="1"/>
    <col min="8738" max="8738" width="41.7109375" style="516" customWidth="1"/>
    <col min="8739" max="8739" width="8.28515625" style="516" customWidth="1"/>
    <col min="8740" max="8740" width="11" style="516" customWidth="1"/>
    <col min="8741" max="8741" width="16.7109375" style="516" customWidth="1"/>
    <col min="8742" max="8742" width="22.85546875" style="516" customWidth="1"/>
    <col min="8743" max="8964" width="9.140625" style="516"/>
    <col min="8965" max="8965" width="4.5703125" style="516" customWidth="1"/>
    <col min="8966" max="8966" width="41.7109375" style="516" customWidth="1"/>
    <col min="8967" max="8967" width="8.28515625" style="516" customWidth="1"/>
    <col min="8968" max="8968" width="11" style="516" customWidth="1"/>
    <col min="8969" max="8969" width="16.7109375" style="516" customWidth="1"/>
    <col min="8970" max="8970" width="22.85546875" style="516" customWidth="1"/>
    <col min="8971" max="8971" width="8.28515625" style="516" customWidth="1"/>
    <col min="8972" max="8972" width="4.5703125" style="516" customWidth="1"/>
    <col min="8973" max="8973" width="41.7109375" style="516" customWidth="1"/>
    <col min="8974" max="8974" width="8.28515625" style="516" customWidth="1"/>
    <col min="8975" max="8975" width="11" style="516" customWidth="1"/>
    <col min="8976" max="8976" width="16.7109375" style="516" customWidth="1"/>
    <col min="8977" max="8977" width="22.85546875" style="516" customWidth="1"/>
    <col min="8978" max="8978" width="9.140625" style="516"/>
    <col min="8979" max="8979" width="4.5703125" style="516" customWidth="1"/>
    <col min="8980" max="8980" width="41.7109375" style="516" customWidth="1"/>
    <col min="8981" max="8981" width="8.28515625" style="516" customWidth="1"/>
    <col min="8982" max="8982" width="11" style="516" customWidth="1"/>
    <col min="8983" max="8983" width="16.7109375" style="516" customWidth="1"/>
    <col min="8984" max="8984" width="22.85546875" style="516" customWidth="1"/>
    <col min="8985" max="8985" width="9.140625" style="516"/>
    <col min="8986" max="8986" width="4.5703125" style="516" customWidth="1"/>
    <col min="8987" max="8987" width="41.7109375" style="516" customWidth="1"/>
    <col min="8988" max="8988" width="8.28515625" style="516" customWidth="1"/>
    <col min="8989" max="8989" width="11" style="516" customWidth="1"/>
    <col min="8990" max="8990" width="16.7109375" style="516" customWidth="1"/>
    <col min="8991" max="8991" width="22.85546875" style="516" customWidth="1"/>
    <col min="8992" max="8992" width="9.140625" style="516"/>
    <col min="8993" max="8993" width="4.5703125" style="516" customWidth="1"/>
    <col min="8994" max="8994" width="41.7109375" style="516" customWidth="1"/>
    <col min="8995" max="8995" width="8.28515625" style="516" customWidth="1"/>
    <col min="8996" max="8996" width="11" style="516" customWidth="1"/>
    <col min="8997" max="8997" width="16.7109375" style="516" customWidth="1"/>
    <col min="8998" max="8998" width="22.85546875" style="516" customWidth="1"/>
    <col min="8999" max="9220" width="9.140625" style="516"/>
    <col min="9221" max="9221" width="4.5703125" style="516" customWidth="1"/>
    <col min="9222" max="9222" width="41.7109375" style="516" customWidth="1"/>
    <col min="9223" max="9223" width="8.28515625" style="516" customWidth="1"/>
    <col min="9224" max="9224" width="11" style="516" customWidth="1"/>
    <col min="9225" max="9225" width="16.7109375" style="516" customWidth="1"/>
    <col min="9226" max="9226" width="22.85546875" style="516" customWidth="1"/>
    <col min="9227" max="9227" width="8.28515625" style="516" customWidth="1"/>
    <col min="9228" max="9228" width="4.5703125" style="516" customWidth="1"/>
    <col min="9229" max="9229" width="41.7109375" style="516" customWidth="1"/>
    <col min="9230" max="9230" width="8.28515625" style="516" customWidth="1"/>
    <col min="9231" max="9231" width="11" style="516" customWidth="1"/>
    <col min="9232" max="9232" width="16.7109375" style="516" customWidth="1"/>
    <col min="9233" max="9233" width="22.85546875" style="516" customWidth="1"/>
    <col min="9234" max="9234" width="9.140625" style="516"/>
    <col min="9235" max="9235" width="4.5703125" style="516" customWidth="1"/>
    <col min="9236" max="9236" width="41.7109375" style="516" customWidth="1"/>
    <col min="9237" max="9237" width="8.28515625" style="516" customWidth="1"/>
    <col min="9238" max="9238" width="11" style="516" customWidth="1"/>
    <col min="9239" max="9239" width="16.7109375" style="516" customWidth="1"/>
    <col min="9240" max="9240" width="22.85546875" style="516" customWidth="1"/>
    <col min="9241" max="9241" width="9.140625" style="516"/>
    <col min="9242" max="9242" width="4.5703125" style="516" customWidth="1"/>
    <col min="9243" max="9243" width="41.7109375" style="516" customWidth="1"/>
    <col min="9244" max="9244" width="8.28515625" style="516" customWidth="1"/>
    <col min="9245" max="9245" width="11" style="516" customWidth="1"/>
    <col min="9246" max="9246" width="16.7109375" style="516" customWidth="1"/>
    <col min="9247" max="9247" width="22.85546875" style="516" customWidth="1"/>
    <col min="9248" max="9248" width="9.140625" style="516"/>
    <col min="9249" max="9249" width="4.5703125" style="516" customWidth="1"/>
    <col min="9250" max="9250" width="41.7109375" style="516" customWidth="1"/>
    <col min="9251" max="9251" width="8.28515625" style="516" customWidth="1"/>
    <col min="9252" max="9252" width="11" style="516" customWidth="1"/>
    <col min="9253" max="9253" width="16.7109375" style="516" customWidth="1"/>
    <col min="9254" max="9254" width="22.85546875" style="516" customWidth="1"/>
    <col min="9255" max="9476" width="9.140625" style="516"/>
    <col min="9477" max="9477" width="4.5703125" style="516" customWidth="1"/>
    <col min="9478" max="9478" width="41.7109375" style="516" customWidth="1"/>
    <col min="9479" max="9479" width="8.28515625" style="516" customWidth="1"/>
    <col min="9480" max="9480" width="11" style="516" customWidth="1"/>
    <col min="9481" max="9481" width="16.7109375" style="516" customWidth="1"/>
    <col min="9482" max="9482" width="22.85546875" style="516" customWidth="1"/>
    <col min="9483" max="9483" width="8.28515625" style="516" customWidth="1"/>
    <col min="9484" max="9484" width="4.5703125" style="516" customWidth="1"/>
    <col min="9485" max="9485" width="41.7109375" style="516" customWidth="1"/>
    <col min="9486" max="9486" width="8.28515625" style="516" customWidth="1"/>
    <col min="9487" max="9487" width="11" style="516" customWidth="1"/>
    <col min="9488" max="9488" width="16.7109375" style="516" customWidth="1"/>
    <col min="9489" max="9489" width="22.85546875" style="516" customWidth="1"/>
    <col min="9490" max="9490" width="9.140625" style="516"/>
    <col min="9491" max="9491" width="4.5703125" style="516" customWidth="1"/>
    <col min="9492" max="9492" width="41.7109375" style="516" customWidth="1"/>
    <col min="9493" max="9493" width="8.28515625" style="516" customWidth="1"/>
    <col min="9494" max="9494" width="11" style="516" customWidth="1"/>
    <col min="9495" max="9495" width="16.7109375" style="516" customWidth="1"/>
    <col min="9496" max="9496" width="22.85546875" style="516" customWidth="1"/>
    <col min="9497" max="9497" width="9.140625" style="516"/>
    <col min="9498" max="9498" width="4.5703125" style="516" customWidth="1"/>
    <col min="9499" max="9499" width="41.7109375" style="516" customWidth="1"/>
    <col min="9500" max="9500" width="8.28515625" style="516" customWidth="1"/>
    <col min="9501" max="9501" width="11" style="516" customWidth="1"/>
    <col min="9502" max="9502" width="16.7109375" style="516" customWidth="1"/>
    <col min="9503" max="9503" width="22.85546875" style="516" customWidth="1"/>
    <col min="9504" max="9504" width="9.140625" style="516"/>
    <col min="9505" max="9505" width="4.5703125" style="516" customWidth="1"/>
    <col min="9506" max="9506" width="41.7109375" style="516" customWidth="1"/>
    <col min="9507" max="9507" width="8.28515625" style="516" customWidth="1"/>
    <col min="9508" max="9508" width="11" style="516" customWidth="1"/>
    <col min="9509" max="9509" width="16.7109375" style="516" customWidth="1"/>
    <col min="9510" max="9510" width="22.85546875" style="516" customWidth="1"/>
    <col min="9511" max="9732" width="9.140625" style="516"/>
    <col min="9733" max="9733" width="4.5703125" style="516" customWidth="1"/>
    <col min="9734" max="9734" width="41.7109375" style="516" customWidth="1"/>
    <col min="9735" max="9735" width="8.28515625" style="516" customWidth="1"/>
    <col min="9736" max="9736" width="11" style="516" customWidth="1"/>
    <col min="9737" max="9737" width="16.7109375" style="516" customWidth="1"/>
    <col min="9738" max="9738" width="22.85546875" style="516" customWidth="1"/>
    <col min="9739" max="9739" width="8.28515625" style="516" customWidth="1"/>
    <col min="9740" max="9740" width="4.5703125" style="516" customWidth="1"/>
    <col min="9741" max="9741" width="41.7109375" style="516" customWidth="1"/>
    <col min="9742" max="9742" width="8.28515625" style="516" customWidth="1"/>
    <col min="9743" max="9743" width="11" style="516" customWidth="1"/>
    <col min="9744" max="9744" width="16.7109375" style="516" customWidth="1"/>
    <col min="9745" max="9745" width="22.85546875" style="516" customWidth="1"/>
    <col min="9746" max="9746" width="9.140625" style="516"/>
    <col min="9747" max="9747" width="4.5703125" style="516" customWidth="1"/>
    <col min="9748" max="9748" width="41.7109375" style="516" customWidth="1"/>
    <col min="9749" max="9749" width="8.28515625" style="516" customWidth="1"/>
    <col min="9750" max="9750" width="11" style="516" customWidth="1"/>
    <col min="9751" max="9751" width="16.7109375" style="516" customWidth="1"/>
    <col min="9752" max="9752" width="22.85546875" style="516" customWidth="1"/>
    <col min="9753" max="9753" width="9.140625" style="516"/>
    <col min="9754" max="9754" width="4.5703125" style="516" customWidth="1"/>
    <col min="9755" max="9755" width="41.7109375" style="516" customWidth="1"/>
    <col min="9756" max="9756" width="8.28515625" style="516" customWidth="1"/>
    <col min="9757" max="9757" width="11" style="516" customWidth="1"/>
    <col min="9758" max="9758" width="16.7109375" style="516" customWidth="1"/>
    <col min="9759" max="9759" width="22.85546875" style="516" customWidth="1"/>
    <col min="9760" max="9760" width="9.140625" style="516"/>
    <col min="9761" max="9761" width="4.5703125" style="516" customWidth="1"/>
    <col min="9762" max="9762" width="41.7109375" style="516" customWidth="1"/>
    <col min="9763" max="9763" width="8.28515625" style="516" customWidth="1"/>
    <col min="9764" max="9764" width="11" style="516" customWidth="1"/>
    <col min="9765" max="9765" width="16.7109375" style="516" customWidth="1"/>
    <col min="9766" max="9766" width="22.85546875" style="516" customWidth="1"/>
    <col min="9767" max="9988" width="9.140625" style="516"/>
    <col min="9989" max="9989" width="4.5703125" style="516" customWidth="1"/>
    <col min="9990" max="9990" width="41.7109375" style="516" customWidth="1"/>
    <col min="9991" max="9991" width="8.28515625" style="516" customWidth="1"/>
    <col min="9992" max="9992" width="11" style="516" customWidth="1"/>
    <col min="9993" max="9993" width="16.7109375" style="516" customWidth="1"/>
    <col min="9994" max="9994" width="22.85546875" style="516" customWidth="1"/>
    <col min="9995" max="9995" width="8.28515625" style="516" customWidth="1"/>
    <col min="9996" max="9996" width="4.5703125" style="516" customWidth="1"/>
    <col min="9997" max="9997" width="41.7109375" style="516" customWidth="1"/>
    <col min="9998" max="9998" width="8.28515625" style="516" customWidth="1"/>
    <col min="9999" max="9999" width="11" style="516" customWidth="1"/>
    <col min="10000" max="10000" width="16.7109375" style="516" customWidth="1"/>
    <col min="10001" max="10001" width="22.85546875" style="516" customWidth="1"/>
    <col min="10002" max="10002" width="9.140625" style="516"/>
    <col min="10003" max="10003" width="4.5703125" style="516" customWidth="1"/>
    <col min="10004" max="10004" width="41.7109375" style="516" customWidth="1"/>
    <col min="10005" max="10005" width="8.28515625" style="516" customWidth="1"/>
    <col min="10006" max="10006" width="11" style="516" customWidth="1"/>
    <col min="10007" max="10007" width="16.7109375" style="516" customWidth="1"/>
    <col min="10008" max="10008" width="22.85546875" style="516" customWidth="1"/>
    <col min="10009" max="10009" width="9.140625" style="516"/>
    <col min="10010" max="10010" width="4.5703125" style="516" customWidth="1"/>
    <col min="10011" max="10011" width="41.7109375" style="516" customWidth="1"/>
    <col min="10012" max="10012" width="8.28515625" style="516" customWidth="1"/>
    <col min="10013" max="10013" width="11" style="516" customWidth="1"/>
    <col min="10014" max="10014" width="16.7109375" style="516" customWidth="1"/>
    <col min="10015" max="10015" width="22.85546875" style="516" customWidth="1"/>
    <col min="10016" max="10016" width="9.140625" style="516"/>
    <col min="10017" max="10017" width="4.5703125" style="516" customWidth="1"/>
    <col min="10018" max="10018" width="41.7109375" style="516" customWidth="1"/>
    <col min="10019" max="10019" width="8.28515625" style="516" customWidth="1"/>
    <col min="10020" max="10020" width="11" style="516" customWidth="1"/>
    <col min="10021" max="10021" width="16.7109375" style="516" customWidth="1"/>
    <col min="10022" max="10022" width="22.85546875" style="516" customWidth="1"/>
    <col min="10023" max="10244" width="9.140625" style="516"/>
    <col min="10245" max="10245" width="4.5703125" style="516" customWidth="1"/>
    <col min="10246" max="10246" width="41.7109375" style="516" customWidth="1"/>
    <col min="10247" max="10247" width="8.28515625" style="516" customWidth="1"/>
    <col min="10248" max="10248" width="11" style="516" customWidth="1"/>
    <col min="10249" max="10249" width="16.7109375" style="516" customWidth="1"/>
    <col min="10250" max="10250" width="22.85546875" style="516" customWidth="1"/>
    <col min="10251" max="10251" width="8.28515625" style="516" customWidth="1"/>
    <col min="10252" max="10252" width="4.5703125" style="516" customWidth="1"/>
    <col min="10253" max="10253" width="41.7109375" style="516" customWidth="1"/>
    <col min="10254" max="10254" width="8.28515625" style="516" customWidth="1"/>
    <col min="10255" max="10255" width="11" style="516" customWidth="1"/>
    <col min="10256" max="10256" width="16.7109375" style="516" customWidth="1"/>
    <col min="10257" max="10257" width="22.85546875" style="516" customWidth="1"/>
    <col min="10258" max="10258" width="9.140625" style="516"/>
    <col min="10259" max="10259" width="4.5703125" style="516" customWidth="1"/>
    <col min="10260" max="10260" width="41.7109375" style="516" customWidth="1"/>
    <col min="10261" max="10261" width="8.28515625" style="516" customWidth="1"/>
    <col min="10262" max="10262" width="11" style="516" customWidth="1"/>
    <col min="10263" max="10263" width="16.7109375" style="516" customWidth="1"/>
    <col min="10264" max="10264" width="22.85546875" style="516" customWidth="1"/>
    <col min="10265" max="10265" width="9.140625" style="516"/>
    <col min="10266" max="10266" width="4.5703125" style="516" customWidth="1"/>
    <col min="10267" max="10267" width="41.7109375" style="516" customWidth="1"/>
    <col min="10268" max="10268" width="8.28515625" style="516" customWidth="1"/>
    <col min="10269" max="10269" width="11" style="516" customWidth="1"/>
    <col min="10270" max="10270" width="16.7109375" style="516" customWidth="1"/>
    <col min="10271" max="10271" width="22.85546875" style="516" customWidth="1"/>
    <col min="10272" max="10272" width="9.140625" style="516"/>
    <col min="10273" max="10273" width="4.5703125" style="516" customWidth="1"/>
    <col min="10274" max="10274" width="41.7109375" style="516" customWidth="1"/>
    <col min="10275" max="10275" width="8.28515625" style="516" customWidth="1"/>
    <col min="10276" max="10276" width="11" style="516" customWidth="1"/>
    <col min="10277" max="10277" width="16.7109375" style="516" customWidth="1"/>
    <col min="10278" max="10278" width="22.85546875" style="516" customWidth="1"/>
    <col min="10279" max="10500" width="9.140625" style="516"/>
    <col min="10501" max="10501" width="4.5703125" style="516" customWidth="1"/>
    <col min="10502" max="10502" width="41.7109375" style="516" customWidth="1"/>
    <col min="10503" max="10503" width="8.28515625" style="516" customWidth="1"/>
    <col min="10504" max="10504" width="11" style="516" customWidth="1"/>
    <col min="10505" max="10505" width="16.7109375" style="516" customWidth="1"/>
    <col min="10506" max="10506" width="22.85546875" style="516" customWidth="1"/>
    <col min="10507" max="10507" width="8.28515625" style="516" customWidth="1"/>
    <col min="10508" max="10508" width="4.5703125" style="516" customWidth="1"/>
    <col min="10509" max="10509" width="41.7109375" style="516" customWidth="1"/>
    <col min="10510" max="10510" width="8.28515625" style="516" customWidth="1"/>
    <col min="10511" max="10511" width="11" style="516" customWidth="1"/>
    <col min="10512" max="10512" width="16.7109375" style="516" customWidth="1"/>
    <col min="10513" max="10513" width="22.85546875" style="516" customWidth="1"/>
    <col min="10514" max="10514" width="9.140625" style="516"/>
    <col min="10515" max="10515" width="4.5703125" style="516" customWidth="1"/>
    <col min="10516" max="10516" width="41.7109375" style="516" customWidth="1"/>
    <col min="10517" max="10517" width="8.28515625" style="516" customWidth="1"/>
    <col min="10518" max="10518" width="11" style="516" customWidth="1"/>
    <col min="10519" max="10519" width="16.7109375" style="516" customWidth="1"/>
    <col min="10520" max="10520" width="22.85546875" style="516" customWidth="1"/>
    <col min="10521" max="10521" width="9.140625" style="516"/>
    <col min="10522" max="10522" width="4.5703125" style="516" customWidth="1"/>
    <col min="10523" max="10523" width="41.7109375" style="516" customWidth="1"/>
    <col min="10524" max="10524" width="8.28515625" style="516" customWidth="1"/>
    <col min="10525" max="10525" width="11" style="516" customWidth="1"/>
    <col min="10526" max="10526" width="16.7109375" style="516" customWidth="1"/>
    <col min="10527" max="10527" width="22.85546875" style="516" customWidth="1"/>
    <col min="10528" max="10528" width="9.140625" style="516"/>
    <col min="10529" max="10529" width="4.5703125" style="516" customWidth="1"/>
    <col min="10530" max="10530" width="41.7109375" style="516" customWidth="1"/>
    <col min="10531" max="10531" width="8.28515625" style="516" customWidth="1"/>
    <col min="10532" max="10532" width="11" style="516" customWidth="1"/>
    <col min="10533" max="10533" width="16.7109375" style="516" customWidth="1"/>
    <col min="10534" max="10534" width="22.85546875" style="516" customWidth="1"/>
    <col min="10535" max="10756" width="9.140625" style="516"/>
    <col min="10757" max="10757" width="4.5703125" style="516" customWidth="1"/>
    <col min="10758" max="10758" width="41.7109375" style="516" customWidth="1"/>
    <col min="10759" max="10759" width="8.28515625" style="516" customWidth="1"/>
    <col min="10760" max="10760" width="11" style="516" customWidth="1"/>
    <col min="10761" max="10761" width="16.7109375" style="516" customWidth="1"/>
    <col min="10762" max="10762" width="22.85546875" style="516" customWidth="1"/>
    <col min="10763" max="10763" width="8.28515625" style="516" customWidth="1"/>
    <col min="10764" max="10764" width="4.5703125" style="516" customWidth="1"/>
    <col min="10765" max="10765" width="41.7109375" style="516" customWidth="1"/>
    <col min="10766" max="10766" width="8.28515625" style="516" customWidth="1"/>
    <col min="10767" max="10767" width="11" style="516" customWidth="1"/>
    <col min="10768" max="10768" width="16.7109375" style="516" customWidth="1"/>
    <col min="10769" max="10769" width="22.85546875" style="516" customWidth="1"/>
    <col min="10770" max="10770" width="9.140625" style="516"/>
    <col min="10771" max="10771" width="4.5703125" style="516" customWidth="1"/>
    <col min="10772" max="10772" width="41.7109375" style="516" customWidth="1"/>
    <col min="10773" max="10773" width="8.28515625" style="516" customWidth="1"/>
    <col min="10774" max="10774" width="11" style="516" customWidth="1"/>
    <col min="10775" max="10775" width="16.7109375" style="516" customWidth="1"/>
    <col min="10776" max="10776" width="22.85546875" style="516" customWidth="1"/>
    <col min="10777" max="10777" width="9.140625" style="516"/>
    <col min="10778" max="10778" width="4.5703125" style="516" customWidth="1"/>
    <col min="10779" max="10779" width="41.7109375" style="516" customWidth="1"/>
    <col min="10780" max="10780" width="8.28515625" style="516" customWidth="1"/>
    <col min="10781" max="10781" width="11" style="516" customWidth="1"/>
    <col min="10782" max="10782" width="16.7109375" style="516" customWidth="1"/>
    <col min="10783" max="10783" width="22.85546875" style="516" customWidth="1"/>
    <col min="10784" max="10784" width="9.140625" style="516"/>
    <col min="10785" max="10785" width="4.5703125" style="516" customWidth="1"/>
    <col min="10786" max="10786" width="41.7109375" style="516" customWidth="1"/>
    <col min="10787" max="10787" width="8.28515625" style="516" customWidth="1"/>
    <col min="10788" max="10788" width="11" style="516" customWidth="1"/>
    <col min="10789" max="10789" width="16.7109375" style="516" customWidth="1"/>
    <col min="10790" max="10790" width="22.85546875" style="516" customWidth="1"/>
    <col min="10791" max="11012" width="9.140625" style="516"/>
    <col min="11013" max="11013" width="4.5703125" style="516" customWidth="1"/>
    <col min="11014" max="11014" width="41.7109375" style="516" customWidth="1"/>
    <col min="11015" max="11015" width="8.28515625" style="516" customWidth="1"/>
    <col min="11016" max="11016" width="11" style="516" customWidth="1"/>
    <col min="11017" max="11017" width="16.7109375" style="516" customWidth="1"/>
    <col min="11018" max="11018" width="22.85546875" style="516" customWidth="1"/>
    <col min="11019" max="11019" width="8.28515625" style="516" customWidth="1"/>
    <col min="11020" max="11020" width="4.5703125" style="516" customWidth="1"/>
    <col min="11021" max="11021" width="41.7109375" style="516" customWidth="1"/>
    <col min="11022" max="11022" width="8.28515625" style="516" customWidth="1"/>
    <col min="11023" max="11023" width="11" style="516" customWidth="1"/>
    <col min="11024" max="11024" width="16.7109375" style="516" customWidth="1"/>
    <col min="11025" max="11025" width="22.85546875" style="516" customWidth="1"/>
    <col min="11026" max="11026" width="9.140625" style="516"/>
    <col min="11027" max="11027" width="4.5703125" style="516" customWidth="1"/>
    <col min="11028" max="11028" width="41.7109375" style="516" customWidth="1"/>
    <col min="11029" max="11029" width="8.28515625" style="516" customWidth="1"/>
    <col min="11030" max="11030" width="11" style="516" customWidth="1"/>
    <col min="11031" max="11031" width="16.7109375" style="516" customWidth="1"/>
    <col min="11032" max="11032" width="22.85546875" style="516" customWidth="1"/>
    <col min="11033" max="11033" width="9.140625" style="516"/>
    <col min="11034" max="11034" width="4.5703125" style="516" customWidth="1"/>
    <col min="11035" max="11035" width="41.7109375" style="516" customWidth="1"/>
    <col min="11036" max="11036" width="8.28515625" style="516" customWidth="1"/>
    <col min="11037" max="11037" width="11" style="516" customWidth="1"/>
    <col min="11038" max="11038" width="16.7109375" style="516" customWidth="1"/>
    <col min="11039" max="11039" width="22.85546875" style="516" customWidth="1"/>
    <col min="11040" max="11040" width="9.140625" style="516"/>
    <col min="11041" max="11041" width="4.5703125" style="516" customWidth="1"/>
    <col min="11042" max="11042" width="41.7109375" style="516" customWidth="1"/>
    <col min="11043" max="11043" width="8.28515625" style="516" customWidth="1"/>
    <col min="11044" max="11044" width="11" style="516" customWidth="1"/>
    <col min="11045" max="11045" width="16.7109375" style="516" customWidth="1"/>
    <col min="11046" max="11046" width="22.85546875" style="516" customWidth="1"/>
    <col min="11047" max="11268" width="9.140625" style="516"/>
    <col min="11269" max="11269" width="4.5703125" style="516" customWidth="1"/>
    <col min="11270" max="11270" width="41.7109375" style="516" customWidth="1"/>
    <col min="11271" max="11271" width="8.28515625" style="516" customWidth="1"/>
    <col min="11272" max="11272" width="11" style="516" customWidth="1"/>
    <col min="11273" max="11273" width="16.7109375" style="516" customWidth="1"/>
    <col min="11274" max="11274" width="22.85546875" style="516" customWidth="1"/>
    <col min="11275" max="11275" width="8.28515625" style="516" customWidth="1"/>
    <col min="11276" max="11276" width="4.5703125" style="516" customWidth="1"/>
    <col min="11277" max="11277" width="41.7109375" style="516" customWidth="1"/>
    <col min="11278" max="11278" width="8.28515625" style="516" customWidth="1"/>
    <col min="11279" max="11279" width="11" style="516" customWidth="1"/>
    <col min="11280" max="11280" width="16.7109375" style="516" customWidth="1"/>
    <col min="11281" max="11281" width="22.85546875" style="516" customWidth="1"/>
    <col min="11282" max="11282" width="9.140625" style="516"/>
    <col min="11283" max="11283" width="4.5703125" style="516" customWidth="1"/>
    <col min="11284" max="11284" width="41.7109375" style="516" customWidth="1"/>
    <col min="11285" max="11285" width="8.28515625" style="516" customWidth="1"/>
    <col min="11286" max="11286" width="11" style="516" customWidth="1"/>
    <col min="11287" max="11287" width="16.7109375" style="516" customWidth="1"/>
    <col min="11288" max="11288" width="22.85546875" style="516" customWidth="1"/>
    <col min="11289" max="11289" width="9.140625" style="516"/>
    <col min="11290" max="11290" width="4.5703125" style="516" customWidth="1"/>
    <col min="11291" max="11291" width="41.7109375" style="516" customWidth="1"/>
    <col min="11292" max="11292" width="8.28515625" style="516" customWidth="1"/>
    <col min="11293" max="11293" width="11" style="516" customWidth="1"/>
    <col min="11294" max="11294" width="16.7109375" style="516" customWidth="1"/>
    <col min="11295" max="11295" width="22.85546875" style="516" customWidth="1"/>
    <col min="11296" max="11296" width="9.140625" style="516"/>
    <col min="11297" max="11297" width="4.5703125" style="516" customWidth="1"/>
    <col min="11298" max="11298" width="41.7109375" style="516" customWidth="1"/>
    <col min="11299" max="11299" width="8.28515625" style="516" customWidth="1"/>
    <col min="11300" max="11300" width="11" style="516" customWidth="1"/>
    <col min="11301" max="11301" width="16.7109375" style="516" customWidth="1"/>
    <col min="11302" max="11302" width="22.85546875" style="516" customWidth="1"/>
    <col min="11303" max="11524" width="9.140625" style="516"/>
    <col min="11525" max="11525" width="4.5703125" style="516" customWidth="1"/>
    <col min="11526" max="11526" width="41.7109375" style="516" customWidth="1"/>
    <col min="11527" max="11527" width="8.28515625" style="516" customWidth="1"/>
    <col min="11528" max="11528" width="11" style="516" customWidth="1"/>
    <col min="11529" max="11529" width="16.7109375" style="516" customWidth="1"/>
    <col min="11530" max="11530" width="22.85546875" style="516" customWidth="1"/>
    <col min="11531" max="11531" width="8.28515625" style="516" customWidth="1"/>
    <col min="11532" max="11532" width="4.5703125" style="516" customWidth="1"/>
    <col min="11533" max="11533" width="41.7109375" style="516" customWidth="1"/>
    <col min="11534" max="11534" width="8.28515625" style="516" customWidth="1"/>
    <col min="11535" max="11535" width="11" style="516" customWidth="1"/>
    <col min="11536" max="11536" width="16.7109375" style="516" customWidth="1"/>
    <col min="11537" max="11537" width="22.85546875" style="516" customWidth="1"/>
    <col min="11538" max="11538" width="9.140625" style="516"/>
    <col min="11539" max="11539" width="4.5703125" style="516" customWidth="1"/>
    <col min="11540" max="11540" width="41.7109375" style="516" customWidth="1"/>
    <col min="11541" max="11541" width="8.28515625" style="516" customWidth="1"/>
    <col min="11542" max="11542" width="11" style="516" customWidth="1"/>
    <col min="11543" max="11543" width="16.7109375" style="516" customWidth="1"/>
    <col min="11544" max="11544" width="22.85546875" style="516" customWidth="1"/>
    <col min="11545" max="11545" width="9.140625" style="516"/>
    <col min="11546" max="11546" width="4.5703125" style="516" customWidth="1"/>
    <col min="11547" max="11547" width="41.7109375" style="516" customWidth="1"/>
    <col min="11548" max="11548" width="8.28515625" style="516" customWidth="1"/>
    <col min="11549" max="11549" width="11" style="516" customWidth="1"/>
    <col min="11550" max="11550" width="16.7109375" style="516" customWidth="1"/>
    <col min="11551" max="11551" width="22.85546875" style="516" customWidth="1"/>
    <col min="11552" max="11552" width="9.140625" style="516"/>
    <col min="11553" max="11553" width="4.5703125" style="516" customWidth="1"/>
    <col min="11554" max="11554" width="41.7109375" style="516" customWidth="1"/>
    <col min="11555" max="11555" width="8.28515625" style="516" customWidth="1"/>
    <col min="11556" max="11556" width="11" style="516" customWidth="1"/>
    <col min="11557" max="11557" width="16.7109375" style="516" customWidth="1"/>
    <col min="11558" max="11558" width="22.85546875" style="516" customWidth="1"/>
    <col min="11559" max="11780" width="9.140625" style="516"/>
    <col min="11781" max="11781" width="4.5703125" style="516" customWidth="1"/>
    <col min="11782" max="11782" width="41.7109375" style="516" customWidth="1"/>
    <col min="11783" max="11783" width="8.28515625" style="516" customWidth="1"/>
    <col min="11784" max="11784" width="11" style="516" customWidth="1"/>
    <col min="11785" max="11785" width="16.7109375" style="516" customWidth="1"/>
    <col min="11786" max="11786" width="22.85546875" style="516" customWidth="1"/>
    <col min="11787" max="11787" width="8.28515625" style="516" customWidth="1"/>
    <col min="11788" max="11788" width="4.5703125" style="516" customWidth="1"/>
    <col min="11789" max="11789" width="41.7109375" style="516" customWidth="1"/>
    <col min="11790" max="11790" width="8.28515625" style="516" customWidth="1"/>
    <col min="11791" max="11791" width="11" style="516" customWidth="1"/>
    <col min="11792" max="11792" width="16.7109375" style="516" customWidth="1"/>
    <col min="11793" max="11793" width="22.85546875" style="516" customWidth="1"/>
    <col min="11794" max="11794" width="9.140625" style="516"/>
    <col min="11795" max="11795" width="4.5703125" style="516" customWidth="1"/>
    <col min="11796" max="11796" width="41.7109375" style="516" customWidth="1"/>
    <col min="11797" max="11797" width="8.28515625" style="516" customWidth="1"/>
    <col min="11798" max="11798" width="11" style="516" customWidth="1"/>
    <col min="11799" max="11799" width="16.7109375" style="516" customWidth="1"/>
    <col min="11800" max="11800" width="22.85546875" style="516" customWidth="1"/>
    <col min="11801" max="11801" width="9.140625" style="516"/>
    <col min="11802" max="11802" width="4.5703125" style="516" customWidth="1"/>
    <col min="11803" max="11803" width="41.7109375" style="516" customWidth="1"/>
    <col min="11804" max="11804" width="8.28515625" style="516" customWidth="1"/>
    <col min="11805" max="11805" width="11" style="516" customWidth="1"/>
    <col min="11806" max="11806" width="16.7109375" style="516" customWidth="1"/>
    <col min="11807" max="11807" width="22.85546875" style="516" customWidth="1"/>
    <col min="11808" max="11808" width="9.140625" style="516"/>
    <col min="11809" max="11809" width="4.5703125" style="516" customWidth="1"/>
    <col min="11810" max="11810" width="41.7109375" style="516" customWidth="1"/>
    <col min="11811" max="11811" width="8.28515625" style="516" customWidth="1"/>
    <col min="11812" max="11812" width="11" style="516" customWidth="1"/>
    <col min="11813" max="11813" width="16.7109375" style="516" customWidth="1"/>
    <col min="11814" max="11814" width="22.85546875" style="516" customWidth="1"/>
    <col min="11815" max="12036" width="9.140625" style="516"/>
    <col min="12037" max="12037" width="4.5703125" style="516" customWidth="1"/>
    <col min="12038" max="12038" width="41.7109375" style="516" customWidth="1"/>
    <col min="12039" max="12039" width="8.28515625" style="516" customWidth="1"/>
    <col min="12040" max="12040" width="11" style="516" customWidth="1"/>
    <col min="12041" max="12041" width="16.7109375" style="516" customWidth="1"/>
    <col min="12042" max="12042" width="22.85546875" style="516" customWidth="1"/>
    <col min="12043" max="12043" width="8.28515625" style="516" customWidth="1"/>
    <col min="12044" max="12044" width="4.5703125" style="516" customWidth="1"/>
    <col min="12045" max="12045" width="41.7109375" style="516" customWidth="1"/>
    <col min="12046" max="12046" width="8.28515625" style="516" customWidth="1"/>
    <col min="12047" max="12047" width="11" style="516" customWidth="1"/>
    <col min="12048" max="12048" width="16.7109375" style="516" customWidth="1"/>
    <col min="12049" max="12049" width="22.85546875" style="516" customWidth="1"/>
    <col min="12050" max="12050" width="9.140625" style="516"/>
    <col min="12051" max="12051" width="4.5703125" style="516" customWidth="1"/>
    <col min="12052" max="12052" width="41.7109375" style="516" customWidth="1"/>
    <col min="12053" max="12053" width="8.28515625" style="516" customWidth="1"/>
    <col min="12054" max="12054" width="11" style="516" customWidth="1"/>
    <col min="12055" max="12055" width="16.7109375" style="516" customWidth="1"/>
    <col min="12056" max="12056" width="22.85546875" style="516" customWidth="1"/>
    <col min="12057" max="12057" width="9.140625" style="516"/>
    <col min="12058" max="12058" width="4.5703125" style="516" customWidth="1"/>
    <col min="12059" max="12059" width="41.7109375" style="516" customWidth="1"/>
    <col min="12060" max="12060" width="8.28515625" style="516" customWidth="1"/>
    <col min="12061" max="12061" width="11" style="516" customWidth="1"/>
    <col min="12062" max="12062" width="16.7109375" style="516" customWidth="1"/>
    <col min="12063" max="12063" width="22.85546875" style="516" customWidth="1"/>
    <col min="12064" max="12064" width="9.140625" style="516"/>
    <col min="12065" max="12065" width="4.5703125" style="516" customWidth="1"/>
    <col min="12066" max="12066" width="41.7109375" style="516" customWidth="1"/>
    <col min="12067" max="12067" width="8.28515625" style="516" customWidth="1"/>
    <col min="12068" max="12068" width="11" style="516" customWidth="1"/>
    <col min="12069" max="12069" width="16.7109375" style="516" customWidth="1"/>
    <col min="12070" max="12070" width="22.85546875" style="516" customWidth="1"/>
    <col min="12071" max="12292" width="9.140625" style="516"/>
    <col min="12293" max="12293" width="4.5703125" style="516" customWidth="1"/>
    <col min="12294" max="12294" width="41.7109375" style="516" customWidth="1"/>
    <col min="12295" max="12295" width="8.28515625" style="516" customWidth="1"/>
    <col min="12296" max="12296" width="11" style="516" customWidth="1"/>
    <col min="12297" max="12297" width="16.7109375" style="516" customWidth="1"/>
    <col min="12298" max="12298" width="22.85546875" style="516" customWidth="1"/>
    <col min="12299" max="12299" width="8.28515625" style="516" customWidth="1"/>
    <col min="12300" max="12300" width="4.5703125" style="516" customWidth="1"/>
    <col min="12301" max="12301" width="41.7109375" style="516" customWidth="1"/>
    <col min="12302" max="12302" width="8.28515625" style="516" customWidth="1"/>
    <col min="12303" max="12303" width="11" style="516" customWidth="1"/>
    <col min="12304" max="12304" width="16.7109375" style="516" customWidth="1"/>
    <col min="12305" max="12305" width="22.85546875" style="516" customWidth="1"/>
    <col min="12306" max="12306" width="9.140625" style="516"/>
    <col min="12307" max="12307" width="4.5703125" style="516" customWidth="1"/>
    <col min="12308" max="12308" width="41.7109375" style="516" customWidth="1"/>
    <col min="12309" max="12309" width="8.28515625" style="516" customWidth="1"/>
    <col min="12310" max="12310" width="11" style="516" customWidth="1"/>
    <col min="12311" max="12311" width="16.7109375" style="516" customWidth="1"/>
    <col min="12312" max="12312" width="22.85546875" style="516" customWidth="1"/>
    <col min="12313" max="12313" width="9.140625" style="516"/>
    <col min="12314" max="12314" width="4.5703125" style="516" customWidth="1"/>
    <col min="12315" max="12315" width="41.7109375" style="516" customWidth="1"/>
    <col min="12316" max="12316" width="8.28515625" style="516" customWidth="1"/>
    <col min="12317" max="12317" width="11" style="516" customWidth="1"/>
    <col min="12318" max="12318" width="16.7109375" style="516" customWidth="1"/>
    <col min="12319" max="12319" width="22.85546875" style="516" customWidth="1"/>
    <col min="12320" max="12320" width="9.140625" style="516"/>
    <col min="12321" max="12321" width="4.5703125" style="516" customWidth="1"/>
    <col min="12322" max="12322" width="41.7109375" style="516" customWidth="1"/>
    <col min="12323" max="12323" width="8.28515625" style="516" customWidth="1"/>
    <col min="12324" max="12324" width="11" style="516" customWidth="1"/>
    <col min="12325" max="12325" width="16.7109375" style="516" customWidth="1"/>
    <col min="12326" max="12326" width="22.85546875" style="516" customWidth="1"/>
    <col min="12327" max="12548" width="9.140625" style="516"/>
    <col min="12549" max="12549" width="4.5703125" style="516" customWidth="1"/>
    <col min="12550" max="12550" width="41.7109375" style="516" customWidth="1"/>
    <col min="12551" max="12551" width="8.28515625" style="516" customWidth="1"/>
    <col min="12552" max="12552" width="11" style="516" customWidth="1"/>
    <col min="12553" max="12553" width="16.7109375" style="516" customWidth="1"/>
    <col min="12554" max="12554" width="22.85546875" style="516" customWidth="1"/>
    <col min="12555" max="12555" width="8.28515625" style="516" customWidth="1"/>
    <col min="12556" max="12556" width="4.5703125" style="516" customWidth="1"/>
    <col min="12557" max="12557" width="41.7109375" style="516" customWidth="1"/>
    <col min="12558" max="12558" width="8.28515625" style="516" customWidth="1"/>
    <col min="12559" max="12559" width="11" style="516" customWidth="1"/>
    <col min="12560" max="12560" width="16.7109375" style="516" customWidth="1"/>
    <col min="12561" max="12561" width="22.85546875" style="516" customWidth="1"/>
    <col min="12562" max="12562" width="9.140625" style="516"/>
    <col min="12563" max="12563" width="4.5703125" style="516" customWidth="1"/>
    <col min="12564" max="12564" width="41.7109375" style="516" customWidth="1"/>
    <col min="12565" max="12565" width="8.28515625" style="516" customWidth="1"/>
    <col min="12566" max="12566" width="11" style="516" customWidth="1"/>
    <col min="12567" max="12567" width="16.7109375" style="516" customWidth="1"/>
    <col min="12568" max="12568" width="22.85546875" style="516" customWidth="1"/>
    <col min="12569" max="12569" width="9.140625" style="516"/>
    <col min="12570" max="12570" width="4.5703125" style="516" customWidth="1"/>
    <col min="12571" max="12571" width="41.7109375" style="516" customWidth="1"/>
    <col min="12572" max="12572" width="8.28515625" style="516" customWidth="1"/>
    <col min="12573" max="12573" width="11" style="516" customWidth="1"/>
    <col min="12574" max="12574" width="16.7109375" style="516" customWidth="1"/>
    <col min="12575" max="12575" width="22.85546875" style="516" customWidth="1"/>
    <col min="12576" max="12576" width="9.140625" style="516"/>
    <col min="12577" max="12577" width="4.5703125" style="516" customWidth="1"/>
    <col min="12578" max="12578" width="41.7109375" style="516" customWidth="1"/>
    <col min="12579" max="12579" width="8.28515625" style="516" customWidth="1"/>
    <col min="12580" max="12580" width="11" style="516" customWidth="1"/>
    <col min="12581" max="12581" width="16.7109375" style="516" customWidth="1"/>
    <col min="12582" max="12582" width="22.85546875" style="516" customWidth="1"/>
    <col min="12583" max="12804" width="9.140625" style="516"/>
    <col min="12805" max="12805" width="4.5703125" style="516" customWidth="1"/>
    <col min="12806" max="12806" width="41.7109375" style="516" customWidth="1"/>
    <col min="12807" max="12807" width="8.28515625" style="516" customWidth="1"/>
    <col min="12808" max="12808" width="11" style="516" customWidth="1"/>
    <col min="12809" max="12809" width="16.7109375" style="516" customWidth="1"/>
    <col min="12810" max="12810" width="22.85546875" style="516" customWidth="1"/>
    <col min="12811" max="12811" width="8.28515625" style="516" customWidth="1"/>
    <col min="12812" max="12812" width="4.5703125" style="516" customWidth="1"/>
    <col min="12813" max="12813" width="41.7109375" style="516" customWidth="1"/>
    <col min="12814" max="12814" width="8.28515625" style="516" customWidth="1"/>
    <col min="12815" max="12815" width="11" style="516" customWidth="1"/>
    <col min="12816" max="12816" width="16.7109375" style="516" customWidth="1"/>
    <col min="12817" max="12817" width="22.85546875" style="516" customWidth="1"/>
    <col min="12818" max="12818" width="9.140625" style="516"/>
    <col min="12819" max="12819" width="4.5703125" style="516" customWidth="1"/>
    <col min="12820" max="12820" width="41.7109375" style="516" customWidth="1"/>
    <col min="12821" max="12821" width="8.28515625" style="516" customWidth="1"/>
    <col min="12822" max="12822" width="11" style="516" customWidth="1"/>
    <col min="12823" max="12823" width="16.7109375" style="516" customWidth="1"/>
    <col min="12824" max="12824" width="22.85546875" style="516" customWidth="1"/>
    <col min="12825" max="12825" width="9.140625" style="516"/>
    <col min="12826" max="12826" width="4.5703125" style="516" customWidth="1"/>
    <col min="12827" max="12827" width="41.7109375" style="516" customWidth="1"/>
    <col min="12828" max="12828" width="8.28515625" style="516" customWidth="1"/>
    <col min="12829" max="12829" width="11" style="516" customWidth="1"/>
    <col min="12830" max="12830" width="16.7109375" style="516" customWidth="1"/>
    <col min="12831" max="12831" width="22.85546875" style="516" customWidth="1"/>
    <col min="12832" max="12832" width="9.140625" style="516"/>
    <col min="12833" max="12833" width="4.5703125" style="516" customWidth="1"/>
    <col min="12834" max="12834" width="41.7109375" style="516" customWidth="1"/>
    <col min="12835" max="12835" width="8.28515625" style="516" customWidth="1"/>
    <col min="12836" max="12836" width="11" style="516" customWidth="1"/>
    <col min="12837" max="12837" width="16.7109375" style="516" customWidth="1"/>
    <col min="12838" max="12838" width="22.85546875" style="516" customWidth="1"/>
    <col min="12839" max="13060" width="9.140625" style="516"/>
    <col min="13061" max="13061" width="4.5703125" style="516" customWidth="1"/>
    <col min="13062" max="13062" width="41.7109375" style="516" customWidth="1"/>
    <col min="13063" max="13063" width="8.28515625" style="516" customWidth="1"/>
    <col min="13064" max="13064" width="11" style="516" customWidth="1"/>
    <col min="13065" max="13065" width="16.7109375" style="516" customWidth="1"/>
    <col min="13066" max="13066" width="22.85546875" style="516" customWidth="1"/>
    <col min="13067" max="13067" width="8.28515625" style="516" customWidth="1"/>
    <col min="13068" max="13068" width="4.5703125" style="516" customWidth="1"/>
    <col min="13069" max="13069" width="41.7109375" style="516" customWidth="1"/>
    <col min="13070" max="13070" width="8.28515625" style="516" customWidth="1"/>
    <col min="13071" max="13071" width="11" style="516" customWidth="1"/>
    <col min="13072" max="13072" width="16.7109375" style="516" customWidth="1"/>
    <col min="13073" max="13073" width="22.85546875" style="516" customWidth="1"/>
    <col min="13074" max="13074" width="9.140625" style="516"/>
    <col min="13075" max="13075" width="4.5703125" style="516" customWidth="1"/>
    <col min="13076" max="13076" width="41.7109375" style="516" customWidth="1"/>
    <col min="13077" max="13077" width="8.28515625" style="516" customWidth="1"/>
    <col min="13078" max="13078" width="11" style="516" customWidth="1"/>
    <col min="13079" max="13079" width="16.7109375" style="516" customWidth="1"/>
    <col min="13080" max="13080" width="22.85546875" style="516" customWidth="1"/>
    <col min="13081" max="13081" width="9.140625" style="516"/>
    <col min="13082" max="13082" width="4.5703125" style="516" customWidth="1"/>
    <col min="13083" max="13083" width="41.7109375" style="516" customWidth="1"/>
    <col min="13084" max="13084" width="8.28515625" style="516" customWidth="1"/>
    <col min="13085" max="13085" width="11" style="516" customWidth="1"/>
    <col min="13086" max="13086" width="16.7109375" style="516" customWidth="1"/>
    <col min="13087" max="13087" width="22.85546875" style="516" customWidth="1"/>
    <col min="13088" max="13088" width="9.140625" style="516"/>
    <col min="13089" max="13089" width="4.5703125" style="516" customWidth="1"/>
    <col min="13090" max="13090" width="41.7109375" style="516" customWidth="1"/>
    <col min="13091" max="13091" width="8.28515625" style="516" customWidth="1"/>
    <col min="13092" max="13092" width="11" style="516" customWidth="1"/>
    <col min="13093" max="13093" width="16.7109375" style="516" customWidth="1"/>
    <col min="13094" max="13094" width="22.85546875" style="516" customWidth="1"/>
    <col min="13095" max="13316" width="9.140625" style="516"/>
    <col min="13317" max="13317" width="4.5703125" style="516" customWidth="1"/>
    <col min="13318" max="13318" width="41.7109375" style="516" customWidth="1"/>
    <col min="13319" max="13319" width="8.28515625" style="516" customWidth="1"/>
    <col min="13320" max="13320" width="11" style="516" customWidth="1"/>
    <col min="13321" max="13321" width="16.7109375" style="516" customWidth="1"/>
    <col min="13322" max="13322" width="22.85546875" style="516" customWidth="1"/>
    <col min="13323" max="13323" width="8.28515625" style="516" customWidth="1"/>
    <col min="13324" max="13324" width="4.5703125" style="516" customWidth="1"/>
    <col min="13325" max="13325" width="41.7109375" style="516" customWidth="1"/>
    <col min="13326" max="13326" width="8.28515625" style="516" customWidth="1"/>
    <col min="13327" max="13327" width="11" style="516" customWidth="1"/>
    <col min="13328" max="13328" width="16.7109375" style="516" customWidth="1"/>
    <col min="13329" max="13329" width="22.85546875" style="516" customWidth="1"/>
    <col min="13330" max="13330" width="9.140625" style="516"/>
    <col min="13331" max="13331" width="4.5703125" style="516" customWidth="1"/>
    <col min="13332" max="13332" width="41.7109375" style="516" customWidth="1"/>
    <col min="13333" max="13333" width="8.28515625" style="516" customWidth="1"/>
    <col min="13334" max="13334" width="11" style="516" customWidth="1"/>
    <col min="13335" max="13335" width="16.7109375" style="516" customWidth="1"/>
    <col min="13336" max="13336" width="22.85546875" style="516" customWidth="1"/>
    <col min="13337" max="13337" width="9.140625" style="516"/>
    <col min="13338" max="13338" width="4.5703125" style="516" customWidth="1"/>
    <col min="13339" max="13339" width="41.7109375" style="516" customWidth="1"/>
    <col min="13340" max="13340" width="8.28515625" style="516" customWidth="1"/>
    <col min="13341" max="13341" width="11" style="516" customWidth="1"/>
    <col min="13342" max="13342" width="16.7109375" style="516" customWidth="1"/>
    <col min="13343" max="13343" width="22.85546875" style="516" customWidth="1"/>
    <col min="13344" max="13344" width="9.140625" style="516"/>
    <col min="13345" max="13345" width="4.5703125" style="516" customWidth="1"/>
    <col min="13346" max="13346" width="41.7109375" style="516" customWidth="1"/>
    <col min="13347" max="13347" width="8.28515625" style="516" customWidth="1"/>
    <col min="13348" max="13348" width="11" style="516" customWidth="1"/>
    <col min="13349" max="13349" width="16.7109375" style="516" customWidth="1"/>
    <col min="13350" max="13350" width="22.85546875" style="516" customWidth="1"/>
    <col min="13351" max="13572" width="9.140625" style="516"/>
    <col min="13573" max="13573" width="4.5703125" style="516" customWidth="1"/>
    <col min="13574" max="13574" width="41.7109375" style="516" customWidth="1"/>
    <col min="13575" max="13575" width="8.28515625" style="516" customWidth="1"/>
    <col min="13576" max="13576" width="11" style="516" customWidth="1"/>
    <col min="13577" max="13577" width="16.7109375" style="516" customWidth="1"/>
    <col min="13578" max="13578" width="22.85546875" style="516" customWidth="1"/>
    <col min="13579" max="13579" width="8.28515625" style="516" customWidth="1"/>
    <col min="13580" max="13580" width="4.5703125" style="516" customWidth="1"/>
    <col min="13581" max="13581" width="41.7109375" style="516" customWidth="1"/>
    <col min="13582" max="13582" width="8.28515625" style="516" customWidth="1"/>
    <col min="13583" max="13583" width="11" style="516" customWidth="1"/>
    <col min="13584" max="13584" width="16.7109375" style="516" customWidth="1"/>
    <col min="13585" max="13585" width="22.85546875" style="516" customWidth="1"/>
    <col min="13586" max="13586" width="9.140625" style="516"/>
    <col min="13587" max="13587" width="4.5703125" style="516" customWidth="1"/>
    <col min="13588" max="13588" width="41.7109375" style="516" customWidth="1"/>
    <col min="13589" max="13589" width="8.28515625" style="516" customWidth="1"/>
    <col min="13590" max="13590" width="11" style="516" customWidth="1"/>
    <col min="13591" max="13591" width="16.7109375" style="516" customWidth="1"/>
    <col min="13592" max="13592" width="22.85546875" style="516" customWidth="1"/>
    <col min="13593" max="13593" width="9.140625" style="516"/>
    <col min="13594" max="13594" width="4.5703125" style="516" customWidth="1"/>
    <col min="13595" max="13595" width="41.7109375" style="516" customWidth="1"/>
    <col min="13596" max="13596" width="8.28515625" style="516" customWidth="1"/>
    <col min="13597" max="13597" width="11" style="516" customWidth="1"/>
    <col min="13598" max="13598" width="16.7109375" style="516" customWidth="1"/>
    <col min="13599" max="13599" width="22.85546875" style="516" customWidth="1"/>
    <col min="13600" max="13600" width="9.140625" style="516"/>
    <col min="13601" max="13601" width="4.5703125" style="516" customWidth="1"/>
    <col min="13602" max="13602" width="41.7109375" style="516" customWidth="1"/>
    <col min="13603" max="13603" width="8.28515625" style="516" customWidth="1"/>
    <col min="13604" max="13604" width="11" style="516" customWidth="1"/>
    <col min="13605" max="13605" width="16.7109375" style="516" customWidth="1"/>
    <col min="13606" max="13606" width="22.85546875" style="516" customWidth="1"/>
    <col min="13607" max="13828" width="9.140625" style="516"/>
    <col min="13829" max="13829" width="4.5703125" style="516" customWidth="1"/>
    <col min="13830" max="13830" width="41.7109375" style="516" customWidth="1"/>
    <col min="13831" max="13831" width="8.28515625" style="516" customWidth="1"/>
    <col min="13832" max="13832" width="11" style="516" customWidth="1"/>
    <col min="13833" max="13833" width="16.7109375" style="516" customWidth="1"/>
    <col min="13834" max="13834" width="22.85546875" style="516" customWidth="1"/>
    <col min="13835" max="13835" width="8.28515625" style="516" customWidth="1"/>
    <col min="13836" max="13836" width="4.5703125" style="516" customWidth="1"/>
    <col min="13837" max="13837" width="41.7109375" style="516" customWidth="1"/>
    <col min="13838" max="13838" width="8.28515625" style="516" customWidth="1"/>
    <col min="13839" max="13839" width="11" style="516" customWidth="1"/>
    <col min="13840" max="13840" width="16.7109375" style="516" customWidth="1"/>
    <col min="13841" max="13841" width="22.85546875" style="516" customWidth="1"/>
    <col min="13842" max="13842" width="9.140625" style="516"/>
    <col min="13843" max="13843" width="4.5703125" style="516" customWidth="1"/>
    <col min="13844" max="13844" width="41.7109375" style="516" customWidth="1"/>
    <col min="13845" max="13845" width="8.28515625" style="516" customWidth="1"/>
    <col min="13846" max="13846" width="11" style="516" customWidth="1"/>
    <col min="13847" max="13847" width="16.7109375" style="516" customWidth="1"/>
    <col min="13848" max="13848" width="22.85546875" style="516" customWidth="1"/>
    <col min="13849" max="13849" width="9.140625" style="516"/>
    <col min="13850" max="13850" width="4.5703125" style="516" customWidth="1"/>
    <col min="13851" max="13851" width="41.7109375" style="516" customWidth="1"/>
    <col min="13852" max="13852" width="8.28515625" style="516" customWidth="1"/>
    <col min="13853" max="13853" width="11" style="516" customWidth="1"/>
    <col min="13854" max="13854" width="16.7109375" style="516" customWidth="1"/>
    <col min="13855" max="13855" width="22.85546875" style="516" customWidth="1"/>
    <col min="13856" max="13856" width="9.140625" style="516"/>
    <col min="13857" max="13857" width="4.5703125" style="516" customWidth="1"/>
    <col min="13858" max="13858" width="41.7109375" style="516" customWidth="1"/>
    <col min="13859" max="13859" width="8.28515625" style="516" customWidth="1"/>
    <col min="13860" max="13860" width="11" style="516" customWidth="1"/>
    <col min="13861" max="13861" width="16.7109375" style="516" customWidth="1"/>
    <col min="13862" max="13862" width="22.85546875" style="516" customWidth="1"/>
    <col min="13863" max="14084" width="9.140625" style="516"/>
    <col min="14085" max="14085" width="4.5703125" style="516" customWidth="1"/>
    <col min="14086" max="14086" width="41.7109375" style="516" customWidth="1"/>
    <col min="14087" max="14087" width="8.28515625" style="516" customWidth="1"/>
    <col min="14088" max="14088" width="11" style="516" customWidth="1"/>
    <col min="14089" max="14089" width="16.7109375" style="516" customWidth="1"/>
    <col min="14090" max="14090" width="22.85546875" style="516" customWidth="1"/>
    <col min="14091" max="14091" width="8.28515625" style="516" customWidth="1"/>
    <col min="14092" max="14092" width="4.5703125" style="516" customWidth="1"/>
    <col min="14093" max="14093" width="41.7109375" style="516" customWidth="1"/>
    <col min="14094" max="14094" width="8.28515625" style="516" customWidth="1"/>
    <col min="14095" max="14095" width="11" style="516" customWidth="1"/>
    <col min="14096" max="14096" width="16.7109375" style="516" customWidth="1"/>
    <col min="14097" max="14097" width="22.85546875" style="516" customWidth="1"/>
    <col min="14098" max="14098" width="9.140625" style="516"/>
    <col min="14099" max="14099" width="4.5703125" style="516" customWidth="1"/>
    <col min="14100" max="14100" width="41.7109375" style="516" customWidth="1"/>
    <col min="14101" max="14101" width="8.28515625" style="516" customWidth="1"/>
    <col min="14102" max="14102" width="11" style="516" customWidth="1"/>
    <col min="14103" max="14103" width="16.7109375" style="516" customWidth="1"/>
    <col min="14104" max="14104" width="22.85546875" style="516" customWidth="1"/>
    <col min="14105" max="14105" width="9.140625" style="516"/>
    <col min="14106" max="14106" width="4.5703125" style="516" customWidth="1"/>
    <col min="14107" max="14107" width="41.7109375" style="516" customWidth="1"/>
    <col min="14108" max="14108" width="8.28515625" style="516" customWidth="1"/>
    <col min="14109" max="14109" width="11" style="516" customWidth="1"/>
    <col min="14110" max="14110" width="16.7109375" style="516" customWidth="1"/>
    <col min="14111" max="14111" width="22.85546875" style="516" customWidth="1"/>
    <col min="14112" max="14112" width="9.140625" style="516"/>
    <col min="14113" max="14113" width="4.5703125" style="516" customWidth="1"/>
    <col min="14114" max="14114" width="41.7109375" style="516" customWidth="1"/>
    <col min="14115" max="14115" width="8.28515625" style="516" customWidth="1"/>
    <col min="14116" max="14116" width="11" style="516" customWidth="1"/>
    <col min="14117" max="14117" width="16.7109375" style="516" customWidth="1"/>
    <col min="14118" max="14118" width="22.85546875" style="516" customWidth="1"/>
    <col min="14119" max="14340" width="9.140625" style="516"/>
    <col min="14341" max="14341" width="4.5703125" style="516" customWidth="1"/>
    <col min="14342" max="14342" width="41.7109375" style="516" customWidth="1"/>
    <col min="14343" max="14343" width="8.28515625" style="516" customWidth="1"/>
    <col min="14344" max="14344" width="11" style="516" customWidth="1"/>
    <col min="14345" max="14345" width="16.7109375" style="516" customWidth="1"/>
    <col min="14346" max="14346" width="22.85546875" style="516" customWidth="1"/>
    <col min="14347" max="14347" width="8.28515625" style="516" customWidth="1"/>
    <col min="14348" max="14348" width="4.5703125" style="516" customWidth="1"/>
    <col min="14349" max="14349" width="41.7109375" style="516" customWidth="1"/>
    <col min="14350" max="14350" width="8.28515625" style="516" customWidth="1"/>
    <col min="14351" max="14351" width="11" style="516" customWidth="1"/>
    <col min="14352" max="14352" width="16.7109375" style="516" customWidth="1"/>
    <col min="14353" max="14353" width="22.85546875" style="516" customWidth="1"/>
    <col min="14354" max="14354" width="9.140625" style="516"/>
    <col min="14355" max="14355" width="4.5703125" style="516" customWidth="1"/>
    <col min="14356" max="14356" width="41.7109375" style="516" customWidth="1"/>
    <col min="14357" max="14357" width="8.28515625" style="516" customWidth="1"/>
    <col min="14358" max="14358" width="11" style="516" customWidth="1"/>
    <col min="14359" max="14359" width="16.7109375" style="516" customWidth="1"/>
    <col min="14360" max="14360" width="22.85546875" style="516" customWidth="1"/>
    <col min="14361" max="14361" width="9.140625" style="516"/>
    <col min="14362" max="14362" width="4.5703125" style="516" customWidth="1"/>
    <col min="14363" max="14363" width="41.7109375" style="516" customWidth="1"/>
    <col min="14364" max="14364" width="8.28515625" style="516" customWidth="1"/>
    <col min="14365" max="14365" width="11" style="516" customWidth="1"/>
    <col min="14366" max="14366" width="16.7109375" style="516" customWidth="1"/>
    <col min="14367" max="14367" width="22.85546875" style="516" customWidth="1"/>
    <col min="14368" max="14368" width="9.140625" style="516"/>
    <col min="14369" max="14369" width="4.5703125" style="516" customWidth="1"/>
    <col min="14370" max="14370" width="41.7109375" style="516" customWidth="1"/>
    <col min="14371" max="14371" width="8.28515625" style="516" customWidth="1"/>
    <col min="14372" max="14372" width="11" style="516" customWidth="1"/>
    <col min="14373" max="14373" width="16.7109375" style="516" customWidth="1"/>
    <col min="14374" max="14374" width="22.85546875" style="516" customWidth="1"/>
    <col min="14375" max="14596" width="9.140625" style="516"/>
    <col min="14597" max="14597" width="4.5703125" style="516" customWidth="1"/>
    <col min="14598" max="14598" width="41.7109375" style="516" customWidth="1"/>
    <col min="14599" max="14599" width="8.28515625" style="516" customWidth="1"/>
    <col min="14600" max="14600" width="11" style="516" customWidth="1"/>
    <col min="14601" max="14601" width="16.7109375" style="516" customWidth="1"/>
    <col min="14602" max="14602" width="22.85546875" style="516" customWidth="1"/>
    <col min="14603" max="14603" width="8.28515625" style="516" customWidth="1"/>
    <col min="14604" max="14604" width="4.5703125" style="516" customWidth="1"/>
    <col min="14605" max="14605" width="41.7109375" style="516" customWidth="1"/>
    <col min="14606" max="14606" width="8.28515625" style="516" customWidth="1"/>
    <col min="14607" max="14607" width="11" style="516" customWidth="1"/>
    <col min="14608" max="14608" width="16.7109375" style="516" customWidth="1"/>
    <col min="14609" max="14609" width="22.85546875" style="516" customWidth="1"/>
    <col min="14610" max="14610" width="9.140625" style="516"/>
    <col min="14611" max="14611" width="4.5703125" style="516" customWidth="1"/>
    <col min="14612" max="14612" width="41.7109375" style="516" customWidth="1"/>
    <col min="14613" max="14613" width="8.28515625" style="516" customWidth="1"/>
    <col min="14614" max="14614" width="11" style="516" customWidth="1"/>
    <col min="14615" max="14615" width="16.7109375" style="516" customWidth="1"/>
    <col min="14616" max="14616" width="22.85546875" style="516" customWidth="1"/>
    <col min="14617" max="14617" width="9.140625" style="516"/>
    <col min="14618" max="14618" width="4.5703125" style="516" customWidth="1"/>
    <col min="14619" max="14619" width="41.7109375" style="516" customWidth="1"/>
    <col min="14620" max="14620" width="8.28515625" style="516" customWidth="1"/>
    <col min="14621" max="14621" width="11" style="516" customWidth="1"/>
    <col min="14622" max="14622" width="16.7109375" style="516" customWidth="1"/>
    <col min="14623" max="14623" width="22.85546875" style="516" customWidth="1"/>
    <col min="14624" max="14624" width="9.140625" style="516"/>
    <col min="14625" max="14625" width="4.5703125" style="516" customWidth="1"/>
    <col min="14626" max="14626" width="41.7109375" style="516" customWidth="1"/>
    <col min="14627" max="14627" width="8.28515625" style="516" customWidth="1"/>
    <col min="14628" max="14628" width="11" style="516" customWidth="1"/>
    <col min="14629" max="14629" width="16.7109375" style="516" customWidth="1"/>
    <col min="14630" max="14630" width="22.85546875" style="516" customWidth="1"/>
    <col min="14631" max="14852" width="9.140625" style="516"/>
    <col min="14853" max="14853" width="4.5703125" style="516" customWidth="1"/>
    <col min="14854" max="14854" width="41.7109375" style="516" customWidth="1"/>
    <col min="14855" max="14855" width="8.28515625" style="516" customWidth="1"/>
    <col min="14856" max="14856" width="11" style="516" customWidth="1"/>
    <col min="14857" max="14857" width="16.7109375" style="516" customWidth="1"/>
    <col min="14858" max="14858" width="22.85546875" style="516" customWidth="1"/>
    <col min="14859" max="14859" width="8.28515625" style="516" customWidth="1"/>
    <col min="14860" max="14860" width="4.5703125" style="516" customWidth="1"/>
    <col min="14861" max="14861" width="41.7109375" style="516" customWidth="1"/>
    <col min="14862" max="14862" width="8.28515625" style="516" customWidth="1"/>
    <col min="14863" max="14863" width="11" style="516" customWidth="1"/>
    <col min="14864" max="14864" width="16.7109375" style="516" customWidth="1"/>
    <col min="14865" max="14865" width="22.85546875" style="516" customWidth="1"/>
    <col min="14866" max="14866" width="9.140625" style="516"/>
    <col min="14867" max="14867" width="4.5703125" style="516" customWidth="1"/>
    <col min="14868" max="14868" width="41.7109375" style="516" customWidth="1"/>
    <col min="14869" max="14869" width="8.28515625" style="516" customWidth="1"/>
    <col min="14870" max="14870" width="11" style="516" customWidth="1"/>
    <col min="14871" max="14871" width="16.7109375" style="516" customWidth="1"/>
    <col min="14872" max="14872" width="22.85546875" style="516" customWidth="1"/>
    <col min="14873" max="14873" width="9.140625" style="516"/>
    <col min="14874" max="14874" width="4.5703125" style="516" customWidth="1"/>
    <col min="14875" max="14875" width="41.7109375" style="516" customWidth="1"/>
    <col min="14876" max="14876" width="8.28515625" style="516" customWidth="1"/>
    <col min="14877" max="14877" width="11" style="516" customWidth="1"/>
    <col min="14878" max="14878" width="16.7109375" style="516" customWidth="1"/>
    <col min="14879" max="14879" width="22.85546875" style="516" customWidth="1"/>
    <col min="14880" max="14880" width="9.140625" style="516"/>
    <col min="14881" max="14881" width="4.5703125" style="516" customWidth="1"/>
    <col min="14882" max="14882" width="41.7109375" style="516" customWidth="1"/>
    <col min="14883" max="14883" width="8.28515625" style="516" customWidth="1"/>
    <col min="14884" max="14884" width="11" style="516" customWidth="1"/>
    <col min="14885" max="14885" width="16.7109375" style="516" customWidth="1"/>
    <col min="14886" max="14886" width="22.85546875" style="516" customWidth="1"/>
    <col min="14887" max="15108" width="9.140625" style="516"/>
    <col min="15109" max="15109" width="4.5703125" style="516" customWidth="1"/>
    <col min="15110" max="15110" width="41.7109375" style="516" customWidth="1"/>
    <col min="15111" max="15111" width="8.28515625" style="516" customWidth="1"/>
    <col min="15112" max="15112" width="11" style="516" customWidth="1"/>
    <col min="15113" max="15113" width="16.7109375" style="516" customWidth="1"/>
    <col min="15114" max="15114" width="22.85546875" style="516" customWidth="1"/>
    <col min="15115" max="15115" width="8.28515625" style="516" customWidth="1"/>
    <col min="15116" max="15116" width="4.5703125" style="516" customWidth="1"/>
    <col min="15117" max="15117" width="41.7109375" style="516" customWidth="1"/>
    <col min="15118" max="15118" width="8.28515625" style="516" customWidth="1"/>
    <col min="15119" max="15119" width="11" style="516" customWidth="1"/>
    <col min="15120" max="15120" width="16.7109375" style="516" customWidth="1"/>
    <col min="15121" max="15121" width="22.85546875" style="516" customWidth="1"/>
    <col min="15122" max="15122" width="9.140625" style="516"/>
    <col min="15123" max="15123" width="4.5703125" style="516" customWidth="1"/>
    <col min="15124" max="15124" width="41.7109375" style="516" customWidth="1"/>
    <col min="15125" max="15125" width="8.28515625" style="516" customWidth="1"/>
    <col min="15126" max="15126" width="11" style="516" customWidth="1"/>
    <col min="15127" max="15127" width="16.7109375" style="516" customWidth="1"/>
    <col min="15128" max="15128" width="22.85546875" style="516" customWidth="1"/>
    <col min="15129" max="15129" width="9.140625" style="516"/>
    <col min="15130" max="15130" width="4.5703125" style="516" customWidth="1"/>
    <col min="15131" max="15131" width="41.7109375" style="516" customWidth="1"/>
    <col min="15132" max="15132" width="8.28515625" style="516" customWidth="1"/>
    <col min="15133" max="15133" width="11" style="516" customWidth="1"/>
    <col min="15134" max="15134" width="16.7109375" style="516" customWidth="1"/>
    <col min="15135" max="15135" width="22.85546875" style="516" customWidth="1"/>
    <col min="15136" max="15136" width="9.140625" style="516"/>
    <col min="15137" max="15137" width="4.5703125" style="516" customWidth="1"/>
    <col min="15138" max="15138" width="41.7109375" style="516" customWidth="1"/>
    <col min="15139" max="15139" width="8.28515625" style="516" customWidth="1"/>
    <col min="15140" max="15140" width="11" style="516" customWidth="1"/>
    <col min="15141" max="15141" width="16.7109375" style="516" customWidth="1"/>
    <col min="15142" max="15142" width="22.85546875" style="516" customWidth="1"/>
    <col min="15143" max="15364" width="9.140625" style="516"/>
    <col min="15365" max="15365" width="4.5703125" style="516" customWidth="1"/>
    <col min="15366" max="15366" width="41.7109375" style="516" customWidth="1"/>
    <col min="15367" max="15367" width="8.28515625" style="516" customWidth="1"/>
    <col min="15368" max="15368" width="11" style="516" customWidth="1"/>
    <col min="15369" max="15369" width="16.7109375" style="516" customWidth="1"/>
    <col min="15370" max="15370" width="22.85546875" style="516" customWidth="1"/>
    <col min="15371" max="15371" width="8.28515625" style="516" customWidth="1"/>
    <col min="15372" max="15372" width="4.5703125" style="516" customWidth="1"/>
    <col min="15373" max="15373" width="41.7109375" style="516" customWidth="1"/>
    <col min="15374" max="15374" width="8.28515625" style="516" customWidth="1"/>
    <col min="15375" max="15375" width="11" style="516" customWidth="1"/>
    <col min="15376" max="15376" width="16.7109375" style="516" customWidth="1"/>
    <col min="15377" max="15377" width="22.85546875" style="516" customWidth="1"/>
    <col min="15378" max="15378" width="9.140625" style="516"/>
    <col min="15379" max="15379" width="4.5703125" style="516" customWidth="1"/>
    <col min="15380" max="15380" width="41.7109375" style="516" customWidth="1"/>
    <col min="15381" max="15381" width="8.28515625" style="516" customWidth="1"/>
    <col min="15382" max="15382" width="11" style="516" customWidth="1"/>
    <col min="15383" max="15383" width="16.7109375" style="516" customWidth="1"/>
    <col min="15384" max="15384" width="22.85546875" style="516" customWidth="1"/>
    <col min="15385" max="15385" width="9.140625" style="516"/>
    <col min="15386" max="15386" width="4.5703125" style="516" customWidth="1"/>
    <col min="15387" max="15387" width="41.7109375" style="516" customWidth="1"/>
    <col min="15388" max="15388" width="8.28515625" style="516" customWidth="1"/>
    <col min="15389" max="15389" width="11" style="516" customWidth="1"/>
    <col min="15390" max="15390" width="16.7109375" style="516" customWidth="1"/>
    <col min="15391" max="15391" width="22.85546875" style="516" customWidth="1"/>
    <col min="15392" max="15392" width="9.140625" style="516"/>
    <col min="15393" max="15393" width="4.5703125" style="516" customWidth="1"/>
    <col min="15394" max="15394" width="41.7109375" style="516" customWidth="1"/>
    <col min="15395" max="15395" width="8.28515625" style="516" customWidth="1"/>
    <col min="15396" max="15396" width="11" style="516" customWidth="1"/>
    <col min="15397" max="15397" width="16.7109375" style="516" customWidth="1"/>
    <col min="15398" max="15398" width="22.85546875" style="516" customWidth="1"/>
    <col min="15399" max="15620" width="9.140625" style="516"/>
    <col min="15621" max="15621" width="4.5703125" style="516" customWidth="1"/>
    <col min="15622" max="15622" width="41.7109375" style="516" customWidth="1"/>
    <col min="15623" max="15623" width="8.28515625" style="516" customWidth="1"/>
    <col min="15624" max="15624" width="11" style="516" customWidth="1"/>
    <col min="15625" max="15625" width="16.7109375" style="516" customWidth="1"/>
    <col min="15626" max="15626" width="22.85546875" style="516" customWidth="1"/>
    <col min="15627" max="15627" width="8.28515625" style="516" customWidth="1"/>
    <col min="15628" max="15628" width="4.5703125" style="516" customWidth="1"/>
    <col min="15629" max="15629" width="41.7109375" style="516" customWidth="1"/>
    <col min="15630" max="15630" width="8.28515625" style="516" customWidth="1"/>
    <col min="15631" max="15631" width="11" style="516" customWidth="1"/>
    <col min="15632" max="15632" width="16.7109375" style="516" customWidth="1"/>
    <col min="15633" max="15633" width="22.85546875" style="516" customWidth="1"/>
    <col min="15634" max="15634" width="9.140625" style="516"/>
    <col min="15635" max="15635" width="4.5703125" style="516" customWidth="1"/>
    <col min="15636" max="15636" width="41.7109375" style="516" customWidth="1"/>
    <col min="15637" max="15637" width="8.28515625" style="516" customWidth="1"/>
    <col min="15638" max="15638" width="11" style="516" customWidth="1"/>
    <col min="15639" max="15639" width="16.7109375" style="516" customWidth="1"/>
    <col min="15640" max="15640" width="22.85546875" style="516" customWidth="1"/>
    <col min="15641" max="15641" width="9.140625" style="516"/>
    <col min="15642" max="15642" width="4.5703125" style="516" customWidth="1"/>
    <col min="15643" max="15643" width="41.7109375" style="516" customWidth="1"/>
    <col min="15644" max="15644" width="8.28515625" style="516" customWidth="1"/>
    <col min="15645" max="15645" width="11" style="516" customWidth="1"/>
    <col min="15646" max="15646" width="16.7109375" style="516" customWidth="1"/>
    <col min="15647" max="15647" width="22.85546875" style="516" customWidth="1"/>
    <col min="15648" max="15648" width="9.140625" style="516"/>
    <col min="15649" max="15649" width="4.5703125" style="516" customWidth="1"/>
    <col min="15650" max="15650" width="41.7109375" style="516" customWidth="1"/>
    <col min="15651" max="15651" width="8.28515625" style="516" customWidth="1"/>
    <col min="15652" max="15652" width="11" style="516" customWidth="1"/>
    <col min="15653" max="15653" width="16.7109375" style="516" customWidth="1"/>
    <col min="15654" max="15654" width="22.85546875" style="516" customWidth="1"/>
    <col min="15655" max="15876" width="9.140625" style="516"/>
    <col min="15877" max="15877" width="4.5703125" style="516" customWidth="1"/>
    <col min="15878" max="15878" width="41.7109375" style="516" customWidth="1"/>
    <col min="15879" max="15879" width="8.28515625" style="516" customWidth="1"/>
    <col min="15880" max="15880" width="11" style="516" customWidth="1"/>
    <col min="15881" max="15881" width="16.7109375" style="516" customWidth="1"/>
    <col min="15882" max="15882" width="22.85546875" style="516" customWidth="1"/>
    <col min="15883" max="15883" width="8.28515625" style="516" customWidth="1"/>
    <col min="15884" max="15884" width="4.5703125" style="516" customWidth="1"/>
    <col min="15885" max="15885" width="41.7109375" style="516" customWidth="1"/>
    <col min="15886" max="15886" width="8.28515625" style="516" customWidth="1"/>
    <col min="15887" max="15887" width="11" style="516" customWidth="1"/>
    <col min="15888" max="15888" width="16.7109375" style="516" customWidth="1"/>
    <col min="15889" max="15889" width="22.85546875" style="516" customWidth="1"/>
    <col min="15890" max="15890" width="9.140625" style="516"/>
    <col min="15891" max="15891" width="4.5703125" style="516" customWidth="1"/>
    <col min="15892" max="15892" width="41.7109375" style="516" customWidth="1"/>
    <col min="15893" max="15893" width="8.28515625" style="516" customWidth="1"/>
    <col min="15894" max="15894" width="11" style="516" customWidth="1"/>
    <col min="15895" max="15895" width="16.7109375" style="516" customWidth="1"/>
    <col min="15896" max="15896" width="22.85546875" style="516" customWidth="1"/>
    <col min="15897" max="15897" width="9.140625" style="516"/>
    <col min="15898" max="15898" width="4.5703125" style="516" customWidth="1"/>
    <col min="15899" max="15899" width="41.7109375" style="516" customWidth="1"/>
    <col min="15900" max="15900" width="8.28515625" style="516" customWidth="1"/>
    <col min="15901" max="15901" width="11" style="516" customWidth="1"/>
    <col min="15902" max="15902" width="16.7109375" style="516" customWidth="1"/>
    <col min="15903" max="15903" width="22.85546875" style="516" customWidth="1"/>
    <col min="15904" max="15904" width="9.140625" style="516"/>
    <col min="15905" max="15905" width="4.5703125" style="516" customWidth="1"/>
    <col min="15906" max="15906" width="41.7109375" style="516" customWidth="1"/>
    <col min="15907" max="15907" width="8.28515625" style="516" customWidth="1"/>
    <col min="15908" max="15908" width="11" style="516" customWidth="1"/>
    <col min="15909" max="15909" width="16.7109375" style="516" customWidth="1"/>
    <col min="15910" max="15910" width="22.85546875" style="516" customWidth="1"/>
    <col min="15911" max="16132" width="9.140625" style="516"/>
    <col min="16133" max="16133" width="4.5703125" style="516" customWidth="1"/>
    <col min="16134" max="16134" width="41.7109375" style="516" customWidth="1"/>
    <col min="16135" max="16135" width="8.28515625" style="516" customWidth="1"/>
    <col min="16136" max="16136" width="11" style="516" customWidth="1"/>
    <col min="16137" max="16137" width="16.7109375" style="516" customWidth="1"/>
    <col min="16138" max="16138" width="22.85546875" style="516" customWidth="1"/>
    <col min="16139" max="16139" width="8.28515625" style="516" customWidth="1"/>
    <col min="16140" max="16140" width="4.5703125" style="516" customWidth="1"/>
    <col min="16141" max="16141" width="41.7109375" style="516" customWidth="1"/>
    <col min="16142" max="16142" width="8.28515625" style="516" customWidth="1"/>
    <col min="16143" max="16143" width="11" style="516" customWidth="1"/>
    <col min="16144" max="16144" width="16.7109375" style="516" customWidth="1"/>
    <col min="16145" max="16145" width="22.85546875" style="516" customWidth="1"/>
    <col min="16146" max="16146" width="9.140625" style="516"/>
    <col min="16147" max="16147" width="4.5703125" style="516" customWidth="1"/>
    <col min="16148" max="16148" width="41.7109375" style="516" customWidth="1"/>
    <col min="16149" max="16149" width="8.28515625" style="516" customWidth="1"/>
    <col min="16150" max="16150" width="11" style="516" customWidth="1"/>
    <col min="16151" max="16151" width="16.7109375" style="516" customWidth="1"/>
    <col min="16152" max="16152" width="22.85546875" style="516" customWidth="1"/>
    <col min="16153" max="16153" width="9.140625" style="516"/>
    <col min="16154" max="16154" width="4.5703125" style="516" customWidth="1"/>
    <col min="16155" max="16155" width="41.7109375" style="516" customWidth="1"/>
    <col min="16156" max="16156" width="8.28515625" style="516" customWidth="1"/>
    <col min="16157" max="16157" width="11" style="516" customWidth="1"/>
    <col min="16158" max="16158" width="16.7109375" style="516" customWidth="1"/>
    <col min="16159" max="16159" width="22.85546875" style="516" customWidth="1"/>
    <col min="16160" max="16160" width="9.140625" style="516"/>
    <col min="16161" max="16161" width="4.5703125" style="516" customWidth="1"/>
    <col min="16162" max="16162" width="41.7109375" style="516" customWidth="1"/>
    <col min="16163" max="16163" width="8.28515625" style="516" customWidth="1"/>
    <col min="16164" max="16164" width="11" style="516" customWidth="1"/>
    <col min="16165" max="16165" width="16.7109375" style="516" customWidth="1"/>
    <col min="16166" max="16166" width="22.85546875" style="516" customWidth="1"/>
    <col min="16167" max="16384" width="9.140625" style="516"/>
  </cols>
  <sheetData>
    <row r="1" spans="2:17" ht="15" customHeight="1">
      <c r="B1" s="1190" t="s">
        <v>2204</v>
      </c>
      <c r="C1" s="1190"/>
      <c r="D1" s="1190"/>
      <c r="E1" s="1190"/>
      <c r="F1" s="1190"/>
      <c r="G1" s="1190"/>
    </row>
    <row r="2" spans="2:17" ht="15" customHeight="1">
      <c r="B2" s="1191" t="s">
        <v>2205</v>
      </c>
      <c r="C2" s="1191"/>
      <c r="D2" s="1191"/>
      <c r="E2" s="1191"/>
      <c r="F2" s="1191"/>
      <c r="G2" s="1191"/>
    </row>
    <row r="3" spans="2:17" ht="15" customHeight="1" thickBot="1">
      <c r="B3" s="514"/>
      <c r="C3" s="514"/>
      <c r="D3" s="514"/>
      <c r="E3" s="514"/>
      <c r="F3" s="513"/>
      <c r="G3" s="513"/>
    </row>
    <row r="4" spans="2:17" ht="15" customHeight="1">
      <c r="B4" s="512"/>
      <c r="C4" s="511"/>
      <c r="D4" s="510"/>
      <c r="E4" s="510"/>
      <c r="F4" s="425" t="s">
        <v>2206</v>
      </c>
      <c r="G4" s="508" t="s">
        <v>2088</v>
      </c>
    </row>
    <row r="5" spans="2:17" ht="15" customHeight="1">
      <c r="B5" s="507" t="s">
        <v>10</v>
      </c>
      <c r="C5" s="506" t="s">
        <v>2079</v>
      </c>
      <c r="D5" s="505" t="s">
        <v>2087</v>
      </c>
      <c r="E5" s="505" t="s">
        <v>2080</v>
      </c>
      <c r="F5" s="424" t="s">
        <v>2087</v>
      </c>
      <c r="G5" s="503" t="s">
        <v>2206</v>
      </c>
      <c r="H5" s="1192"/>
      <c r="I5" s="1192"/>
      <c r="J5" s="1192"/>
      <c r="K5" s="1192"/>
      <c r="L5" s="1192"/>
    </row>
    <row r="6" spans="2:17" ht="15" customHeight="1" thickBot="1">
      <c r="B6" s="502"/>
      <c r="C6" s="501"/>
      <c r="D6" s="500"/>
      <c r="E6" s="500"/>
      <c r="F6" s="423" t="s">
        <v>2207</v>
      </c>
      <c r="G6" s="498" t="s">
        <v>2207</v>
      </c>
    </row>
    <row r="7" spans="2:17" ht="15" customHeight="1" thickTop="1">
      <c r="B7" s="497">
        <v>1</v>
      </c>
      <c r="C7" s="496" t="s">
        <v>2208</v>
      </c>
      <c r="D7" s="495" t="s">
        <v>74</v>
      </c>
      <c r="E7" s="494">
        <v>1</v>
      </c>
      <c r="F7" s="422">
        <v>80000000</v>
      </c>
      <c r="G7" s="493">
        <f>E7*F7</f>
        <v>80000000</v>
      </c>
      <c r="H7" s="1192"/>
      <c r="I7" s="1192"/>
      <c r="J7" s="1192"/>
      <c r="K7" s="1192"/>
      <c r="L7" s="1192"/>
      <c r="O7" s="1012"/>
      <c r="P7" s="1192"/>
      <c r="Q7" s="1192"/>
    </row>
    <row r="8" spans="2:17" ht="15" customHeight="1">
      <c r="B8" s="492"/>
      <c r="C8" s="491"/>
      <c r="D8" s="519"/>
      <c r="E8" s="490"/>
      <c r="F8" s="421"/>
      <c r="G8" s="489"/>
      <c r="O8" s="1012"/>
      <c r="P8" s="1192"/>
      <c r="Q8" s="1192"/>
    </row>
    <row r="9" spans="2:17" ht="15" customHeight="1">
      <c r="B9" s="507">
        <f>B7+1</f>
        <v>2</v>
      </c>
      <c r="C9" s="488" t="s">
        <v>2211</v>
      </c>
      <c r="D9" s="519" t="s">
        <v>194</v>
      </c>
      <c r="E9" s="487">
        <v>33610.839999999982</v>
      </c>
      <c r="F9" s="421">
        <f>10000000/1000</f>
        <v>10000</v>
      </c>
      <c r="G9" s="486">
        <f>E9*F9</f>
        <v>336108399.99999982</v>
      </c>
      <c r="H9" s="1192"/>
      <c r="I9" s="1192"/>
      <c r="J9" s="1192"/>
      <c r="K9" s="1192"/>
      <c r="L9" s="1192"/>
      <c r="P9" s="1192"/>
      <c r="Q9" s="1192"/>
    </row>
    <row r="10" spans="2:17" ht="15" customHeight="1">
      <c r="B10" s="492"/>
      <c r="C10" s="491"/>
      <c r="D10" s="519"/>
      <c r="E10" s="490"/>
      <c r="F10" s="421"/>
      <c r="G10" s="489"/>
      <c r="O10" s="1013"/>
      <c r="P10" s="1192"/>
      <c r="Q10" s="1192"/>
    </row>
    <row r="11" spans="2:17" ht="15" customHeight="1">
      <c r="B11" s="507">
        <f>B9+1</f>
        <v>3</v>
      </c>
      <c r="C11" s="488" t="s">
        <v>2215</v>
      </c>
      <c r="D11" s="519" t="s">
        <v>779</v>
      </c>
      <c r="E11" s="487">
        <v>0</v>
      </c>
      <c r="F11" s="421">
        <f>soil_test_sondir</f>
        <v>3025000.0000000005</v>
      </c>
      <c r="G11" s="486">
        <f>E11*F11</f>
        <v>0</v>
      </c>
      <c r="H11" s="1192"/>
      <c r="I11" s="1192"/>
      <c r="J11" s="1192"/>
      <c r="K11" s="1192"/>
      <c r="L11" s="1192"/>
      <c r="P11" s="1192"/>
      <c r="Q11" s="1192"/>
    </row>
    <row r="12" spans="2:17" ht="15" customHeight="1">
      <c r="B12" s="492"/>
      <c r="C12" s="491"/>
      <c r="D12" s="519"/>
      <c r="E12" s="490"/>
      <c r="F12" s="421"/>
      <c r="G12" s="489"/>
      <c r="P12" s="1192"/>
      <c r="Q12" s="1192"/>
    </row>
    <row r="13" spans="2:17" ht="15" customHeight="1">
      <c r="B13" s="507">
        <f>B11+1</f>
        <v>4</v>
      </c>
      <c r="C13" s="488" t="s">
        <v>2218</v>
      </c>
      <c r="D13" s="519" t="s">
        <v>779</v>
      </c>
      <c r="E13" s="490">
        <v>0</v>
      </c>
      <c r="F13" s="421">
        <f>soil_test_sondir</f>
        <v>3025000.0000000005</v>
      </c>
      <c r="G13" s="486">
        <f>E13*F13</f>
        <v>0</v>
      </c>
      <c r="H13" s="1192"/>
      <c r="I13" s="1192"/>
      <c r="J13" s="1192"/>
      <c r="K13" s="1192"/>
      <c r="L13" s="1192"/>
      <c r="P13" s="1192"/>
      <c r="Q13" s="1192"/>
    </row>
    <row r="14" spans="2:17" ht="15" customHeight="1">
      <c r="B14" s="492"/>
      <c r="C14" s="491"/>
      <c r="D14" s="519"/>
      <c r="E14" s="490"/>
      <c r="F14" s="421"/>
      <c r="G14" s="489"/>
      <c r="P14" s="1192"/>
      <c r="Q14" s="1192"/>
    </row>
    <row r="15" spans="2:17" ht="15" customHeight="1">
      <c r="B15" s="507">
        <f>B13+1</f>
        <v>5</v>
      </c>
      <c r="C15" s="491" t="s">
        <v>2221</v>
      </c>
      <c r="D15" s="519" t="s">
        <v>74</v>
      </c>
      <c r="E15" s="487">
        <v>1</v>
      </c>
      <c r="F15" s="421">
        <v>33650974.844192497</v>
      </c>
      <c r="G15" s="486">
        <f>E15*F15</f>
        <v>33650974.844192497</v>
      </c>
      <c r="H15" s="1192"/>
      <c r="I15" s="1192"/>
      <c r="J15" s="1192"/>
      <c r="K15" s="1192"/>
      <c r="L15" s="1192"/>
      <c r="P15" s="1192"/>
      <c r="Q15" s="1192"/>
    </row>
    <row r="16" spans="2:17" ht="15" customHeight="1">
      <c r="B16" s="492"/>
      <c r="C16" s="491"/>
      <c r="D16" s="519"/>
      <c r="E16" s="490"/>
      <c r="F16" s="421"/>
      <c r="G16" s="489"/>
      <c r="P16" s="1192"/>
      <c r="Q16" s="1192"/>
    </row>
    <row r="17" spans="2:36" ht="15" customHeight="1">
      <c r="B17" s="507">
        <f>B15+1</f>
        <v>6</v>
      </c>
      <c r="C17" s="491" t="s">
        <v>2224</v>
      </c>
      <c r="D17" s="519" t="s">
        <v>2089</v>
      </c>
      <c r="E17" s="487">
        <v>122</v>
      </c>
      <c r="F17" s="421">
        <f>4*(5*5)*ahs_site_clearing_grubbing</f>
        <v>1687950.0000000005</v>
      </c>
      <c r="G17" s="486">
        <f>E17*F17</f>
        <v>205929900.00000006</v>
      </c>
      <c r="H17" s="1192"/>
      <c r="I17" s="1192"/>
      <c r="J17" s="1192"/>
      <c r="K17" s="1192"/>
      <c r="L17" s="1192"/>
      <c r="P17" s="1192"/>
      <c r="Q17" s="1192"/>
    </row>
    <row r="18" spans="2:36" ht="15" customHeight="1">
      <c r="B18" s="485"/>
      <c r="C18" s="491"/>
      <c r="D18" s="519"/>
      <c r="E18" s="484"/>
      <c r="F18" s="421"/>
      <c r="G18" s="489"/>
      <c r="P18" s="1192"/>
      <c r="Q18" s="1192"/>
    </row>
    <row r="19" spans="2:36" ht="15" customHeight="1">
      <c r="B19" s="507">
        <f>B17+1</f>
        <v>7</v>
      </c>
      <c r="C19" s="483" t="s">
        <v>2227</v>
      </c>
      <c r="D19" s="482" t="s">
        <v>2089</v>
      </c>
      <c r="E19" s="481">
        <v>122</v>
      </c>
      <c r="F19" s="420">
        <f>4*(4*5)*ahs_bouwplank</f>
        <v>3807612.16</v>
      </c>
      <c r="G19" s="480">
        <f>E19*F19</f>
        <v>464528683.52000004</v>
      </c>
      <c r="H19" s="1192"/>
      <c r="I19" s="1192"/>
      <c r="J19" s="1192"/>
      <c r="K19" s="1192"/>
      <c r="L19" s="1192"/>
    </row>
    <row r="20" spans="2:36" ht="15" customHeight="1" thickBot="1">
      <c r="B20" s="479"/>
      <c r="C20" s="478"/>
      <c r="D20" s="478"/>
      <c r="E20" s="478"/>
      <c r="F20" s="419"/>
      <c r="G20" s="410">
        <f>SUM(G7:G19)</f>
        <v>1120217958.3641925</v>
      </c>
    </row>
    <row r="21" spans="2:36" ht="15" customHeight="1"/>
    <row r="22" spans="2:36" ht="15" customHeight="1">
      <c r="B22" s="1193" t="s">
        <v>2228</v>
      </c>
      <c r="C22" s="1193"/>
      <c r="D22" s="1193"/>
      <c r="E22" s="1193"/>
      <c r="F22" s="1193"/>
      <c r="G22" s="1193"/>
      <c r="N22" s="1193" t="s">
        <v>2228</v>
      </c>
      <c r="O22" s="1193"/>
      <c r="P22" s="1193"/>
      <c r="Q22" s="1193"/>
      <c r="R22" s="1193"/>
      <c r="S22" s="1193"/>
      <c r="V22" s="1193" t="s">
        <v>2228</v>
      </c>
      <c r="W22" s="1193"/>
      <c r="X22" s="1193"/>
      <c r="Y22" s="1193"/>
      <c r="Z22" s="1193"/>
      <c r="AA22" s="1193"/>
      <c r="AD22" s="1193" t="s">
        <v>2228</v>
      </c>
      <c r="AE22" s="1193"/>
      <c r="AF22" s="1193"/>
      <c r="AG22" s="1193"/>
      <c r="AH22" s="1193"/>
      <c r="AI22" s="1193"/>
    </row>
    <row r="23" spans="2:36" ht="15" customHeight="1" thickBot="1">
      <c r="B23" s="477" t="s">
        <v>2229</v>
      </c>
      <c r="C23" s="476"/>
      <c r="D23" s="475"/>
      <c r="E23" s="475"/>
      <c r="F23" s="474"/>
      <c r="G23" s="474"/>
      <c r="N23" s="477" t="s">
        <v>2230</v>
      </c>
      <c r="O23" s="476"/>
      <c r="P23" s="475"/>
      <c r="Q23" s="475"/>
      <c r="R23" s="476"/>
      <c r="S23" s="474"/>
      <c r="V23" s="477" t="s">
        <v>2231</v>
      </c>
      <c r="W23" s="476"/>
      <c r="X23" s="475"/>
      <c r="Y23" s="475"/>
      <c r="Z23" s="476"/>
      <c r="AA23" s="474"/>
      <c r="AD23" s="477" t="s">
        <v>2232</v>
      </c>
      <c r="AE23" s="476"/>
      <c r="AF23" s="475"/>
      <c r="AG23" s="475"/>
      <c r="AH23" s="476"/>
      <c r="AI23" s="474"/>
    </row>
    <row r="24" spans="2:36" ht="15" customHeight="1">
      <c r="B24" s="512"/>
      <c r="C24" s="511"/>
      <c r="D24" s="510"/>
      <c r="E24" s="510"/>
      <c r="F24" s="425" t="s">
        <v>2206</v>
      </c>
      <c r="G24" s="508" t="s">
        <v>2088</v>
      </c>
      <c r="N24" s="512"/>
      <c r="O24" s="511"/>
      <c r="P24" s="510"/>
      <c r="Q24" s="510"/>
      <c r="R24" s="509" t="s">
        <v>2206</v>
      </c>
      <c r="S24" s="508" t="s">
        <v>2088</v>
      </c>
      <c r="V24" s="512"/>
      <c r="W24" s="511"/>
      <c r="X24" s="510"/>
      <c r="Y24" s="510"/>
      <c r="Z24" s="509" t="s">
        <v>2206</v>
      </c>
      <c r="AA24" s="508" t="s">
        <v>2088</v>
      </c>
      <c r="AD24" s="512"/>
      <c r="AE24" s="511"/>
      <c r="AF24" s="510"/>
      <c r="AG24" s="510"/>
      <c r="AH24" s="509" t="s">
        <v>2206</v>
      </c>
      <c r="AI24" s="508" t="s">
        <v>2088</v>
      </c>
    </row>
    <row r="25" spans="2:36" ht="15" customHeight="1">
      <c r="B25" s="507" t="s">
        <v>10</v>
      </c>
      <c r="C25" s="506" t="s">
        <v>2079</v>
      </c>
      <c r="D25" s="505" t="s">
        <v>2087</v>
      </c>
      <c r="E25" s="505" t="s">
        <v>2080</v>
      </c>
      <c r="F25" s="424" t="s">
        <v>2087</v>
      </c>
      <c r="G25" s="503" t="s">
        <v>2206</v>
      </c>
      <c r="N25" s="507" t="s">
        <v>10</v>
      </c>
      <c r="O25" s="506" t="s">
        <v>2079</v>
      </c>
      <c r="P25" s="505" t="s">
        <v>2087</v>
      </c>
      <c r="Q25" s="505" t="s">
        <v>2080</v>
      </c>
      <c r="R25" s="504" t="s">
        <v>2087</v>
      </c>
      <c r="S25" s="503" t="s">
        <v>2206</v>
      </c>
      <c r="V25" s="507" t="s">
        <v>10</v>
      </c>
      <c r="W25" s="506" t="s">
        <v>2079</v>
      </c>
      <c r="X25" s="505" t="s">
        <v>2087</v>
      </c>
      <c r="Y25" s="505" t="s">
        <v>2080</v>
      </c>
      <c r="Z25" s="504" t="s">
        <v>2087</v>
      </c>
      <c r="AA25" s="503" t="s">
        <v>2206</v>
      </c>
      <c r="AD25" s="507" t="s">
        <v>10</v>
      </c>
      <c r="AE25" s="506" t="s">
        <v>2079</v>
      </c>
      <c r="AF25" s="505" t="s">
        <v>2087</v>
      </c>
      <c r="AG25" s="505" t="s">
        <v>2080</v>
      </c>
      <c r="AH25" s="504" t="s">
        <v>2087</v>
      </c>
      <c r="AI25" s="503" t="s">
        <v>2206</v>
      </c>
    </row>
    <row r="26" spans="2:36" ht="15" customHeight="1" thickBot="1">
      <c r="B26" s="502"/>
      <c r="C26" s="501"/>
      <c r="D26" s="500"/>
      <c r="E26" s="500"/>
      <c r="F26" s="423" t="s">
        <v>2207</v>
      </c>
      <c r="G26" s="498" t="s">
        <v>2207</v>
      </c>
      <c r="N26" s="502"/>
      <c r="O26" s="501"/>
      <c r="P26" s="500"/>
      <c r="Q26" s="500"/>
      <c r="R26" s="499" t="s">
        <v>2207</v>
      </c>
      <c r="S26" s="498" t="s">
        <v>2207</v>
      </c>
      <c r="V26" s="502"/>
      <c r="W26" s="501"/>
      <c r="X26" s="500"/>
      <c r="Y26" s="500"/>
      <c r="Z26" s="499" t="s">
        <v>2207</v>
      </c>
      <c r="AA26" s="498" t="s">
        <v>2207</v>
      </c>
      <c r="AD26" s="502"/>
      <c r="AE26" s="501"/>
      <c r="AF26" s="500"/>
      <c r="AG26" s="500"/>
      <c r="AH26" s="499" t="s">
        <v>2207</v>
      </c>
      <c r="AI26" s="498" t="s">
        <v>2207</v>
      </c>
    </row>
    <row r="27" spans="2:36" ht="15" customHeight="1" thickTop="1">
      <c r="B27" s="473"/>
      <c r="C27" s="472" t="s">
        <v>2233</v>
      </c>
      <c r="D27" s="495"/>
      <c r="E27" s="471"/>
      <c r="F27" s="418"/>
      <c r="G27" s="469"/>
      <c r="N27" s="473"/>
      <c r="O27" s="472" t="s">
        <v>2233</v>
      </c>
      <c r="P27" s="495"/>
      <c r="Q27" s="471"/>
      <c r="R27" s="470"/>
      <c r="S27" s="469"/>
      <c r="V27" s="473"/>
      <c r="W27" s="472" t="s">
        <v>2233</v>
      </c>
      <c r="X27" s="495"/>
      <c r="Y27" s="471"/>
      <c r="Z27" s="470"/>
      <c r="AA27" s="469"/>
      <c r="AD27" s="473"/>
      <c r="AE27" s="472" t="s">
        <v>2233</v>
      </c>
      <c r="AF27" s="495"/>
      <c r="AG27" s="471"/>
      <c r="AH27" s="470"/>
      <c r="AI27" s="469"/>
    </row>
    <row r="28" spans="2:36" ht="15" customHeight="1">
      <c r="B28" s="468">
        <v>1</v>
      </c>
      <c r="C28" s="467" t="s">
        <v>2234</v>
      </c>
      <c r="D28" s="519"/>
      <c r="E28" s="466"/>
      <c r="F28" s="417"/>
      <c r="G28" s="486"/>
      <c r="J28" s="1192"/>
      <c r="K28" s="1192"/>
      <c r="N28" s="468">
        <v>1</v>
      </c>
      <c r="O28" s="467" t="s">
        <v>2234</v>
      </c>
      <c r="P28" s="519"/>
      <c r="Q28" s="466"/>
      <c r="R28" s="465"/>
      <c r="S28" s="486"/>
      <c r="V28" s="468">
        <v>1</v>
      </c>
      <c r="W28" s="467" t="s">
        <v>2234</v>
      </c>
      <c r="X28" s="519"/>
      <c r="Y28" s="466"/>
      <c r="Z28" s="465"/>
      <c r="AA28" s="486"/>
      <c r="AD28" s="468">
        <v>1</v>
      </c>
      <c r="AE28" s="467" t="s">
        <v>2234</v>
      </c>
      <c r="AF28" s="519"/>
      <c r="AG28" s="466"/>
      <c r="AH28" s="465"/>
      <c r="AI28" s="486"/>
    </row>
    <row r="29" spans="2:36" ht="15" customHeight="1">
      <c r="B29" s="409" t="s">
        <v>721</v>
      </c>
      <c r="C29" s="464" t="s">
        <v>2235</v>
      </c>
      <c r="D29" s="519" t="s">
        <v>2236</v>
      </c>
      <c r="E29" s="518">
        <v>112.73099999999999</v>
      </c>
      <c r="F29" s="416">
        <f>ahs_excavation_manual_2m</f>
        <v>102390.75000000001</v>
      </c>
      <c r="G29" s="463">
        <f>E29*F29</f>
        <v>11542611.638250001</v>
      </c>
      <c r="J29" s="1192"/>
      <c r="K29" s="1192"/>
      <c r="N29" s="492" t="s">
        <v>721</v>
      </c>
      <c r="O29" s="464" t="s">
        <v>2235</v>
      </c>
      <c r="P29" s="519" t="str">
        <f>$D$29</f>
        <v>m³</v>
      </c>
      <c r="Q29" s="518">
        <v>217.35</v>
      </c>
      <c r="R29" s="517">
        <f>$F$29</f>
        <v>102390.75000000001</v>
      </c>
      <c r="S29" s="463">
        <f>Q29*R29</f>
        <v>22254629.512500003</v>
      </c>
      <c r="V29" s="492" t="s">
        <v>721</v>
      </c>
      <c r="W29" s="464" t="s">
        <v>2235</v>
      </c>
      <c r="X29" s="519" t="str">
        <f>$D$29</f>
        <v>m³</v>
      </c>
      <c r="Y29" s="518">
        <v>289.77500000000003</v>
      </c>
      <c r="Z29" s="517">
        <f>$F$29</f>
        <v>102390.75000000001</v>
      </c>
      <c r="AA29" s="463">
        <f>Y29*Z29</f>
        <v>29670279.581250008</v>
      </c>
      <c r="AD29" s="492" t="s">
        <v>721</v>
      </c>
      <c r="AE29" s="464" t="s">
        <v>2235</v>
      </c>
      <c r="AF29" s="519" t="str">
        <f>$D$29</f>
        <v>m³</v>
      </c>
      <c r="AG29" s="518">
        <v>397.5</v>
      </c>
      <c r="AH29" s="517">
        <f>$F$29</f>
        <v>102390.75000000001</v>
      </c>
      <c r="AI29" s="463">
        <f>AG29*AH29</f>
        <v>40700323.125000007</v>
      </c>
    </row>
    <row r="30" spans="2:36" ht="15" customHeight="1">
      <c r="B30" s="409" t="s">
        <v>2166</v>
      </c>
      <c r="C30" s="464" t="s">
        <v>2237</v>
      </c>
      <c r="D30" s="519" t="s">
        <v>2236</v>
      </c>
      <c r="E30" s="518">
        <v>89.463841728475117</v>
      </c>
      <c r="F30" s="416">
        <f>ahs_back_filling</f>
        <v>62462.950000000012</v>
      </c>
      <c r="G30" s="463">
        <f t="shared" ref="G30" si="0">E30*F30</f>
        <v>5588175.4726936556</v>
      </c>
      <c r="J30" s="1192"/>
      <c r="K30" s="1192"/>
      <c r="N30" s="492" t="s">
        <v>2166</v>
      </c>
      <c r="O30" s="464" t="s">
        <v>2237</v>
      </c>
      <c r="P30" s="519" t="str">
        <f>$D$30</f>
        <v>m³</v>
      </c>
      <c r="Q30" s="518">
        <v>172.20277907557042</v>
      </c>
      <c r="R30" s="517">
        <f>$F$30</f>
        <v>62462.950000000012</v>
      </c>
      <c r="S30" s="463">
        <f t="shared" ref="S30:S46" si="1">Q30*R30</f>
        <v>10756293.579258403</v>
      </c>
      <c r="V30" s="492" t="s">
        <v>2166</v>
      </c>
      <c r="W30" s="464" t="s">
        <v>2237</v>
      </c>
      <c r="X30" s="519" t="str">
        <f>$D$30</f>
        <v>m³</v>
      </c>
      <c r="Y30" s="518">
        <v>228.66730609867304</v>
      </c>
      <c r="Z30" s="517">
        <f>$F$30</f>
        <v>62462.950000000012</v>
      </c>
      <c r="AA30" s="463">
        <f>Y30*Z30</f>
        <v>14283234.507476112</v>
      </c>
      <c r="AD30" s="492" t="s">
        <v>2166</v>
      </c>
      <c r="AE30" s="464" t="s">
        <v>2237</v>
      </c>
      <c r="AF30" s="519" t="str">
        <f>$D$30</f>
        <v>m³</v>
      </c>
      <c r="AG30" s="518">
        <v>322.245627482435</v>
      </c>
      <c r="AH30" s="517">
        <f>$F$30</f>
        <v>62462.950000000012</v>
      </c>
      <c r="AI30" s="463">
        <f>AG30*AH30</f>
        <v>20128412.517153967</v>
      </c>
    </row>
    <row r="31" spans="2:36" ht="15" customHeight="1">
      <c r="B31" s="462"/>
      <c r="C31" s="464"/>
      <c r="D31" s="519"/>
      <c r="E31" s="518"/>
      <c r="F31" s="416"/>
      <c r="G31" s="463"/>
      <c r="N31" s="462"/>
      <c r="O31" s="464"/>
      <c r="P31" s="519"/>
      <c r="Q31" s="518"/>
      <c r="R31" s="517"/>
      <c r="S31" s="463">
        <f t="shared" si="1"/>
        <v>0</v>
      </c>
      <c r="V31" s="462"/>
      <c r="W31" s="464"/>
      <c r="X31" s="519"/>
      <c r="Y31" s="518"/>
      <c r="Z31" s="517"/>
      <c r="AA31" s="463"/>
      <c r="AD31" s="462"/>
      <c r="AE31" s="464"/>
      <c r="AF31" s="519"/>
      <c r="AG31" s="518"/>
      <c r="AH31" s="517"/>
      <c r="AI31" s="463"/>
    </row>
    <row r="32" spans="2:36" ht="15" customHeight="1">
      <c r="B32" s="507">
        <v>2</v>
      </c>
      <c r="C32" s="467" t="s">
        <v>2238</v>
      </c>
      <c r="D32" s="519"/>
      <c r="E32" s="518"/>
      <c r="F32" s="416"/>
      <c r="G32" s="463"/>
      <c r="H32" s="516" t="s">
        <v>2239</v>
      </c>
      <c r="N32" s="507">
        <v>2</v>
      </c>
      <c r="O32" s="467" t="s">
        <v>2238</v>
      </c>
      <c r="P32" s="519"/>
      <c r="Q32" s="518"/>
      <c r="R32" s="517"/>
      <c r="S32" s="463">
        <f t="shared" si="1"/>
        <v>0</v>
      </c>
      <c r="T32" s="516" t="s">
        <v>2239</v>
      </c>
      <c r="V32" s="507">
        <v>2</v>
      </c>
      <c r="W32" s="467" t="s">
        <v>2238</v>
      </c>
      <c r="X32" s="519"/>
      <c r="Y32" s="518"/>
      <c r="Z32" s="517"/>
      <c r="AA32" s="463"/>
      <c r="AB32" s="516" t="s">
        <v>2239</v>
      </c>
      <c r="AD32" s="507">
        <v>2</v>
      </c>
      <c r="AE32" s="467" t="s">
        <v>2238</v>
      </c>
      <c r="AF32" s="519"/>
      <c r="AG32" s="518"/>
      <c r="AH32" s="517"/>
      <c r="AI32" s="463"/>
      <c r="AJ32" s="516" t="s">
        <v>2239</v>
      </c>
    </row>
    <row r="33" spans="2:37" ht="15" customHeight="1">
      <c r="B33" s="408" t="s">
        <v>721</v>
      </c>
      <c r="C33" s="464" t="s">
        <v>2240</v>
      </c>
      <c r="D33" s="519" t="s">
        <v>2236</v>
      </c>
      <c r="E33" s="518">
        <v>3.8440000000000007</v>
      </c>
      <c r="F33" s="416">
        <f>ahs_compacted_sand_layer_m3</f>
        <v>404738.95</v>
      </c>
      <c r="G33" s="463">
        <f t="shared" ref="G33:G38" si="2">E33*F33</f>
        <v>1555816.5238000003</v>
      </c>
      <c r="H33" s="516">
        <v>1400</v>
      </c>
      <c r="I33" s="516">
        <f>E33*H33</f>
        <v>5381.6000000000013</v>
      </c>
      <c r="J33" s="1192"/>
      <c r="K33" s="1192"/>
      <c r="N33" s="492" t="s">
        <v>721</v>
      </c>
      <c r="O33" s="464" t="s">
        <v>2240</v>
      </c>
      <c r="P33" s="519" t="str">
        <f>$D$33</f>
        <v>m³</v>
      </c>
      <c r="Q33" s="518">
        <v>6.7240000000000002</v>
      </c>
      <c r="R33" s="517">
        <f>$F$33</f>
        <v>404738.95</v>
      </c>
      <c r="S33" s="463">
        <f t="shared" si="1"/>
        <v>2721464.6998000001</v>
      </c>
      <c r="T33" s="516">
        <v>1400</v>
      </c>
      <c r="U33" s="516">
        <f>Q33*T33</f>
        <v>9413.6</v>
      </c>
      <c r="V33" s="492" t="s">
        <v>721</v>
      </c>
      <c r="W33" s="464" t="s">
        <v>2240</v>
      </c>
      <c r="X33" s="519" t="str">
        <f>$D$33</f>
        <v>m³</v>
      </c>
      <c r="Y33" s="518">
        <v>8.4639999999999986</v>
      </c>
      <c r="Z33" s="517">
        <f>$F$33</f>
        <v>404738.95</v>
      </c>
      <c r="AA33" s="463">
        <f t="shared" ref="AA33:AA38" si="3">Y33*Z33</f>
        <v>3425710.4727999996</v>
      </c>
      <c r="AB33" s="516">
        <v>1400</v>
      </c>
      <c r="AC33" s="516">
        <f>Y33*AB33</f>
        <v>11849.599999999999</v>
      </c>
      <c r="AD33" s="492" t="s">
        <v>721</v>
      </c>
      <c r="AE33" s="464" t="s">
        <v>2240</v>
      </c>
      <c r="AF33" s="519" t="str">
        <f>$D$33</f>
        <v>m³</v>
      </c>
      <c r="AG33" s="518">
        <v>10</v>
      </c>
      <c r="AH33" s="517">
        <f>$F$33</f>
        <v>404738.95</v>
      </c>
      <c r="AI33" s="463">
        <f t="shared" ref="AI33:AI38" si="4">AG33*AH33</f>
        <v>4047389.5</v>
      </c>
      <c r="AJ33" s="516">
        <v>1400</v>
      </c>
      <c r="AK33" s="516">
        <f>AG33*AJ33</f>
        <v>14000</v>
      </c>
    </row>
    <row r="34" spans="2:37" ht="15" customHeight="1">
      <c r="B34" s="408" t="s">
        <v>2166</v>
      </c>
      <c r="C34" s="461" t="s">
        <v>2241</v>
      </c>
      <c r="D34" s="519" t="s">
        <v>2236</v>
      </c>
      <c r="E34" s="518">
        <v>1.9220000000000004</v>
      </c>
      <c r="F34" s="416">
        <f>K_100</f>
        <v>710224.707936508</v>
      </c>
      <c r="G34" s="463">
        <f t="shared" si="2"/>
        <v>1365051.8886539687</v>
      </c>
      <c r="H34" s="516">
        <v>2200</v>
      </c>
      <c r="I34" s="516">
        <f t="shared" ref="I34:I38" si="5">E34*H34</f>
        <v>4228.4000000000005</v>
      </c>
      <c r="J34" s="1192"/>
      <c r="K34" s="1192"/>
      <c r="N34" s="492" t="s">
        <v>2166</v>
      </c>
      <c r="O34" s="461" t="s">
        <v>2241</v>
      </c>
      <c r="P34" s="519" t="str">
        <f>$D$34</f>
        <v>m³</v>
      </c>
      <c r="Q34" s="518">
        <v>3.3620000000000001</v>
      </c>
      <c r="R34" s="517">
        <f>$F$34</f>
        <v>710224.707936508</v>
      </c>
      <c r="S34" s="463">
        <f t="shared" si="1"/>
        <v>2387775.4680825397</v>
      </c>
      <c r="T34" s="516">
        <v>2200</v>
      </c>
      <c r="U34" s="516">
        <f t="shared" ref="U34:U38" si="6">Q34*T34</f>
        <v>7396.4000000000005</v>
      </c>
      <c r="V34" s="492" t="s">
        <v>2166</v>
      </c>
      <c r="W34" s="461" t="s">
        <v>2241</v>
      </c>
      <c r="X34" s="519" t="str">
        <f>$D$34</f>
        <v>m³</v>
      </c>
      <c r="Y34" s="518">
        <v>4.2319999999999993</v>
      </c>
      <c r="Z34" s="517">
        <f>$F$34</f>
        <v>710224.707936508</v>
      </c>
      <c r="AA34" s="463">
        <f t="shared" si="3"/>
        <v>3005670.9639873016</v>
      </c>
      <c r="AB34" s="516">
        <v>2200</v>
      </c>
      <c r="AC34" s="516">
        <f t="shared" ref="AC34:AC38" si="7">Y34*AB34</f>
        <v>9310.3999999999978</v>
      </c>
      <c r="AD34" s="492" t="s">
        <v>2166</v>
      </c>
      <c r="AE34" s="461" t="s">
        <v>2241</v>
      </c>
      <c r="AF34" s="519" t="str">
        <f>$D$34</f>
        <v>m³</v>
      </c>
      <c r="AG34" s="518">
        <v>5</v>
      </c>
      <c r="AH34" s="517">
        <f>$F$34</f>
        <v>710224.707936508</v>
      </c>
      <c r="AI34" s="463">
        <f t="shared" si="4"/>
        <v>3551123.5396825401</v>
      </c>
      <c r="AJ34" s="516">
        <v>2200</v>
      </c>
      <c r="AK34" s="516">
        <f t="shared" ref="AK34:AK38" si="8">AG34*AJ34</f>
        <v>11000</v>
      </c>
    </row>
    <row r="35" spans="2:37" ht="15" customHeight="1">
      <c r="B35" s="408" t="s">
        <v>2168</v>
      </c>
      <c r="C35" s="461" t="s">
        <v>2242</v>
      </c>
      <c r="D35" s="519" t="s">
        <v>2236</v>
      </c>
      <c r="E35" s="518">
        <v>18.007169002795894</v>
      </c>
      <c r="F35" s="416">
        <f>K_225</f>
        <v>1115864.6138095236</v>
      </c>
      <c r="G35" s="463">
        <f t="shared" si="2"/>
        <v>20093562.685107667</v>
      </c>
      <c r="H35" s="516">
        <v>2400</v>
      </c>
      <c r="I35" s="516">
        <f t="shared" si="5"/>
        <v>43217.205606710144</v>
      </c>
      <c r="J35" s="1192"/>
      <c r="K35" s="1192"/>
      <c r="N35" s="492" t="s">
        <v>2168</v>
      </c>
      <c r="O35" s="461" t="s">
        <v>2242</v>
      </c>
      <c r="P35" s="519" t="str">
        <f>$D$35</f>
        <v>m³</v>
      </c>
      <c r="Q35" s="518">
        <v>35.673493909267499</v>
      </c>
      <c r="R35" s="517">
        <f>$F$35</f>
        <v>1115864.6138095236</v>
      </c>
      <c r="S35" s="463">
        <f t="shared" si="1"/>
        <v>39806789.504301168</v>
      </c>
      <c r="T35" s="516">
        <v>2400</v>
      </c>
      <c r="U35" s="516">
        <f t="shared" si="6"/>
        <v>85616.385382241991</v>
      </c>
      <c r="V35" s="492" t="s">
        <v>2168</v>
      </c>
      <c r="W35" s="461" t="s">
        <v>2242</v>
      </c>
      <c r="X35" s="519" t="str">
        <f>$D$35</f>
        <v>m³</v>
      </c>
      <c r="Y35" s="518">
        <v>49.140349354357227</v>
      </c>
      <c r="Z35" s="517">
        <f>$F$35</f>
        <v>1115864.6138095236</v>
      </c>
      <c r="AA35" s="463">
        <f t="shared" si="3"/>
        <v>54833976.954764903</v>
      </c>
      <c r="AB35" s="516">
        <v>2400</v>
      </c>
      <c r="AC35" s="516">
        <f t="shared" si="7"/>
        <v>117936.83845045735</v>
      </c>
      <c r="AD35" s="492" t="s">
        <v>2168</v>
      </c>
      <c r="AE35" s="461" t="s">
        <v>2242</v>
      </c>
      <c r="AF35" s="519" t="str">
        <f>$D$35</f>
        <v>m³</v>
      </c>
      <c r="AG35" s="518">
        <v>61.115777848269673</v>
      </c>
      <c r="AH35" s="517">
        <f>$F$35</f>
        <v>1115864.6138095236</v>
      </c>
      <c r="AI35" s="463">
        <f t="shared" si="4"/>
        <v>68196933.84632808</v>
      </c>
      <c r="AJ35" s="516">
        <v>2400</v>
      </c>
      <c r="AK35" s="516">
        <f t="shared" si="8"/>
        <v>146677.86683584721</v>
      </c>
    </row>
    <row r="36" spans="2:37" ht="15" customHeight="1">
      <c r="B36" s="408" t="s">
        <v>2170</v>
      </c>
      <c r="C36" s="461" t="s">
        <v>2243</v>
      </c>
      <c r="D36" s="519" t="s">
        <v>1</v>
      </c>
      <c r="E36" s="518">
        <v>1684.6000000000001</v>
      </c>
      <c r="F36" s="416">
        <f>85%*ahs_besi_ulir_kg+15%*ahs_besi_polos_kg</f>
        <v>19478.039350000003</v>
      </c>
      <c r="G36" s="463">
        <f t="shared" si="2"/>
        <v>32812705.089010008</v>
      </c>
      <c r="H36" s="516">
        <v>1</v>
      </c>
      <c r="I36" s="516">
        <f t="shared" si="5"/>
        <v>1684.6000000000001</v>
      </c>
      <c r="J36" s="1192"/>
      <c r="K36" s="1192"/>
      <c r="N36" s="492" t="s">
        <v>2170</v>
      </c>
      <c r="O36" s="461" t="s">
        <v>2243</v>
      </c>
      <c r="P36" s="519" t="str">
        <f>$D$36</f>
        <v>kg</v>
      </c>
      <c r="Q36" s="518">
        <v>3014.1600000000003</v>
      </c>
      <c r="R36" s="517">
        <f>$F$36</f>
        <v>19478.039350000003</v>
      </c>
      <c r="S36" s="463">
        <f t="shared" si="1"/>
        <v>58709927.087196015</v>
      </c>
      <c r="T36" s="516">
        <v>1</v>
      </c>
      <c r="U36" s="516">
        <f t="shared" si="6"/>
        <v>3014.1600000000003</v>
      </c>
      <c r="V36" s="492" t="s">
        <v>2170</v>
      </c>
      <c r="W36" s="461" t="s">
        <v>2243</v>
      </c>
      <c r="X36" s="519" t="str">
        <f>$D$36</f>
        <v>kg</v>
      </c>
      <c r="Y36" s="518">
        <v>4085.2000000000003</v>
      </c>
      <c r="Z36" s="517">
        <f>$F$36</f>
        <v>19478.039350000003</v>
      </c>
      <c r="AA36" s="463">
        <f t="shared" si="3"/>
        <v>79571686.352620021</v>
      </c>
      <c r="AB36" s="516">
        <v>1</v>
      </c>
      <c r="AC36" s="516">
        <f t="shared" si="7"/>
        <v>4085.2000000000003</v>
      </c>
      <c r="AD36" s="492" t="s">
        <v>2170</v>
      </c>
      <c r="AE36" s="461" t="s">
        <v>2243</v>
      </c>
      <c r="AF36" s="519" t="str">
        <f>$D$36</f>
        <v>kg</v>
      </c>
      <c r="AG36" s="518">
        <v>7140.16</v>
      </c>
      <c r="AH36" s="517">
        <f>$F$36</f>
        <v>19478.039350000003</v>
      </c>
      <c r="AI36" s="463">
        <f t="shared" si="4"/>
        <v>139076317.44529602</v>
      </c>
      <c r="AJ36" s="516">
        <v>1</v>
      </c>
      <c r="AK36" s="516">
        <f t="shared" si="8"/>
        <v>7140.16</v>
      </c>
    </row>
    <row r="37" spans="2:37" ht="15" customHeight="1">
      <c r="B37" s="408" t="s">
        <v>2172</v>
      </c>
      <c r="C37" s="461" t="s">
        <v>2244</v>
      </c>
      <c r="D37" s="519" t="s">
        <v>2245</v>
      </c>
      <c r="E37" s="518">
        <v>40.64</v>
      </c>
      <c r="F37" s="416">
        <f>ahs_formwork_foundation_wooden_plank</f>
        <v>145812.67000000001</v>
      </c>
      <c r="G37" s="463">
        <f t="shared" si="2"/>
        <v>5925826.9088000003</v>
      </c>
      <c r="H37" s="516">
        <v>40</v>
      </c>
      <c r="I37" s="516">
        <f t="shared" si="5"/>
        <v>1625.6</v>
      </c>
      <c r="J37" s="1192"/>
      <c r="K37" s="1192"/>
      <c r="N37" s="492" t="s">
        <v>2172</v>
      </c>
      <c r="O37" s="461" t="s">
        <v>2244</v>
      </c>
      <c r="P37" s="519" t="str">
        <f>$D$37</f>
        <v>m²</v>
      </c>
      <c r="Q37" s="518">
        <v>58.4</v>
      </c>
      <c r="R37" s="517">
        <f>$F$37</f>
        <v>145812.67000000001</v>
      </c>
      <c r="S37" s="463">
        <f t="shared" si="1"/>
        <v>8515459.9280000012</v>
      </c>
      <c r="T37" s="516">
        <v>40</v>
      </c>
      <c r="U37" s="516">
        <f t="shared" si="6"/>
        <v>2336</v>
      </c>
      <c r="V37" s="492" t="s">
        <v>2172</v>
      </c>
      <c r="W37" s="461" t="s">
        <v>2244</v>
      </c>
      <c r="X37" s="519" t="str">
        <f>$D$37</f>
        <v>m²</v>
      </c>
      <c r="Y37" s="518">
        <v>69.84</v>
      </c>
      <c r="Z37" s="517">
        <f>$F$37</f>
        <v>145812.67000000001</v>
      </c>
      <c r="AA37" s="463">
        <f t="shared" si="3"/>
        <v>10183556.872800002</v>
      </c>
      <c r="AB37" s="516">
        <v>40</v>
      </c>
      <c r="AC37" s="516">
        <f t="shared" si="7"/>
        <v>2793.6000000000004</v>
      </c>
      <c r="AD37" s="492" t="s">
        <v>2172</v>
      </c>
      <c r="AE37" s="461" t="s">
        <v>2244</v>
      </c>
      <c r="AF37" s="519" t="str">
        <f>$D$37</f>
        <v>m²</v>
      </c>
      <c r="AG37" s="518">
        <v>80.92</v>
      </c>
      <c r="AH37" s="517">
        <f>$F$37</f>
        <v>145812.67000000001</v>
      </c>
      <c r="AI37" s="463">
        <f t="shared" si="4"/>
        <v>11799161.256400002</v>
      </c>
      <c r="AJ37" s="516">
        <v>40</v>
      </c>
      <c r="AK37" s="516">
        <f t="shared" si="8"/>
        <v>3236.8</v>
      </c>
    </row>
    <row r="38" spans="2:37" ht="15" customHeight="1">
      <c r="B38" s="408" t="s">
        <v>2174</v>
      </c>
      <c r="C38" s="491" t="s">
        <v>2246</v>
      </c>
      <c r="D38" s="519" t="s">
        <v>226</v>
      </c>
      <c r="E38" s="518">
        <v>4</v>
      </c>
      <c r="F38" s="416">
        <v>100000</v>
      </c>
      <c r="G38" s="463">
        <f t="shared" si="2"/>
        <v>400000</v>
      </c>
      <c r="H38" s="516">
        <v>2.5</v>
      </c>
      <c r="I38" s="516">
        <f t="shared" si="5"/>
        <v>10</v>
      </c>
      <c r="J38" s="1192"/>
      <c r="K38" s="1192"/>
      <c r="N38" s="492" t="s">
        <v>2174</v>
      </c>
      <c r="O38" s="491" t="s">
        <v>2246</v>
      </c>
      <c r="P38" s="519" t="str">
        <f>$D$38</f>
        <v>bh</v>
      </c>
      <c r="Q38" s="518">
        <v>4</v>
      </c>
      <c r="R38" s="517">
        <f>$F$38</f>
        <v>100000</v>
      </c>
      <c r="S38" s="463">
        <f t="shared" si="1"/>
        <v>400000</v>
      </c>
      <c r="T38" s="516">
        <v>2.5</v>
      </c>
      <c r="U38" s="516">
        <f t="shared" si="6"/>
        <v>10</v>
      </c>
      <c r="V38" s="492" t="s">
        <v>2174</v>
      </c>
      <c r="W38" s="491" t="s">
        <v>2246</v>
      </c>
      <c r="X38" s="519" t="str">
        <f>$D$38</f>
        <v>bh</v>
      </c>
      <c r="Y38" s="518">
        <v>4</v>
      </c>
      <c r="Z38" s="517">
        <f>$F$38</f>
        <v>100000</v>
      </c>
      <c r="AA38" s="463">
        <f t="shared" si="3"/>
        <v>400000</v>
      </c>
      <c r="AB38" s="516">
        <v>2.5</v>
      </c>
      <c r="AC38" s="516">
        <f t="shared" si="7"/>
        <v>10</v>
      </c>
      <c r="AD38" s="492" t="s">
        <v>2174</v>
      </c>
      <c r="AE38" s="491" t="s">
        <v>2246</v>
      </c>
      <c r="AF38" s="519" t="str">
        <f>$D$38</f>
        <v>bh</v>
      </c>
      <c r="AG38" s="518">
        <v>4</v>
      </c>
      <c r="AH38" s="517">
        <f>$F$38</f>
        <v>100000</v>
      </c>
      <c r="AI38" s="463">
        <f t="shared" si="4"/>
        <v>400000</v>
      </c>
      <c r="AJ38" s="516">
        <v>2.5</v>
      </c>
      <c r="AK38" s="516">
        <f t="shared" si="8"/>
        <v>10</v>
      </c>
    </row>
    <row r="39" spans="2:37" ht="15" customHeight="1">
      <c r="B39" s="492"/>
      <c r="C39" s="461"/>
      <c r="D39" s="519"/>
      <c r="E39" s="518"/>
      <c r="F39" s="416"/>
      <c r="G39" s="463"/>
      <c r="I39" s="516">
        <f>SUM(I33:I38)</f>
        <v>56147.405606710141</v>
      </c>
      <c r="N39" s="492"/>
      <c r="O39" s="461"/>
      <c r="P39" s="519"/>
      <c r="Q39" s="518"/>
      <c r="R39" s="517"/>
      <c r="S39" s="463">
        <f t="shared" si="1"/>
        <v>0</v>
      </c>
      <c r="U39" s="516">
        <f>SUM(U33:U38)</f>
        <v>107786.54538224199</v>
      </c>
      <c r="V39" s="492"/>
      <c r="W39" s="461"/>
      <c r="X39" s="519"/>
      <c r="Y39" s="518"/>
      <c r="Z39" s="517"/>
      <c r="AA39" s="463"/>
      <c r="AC39" s="516">
        <f>SUM(AC33:AC38)</f>
        <v>145985.63845045737</v>
      </c>
      <c r="AD39" s="492"/>
      <c r="AE39" s="461"/>
      <c r="AF39" s="519"/>
      <c r="AG39" s="518"/>
      <c r="AH39" s="517"/>
      <c r="AI39" s="463"/>
      <c r="AK39" s="516">
        <f>SUM(AK33:AK38)</f>
        <v>182064.8268358472</v>
      </c>
    </row>
    <row r="40" spans="2:37" ht="15" customHeight="1">
      <c r="B40" s="507">
        <v>3</v>
      </c>
      <c r="C40" s="460" t="s">
        <v>2086</v>
      </c>
      <c r="D40" s="519"/>
      <c r="E40" s="518"/>
      <c r="F40" s="416"/>
      <c r="G40" s="463"/>
      <c r="N40" s="507">
        <v>3</v>
      </c>
      <c r="O40" s="460" t="s">
        <v>2086</v>
      </c>
      <c r="P40" s="519"/>
      <c r="Q40" s="518"/>
      <c r="R40" s="517"/>
      <c r="S40" s="463">
        <f t="shared" si="1"/>
        <v>0</v>
      </c>
      <c r="V40" s="507">
        <v>3</v>
      </c>
      <c r="W40" s="460" t="s">
        <v>2086</v>
      </c>
      <c r="X40" s="519"/>
      <c r="Y40" s="518"/>
      <c r="Z40" s="517"/>
      <c r="AA40" s="463"/>
      <c r="AD40" s="507">
        <v>3</v>
      </c>
      <c r="AE40" s="460" t="s">
        <v>2086</v>
      </c>
      <c r="AF40" s="519"/>
      <c r="AG40" s="518"/>
      <c r="AH40" s="517"/>
      <c r="AI40" s="463"/>
    </row>
    <row r="41" spans="2:37" ht="15" customHeight="1">
      <c r="B41" s="408" t="s">
        <v>721</v>
      </c>
      <c r="C41" s="461" t="s">
        <v>2247</v>
      </c>
      <c r="D41" s="519" t="s">
        <v>226</v>
      </c>
      <c r="E41" s="518">
        <v>4</v>
      </c>
      <c r="F41" s="416">
        <f>ahs_patok_beton</f>
        <v>181849.04</v>
      </c>
      <c r="G41" s="463">
        <f t="shared" ref="G41:G46" si="9">E41*F41</f>
        <v>727396.16</v>
      </c>
      <c r="J41" s="1192"/>
      <c r="K41" s="1192"/>
      <c r="L41" s="1192"/>
      <c r="M41" s="1192"/>
      <c r="N41" s="492" t="s">
        <v>721</v>
      </c>
      <c r="O41" s="461" t="s">
        <v>2247</v>
      </c>
      <c r="P41" s="519" t="str">
        <f>$D$41</f>
        <v>bh</v>
      </c>
      <c r="Q41" s="518">
        <v>4</v>
      </c>
      <c r="R41" s="517">
        <f>$F$41</f>
        <v>181849.04</v>
      </c>
      <c r="S41" s="463">
        <f t="shared" si="1"/>
        <v>727396.16</v>
      </c>
      <c r="V41" s="492" t="s">
        <v>721</v>
      </c>
      <c r="W41" s="461" t="s">
        <v>2247</v>
      </c>
      <c r="X41" s="519" t="str">
        <f>$D$41</f>
        <v>bh</v>
      </c>
      <c r="Y41" s="518">
        <v>4</v>
      </c>
      <c r="Z41" s="517">
        <f>$F$41</f>
        <v>181849.04</v>
      </c>
      <c r="AA41" s="463">
        <f t="shared" ref="AA41:AA46" si="10">Y41*Z41</f>
        <v>727396.16</v>
      </c>
      <c r="AD41" s="492" t="s">
        <v>721</v>
      </c>
      <c r="AE41" s="461" t="s">
        <v>2247</v>
      </c>
      <c r="AF41" s="519" t="str">
        <f>$D$41</f>
        <v>bh</v>
      </c>
      <c r="AG41" s="518">
        <v>4</v>
      </c>
      <c r="AH41" s="517">
        <f>$F$41</f>
        <v>181849.04</v>
      </c>
      <c r="AI41" s="463">
        <f t="shared" ref="AI41:AI46" si="11">AG41*AH41</f>
        <v>727396.16</v>
      </c>
    </row>
    <row r="42" spans="2:37" ht="15" customHeight="1">
      <c r="B42" s="408" t="s">
        <v>2166</v>
      </c>
      <c r="C42" s="461" t="s">
        <v>2085</v>
      </c>
      <c r="D42" s="519" t="s">
        <v>1</v>
      </c>
      <c r="E42" s="518">
        <f>I39</f>
        <v>56147.405606710141</v>
      </c>
      <c r="F42" s="416">
        <f>Langsir_material_datar_500_1000m_Kg</f>
        <v>462.7700000000001</v>
      </c>
      <c r="G42" s="463">
        <f t="shared" si="9"/>
        <v>25983334.892617255</v>
      </c>
      <c r="J42" s="1192"/>
      <c r="K42" s="1192"/>
      <c r="N42" s="492" t="s">
        <v>2166</v>
      </c>
      <c r="O42" s="461" t="s">
        <v>2085</v>
      </c>
      <c r="P42" s="519" t="str">
        <f>$D$42</f>
        <v>kg</v>
      </c>
      <c r="Q42" s="518">
        <f>U39</f>
        <v>107786.54538224199</v>
      </c>
      <c r="R42" s="517">
        <f>$F$42</f>
        <v>462.7700000000001</v>
      </c>
      <c r="S42" s="463">
        <f t="shared" si="1"/>
        <v>49880379.606540136</v>
      </c>
      <c r="V42" s="492" t="s">
        <v>2166</v>
      </c>
      <c r="W42" s="461" t="s">
        <v>2085</v>
      </c>
      <c r="X42" s="519" t="str">
        <f>$D$42</f>
        <v>kg</v>
      </c>
      <c r="Y42" s="518">
        <f>AC39</f>
        <v>145985.63845045737</v>
      </c>
      <c r="Z42" s="517">
        <f>$F$42</f>
        <v>462.7700000000001</v>
      </c>
      <c r="AA42" s="463">
        <f t="shared" si="10"/>
        <v>67557773.905718163</v>
      </c>
      <c r="AD42" s="492" t="s">
        <v>2166</v>
      </c>
      <c r="AE42" s="461" t="s">
        <v>2085</v>
      </c>
      <c r="AF42" s="519" t="str">
        <f>$D$42</f>
        <v>kg</v>
      </c>
      <c r="AG42" s="518">
        <f>AK39</f>
        <v>182064.8268358472</v>
      </c>
      <c r="AH42" s="517">
        <f>$F$42</f>
        <v>462.7700000000001</v>
      </c>
      <c r="AI42" s="463">
        <f t="shared" si="11"/>
        <v>84254139.914825022</v>
      </c>
    </row>
    <row r="43" spans="2:37" ht="15" customHeight="1">
      <c r="B43" s="408" t="s">
        <v>2168</v>
      </c>
      <c r="C43" s="461" t="s">
        <v>2248</v>
      </c>
      <c r="D43" s="519" t="s">
        <v>226</v>
      </c>
      <c r="E43" s="518">
        <v>4</v>
      </c>
      <c r="F43" s="416">
        <f>ahs_tes_beton</f>
        <v>387825</v>
      </c>
      <c r="G43" s="463">
        <f t="shared" si="9"/>
        <v>1551300</v>
      </c>
      <c r="J43" s="1192"/>
      <c r="K43" s="1192"/>
      <c r="L43" s="1192"/>
      <c r="M43" s="1192"/>
      <c r="N43" s="492" t="s">
        <v>2168</v>
      </c>
      <c r="O43" s="461" t="s">
        <v>2249</v>
      </c>
      <c r="P43" s="519" t="str">
        <f>$D$43</f>
        <v>bh</v>
      </c>
      <c r="Q43" s="518">
        <v>4</v>
      </c>
      <c r="R43" s="517">
        <f>$F$43</f>
        <v>387825</v>
      </c>
      <c r="S43" s="463">
        <f t="shared" si="1"/>
        <v>1551300</v>
      </c>
      <c r="V43" s="492" t="s">
        <v>2168</v>
      </c>
      <c r="W43" s="461" t="s">
        <v>2249</v>
      </c>
      <c r="X43" s="519" t="str">
        <f>$D$43</f>
        <v>bh</v>
      </c>
      <c r="Y43" s="518">
        <v>4</v>
      </c>
      <c r="Z43" s="517">
        <f>$F$43</f>
        <v>387825</v>
      </c>
      <c r="AA43" s="463">
        <f t="shared" si="10"/>
        <v>1551300</v>
      </c>
      <c r="AD43" s="492" t="s">
        <v>2168</v>
      </c>
      <c r="AE43" s="461" t="s">
        <v>2249</v>
      </c>
      <c r="AF43" s="519" t="str">
        <f>$D$43</f>
        <v>bh</v>
      </c>
      <c r="AG43" s="518">
        <v>4</v>
      </c>
      <c r="AH43" s="517">
        <f>$F$43</f>
        <v>387825</v>
      </c>
      <c r="AI43" s="463">
        <f t="shared" si="11"/>
        <v>1551300</v>
      </c>
    </row>
    <row r="44" spans="2:37" ht="15" customHeight="1">
      <c r="B44" s="408" t="s">
        <v>2170</v>
      </c>
      <c r="C44" s="461" t="s">
        <v>2250</v>
      </c>
      <c r="D44" s="519" t="s">
        <v>1</v>
      </c>
      <c r="E44" s="518">
        <v>251.56</v>
      </c>
      <c r="F44" s="416">
        <f>ahs_setting_stub/E44</f>
        <v>2255.2190729845765</v>
      </c>
      <c r="G44" s="463">
        <f t="shared" si="9"/>
        <v>567322.91</v>
      </c>
      <c r="J44" s="1192"/>
      <c r="K44" s="1192"/>
      <c r="L44" s="1192"/>
      <c r="M44" s="1192"/>
      <c r="N44" s="492" t="s">
        <v>2170</v>
      </c>
      <c r="O44" s="461" t="s">
        <v>2250</v>
      </c>
      <c r="P44" s="519" t="str">
        <f>$D$44</f>
        <v>kg</v>
      </c>
      <c r="Q44" s="518">
        <v>399.36</v>
      </c>
      <c r="R44" s="517">
        <f>$F$44</f>
        <v>2255.2190729845765</v>
      </c>
      <c r="S44" s="463">
        <f t="shared" si="1"/>
        <v>900644.2889871205</v>
      </c>
      <c r="V44" s="492" t="s">
        <v>2170</v>
      </c>
      <c r="W44" s="461" t="s">
        <v>2250</v>
      </c>
      <c r="X44" s="519" t="str">
        <f>$D$44</f>
        <v>kg</v>
      </c>
      <c r="Y44" s="518">
        <v>519.12</v>
      </c>
      <c r="Z44" s="517">
        <f>$F$44</f>
        <v>2255.2190729845765</v>
      </c>
      <c r="AA44" s="463">
        <f t="shared" si="10"/>
        <v>1170729.3251677535</v>
      </c>
      <c r="AD44" s="492" t="s">
        <v>2170</v>
      </c>
      <c r="AE44" s="461" t="s">
        <v>2250</v>
      </c>
      <c r="AF44" s="519" t="str">
        <f>$D$44</f>
        <v>kg</v>
      </c>
      <c r="AG44" s="518">
        <v>671.96</v>
      </c>
      <c r="AH44" s="517">
        <f>$F$44</f>
        <v>2255.2190729845765</v>
      </c>
      <c r="AI44" s="463">
        <f t="shared" si="11"/>
        <v>1515417.0082827162</v>
      </c>
    </row>
    <row r="45" spans="2:37" ht="15" customHeight="1">
      <c r="B45" s="408" t="s">
        <v>2172</v>
      </c>
      <c r="C45" s="461" t="s">
        <v>2251</v>
      </c>
      <c r="D45" s="519" t="s">
        <v>455</v>
      </c>
      <c r="E45" s="518">
        <v>1</v>
      </c>
      <c r="F45" s="416">
        <f>ahs_pemasangan_grounding_100m/5</f>
        <v>855127</v>
      </c>
      <c r="G45" s="463">
        <f t="shared" si="9"/>
        <v>855127</v>
      </c>
      <c r="J45" s="1192"/>
      <c r="K45" s="1192"/>
      <c r="L45" s="1192"/>
      <c r="M45" s="1192"/>
      <c r="N45" s="492" t="s">
        <v>2172</v>
      </c>
      <c r="O45" s="461" t="s">
        <v>2251</v>
      </c>
      <c r="P45" s="519" t="str">
        <f>$D$45</f>
        <v>set</v>
      </c>
      <c r="Q45" s="518">
        <v>1</v>
      </c>
      <c r="R45" s="517">
        <f>$F$45</f>
        <v>855127</v>
      </c>
      <c r="S45" s="463">
        <f t="shared" si="1"/>
        <v>855127</v>
      </c>
      <c r="V45" s="492" t="s">
        <v>2172</v>
      </c>
      <c r="W45" s="461" t="s">
        <v>2251</v>
      </c>
      <c r="X45" s="519" t="str">
        <f>$D$45</f>
        <v>set</v>
      </c>
      <c r="Y45" s="518">
        <v>1</v>
      </c>
      <c r="Z45" s="517">
        <f>$F$45</f>
        <v>855127</v>
      </c>
      <c r="AA45" s="463">
        <f t="shared" si="10"/>
        <v>855127</v>
      </c>
      <c r="AD45" s="492" t="s">
        <v>2172</v>
      </c>
      <c r="AE45" s="461" t="s">
        <v>2251</v>
      </c>
      <c r="AF45" s="519" t="str">
        <f>$D$45</f>
        <v>set</v>
      </c>
      <c r="AG45" s="518">
        <v>1</v>
      </c>
      <c r="AH45" s="517">
        <f>$F$45</f>
        <v>855127</v>
      </c>
      <c r="AI45" s="463">
        <f t="shared" si="11"/>
        <v>855127</v>
      </c>
    </row>
    <row r="46" spans="2:37" ht="15" customHeight="1">
      <c r="B46" s="408" t="s">
        <v>2174</v>
      </c>
      <c r="C46" s="461" t="s">
        <v>2252</v>
      </c>
      <c r="D46" s="519" t="s">
        <v>455</v>
      </c>
      <c r="E46" s="518">
        <v>1</v>
      </c>
      <c r="F46" s="416">
        <f>ahs_komisioning_sistem_pentanahan_per_tower</f>
        <v>674025</v>
      </c>
      <c r="G46" s="463">
        <f t="shared" si="9"/>
        <v>674025</v>
      </c>
      <c r="J46" s="1192"/>
      <c r="K46" s="1192"/>
      <c r="L46" s="1192"/>
      <c r="M46" s="1192"/>
      <c r="N46" s="492" t="s">
        <v>2174</v>
      </c>
      <c r="O46" s="461" t="s">
        <v>2252</v>
      </c>
      <c r="P46" s="519" t="str">
        <f>$D$46</f>
        <v>set</v>
      </c>
      <c r="Q46" s="518">
        <v>1</v>
      </c>
      <c r="R46" s="517">
        <f>$F$46</f>
        <v>674025</v>
      </c>
      <c r="S46" s="463">
        <f t="shared" si="1"/>
        <v>674025</v>
      </c>
      <c r="V46" s="492" t="s">
        <v>2174</v>
      </c>
      <c r="W46" s="461" t="s">
        <v>2252</v>
      </c>
      <c r="X46" s="519" t="str">
        <f>$D$46</f>
        <v>set</v>
      </c>
      <c r="Y46" s="518">
        <v>1</v>
      </c>
      <c r="Z46" s="517">
        <f>$F$46</f>
        <v>674025</v>
      </c>
      <c r="AA46" s="463">
        <f t="shared" si="10"/>
        <v>674025</v>
      </c>
      <c r="AD46" s="492" t="s">
        <v>2174</v>
      </c>
      <c r="AE46" s="461" t="s">
        <v>2252</v>
      </c>
      <c r="AF46" s="519" t="str">
        <f>$D$46</f>
        <v>set</v>
      </c>
      <c r="AG46" s="518">
        <v>1</v>
      </c>
      <c r="AH46" s="517">
        <f>$F$46</f>
        <v>674025</v>
      </c>
      <c r="AI46" s="463">
        <f t="shared" si="11"/>
        <v>674025</v>
      </c>
    </row>
    <row r="47" spans="2:37" ht="15" customHeight="1" thickBot="1">
      <c r="B47" s="459"/>
      <c r="C47" s="1194" t="s">
        <v>2253</v>
      </c>
      <c r="D47" s="1195"/>
      <c r="E47" s="1195"/>
      <c r="F47" s="1196"/>
      <c r="G47" s="458">
        <f>SUM(G29:G46)</f>
        <v>109642256.16893256</v>
      </c>
      <c r="N47" s="459"/>
      <c r="O47" s="1194" t="s">
        <v>2253</v>
      </c>
      <c r="P47" s="1195"/>
      <c r="Q47" s="1195"/>
      <c r="R47" s="1196"/>
      <c r="S47" s="458">
        <f>SUM(S29:S46)</f>
        <v>200141211.83466542</v>
      </c>
      <c r="V47" s="459"/>
      <c r="W47" s="1194" t="s">
        <v>2253</v>
      </c>
      <c r="X47" s="1195"/>
      <c r="Y47" s="1195"/>
      <c r="Z47" s="1196"/>
      <c r="AA47" s="458">
        <f>SUM(AA29:AA46)</f>
        <v>267910467.09658423</v>
      </c>
      <c r="AD47" s="459"/>
      <c r="AE47" s="1194" t="s">
        <v>2253</v>
      </c>
      <c r="AF47" s="1195"/>
      <c r="AG47" s="1195"/>
      <c r="AH47" s="1196"/>
      <c r="AI47" s="458">
        <f>SUM(AI29:AI46)</f>
        <v>377477066.31296837</v>
      </c>
    </row>
    <row r="48" spans="2:37" ht="15" customHeight="1" thickBot="1">
      <c r="B48" s="457"/>
      <c r="C48" s="456"/>
      <c r="D48" s="457"/>
      <c r="E48" s="455"/>
      <c r="F48" s="415"/>
      <c r="G48" s="453"/>
      <c r="N48" s="457"/>
      <c r="O48" s="456"/>
      <c r="P48" s="457"/>
      <c r="Q48" s="455"/>
      <c r="R48" s="454"/>
      <c r="S48" s="453"/>
      <c r="V48" s="457"/>
      <c r="W48" s="456"/>
      <c r="X48" s="457"/>
      <c r="Y48" s="455"/>
      <c r="Z48" s="454"/>
      <c r="AA48" s="453"/>
      <c r="AD48" s="457"/>
      <c r="AE48" s="456"/>
      <c r="AF48" s="457"/>
      <c r="AG48" s="455"/>
      <c r="AH48" s="454"/>
      <c r="AI48" s="453"/>
    </row>
    <row r="49" spans="2:37" ht="15" customHeight="1" thickBot="1">
      <c r="B49" s="452" t="s">
        <v>2229</v>
      </c>
      <c r="C49" s="451"/>
      <c r="D49" s="450"/>
      <c r="E49" s="449"/>
      <c r="F49" s="414"/>
      <c r="G49" s="447"/>
      <c r="N49" s="452" t="s">
        <v>2230</v>
      </c>
      <c r="O49" s="451"/>
      <c r="P49" s="450"/>
      <c r="Q49" s="449"/>
      <c r="R49" s="448"/>
      <c r="S49" s="447"/>
      <c r="V49" s="452" t="s">
        <v>2231</v>
      </c>
      <c r="W49" s="451"/>
      <c r="X49" s="450"/>
      <c r="Y49" s="449"/>
      <c r="Z49" s="448"/>
      <c r="AA49" s="447"/>
      <c r="AD49" s="452" t="s">
        <v>2254</v>
      </c>
      <c r="AE49" s="451"/>
      <c r="AF49" s="450"/>
      <c r="AG49" s="449"/>
      <c r="AH49" s="448"/>
      <c r="AI49" s="447"/>
    </row>
    <row r="50" spans="2:37" ht="15" customHeight="1">
      <c r="B50" s="446"/>
      <c r="C50" s="445" t="s">
        <v>2255</v>
      </c>
      <c r="D50" s="444"/>
      <c r="E50" s="443"/>
      <c r="F50" s="413"/>
      <c r="G50" s="441"/>
      <c r="N50" s="446"/>
      <c r="O50" s="445" t="s">
        <v>2255</v>
      </c>
      <c r="P50" s="444"/>
      <c r="Q50" s="443"/>
      <c r="R50" s="442"/>
      <c r="S50" s="441"/>
      <c r="V50" s="446"/>
      <c r="W50" s="445" t="s">
        <v>2255</v>
      </c>
      <c r="X50" s="444"/>
      <c r="Y50" s="443"/>
      <c r="Z50" s="442"/>
      <c r="AA50" s="441"/>
      <c r="AD50" s="446"/>
      <c r="AE50" s="445" t="s">
        <v>2255</v>
      </c>
      <c r="AF50" s="444"/>
      <c r="AG50" s="443"/>
      <c r="AH50" s="442"/>
      <c r="AI50" s="441"/>
    </row>
    <row r="51" spans="2:37" ht="15" customHeight="1">
      <c r="B51" s="468">
        <v>1</v>
      </c>
      <c r="C51" s="467" t="s">
        <v>2234</v>
      </c>
      <c r="D51" s="519"/>
      <c r="E51" s="466"/>
      <c r="F51" s="417"/>
      <c r="G51" s="486"/>
      <c r="N51" s="468">
        <v>1</v>
      </c>
      <c r="O51" s="467" t="s">
        <v>2234</v>
      </c>
      <c r="P51" s="519"/>
      <c r="Q51" s="466"/>
      <c r="R51" s="465"/>
      <c r="S51" s="486"/>
      <c r="V51" s="468">
        <v>1</v>
      </c>
      <c r="W51" s="467" t="s">
        <v>2234</v>
      </c>
      <c r="X51" s="519"/>
      <c r="Y51" s="466"/>
      <c r="Z51" s="465"/>
      <c r="AA51" s="486"/>
      <c r="AD51" s="468">
        <v>1</v>
      </c>
      <c r="AE51" s="467" t="s">
        <v>2234</v>
      </c>
      <c r="AF51" s="519"/>
      <c r="AG51" s="466"/>
      <c r="AH51" s="465"/>
      <c r="AI51" s="486"/>
    </row>
    <row r="52" spans="2:37" ht="15" customHeight="1">
      <c r="B52" s="492" t="s">
        <v>721</v>
      </c>
      <c r="C52" s="464" t="s">
        <v>2235</v>
      </c>
      <c r="D52" s="519" t="str">
        <f>$D$29</f>
        <v>m³</v>
      </c>
      <c r="E52" s="518">
        <v>131.07499999999999</v>
      </c>
      <c r="F52" s="416">
        <f>F29</f>
        <v>102390.75000000001</v>
      </c>
      <c r="G52" s="463">
        <f>E52*F52</f>
        <v>13420867.55625</v>
      </c>
      <c r="N52" s="492" t="s">
        <v>721</v>
      </c>
      <c r="O52" s="464" t="s">
        <v>2235</v>
      </c>
      <c r="P52" s="519" t="str">
        <f>$D$29</f>
        <v>m³</v>
      </c>
      <c r="Q52" s="518">
        <v>246.52500000000001</v>
      </c>
      <c r="R52" s="517">
        <f>$F$29</f>
        <v>102390.75000000001</v>
      </c>
      <c r="S52" s="463">
        <f>Q52*R52</f>
        <v>25241879.643750004</v>
      </c>
      <c r="V52" s="492" t="s">
        <v>721</v>
      </c>
      <c r="W52" s="464" t="s">
        <v>2235</v>
      </c>
      <c r="X52" s="519" t="str">
        <f>$D$29</f>
        <v>m³</v>
      </c>
      <c r="Y52" s="518">
        <v>321.11100000000005</v>
      </c>
      <c r="Z52" s="517">
        <f>$F$29</f>
        <v>102390.75000000001</v>
      </c>
      <c r="AA52" s="463">
        <f>Y52*Z52</f>
        <v>32878796.123250008</v>
      </c>
      <c r="AD52" s="492" t="s">
        <v>721</v>
      </c>
      <c r="AE52" s="464" t="s">
        <v>2235</v>
      </c>
      <c r="AF52" s="519" t="str">
        <f>$D$29</f>
        <v>m³</v>
      </c>
      <c r="AG52" s="518">
        <v>460.34100000000001</v>
      </c>
      <c r="AH52" s="517">
        <f>$F$29</f>
        <v>102390.75000000001</v>
      </c>
      <c r="AI52" s="463">
        <f>AG52*AH52</f>
        <v>47134660.24575001</v>
      </c>
    </row>
    <row r="53" spans="2:37" ht="15" customHeight="1">
      <c r="B53" s="492" t="s">
        <v>2166</v>
      </c>
      <c r="C53" s="464" t="s">
        <v>2237</v>
      </c>
      <c r="D53" s="519" t="str">
        <f>$D$30</f>
        <v>m³</v>
      </c>
      <c r="E53" s="518">
        <v>102.20225722098351</v>
      </c>
      <c r="F53" s="416">
        <f t="shared" ref="F53:F69" si="12">F30</f>
        <v>62462.950000000012</v>
      </c>
      <c r="G53" s="463">
        <f t="shared" ref="G53" si="13">E53*F53</f>
        <v>6383854.4826814337</v>
      </c>
      <c r="N53" s="492" t="s">
        <v>2166</v>
      </c>
      <c r="O53" s="464" t="s">
        <v>2237</v>
      </c>
      <c r="P53" s="519" t="str">
        <f>$D$30</f>
        <v>m³</v>
      </c>
      <c r="Q53" s="518">
        <v>191.18116086647316</v>
      </c>
      <c r="R53" s="517">
        <f>$F$30</f>
        <v>62462.950000000012</v>
      </c>
      <c r="S53" s="463">
        <f t="shared" ref="S53:S69" si="14">Q53*R53</f>
        <v>11941739.292144472</v>
      </c>
      <c r="V53" s="492" t="s">
        <v>2166</v>
      </c>
      <c r="W53" s="464" t="s">
        <v>2237</v>
      </c>
      <c r="X53" s="519" t="str">
        <f>$D$30</f>
        <v>m³</v>
      </c>
      <c r="Y53" s="518">
        <v>249.71878427988517</v>
      </c>
      <c r="Z53" s="517">
        <f>$F$30</f>
        <v>62462.950000000012</v>
      </c>
      <c r="AA53" s="463">
        <f>Y53*Z53</f>
        <v>15598171.936535256</v>
      </c>
      <c r="AD53" s="492" t="s">
        <v>2166</v>
      </c>
      <c r="AE53" s="464" t="s">
        <v>2237</v>
      </c>
      <c r="AF53" s="519" t="str">
        <f>$D$30</f>
        <v>m³</v>
      </c>
      <c r="AG53" s="518">
        <v>358.65234987928056</v>
      </c>
      <c r="AH53" s="517">
        <f>$F$30</f>
        <v>62462.950000000012</v>
      </c>
      <c r="AI53" s="463">
        <f>AG53*AH53</f>
        <v>22402483.797892012</v>
      </c>
    </row>
    <row r="54" spans="2:37" ht="15" customHeight="1">
      <c r="B54" s="462"/>
      <c r="C54" s="464"/>
      <c r="D54" s="519"/>
      <c r="E54" s="518"/>
      <c r="F54" s="416">
        <f t="shared" si="12"/>
        <v>0</v>
      </c>
      <c r="G54" s="463"/>
      <c r="N54" s="462"/>
      <c r="O54" s="464"/>
      <c r="P54" s="519"/>
      <c r="Q54" s="518"/>
      <c r="R54" s="517"/>
      <c r="S54" s="463">
        <f t="shared" si="14"/>
        <v>0</v>
      </c>
      <c r="V54" s="462"/>
      <c r="W54" s="464"/>
      <c r="X54" s="519"/>
      <c r="Y54" s="518"/>
      <c r="Z54" s="517"/>
      <c r="AA54" s="463"/>
      <c r="AD54" s="462"/>
      <c r="AE54" s="464"/>
      <c r="AF54" s="519"/>
      <c r="AG54" s="518"/>
      <c r="AH54" s="517"/>
      <c r="AI54" s="463"/>
    </row>
    <row r="55" spans="2:37" ht="15" customHeight="1">
      <c r="B55" s="507">
        <v>2</v>
      </c>
      <c r="C55" s="467" t="s">
        <v>2238</v>
      </c>
      <c r="D55" s="519"/>
      <c r="E55" s="518"/>
      <c r="F55" s="416">
        <f t="shared" si="12"/>
        <v>0</v>
      </c>
      <c r="G55" s="463"/>
      <c r="H55" s="516" t="s">
        <v>2239</v>
      </c>
      <c r="N55" s="507">
        <v>2</v>
      </c>
      <c r="O55" s="467" t="s">
        <v>2238</v>
      </c>
      <c r="P55" s="519"/>
      <c r="Q55" s="518"/>
      <c r="R55" s="517"/>
      <c r="S55" s="463">
        <f t="shared" si="14"/>
        <v>0</v>
      </c>
      <c r="T55" s="516" t="s">
        <v>2239</v>
      </c>
      <c r="V55" s="507">
        <v>2</v>
      </c>
      <c r="W55" s="467" t="s">
        <v>2238</v>
      </c>
      <c r="X55" s="519"/>
      <c r="Y55" s="518"/>
      <c r="Z55" s="517"/>
      <c r="AA55" s="463"/>
      <c r="AB55" s="516" t="s">
        <v>2239</v>
      </c>
      <c r="AD55" s="507">
        <v>2</v>
      </c>
      <c r="AE55" s="467" t="s">
        <v>2238</v>
      </c>
      <c r="AF55" s="519"/>
      <c r="AG55" s="518"/>
      <c r="AH55" s="517"/>
      <c r="AI55" s="463"/>
      <c r="AJ55" s="516" t="s">
        <v>2239</v>
      </c>
    </row>
    <row r="56" spans="2:37" ht="15" customHeight="1">
      <c r="B56" s="492" t="s">
        <v>721</v>
      </c>
      <c r="C56" s="464" t="s">
        <v>2240</v>
      </c>
      <c r="D56" s="519" t="str">
        <f>$D$33</f>
        <v>m³</v>
      </c>
      <c r="E56" s="518">
        <v>4.9000000000000004</v>
      </c>
      <c r="F56" s="416">
        <f t="shared" si="12"/>
        <v>404738.95</v>
      </c>
      <c r="G56" s="463">
        <f t="shared" ref="G56:G61" si="15">E56*F56</f>
        <v>1983220.8550000002</v>
      </c>
      <c r="H56" s="516">
        <v>1400</v>
      </c>
      <c r="I56" s="516">
        <f>E56*H56</f>
        <v>6860.0000000000009</v>
      </c>
      <c r="N56" s="492" t="s">
        <v>721</v>
      </c>
      <c r="O56" s="464" t="s">
        <v>2240</v>
      </c>
      <c r="P56" s="519" t="str">
        <f>$D$33</f>
        <v>m³</v>
      </c>
      <c r="Q56" s="518">
        <v>8.1</v>
      </c>
      <c r="R56" s="517">
        <f>$F$33</f>
        <v>404738.95</v>
      </c>
      <c r="S56" s="463">
        <f t="shared" si="14"/>
        <v>3278385.4950000001</v>
      </c>
      <c r="T56" s="516">
        <v>1400</v>
      </c>
      <c r="U56" s="516">
        <f>Q56*T56</f>
        <v>11340</v>
      </c>
      <c r="V56" s="492" t="s">
        <v>721</v>
      </c>
      <c r="W56" s="464" t="s">
        <v>2240</v>
      </c>
      <c r="X56" s="519" t="str">
        <f>$D$33</f>
        <v>m³</v>
      </c>
      <c r="Y56" s="518">
        <v>10</v>
      </c>
      <c r="Z56" s="517">
        <f>$F$33</f>
        <v>404738.95</v>
      </c>
      <c r="AA56" s="463">
        <f t="shared" ref="AA56:AA61" si="16">Y56*Z56</f>
        <v>4047389.5</v>
      </c>
      <c r="AB56" s="516">
        <v>1400</v>
      </c>
      <c r="AC56" s="516">
        <f>Y56*AB56</f>
        <v>14000</v>
      </c>
      <c r="AD56" s="492" t="s">
        <v>721</v>
      </c>
      <c r="AE56" s="464" t="s">
        <v>2240</v>
      </c>
      <c r="AF56" s="519" t="str">
        <f>$D$33</f>
        <v>m³</v>
      </c>
      <c r="AG56" s="518">
        <v>13.924000000000001</v>
      </c>
      <c r="AH56" s="517">
        <f>$F$33</f>
        <v>404738.95</v>
      </c>
      <c r="AI56" s="463">
        <f t="shared" ref="AI56:AI61" si="17">AG56*AH56</f>
        <v>5635585.1398000009</v>
      </c>
      <c r="AJ56" s="516">
        <v>1400</v>
      </c>
      <c r="AK56" s="516">
        <f>AG56*AJ56</f>
        <v>19493.600000000002</v>
      </c>
    </row>
    <row r="57" spans="2:37" ht="15" customHeight="1">
      <c r="B57" s="492" t="s">
        <v>2166</v>
      </c>
      <c r="C57" s="461" t="s">
        <v>2241</v>
      </c>
      <c r="D57" s="519" t="str">
        <f>$D$34</f>
        <v>m³</v>
      </c>
      <c r="E57" s="518">
        <v>2.4500000000000002</v>
      </c>
      <c r="F57" s="416">
        <f t="shared" si="12"/>
        <v>710224.707936508</v>
      </c>
      <c r="G57" s="463">
        <f t="shared" si="15"/>
        <v>1740050.5344444448</v>
      </c>
      <c r="H57" s="516">
        <v>2200</v>
      </c>
      <c r="I57" s="516">
        <f t="shared" ref="I57:I61" si="18">E57*H57</f>
        <v>5390</v>
      </c>
      <c r="N57" s="492" t="s">
        <v>2166</v>
      </c>
      <c r="O57" s="461" t="s">
        <v>2241</v>
      </c>
      <c r="P57" s="519" t="str">
        <f>$D$34</f>
        <v>m³</v>
      </c>
      <c r="Q57" s="518">
        <v>4.05</v>
      </c>
      <c r="R57" s="517">
        <f>$F$34</f>
        <v>710224.707936508</v>
      </c>
      <c r="S57" s="463">
        <f t="shared" si="14"/>
        <v>2876410.0671428572</v>
      </c>
      <c r="T57" s="516">
        <v>2200</v>
      </c>
      <c r="U57" s="516">
        <f t="shared" ref="U57:U61" si="19">Q57*T57</f>
        <v>8910</v>
      </c>
      <c r="V57" s="492" t="s">
        <v>2166</v>
      </c>
      <c r="W57" s="461" t="s">
        <v>2241</v>
      </c>
      <c r="X57" s="519" t="str">
        <f>$D$34</f>
        <v>m³</v>
      </c>
      <c r="Y57" s="518">
        <v>5</v>
      </c>
      <c r="Z57" s="517">
        <f>$F$34</f>
        <v>710224.707936508</v>
      </c>
      <c r="AA57" s="463">
        <f t="shared" si="16"/>
        <v>3551123.5396825401</v>
      </c>
      <c r="AB57" s="516">
        <v>2200</v>
      </c>
      <c r="AC57" s="516">
        <f t="shared" ref="AC57:AC61" si="20">Y57*AB57</f>
        <v>11000</v>
      </c>
      <c r="AD57" s="492" t="s">
        <v>2166</v>
      </c>
      <c r="AE57" s="461" t="s">
        <v>2241</v>
      </c>
      <c r="AF57" s="519" t="str">
        <f>$D$34</f>
        <v>m³</v>
      </c>
      <c r="AG57" s="518">
        <v>6.9620000000000006</v>
      </c>
      <c r="AH57" s="517">
        <f>$F$34</f>
        <v>710224.707936508</v>
      </c>
      <c r="AI57" s="463">
        <f t="shared" si="17"/>
        <v>4944584.4166539693</v>
      </c>
      <c r="AJ57" s="516">
        <v>2200</v>
      </c>
      <c r="AK57" s="516">
        <f t="shared" ref="AK57:AK61" si="21">AG57*AJ57</f>
        <v>15316.400000000001</v>
      </c>
    </row>
    <row r="58" spans="2:37" ht="15" customHeight="1">
      <c r="B58" s="492" t="s">
        <v>2168</v>
      </c>
      <c r="C58" s="461" t="s">
        <v>2242</v>
      </c>
      <c r="D58" s="519" t="str">
        <f>$D$35</f>
        <v>m³</v>
      </c>
      <c r="E58" s="518">
        <v>22.028753510287487</v>
      </c>
      <c r="F58" s="416">
        <f t="shared" si="12"/>
        <v>1115864.6138095236</v>
      </c>
      <c r="G58" s="463">
        <f t="shared" si="15"/>
        <v>24581106.528462134</v>
      </c>
      <c r="H58" s="516">
        <v>2400</v>
      </c>
      <c r="I58" s="516">
        <f t="shared" si="18"/>
        <v>52869.008424689971</v>
      </c>
      <c r="N58" s="492" t="s">
        <v>2168</v>
      </c>
      <c r="O58" s="461" t="s">
        <v>2242</v>
      </c>
      <c r="P58" s="519" t="str">
        <f>$D$35</f>
        <v>m³</v>
      </c>
      <c r="Q58" s="518">
        <v>43.806112118364744</v>
      </c>
      <c r="R58" s="517">
        <f>$F$35</f>
        <v>1115864.6138095236</v>
      </c>
      <c r="S58" s="463">
        <f t="shared" si="14"/>
        <v>48881690.381455772</v>
      </c>
      <c r="T58" s="516">
        <v>2400</v>
      </c>
      <c r="U58" s="516">
        <f t="shared" si="19"/>
        <v>105134.66908407539</v>
      </c>
      <c r="V58" s="492" t="s">
        <v>2168</v>
      </c>
      <c r="W58" s="461" t="s">
        <v>2242</v>
      </c>
      <c r="X58" s="519" t="str">
        <f>$D$35</f>
        <v>m³</v>
      </c>
      <c r="Y58" s="518">
        <v>57.120871173145133</v>
      </c>
      <c r="Z58" s="517">
        <f>$F$35</f>
        <v>1115864.6138095236</v>
      </c>
      <c r="AA58" s="463">
        <f t="shared" si="16"/>
        <v>63739158.852085143</v>
      </c>
      <c r="AB58" s="516">
        <v>2400</v>
      </c>
      <c r="AC58" s="516">
        <f t="shared" si="20"/>
        <v>137090.09081554832</v>
      </c>
      <c r="AD58" s="492" t="s">
        <v>2168</v>
      </c>
      <c r="AE58" s="461" t="s">
        <v>2242</v>
      </c>
      <c r="AF58" s="519" t="str">
        <f>$D$35</f>
        <v>m³</v>
      </c>
      <c r="AG58" s="518">
        <v>81.66405545142409</v>
      </c>
      <c r="AH58" s="517">
        <f>$F$35</f>
        <v>1115864.6138095236</v>
      </c>
      <c r="AI58" s="463">
        <f t="shared" si="17"/>
        <v>91126029.698422864</v>
      </c>
      <c r="AJ58" s="516">
        <v>2400</v>
      </c>
      <c r="AK58" s="516">
        <f t="shared" si="21"/>
        <v>195993.73308341781</v>
      </c>
    </row>
    <row r="59" spans="2:37" ht="15" customHeight="1">
      <c r="B59" s="492" t="s">
        <v>2170</v>
      </c>
      <c r="C59" s="461" t="s">
        <v>2243</v>
      </c>
      <c r="D59" s="519" t="str">
        <f>$D$36</f>
        <v>kg</v>
      </c>
      <c r="E59" s="518">
        <v>2334.36</v>
      </c>
      <c r="F59" s="416">
        <f t="shared" si="12"/>
        <v>19478.039350000003</v>
      </c>
      <c r="G59" s="463">
        <f t="shared" si="15"/>
        <v>45468755.937066011</v>
      </c>
      <c r="H59" s="516">
        <v>1</v>
      </c>
      <c r="I59" s="516">
        <f t="shared" si="18"/>
        <v>2334.36</v>
      </c>
      <c r="N59" s="492" t="s">
        <v>2170</v>
      </c>
      <c r="O59" s="461" t="s">
        <v>2243</v>
      </c>
      <c r="P59" s="519" t="str">
        <f>$D$36</f>
        <v>kg</v>
      </c>
      <c r="Q59" s="518">
        <v>5017.6400000000003</v>
      </c>
      <c r="R59" s="517">
        <f>$F$36</f>
        <v>19478.039350000003</v>
      </c>
      <c r="S59" s="463">
        <f t="shared" si="14"/>
        <v>97733789.364134014</v>
      </c>
      <c r="T59" s="516">
        <v>1</v>
      </c>
      <c r="U59" s="516">
        <f t="shared" si="19"/>
        <v>5017.6400000000003</v>
      </c>
      <c r="V59" s="492" t="s">
        <v>2170</v>
      </c>
      <c r="W59" s="461" t="s">
        <v>2243</v>
      </c>
      <c r="X59" s="519" t="str">
        <f>$D$36</f>
        <v>kg</v>
      </c>
      <c r="Y59" s="518">
        <v>6281.6400000000012</v>
      </c>
      <c r="Z59" s="517">
        <f>$F$36</f>
        <v>19478.039350000003</v>
      </c>
      <c r="AA59" s="463">
        <f t="shared" si="16"/>
        <v>122354031.10253404</v>
      </c>
      <c r="AB59" s="516">
        <v>1</v>
      </c>
      <c r="AC59" s="516">
        <f t="shared" si="20"/>
        <v>6281.6400000000012</v>
      </c>
      <c r="AD59" s="492" t="s">
        <v>2170</v>
      </c>
      <c r="AE59" s="461" t="s">
        <v>2243</v>
      </c>
      <c r="AF59" s="519" t="str">
        <f>$D$36</f>
        <v>kg</v>
      </c>
      <c r="AG59" s="518">
        <v>9517.1200000000008</v>
      </c>
      <c r="AH59" s="517">
        <f>$F$36</f>
        <v>19478.039350000003</v>
      </c>
      <c r="AI59" s="463">
        <f t="shared" si="17"/>
        <v>185374837.85867205</v>
      </c>
      <c r="AJ59" s="516">
        <v>1</v>
      </c>
      <c r="AK59" s="516">
        <f t="shared" si="21"/>
        <v>9517.1200000000008</v>
      </c>
    </row>
    <row r="60" spans="2:37" ht="15" customHeight="1">
      <c r="B60" s="492" t="s">
        <v>2172</v>
      </c>
      <c r="C60" s="461" t="s">
        <v>2244</v>
      </c>
      <c r="D60" s="519" t="str">
        <f>$D$37</f>
        <v>m²</v>
      </c>
      <c r="E60" s="518">
        <v>41.6</v>
      </c>
      <c r="F60" s="416">
        <f t="shared" si="12"/>
        <v>145812.67000000001</v>
      </c>
      <c r="G60" s="463">
        <f t="shared" si="15"/>
        <v>6065807.0720000006</v>
      </c>
      <c r="H60" s="516">
        <v>40</v>
      </c>
      <c r="I60" s="516">
        <f t="shared" si="18"/>
        <v>1664</v>
      </c>
      <c r="N60" s="492" t="s">
        <v>2172</v>
      </c>
      <c r="O60" s="461" t="s">
        <v>2244</v>
      </c>
      <c r="P60" s="519" t="str">
        <f>$D$37</f>
        <v>m²</v>
      </c>
      <c r="Q60" s="518">
        <v>59.76</v>
      </c>
      <c r="R60" s="517">
        <f>$F$37</f>
        <v>145812.67000000001</v>
      </c>
      <c r="S60" s="463">
        <f t="shared" si="14"/>
        <v>8713765.1591999996</v>
      </c>
      <c r="T60" s="516">
        <v>40</v>
      </c>
      <c r="U60" s="516">
        <f t="shared" si="19"/>
        <v>2390.4</v>
      </c>
      <c r="V60" s="492" t="s">
        <v>2172</v>
      </c>
      <c r="W60" s="461" t="s">
        <v>2244</v>
      </c>
      <c r="X60" s="519" t="str">
        <f>$D$37</f>
        <v>m²</v>
      </c>
      <c r="Y60" s="518">
        <v>71.44</v>
      </c>
      <c r="Z60" s="517">
        <f>$F$37</f>
        <v>145812.67000000001</v>
      </c>
      <c r="AA60" s="463">
        <f t="shared" si="16"/>
        <v>10416857.1448</v>
      </c>
      <c r="AB60" s="516">
        <v>40</v>
      </c>
      <c r="AC60" s="516">
        <f t="shared" si="20"/>
        <v>2857.6</v>
      </c>
      <c r="AD60" s="492" t="s">
        <v>2172</v>
      </c>
      <c r="AE60" s="461" t="s">
        <v>2244</v>
      </c>
      <c r="AF60" s="519" t="str">
        <f>$D$37</f>
        <v>m²</v>
      </c>
      <c r="AG60" s="518">
        <v>82.6</v>
      </c>
      <c r="AH60" s="517">
        <f>$F$37</f>
        <v>145812.67000000001</v>
      </c>
      <c r="AI60" s="463">
        <f t="shared" si="17"/>
        <v>12044126.541999999</v>
      </c>
      <c r="AJ60" s="516">
        <v>40</v>
      </c>
      <c r="AK60" s="516">
        <f t="shared" si="21"/>
        <v>3304</v>
      </c>
    </row>
    <row r="61" spans="2:37" ht="15" customHeight="1">
      <c r="B61" s="492" t="s">
        <v>2174</v>
      </c>
      <c r="C61" s="491" t="s">
        <v>2246</v>
      </c>
      <c r="D61" s="519" t="str">
        <f>$D$38</f>
        <v>bh</v>
      </c>
      <c r="E61" s="518">
        <v>4</v>
      </c>
      <c r="F61" s="416">
        <f t="shared" si="12"/>
        <v>100000</v>
      </c>
      <c r="G61" s="463">
        <f t="shared" si="15"/>
        <v>400000</v>
      </c>
      <c r="H61" s="516">
        <v>2.5</v>
      </c>
      <c r="I61" s="516">
        <f t="shared" si="18"/>
        <v>10</v>
      </c>
      <c r="N61" s="492" t="s">
        <v>2174</v>
      </c>
      <c r="O61" s="491" t="s">
        <v>2246</v>
      </c>
      <c r="P61" s="519" t="str">
        <f>$D$38</f>
        <v>bh</v>
      </c>
      <c r="Q61" s="518">
        <v>4</v>
      </c>
      <c r="R61" s="517">
        <f>$F$38</f>
        <v>100000</v>
      </c>
      <c r="S61" s="463">
        <f t="shared" si="14"/>
        <v>400000</v>
      </c>
      <c r="T61" s="516">
        <v>2.5</v>
      </c>
      <c r="U61" s="516">
        <f t="shared" si="19"/>
        <v>10</v>
      </c>
      <c r="V61" s="492" t="s">
        <v>2174</v>
      </c>
      <c r="W61" s="491" t="s">
        <v>2246</v>
      </c>
      <c r="X61" s="519" t="str">
        <f>$D$38</f>
        <v>bh</v>
      </c>
      <c r="Y61" s="518">
        <v>4</v>
      </c>
      <c r="Z61" s="517">
        <f>$F$38</f>
        <v>100000</v>
      </c>
      <c r="AA61" s="463">
        <f t="shared" si="16"/>
        <v>400000</v>
      </c>
      <c r="AB61" s="516">
        <v>2.5</v>
      </c>
      <c r="AC61" s="516">
        <f t="shared" si="20"/>
        <v>10</v>
      </c>
      <c r="AD61" s="492" t="s">
        <v>2174</v>
      </c>
      <c r="AE61" s="491" t="s">
        <v>2246</v>
      </c>
      <c r="AF61" s="519" t="str">
        <f>$D$38</f>
        <v>bh</v>
      </c>
      <c r="AG61" s="518">
        <v>4</v>
      </c>
      <c r="AH61" s="517">
        <f>$F$38</f>
        <v>100000</v>
      </c>
      <c r="AI61" s="463">
        <f t="shared" si="17"/>
        <v>400000</v>
      </c>
      <c r="AJ61" s="516">
        <v>2.5</v>
      </c>
      <c r="AK61" s="516">
        <f t="shared" si="21"/>
        <v>10</v>
      </c>
    </row>
    <row r="62" spans="2:37" ht="15" customHeight="1">
      <c r="B62" s="492"/>
      <c r="C62" s="461"/>
      <c r="D62" s="519"/>
      <c r="E62" s="518"/>
      <c r="F62" s="416">
        <f t="shared" si="12"/>
        <v>0</v>
      </c>
      <c r="G62" s="463"/>
      <c r="I62" s="516">
        <f>SUM(I56:I61)</f>
        <v>69127.368424689965</v>
      </c>
      <c r="N62" s="492"/>
      <c r="O62" s="461"/>
      <c r="P62" s="519"/>
      <c r="Q62" s="518"/>
      <c r="R62" s="517"/>
      <c r="S62" s="463">
        <f t="shared" si="14"/>
        <v>0</v>
      </c>
      <c r="U62" s="516">
        <f>SUM(U56:U61)</f>
        <v>132802.70908407538</v>
      </c>
      <c r="V62" s="492"/>
      <c r="W62" s="461"/>
      <c r="X62" s="519"/>
      <c r="Y62" s="518"/>
      <c r="Z62" s="517"/>
      <c r="AA62" s="463"/>
      <c r="AC62" s="516">
        <f>SUM(AC56:AC61)</f>
        <v>171239.33081554834</v>
      </c>
      <c r="AD62" s="492"/>
      <c r="AE62" s="461"/>
      <c r="AF62" s="519"/>
      <c r="AG62" s="518"/>
      <c r="AH62" s="517"/>
      <c r="AI62" s="463"/>
      <c r="AK62" s="516">
        <f>SUM(AK56:AK61)</f>
        <v>243634.85308341781</v>
      </c>
    </row>
    <row r="63" spans="2:37" ht="15" customHeight="1">
      <c r="B63" s="507">
        <v>3</v>
      </c>
      <c r="C63" s="460" t="s">
        <v>2086</v>
      </c>
      <c r="D63" s="519"/>
      <c r="E63" s="518"/>
      <c r="F63" s="416">
        <f t="shared" si="12"/>
        <v>0</v>
      </c>
      <c r="G63" s="463"/>
      <c r="N63" s="507">
        <v>3</v>
      </c>
      <c r="O63" s="460" t="s">
        <v>2086</v>
      </c>
      <c r="P63" s="519"/>
      <c r="Q63" s="518"/>
      <c r="R63" s="517"/>
      <c r="S63" s="463">
        <f t="shared" si="14"/>
        <v>0</v>
      </c>
      <c r="V63" s="507">
        <v>3</v>
      </c>
      <c r="W63" s="460" t="s">
        <v>2086</v>
      </c>
      <c r="X63" s="519"/>
      <c r="Y63" s="518"/>
      <c r="Z63" s="517"/>
      <c r="AA63" s="463"/>
      <c r="AD63" s="507">
        <v>3</v>
      </c>
      <c r="AE63" s="460" t="s">
        <v>2086</v>
      </c>
      <c r="AF63" s="519"/>
      <c r="AG63" s="518"/>
      <c r="AH63" s="517"/>
      <c r="AI63" s="463"/>
    </row>
    <row r="64" spans="2:37" ht="15" customHeight="1">
      <c r="B64" s="492" t="s">
        <v>721</v>
      </c>
      <c r="C64" s="461" t="s">
        <v>2247</v>
      </c>
      <c r="D64" s="519" t="str">
        <f>$D$41</f>
        <v>bh</v>
      </c>
      <c r="E64" s="518">
        <v>4</v>
      </c>
      <c r="F64" s="416">
        <f t="shared" si="12"/>
        <v>181849.04</v>
      </c>
      <c r="G64" s="463">
        <f t="shared" ref="G64:G69" si="22">E64*F64</f>
        <v>727396.16</v>
      </c>
      <c r="N64" s="492" t="s">
        <v>721</v>
      </c>
      <c r="O64" s="461" t="s">
        <v>2247</v>
      </c>
      <c r="P64" s="519" t="str">
        <f>$D$41</f>
        <v>bh</v>
      </c>
      <c r="Q64" s="518">
        <v>4</v>
      </c>
      <c r="R64" s="517">
        <f>$F$41</f>
        <v>181849.04</v>
      </c>
      <c r="S64" s="463">
        <f t="shared" si="14"/>
        <v>727396.16</v>
      </c>
      <c r="V64" s="492" t="s">
        <v>721</v>
      </c>
      <c r="W64" s="461" t="s">
        <v>2247</v>
      </c>
      <c r="X64" s="519" t="str">
        <f>$D$41</f>
        <v>bh</v>
      </c>
      <c r="Y64" s="518">
        <v>4</v>
      </c>
      <c r="Z64" s="517">
        <f>$F$41</f>
        <v>181849.04</v>
      </c>
      <c r="AA64" s="463">
        <f t="shared" ref="AA64:AA69" si="23">Y64*Z64</f>
        <v>727396.16</v>
      </c>
      <c r="AD64" s="492" t="s">
        <v>721</v>
      </c>
      <c r="AE64" s="461" t="s">
        <v>2247</v>
      </c>
      <c r="AF64" s="519" t="str">
        <f>$D$41</f>
        <v>bh</v>
      </c>
      <c r="AG64" s="518">
        <v>4</v>
      </c>
      <c r="AH64" s="517">
        <f>$F$41</f>
        <v>181849.04</v>
      </c>
      <c r="AI64" s="463">
        <f t="shared" ref="AI64:AI69" si="24">AG64*AH64</f>
        <v>727396.16</v>
      </c>
    </row>
    <row r="65" spans="2:37" ht="15" customHeight="1">
      <c r="B65" s="492" t="s">
        <v>2166</v>
      </c>
      <c r="C65" s="461" t="s">
        <v>2085</v>
      </c>
      <c r="D65" s="519" t="str">
        <f>$D$42</f>
        <v>kg</v>
      </c>
      <c r="E65" s="518">
        <f>I62</f>
        <v>69127.368424689965</v>
      </c>
      <c r="F65" s="416">
        <f t="shared" si="12"/>
        <v>462.7700000000001</v>
      </c>
      <c r="G65" s="463">
        <f t="shared" si="22"/>
        <v>31990072.285893783</v>
      </c>
      <c r="N65" s="492" t="s">
        <v>2166</v>
      </c>
      <c r="O65" s="461" t="s">
        <v>2085</v>
      </c>
      <c r="P65" s="519" t="str">
        <f>$D$42</f>
        <v>kg</v>
      </c>
      <c r="Q65" s="518">
        <f>U62</f>
        <v>132802.70908407538</v>
      </c>
      <c r="R65" s="517">
        <f>$F$42</f>
        <v>462.7700000000001</v>
      </c>
      <c r="S65" s="463">
        <f t="shared" si="14"/>
        <v>61457109.682837576</v>
      </c>
      <c r="V65" s="492" t="s">
        <v>2166</v>
      </c>
      <c r="W65" s="461" t="s">
        <v>2085</v>
      </c>
      <c r="X65" s="519" t="str">
        <f>$D$42</f>
        <v>kg</v>
      </c>
      <c r="Y65" s="518">
        <f>AC62</f>
        <v>171239.33081554834</v>
      </c>
      <c r="Z65" s="517">
        <f>$F$42</f>
        <v>462.7700000000001</v>
      </c>
      <c r="AA65" s="463">
        <f t="shared" si="23"/>
        <v>79244425.121511325</v>
      </c>
      <c r="AD65" s="492" t="s">
        <v>2166</v>
      </c>
      <c r="AE65" s="461" t="s">
        <v>2085</v>
      </c>
      <c r="AF65" s="519" t="str">
        <f>$D$42</f>
        <v>kg</v>
      </c>
      <c r="AG65" s="518">
        <f>AK62</f>
        <v>243634.85308341781</v>
      </c>
      <c r="AH65" s="517">
        <f>$F$42</f>
        <v>462.7700000000001</v>
      </c>
      <c r="AI65" s="463">
        <f t="shared" si="24"/>
        <v>112746900.96141328</v>
      </c>
    </row>
    <row r="66" spans="2:37" ht="15" customHeight="1">
      <c r="B66" s="492" t="s">
        <v>2168</v>
      </c>
      <c r="C66" s="461" t="s">
        <v>2249</v>
      </c>
      <c r="D66" s="519" t="str">
        <f>$D$43</f>
        <v>bh</v>
      </c>
      <c r="E66" s="518">
        <v>4</v>
      </c>
      <c r="F66" s="416">
        <f t="shared" si="12"/>
        <v>387825</v>
      </c>
      <c r="G66" s="463">
        <f t="shared" si="22"/>
        <v>1551300</v>
      </c>
      <c r="N66" s="492" t="s">
        <v>2168</v>
      </c>
      <c r="O66" s="461" t="s">
        <v>2249</v>
      </c>
      <c r="P66" s="519" t="str">
        <f>$D$43</f>
        <v>bh</v>
      </c>
      <c r="Q66" s="518">
        <v>4</v>
      </c>
      <c r="R66" s="517">
        <f>$F$43</f>
        <v>387825</v>
      </c>
      <c r="S66" s="463">
        <f t="shared" si="14"/>
        <v>1551300</v>
      </c>
      <c r="V66" s="492" t="s">
        <v>2168</v>
      </c>
      <c r="W66" s="461" t="s">
        <v>2249</v>
      </c>
      <c r="X66" s="519" t="str">
        <f>$D$43</f>
        <v>bh</v>
      </c>
      <c r="Y66" s="518">
        <v>4</v>
      </c>
      <c r="Z66" s="517">
        <f>$F$43</f>
        <v>387825</v>
      </c>
      <c r="AA66" s="463">
        <f t="shared" si="23"/>
        <v>1551300</v>
      </c>
      <c r="AD66" s="492" t="s">
        <v>2168</v>
      </c>
      <c r="AE66" s="461" t="s">
        <v>2249</v>
      </c>
      <c r="AF66" s="519" t="str">
        <f>$D$43</f>
        <v>bh</v>
      </c>
      <c r="AG66" s="518">
        <v>4</v>
      </c>
      <c r="AH66" s="517">
        <f>$F$43</f>
        <v>387825</v>
      </c>
      <c r="AI66" s="463">
        <f t="shared" si="24"/>
        <v>1551300</v>
      </c>
    </row>
    <row r="67" spans="2:37" ht="15" customHeight="1">
      <c r="B67" s="492" t="s">
        <v>2170</v>
      </c>
      <c r="C67" s="461" t="s">
        <v>2250</v>
      </c>
      <c r="D67" s="519" t="str">
        <f>$D$44</f>
        <v>kg</v>
      </c>
      <c r="E67" s="518">
        <v>251.56</v>
      </c>
      <c r="F67" s="416">
        <f t="shared" si="12"/>
        <v>2255.2190729845765</v>
      </c>
      <c r="G67" s="463">
        <f t="shared" si="22"/>
        <v>567322.91</v>
      </c>
      <c r="N67" s="492" t="s">
        <v>2170</v>
      </c>
      <c r="O67" s="461" t="s">
        <v>2250</v>
      </c>
      <c r="P67" s="519" t="str">
        <f>$D$44</f>
        <v>kg</v>
      </c>
      <c r="Q67" s="518">
        <v>399.36</v>
      </c>
      <c r="R67" s="517">
        <f>$F$44</f>
        <v>2255.2190729845765</v>
      </c>
      <c r="S67" s="463">
        <f t="shared" si="14"/>
        <v>900644.2889871205</v>
      </c>
      <c r="V67" s="492" t="s">
        <v>2170</v>
      </c>
      <c r="W67" s="461" t="s">
        <v>2250</v>
      </c>
      <c r="X67" s="519" t="str">
        <f>$D$44</f>
        <v>kg</v>
      </c>
      <c r="Y67" s="518">
        <v>519.12</v>
      </c>
      <c r="Z67" s="517">
        <f>$F$44</f>
        <v>2255.2190729845765</v>
      </c>
      <c r="AA67" s="463">
        <f t="shared" si="23"/>
        <v>1170729.3251677535</v>
      </c>
      <c r="AD67" s="492" t="s">
        <v>2170</v>
      </c>
      <c r="AE67" s="461" t="s">
        <v>2250</v>
      </c>
      <c r="AF67" s="519" t="str">
        <f>$D$44</f>
        <v>kg</v>
      </c>
      <c r="AG67" s="518">
        <v>671.96</v>
      </c>
      <c r="AH67" s="517">
        <f>$F$44</f>
        <v>2255.2190729845765</v>
      </c>
      <c r="AI67" s="463">
        <f t="shared" si="24"/>
        <v>1515417.0082827162</v>
      </c>
    </row>
    <row r="68" spans="2:37" ht="15" customHeight="1">
      <c r="B68" s="492" t="s">
        <v>2172</v>
      </c>
      <c r="C68" s="461" t="s">
        <v>2251</v>
      </c>
      <c r="D68" s="519" t="str">
        <f>$D$45</f>
        <v>set</v>
      </c>
      <c r="E68" s="518">
        <v>1</v>
      </c>
      <c r="F68" s="416">
        <f t="shared" si="12"/>
        <v>855127</v>
      </c>
      <c r="G68" s="463">
        <f t="shared" si="22"/>
        <v>855127</v>
      </c>
      <c r="N68" s="492" t="s">
        <v>2172</v>
      </c>
      <c r="O68" s="461" t="s">
        <v>2251</v>
      </c>
      <c r="P68" s="519" t="str">
        <f>$D$45</f>
        <v>set</v>
      </c>
      <c r="Q68" s="518">
        <v>1</v>
      </c>
      <c r="R68" s="517">
        <f>$F$45</f>
        <v>855127</v>
      </c>
      <c r="S68" s="463">
        <f t="shared" si="14"/>
        <v>855127</v>
      </c>
      <c r="V68" s="492" t="s">
        <v>2172</v>
      </c>
      <c r="W68" s="461" t="s">
        <v>2251</v>
      </c>
      <c r="X68" s="519" t="str">
        <f>$D$45</f>
        <v>set</v>
      </c>
      <c r="Y68" s="518">
        <v>1</v>
      </c>
      <c r="Z68" s="517">
        <f>$F$45</f>
        <v>855127</v>
      </c>
      <c r="AA68" s="463">
        <f t="shared" si="23"/>
        <v>855127</v>
      </c>
      <c r="AD68" s="492" t="s">
        <v>2172</v>
      </c>
      <c r="AE68" s="461" t="s">
        <v>2251</v>
      </c>
      <c r="AF68" s="519" t="str">
        <f>$D$45</f>
        <v>set</v>
      </c>
      <c r="AG68" s="518">
        <v>1</v>
      </c>
      <c r="AH68" s="517">
        <f>$F$45</f>
        <v>855127</v>
      </c>
      <c r="AI68" s="463">
        <f t="shared" si="24"/>
        <v>855127</v>
      </c>
    </row>
    <row r="69" spans="2:37" ht="15" customHeight="1">
      <c r="B69" s="492" t="s">
        <v>2174</v>
      </c>
      <c r="C69" s="461" t="s">
        <v>2252</v>
      </c>
      <c r="D69" s="519" t="str">
        <f>$D$46</f>
        <v>set</v>
      </c>
      <c r="E69" s="518">
        <v>1</v>
      </c>
      <c r="F69" s="416">
        <f t="shared" si="12"/>
        <v>674025</v>
      </c>
      <c r="G69" s="463">
        <f t="shared" si="22"/>
        <v>674025</v>
      </c>
      <c r="N69" s="492" t="s">
        <v>2174</v>
      </c>
      <c r="O69" s="461" t="s">
        <v>2252</v>
      </c>
      <c r="P69" s="519" t="str">
        <f>$D$46</f>
        <v>set</v>
      </c>
      <c r="Q69" s="518">
        <v>1</v>
      </c>
      <c r="R69" s="517">
        <f>$F$46</f>
        <v>674025</v>
      </c>
      <c r="S69" s="463">
        <f t="shared" si="14"/>
        <v>674025</v>
      </c>
      <c r="V69" s="492" t="s">
        <v>2174</v>
      </c>
      <c r="W69" s="461" t="s">
        <v>2252</v>
      </c>
      <c r="X69" s="519" t="str">
        <f>$D$46</f>
        <v>set</v>
      </c>
      <c r="Y69" s="518">
        <v>1</v>
      </c>
      <c r="Z69" s="517">
        <f>$F$46</f>
        <v>674025</v>
      </c>
      <c r="AA69" s="463">
        <f t="shared" si="23"/>
        <v>674025</v>
      </c>
      <c r="AD69" s="492" t="s">
        <v>2174</v>
      </c>
      <c r="AE69" s="461" t="s">
        <v>2252</v>
      </c>
      <c r="AF69" s="519" t="str">
        <f>$D$46</f>
        <v>set</v>
      </c>
      <c r="AG69" s="518">
        <v>1</v>
      </c>
      <c r="AH69" s="517">
        <f>$F$46</f>
        <v>674025</v>
      </c>
      <c r="AI69" s="463">
        <f t="shared" si="24"/>
        <v>674025</v>
      </c>
    </row>
    <row r="70" spans="2:37" ht="15" customHeight="1" thickBot="1">
      <c r="B70" s="459"/>
      <c r="C70" s="1194" t="s">
        <v>2256</v>
      </c>
      <c r="D70" s="1195"/>
      <c r="E70" s="1195"/>
      <c r="F70" s="1196"/>
      <c r="G70" s="458">
        <f>SUM(G52:G69)</f>
        <v>136408906.32179782</v>
      </c>
      <c r="N70" s="459"/>
      <c r="O70" s="1194" t="s">
        <v>2256</v>
      </c>
      <c r="P70" s="1195"/>
      <c r="Q70" s="1195"/>
      <c r="R70" s="1196"/>
      <c r="S70" s="458">
        <f>SUM(S52:S69)</f>
        <v>265233261.53465185</v>
      </c>
      <c r="V70" s="459"/>
      <c r="W70" s="1194" t="s">
        <v>2256</v>
      </c>
      <c r="X70" s="1195"/>
      <c r="Y70" s="1195"/>
      <c r="Z70" s="1196"/>
      <c r="AA70" s="458">
        <f>SUM(AA52:AA69)</f>
        <v>337208530.80556607</v>
      </c>
      <c r="AD70" s="459"/>
      <c r="AE70" s="1194" t="s">
        <v>2256</v>
      </c>
      <c r="AF70" s="1195"/>
      <c r="AG70" s="1195"/>
      <c r="AH70" s="1196"/>
      <c r="AI70" s="458">
        <f>SUM(AI52:AI69)</f>
        <v>487132473.82888693</v>
      </c>
    </row>
    <row r="71" spans="2:37" ht="15" customHeight="1" thickBot="1">
      <c r="B71" s="457"/>
      <c r="C71" s="440"/>
      <c r="D71" s="439"/>
      <c r="E71" s="438"/>
      <c r="F71" s="412"/>
      <c r="G71" s="436"/>
      <c r="N71" s="457"/>
      <c r="O71" s="440"/>
      <c r="P71" s="439"/>
      <c r="Q71" s="438"/>
      <c r="R71" s="437"/>
      <c r="S71" s="436"/>
      <c r="V71" s="457"/>
      <c r="W71" s="440"/>
      <c r="X71" s="439"/>
      <c r="Y71" s="438"/>
      <c r="Z71" s="437"/>
      <c r="AA71" s="436"/>
      <c r="AD71" s="457"/>
      <c r="AE71" s="440"/>
      <c r="AF71" s="439"/>
      <c r="AG71" s="438"/>
      <c r="AH71" s="437"/>
      <c r="AI71" s="436"/>
    </row>
    <row r="72" spans="2:37" ht="15" customHeight="1" thickBot="1">
      <c r="B72" s="452" t="s">
        <v>2229</v>
      </c>
      <c r="C72" s="451"/>
      <c r="D72" s="450"/>
      <c r="E72" s="449"/>
      <c r="F72" s="414"/>
      <c r="G72" s="447"/>
      <c r="N72" s="452" t="s">
        <v>2230</v>
      </c>
      <c r="O72" s="451"/>
      <c r="P72" s="450"/>
      <c r="Q72" s="449"/>
      <c r="R72" s="448"/>
      <c r="S72" s="447"/>
      <c r="V72" s="452" t="s">
        <v>2231</v>
      </c>
      <c r="W72" s="451"/>
      <c r="X72" s="450"/>
      <c r="Y72" s="449"/>
      <c r="Z72" s="448"/>
      <c r="AA72" s="447"/>
      <c r="AD72" s="452" t="s">
        <v>2254</v>
      </c>
      <c r="AE72" s="451"/>
      <c r="AF72" s="450"/>
      <c r="AG72" s="449"/>
      <c r="AH72" s="448"/>
      <c r="AI72" s="447"/>
    </row>
    <row r="73" spans="2:37" ht="15" customHeight="1">
      <c r="B73" s="446"/>
      <c r="C73" s="445" t="s">
        <v>2257</v>
      </c>
      <c r="D73" s="444"/>
      <c r="E73" s="443"/>
      <c r="F73" s="413"/>
      <c r="G73" s="441"/>
      <c r="N73" s="446"/>
      <c r="O73" s="445" t="s">
        <v>2257</v>
      </c>
      <c r="P73" s="444"/>
      <c r="Q73" s="443"/>
      <c r="R73" s="442"/>
      <c r="S73" s="441"/>
      <c r="V73" s="446"/>
      <c r="W73" s="445" t="s">
        <v>2257</v>
      </c>
      <c r="X73" s="444"/>
      <c r="Y73" s="443"/>
      <c r="Z73" s="442"/>
      <c r="AA73" s="441"/>
      <c r="AD73" s="446"/>
      <c r="AE73" s="445" t="s">
        <v>2257</v>
      </c>
      <c r="AF73" s="444"/>
      <c r="AG73" s="443"/>
      <c r="AH73" s="442"/>
      <c r="AI73" s="441"/>
    </row>
    <row r="74" spans="2:37" ht="15" customHeight="1">
      <c r="B74" s="468">
        <v>1</v>
      </c>
      <c r="C74" s="467" t="s">
        <v>2234</v>
      </c>
      <c r="D74" s="519"/>
      <c r="E74" s="466"/>
      <c r="F74" s="417"/>
      <c r="G74" s="486"/>
      <c r="N74" s="468">
        <v>1</v>
      </c>
      <c r="O74" s="467" t="s">
        <v>2234</v>
      </c>
      <c r="P74" s="519"/>
      <c r="Q74" s="466"/>
      <c r="R74" s="465"/>
      <c r="S74" s="486"/>
      <c r="V74" s="468">
        <v>1</v>
      </c>
      <c r="W74" s="467" t="s">
        <v>2234</v>
      </c>
      <c r="X74" s="519"/>
      <c r="Y74" s="466"/>
      <c r="Z74" s="465"/>
      <c r="AA74" s="486"/>
      <c r="AD74" s="468">
        <v>1</v>
      </c>
      <c r="AE74" s="467" t="s">
        <v>2234</v>
      </c>
      <c r="AF74" s="519"/>
      <c r="AG74" s="466"/>
      <c r="AH74" s="465"/>
      <c r="AI74" s="486"/>
    </row>
    <row r="75" spans="2:37" ht="15" customHeight="1">
      <c r="B75" s="492" t="s">
        <v>721</v>
      </c>
      <c r="C75" s="464" t="s">
        <v>2235</v>
      </c>
      <c r="D75" s="519" t="str">
        <f>$D$29</f>
        <v>m³</v>
      </c>
      <c r="E75" s="518">
        <v>187.35900000000004</v>
      </c>
      <c r="F75" s="416">
        <f>F52</f>
        <v>102390.75000000001</v>
      </c>
      <c r="G75" s="463">
        <f>E75*F75</f>
        <v>19183828.529250007</v>
      </c>
      <c r="N75" s="492" t="s">
        <v>721</v>
      </c>
      <c r="O75" s="464" t="s">
        <v>2235</v>
      </c>
      <c r="P75" s="519" t="str">
        <f>$D$29</f>
        <v>m³</v>
      </c>
      <c r="Q75" s="518">
        <v>376.29999999999995</v>
      </c>
      <c r="R75" s="517">
        <f>$F$29</f>
        <v>102390.75000000001</v>
      </c>
      <c r="S75" s="463">
        <f>Q75*R75</f>
        <v>38529639.225000001</v>
      </c>
      <c r="V75" s="492" t="s">
        <v>721</v>
      </c>
      <c r="W75" s="464" t="s">
        <v>2235</v>
      </c>
      <c r="X75" s="519" t="str">
        <f>$D$29</f>
        <v>m³</v>
      </c>
      <c r="Y75" s="518">
        <v>338.18099999999998</v>
      </c>
      <c r="Z75" s="517">
        <f>$F$29</f>
        <v>102390.75000000001</v>
      </c>
      <c r="AA75" s="463">
        <f>Y75*Z75</f>
        <v>34626606.225750007</v>
      </c>
      <c r="AD75" s="492" t="s">
        <v>721</v>
      </c>
      <c r="AE75" s="464" t="s">
        <v>2235</v>
      </c>
      <c r="AF75" s="519" t="str">
        <f>$D$29</f>
        <v>m³</v>
      </c>
      <c r="AG75" s="518">
        <v>536.04999999999995</v>
      </c>
      <c r="AH75" s="517">
        <f>$F$29</f>
        <v>102390.75000000001</v>
      </c>
      <c r="AI75" s="463">
        <f>AG75*AH75</f>
        <v>54886561.537500001</v>
      </c>
    </row>
    <row r="76" spans="2:37" ht="15" customHeight="1">
      <c r="B76" s="492" t="s">
        <v>2166</v>
      </c>
      <c r="C76" s="464" t="s">
        <v>2237</v>
      </c>
      <c r="D76" s="519" t="str">
        <f>$D$30</f>
        <v>m³</v>
      </c>
      <c r="E76" s="518">
        <v>151.56945983596674</v>
      </c>
      <c r="F76" s="416">
        <f t="shared" ref="F76:F92" si="25">F53</f>
        <v>62462.950000000012</v>
      </c>
      <c r="G76" s="463">
        <f t="shared" ref="G76" si="26">E76*F76</f>
        <v>9467475.5912610013</v>
      </c>
      <c r="N76" s="492" t="s">
        <v>2166</v>
      </c>
      <c r="O76" s="464" t="s">
        <v>2237</v>
      </c>
      <c r="P76" s="519" t="str">
        <f>$D$30</f>
        <v>m³</v>
      </c>
      <c r="Q76" s="518">
        <v>307.74899668770001</v>
      </c>
      <c r="R76" s="517">
        <f>$F$30</f>
        <v>62462.950000000012</v>
      </c>
      <c r="S76" s="463">
        <f t="shared" ref="S76:S92" si="27">Q76*R76</f>
        <v>19222910.192653976</v>
      </c>
      <c r="V76" s="492" t="s">
        <v>2166</v>
      </c>
      <c r="W76" s="464" t="s">
        <v>2237</v>
      </c>
      <c r="X76" s="519" t="str">
        <f>$D$30</f>
        <v>m³</v>
      </c>
      <c r="Y76" s="518">
        <v>255.75399355170327</v>
      </c>
      <c r="Z76" s="517">
        <f>$F$30</f>
        <v>62462.950000000012</v>
      </c>
      <c r="AA76" s="463">
        <f>Y76*Z76</f>
        <v>15975148.911520367</v>
      </c>
      <c r="AD76" s="492" t="s">
        <v>2166</v>
      </c>
      <c r="AE76" s="464" t="s">
        <v>2237</v>
      </c>
      <c r="AF76" s="519" t="str">
        <f>$D$30</f>
        <v>m³</v>
      </c>
      <c r="AG76" s="518">
        <v>430.3402296147168</v>
      </c>
      <c r="AH76" s="517">
        <f>$F$30</f>
        <v>62462.950000000012</v>
      </c>
      <c r="AI76" s="463">
        <f>AG76*AH76</f>
        <v>26880320.245412581</v>
      </c>
    </row>
    <row r="77" spans="2:37" ht="15" customHeight="1">
      <c r="B77" s="462"/>
      <c r="C77" s="464"/>
      <c r="D77" s="519"/>
      <c r="E77" s="518"/>
      <c r="F77" s="416">
        <f t="shared" si="25"/>
        <v>0</v>
      </c>
      <c r="G77" s="463"/>
      <c r="N77" s="462"/>
      <c r="O77" s="464"/>
      <c r="P77" s="519"/>
      <c r="Q77" s="518"/>
      <c r="R77" s="517"/>
      <c r="S77" s="463">
        <f t="shared" si="27"/>
        <v>0</v>
      </c>
      <c r="V77" s="462"/>
      <c r="W77" s="464"/>
      <c r="X77" s="519"/>
      <c r="Y77" s="518"/>
      <c r="Z77" s="517"/>
      <c r="AA77" s="463"/>
      <c r="AD77" s="462"/>
      <c r="AE77" s="464"/>
      <c r="AF77" s="519"/>
      <c r="AG77" s="518"/>
      <c r="AH77" s="517"/>
      <c r="AI77" s="463"/>
    </row>
    <row r="78" spans="2:37" ht="15" customHeight="1">
      <c r="B78" s="507">
        <v>2</v>
      </c>
      <c r="C78" s="467" t="s">
        <v>2238</v>
      </c>
      <c r="D78" s="519"/>
      <c r="E78" s="518"/>
      <c r="F78" s="416">
        <f t="shared" si="25"/>
        <v>0</v>
      </c>
      <c r="G78" s="463"/>
      <c r="H78" s="516" t="s">
        <v>2239</v>
      </c>
      <c r="N78" s="507">
        <v>2</v>
      </c>
      <c r="O78" s="467" t="s">
        <v>2238</v>
      </c>
      <c r="P78" s="519"/>
      <c r="Q78" s="518"/>
      <c r="R78" s="517"/>
      <c r="S78" s="463">
        <f t="shared" si="27"/>
        <v>0</v>
      </c>
      <c r="T78" s="516" t="s">
        <v>2239</v>
      </c>
      <c r="V78" s="507">
        <v>2</v>
      </c>
      <c r="W78" s="467" t="s">
        <v>2238</v>
      </c>
      <c r="X78" s="519"/>
      <c r="Y78" s="518"/>
      <c r="Z78" s="517"/>
      <c r="AA78" s="463"/>
      <c r="AB78" s="516" t="s">
        <v>2239</v>
      </c>
      <c r="AD78" s="507">
        <v>2</v>
      </c>
      <c r="AE78" s="467" t="s">
        <v>2238</v>
      </c>
      <c r="AF78" s="519"/>
      <c r="AG78" s="518"/>
      <c r="AH78" s="517"/>
      <c r="AI78" s="463"/>
      <c r="AJ78" s="516" t="s">
        <v>2239</v>
      </c>
    </row>
    <row r="79" spans="2:37" ht="15" customHeight="1">
      <c r="B79" s="492" t="s">
        <v>721</v>
      </c>
      <c r="C79" s="464" t="s">
        <v>2240</v>
      </c>
      <c r="D79" s="519" t="str">
        <f>$D$33</f>
        <v>m³</v>
      </c>
      <c r="E79" s="518">
        <v>6.0839999999999996</v>
      </c>
      <c r="F79" s="416">
        <f t="shared" si="25"/>
        <v>404738.95</v>
      </c>
      <c r="G79" s="463">
        <f t="shared" ref="G79:G84" si="28">E79*F79</f>
        <v>2462431.7717999998</v>
      </c>
      <c r="H79" s="516">
        <v>1400</v>
      </c>
      <c r="I79" s="516">
        <f>E79*H79</f>
        <v>8517.6</v>
      </c>
      <c r="N79" s="492" t="s">
        <v>721</v>
      </c>
      <c r="O79" s="464" t="s">
        <v>2240</v>
      </c>
      <c r="P79" s="519" t="str">
        <f>$D$33</f>
        <v>m³</v>
      </c>
      <c r="Q79" s="518">
        <v>10</v>
      </c>
      <c r="R79" s="517">
        <f>$F$33</f>
        <v>404738.95</v>
      </c>
      <c r="S79" s="463">
        <f t="shared" si="27"/>
        <v>4047389.5</v>
      </c>
      <c r="T79" s="516">
        <v>1400</v>
      </c>
      <c r="U79" s="516">
        <f>Q79*T79</f>
        <v>14000</v>
      </c>
      <c r="V79" s="492" t="s">
        <v>721</v>
      </c>
      <c r="W79" s="464" t="s">
        <v>2240</v>
      </c>
      <c r="X79" s="519" t="str">
        <f>$D$33</f>
        <v>m³</v>
      </c>
      <c r="Y79" s="518">
        <v>11.663999999999998</v>
      </c>
      <c r="Z79" s="517">
        <f>$F$33</f>
        <v>404738.95</v>
      </c>
      <c r="AA79" s="463">
        <f t="shared" ref="AA79:AA84" si="29">Y79*Z79</f>
        <v>4720875.1127999993</v>
      </c>
      <c r="AB79" s="516">
        <v>1400</v>
      </c>
      <c r="AC79" s="516">
        <f>Y79*AB79</f>
        <v>16329.599999999997</v>
      </c>
      <c r="AD79" s="492" t="s">
        <v>721</v>
      </c>
      <c r="AE79" s="464" t="s">
        <v>2240</v>
      </c>
      <c r="AF79" s="519" t="str">
        <f>$D$33</f>
        <v>m³</v>
      </c>
      <c r="AG79" s="518">
        <v>14.4</v>
      </c>
      <c r="AH79" s="517">
        <f>$F$33</f>
        <v>404738.95</v>
      </c>
      <c r="AI79" s="463">
        <f t="shared" ref="AI79:AI84" si="30">AG79*AH79</f>
        <v>5828240.8799999999</v>
      </c>
      <c r="AJ79" s="516">
        <v>1400</v>
      </c>
      <c r="AK79" s="516">
        <f>AG79*AJ79</f>
        <v>20160</v>
      </c>
    </row>
    <row r="80" spans="2:37" ht="15" customHeight="1">
      <c r="B80" s="492" t="s">
        <v>2166</v>
      </c>
      <c r="C80" s="461" t="s">
        <v>2241</v>
      </c>
      <c r="D80" s="519" t="str">
        <f>$D$34</f>
        <v>m³</v>
      </c>
      <c r="E80" s="518">
        <v>3.0419999999999998</v>
      </c>
      <c r="F80" s="416">
        <f t="shared" si="25"/>
        <v>710224.707936508</v>
      </c>
      <c r="G80" s="463">
        <f t="shared" si="28"/>
        <v>2160503.561542857</v>
      </c>
      <c r="H80" s="516">
        <v>2200</v>
      </c>
      <c r="I80" s="516">
        <f t="shared" ref="I80:I84" si="31">E80*H80</f>
        <v>6692.4</v>
      </c>
      <c r="N80" s="492" t="s">
        <v>2166</v>
      </c>
      <c r="O80" s="461" t="s">
        <v>2241</v>
      </c>
      <c r="P80" s="519" t="str">
        <f>$D$34</f>
        <v>m³</v>
      </c>
      <c r="Q80" s="518">
        <v>5</v>
      </c>
      <c r="R80" s="517">
        <f>$F$34</f>
        <v>710224.707936508</v>
      </c>
      <c r="S80" s="463">
        <f t="shared" si="27"/>
        <v>3551123.5396825401</v>
      </c>
      <c r="T80" s="516">
        <v>2200</v>
      </c>
      <c r="U80" s="516">
        <f t="shared" ref="U80:U84" si="32">Q80*T80</f>
        <v>11000</v>
      </c>
      <c r="V80" s="492" t="s">
        <v>2166</v>
      </c>
      <c r="W80" s="461" t="s">
        <v>2241</v>
      </c>
      <c r="X80" s="519" t="str">
        <f>$D$34</f>
        <v>m³</v>
      </c>
      <c r="Y80" s="518">
        <v>5.831999999999999</v>
      </c>
      <c r="Z80" s="517">
        <f>$F$34</f>
        <v>710224.707936508</v>
      </c>
      <c r="AA80" s="463">
        <f t="shared" si="29"/>
        <v>4142030.496685714</v>
      </c>
      <c r="AB80" s="516">
        <v>2200</v>
      </c>
      <c r="AC80" s="516">
        <f t="shared" ref="AC80:AC84" si="33">Y80*AB80</f>
        <v>12830.399999999998</v>
      </c>
      <c r="AD80" s="492" t="s">
        <v>2166</v>
      </c>
      <c r="AE80" s="461" t="s">
        <v>2241</v>
      </c>
      <c r="AF80" s="519" t="str">
        <f>$D$34</f>
        <v>m³</v>
      </c>
      <c r="AG80" s="518">
        <v>7.2</v>
      </c>
      <c r="AH80" s="517">
        <f>$F$34</f>
        <v>710224.707936508</v>
      </c>
      <c r="AI80" s="463">
        <f t="shared" si="30"/>
        <v>5113617.8971428573</v>
      </c>
      <c r="AJ80" s="516">
        <v>2200</v>
      </c>
      <c r="AK80" s="516">
        <f t="shared" ref="AK80:AK84" si="34">AG80*AJ80</f>
        <v>15840</v>
      </c>
    </row>
    <row r="81" spans="2:37" ht="15" customHeight="1">
      <c r="B81" s="492" t="s">
        <v>2168</v>
      </c>
      <c r="C81" s="461" t="s">
        <v>2242</v>
      </c>
      <c r="D81" s="519" t="str">
        <f>$D$35</f>
        <v>m³</v>
      </c>
      <c r="E81" s="518">
        <v>27.169550895304297</v>
      </c>
      <c r="F81" s="416">
        <f t="shared" si="25"/>
        <v>1115864.6138095236</v>
      </c>
      <c r="G81" s="463">
        <f t="shared" si="28"/>
        <v>30317540.417166926</v>
      </c>
      <c r="H81" s="516">
        <v>2400</v>
      </c>
      <c r="I81" s="516">
        <f t="shared" si="31"/>
        <v>65206.922148730315</v>
      </c>
      <c r="N81" s="492" t="s">
        <v>2168</v>
      </c>
      <c r="O81" s="461" t="s">
        <v>2242</v>
      </c>
      <c r="P81" s="519" t="str">
        <f>$D$35</f>
        <v>m³</v>
      </c>
      <c r="Q81" s="518">
        <v>54.163276297137834</v>
      </c>
      <c r="R81" s="517">
        <f>$F$35</f>
        <v>1115864.6138095236</v>
      </c>
      <c r="S81" s="463">
        <f t="shared" si="27"/>
        <v>60438883.387964234</v>
      </c>
      <c r="T81" s="516">
        <v>2400</v>
      </c>
      <c r="U81" s="516">
        <f t="shared" si="32"/>
        <v>129991.86311313081</v>
      </c>
      <c r="V81" s="492" t="s">
        <v>2168</v>
      </c>
      <c r="W81" s="461" t="s">
        <v>2242</v>
      </c>
      <c r="X81" s="519" t="str">
        <f>$D$35</f>
        <v>m³</v>
      </c>
      <c r="Y81" s="518">
        <v>65.65966190132697</v>
      </c>
      <c r="Z81" s="517">
        <f>$F$35</f>
        <v>1115864.6138095236</v>
      </c>
      <c r="AA81" s="463">
        <f t="shared" si="29"/>
        <v>73267293.270388111</v>
      </c>
      <c r="AB81" s="516">
        <v>2400</v>
      </c>
      <c r="AC81" s="516">
        <f t="shared" si="33"/>
        <v>157583.18856318473</v>
      </c>
      <c r="AD81" s="492" t="s">
        <v>2168</v>
      </c>
      <c r="AE81" s="461" t="s">
        <v>2242</v>
      </c>
      <c r="AF81" s="519" t="str">
        <f>$D$35</f>
        <v>m³</v>
      </c>
      <c r="AG81" s="518">
        <v>84.971175715987783</v>
      </c>
      <c r="AH81" s="517">
        <f>$F$35</f>
        <v>1115864.6138095236</v>
      </c>
      <c r="AI81" s="463">
        <f t="shared" si="30"/>
        <v>94816328.175261885</v>
      </c>
      <c r="AJ81" s="516">
        <v>2400</v>
      </c>
      <c r="AK81" s="516">
        <f t="shared" si="34"/>
        <v>203930.82171837069</v>
      </c>
    </row>
    <row r="82" spans="2:37" ht="15" customHeight="1">
      <c r="B82" s="492" t="s">
        <v>2170</v>
      </c>
      <c r="C82" s="461" t="s">
        <v>2243</v>
      </c>
      <c r="D82" s="519" t="str">
        <f>$D$36</f>
        <v>kg</v>
      </c>
      <c r="E82" s="518">
        <v>2809.44</v>
      </c>
      <c r="F82" s="416">
        <f t="shared" si="25"/>
        <v>19478.039350000003</v>
      </c>
      <c r="G82" s="463">
        <f t="shared" si="28"/>
        <v>54722382.871464007</v>
      </c>
      <c r="H82" s="516">
        <v>1</v>
      </c>
      <c r="I82" s="516">
        <f t="shared" si="31"/>
        <v>2809.44</v>
      </c>
      <c r="N82" s="492" t="s">
        <v>2170</v>
      </c>
      <c r="O82" s="461" t="s">
        <v>2243</v>
      </c>
      <c r="P82" s="519" t="str">
        <f>$D$36</f>
        <v>kg</v>
      </c>
      <c r="Q82" s="518">
        <v>5965.48</v>
      </c>
      <c r="R82" s="517">
        <f>$F$36</f>
        <v>19478.039350000003</v>
      </c>
      <c r="S82" s="463">
        <f t="shared" si="27"/>
        <v>116195854.181638</v>
      </c>
      <c r="T82" s="516">
        <v>1</v>
      </c>
      <c r="U82" s="516">
        <f t="shared" si="32"/>
        <v>5965.48</v>
      </c>
      <c r="V82" s="492" t="s">
        <v>2170</v>
      </c>
      <c r="W82" s="461" t="s">
        <v>2243</v>
      </c>
      <c r="X82" s="519" t="str">
        <f>$D$36</f>
        <v>kg</v>
      </c>
      <c r="Y82" s="518">
        <v>7075.4</v>
      </c>
      <c r="Z82" s="517">
        <f>$F$36</f>
        <v>19478.039350000003</v>
      </c>
      <c r="AA82" s="463">
        <f t="shared" si="29"/>
        <v>137814919.61699</v>
      </c>
      <c r="AB82" s="516">
        <v>1</v>
      </c>
      <c r="AC82" s="516">
        <f t="shared" si="33"/>
        <v>7075.4</v>
      </c>
      <c r="AD82" s="492" t="s">
        <v>2170</v>
      </c>
      <c r="AE82" s="461" t="s">
        <v>2243</v>
      </c>
      <c r="AF82" s="519" t="str">
        <f>$D$36</f>
        <v>kg</v>
      </c>
      <c r="AG82" s="518">
        <v>9959.44</v>
      </c>
      <c r="AH82" s="517">
        <f>$F$36</f>
        <v>19478.039350000003</v>
      </c>
      <c r="AI82" s="463">
        <f t="shared" si="30"/>
        <v>193990364.22396404</v>
      </c>
      <c r="AJ82" s="516">
        <v>1</v>
      </c>
      <c r="AK82" s="516">
        <f t="shared" si="34"/>
        <v>9959.44</v>
      </c>
    </row>
    <row r="83" spans="2:37" ht="15" customHeight="1">
      <c r="B83" s="492" t="s">
        <v>2172</v>
      </c>
      <c r="C83" s="461" t="s">
        <v>2244</v>
      </c>
      <c r="D83" s="519" t="str">
        <f>$D$37</f>
        <v>m²</v>
      </c>
      <c r="E83" s="518">
        <v>47.36</v>
      </c>
      <c r="F83" s="416">
        <f t="shared" si="25"/>
        <v>145812.67000000001</v>
      </c>
      <c r="G83" s="463">
        <f t="shared" si="28"/>
        <v>6905688.0512000006</v>
      </c>
      <c r="H83" s="516">
        <v>40</v>
      </c>
      <c r="I83" s="516">
        <f t="shared" si="31"/>
        <v>1894.4</v>
      </c>
      <c r="N83" s="492" t="s">
        <v>2172</v>
      </c>
      <c r="O83" s="461" t="s">
        <v>2244</v>
      </c>
      <c r="P83" s="519" t="str">
        <f>$D$37</f>
        <v>m²</v>
      </c>
      <c r="Q83" s="518">
        <v>69.92</v>
      </c>
      <c r="R83" s="517">
        <f>$F$37</f>
        <v>145812.67000000001</v>
      </c>
      <c r="S83" s="463">
        <f t="shared" si="27"/>
        <v>10195221.886400001</v>
      </c>
      <c r="T83" s="516">
        <v>40</v>
      </c>
      <c r="U83" s="516">
        <f t="shared" si="32"/>
        <v>2796.8</v>
      </c>
      <c r="V83" s="492" t="s">
        <v>2172</v>
      </c>
      <c r="W83" s="461" t="s">
        <v>2244</v>
      </c>
      <c r="X83" s="519" t="str">
        <f>$D$37</f>
        <v>m²</v>
      </c>
      <c r="Y83" s="518">
        <v>72.08</v>
      </c>
      <c r="Z83" s="517">
        <f>$F$37</f>
        <v>145812.67000000001</v>
      </c>
      <c r="AA83" s="463">
        <f t="shared" si="29"/>
        <v>10510177.253600001</v>
      </c>
      <c r="AB83" s="516">
        <v>40</v>
      </c>
      <c r="AC83" s="516">
        <f t="shared" si="33"/>
        <v>2883.2</v>
      </c>
      <c r="AD83" s="492" t="s">
        <v>2172</v>
      </c>
      <c r="AE83" s="461" t="s">
        <v>2244</v>
      </c>
      <c r="AF83" s="519" t="str">
        <f>$D$37</f>
        <v>m²</v>
      </c>
      <c r="AG83" s="518">
        <v>87.64</v>
      </c>
      <c r="AH83" s="517">
        <f>$F$37</f>
        <v>145812.67000000001</v>
      </c>
      <c r="AI83" s="463">
        <f t="shared" si="30"/>
        <v>12779022.398800001</v>
      </c>
      <c r="AJ83" s="516">
        <v>40</v>
      </c>
      <c r="AK83" s="516">
        <f t="shared" si="34"/>
        <v>3505.6</v>
      </c>
    </row>
    <row r="84" spans="2:37" ht="15" customHeight="1">
      <c r="B84" s="492" t="s">
        <v>2174</v>
      </c>
      <c r="C84" s="491" t="s">
        <v>2246</v>
      </c>
      <c r="D84" s="519" t="str">
        <f>$D$38</f>
        <v>bh</v>
      </c>
      <c r="E84" s="518">
        <v>4</v>
      </c>
      <c r="F84" s="416">
        <f t="shared" si="25"/>
        <v>100000</v>
      </c>
      <c r="G84" s="463">
        <f t="shared" si="28"/>
        <v>400000</v>
      </c>
      <c r="H84" s="516">
        <v>2.5</v>
      </c>
      <c r="I84" s="516">
        <f t="shared" si="31"/>
        <v>10</v>
      </c>
      <c r="N84" s="492" t="s">
        <v>2174</v>
      </c>
      <c r="O84" s="491" t="s">
        <v>2246</v>
      </c>
      <c r="P84" s="519" t="str">
        <f>$D$38</f>
        <v>bh</v>
      </c>
      <c r="Q84" s="518">
        <v>4</v>
      </c>
      <c r="R84" s="517">
        <f>$F$38</f>
        <v>100000</v>
      </c>
      <c r="S84" s="463">
        <f t="shared" si="27"/>
        <v>400000</v>
      </c>
      <c r="T84" s="516">
        <v>2.5</v>
      </c>
      <c r="U84" s="516">
        <f t="shared" si="32"/>
        <v>10</v>
      </c>
      <c r="V84" s="492" t="s">
        <v>2174</v>
      </c>
      <c r="W84" s="491" t="s">
        <v>2246</v>
      </c>
      <c r="X84" s="519" t="str">
        <f>$D$38</f>
        <v>bh</v>
      </c>
      <c r="Y84" s="518">
        <v>4</v>
      </c>
      <c r="Z84" s="517">
        <f>$F$38</f>
        <v>100000</v>
      </c>
      <c r="AA84" s="463">
        <f t="shared" si="29"/>
        <v>400000</v>
      </c>
      <c r="AB84" s="516">
        <v>2.5</v>
      </c>
      <c r="AC84" s="516">
        <f t="shared" si="33"/>
        <v>10</v>
      </c>
      <c r="AD84" s="492" t="s">
        <v>2174</v>
      </c>
      <c r="AE84" s="491" t="s">
        <v>2246</v>
      </c>
      <c r="AF84" s="519" t="str">
        <f>$D$38</f>
        <v>bh</v>
      </c>
      <c r="AG84" s="518">
        <v>4</v>
      </c>
      <c r="AH84" s="517">
        <f>$F$38</f>
        <v>100000</v>
      </c>
      <c r="AI84" s="463">
        <f t="shared" si="30"/>
        <v>400000</v>
      </c>
      <c r="AJ84" s="516">
        <v>2.5</v>
      </c>
      <c r="AK84" s="516">
        <f t="shared" si="34"/>
        <v>10</v>
      </c>
    </row>
    <row r="85" spans="2:37" ht="15" customHeight="1">
      <c r="B85" s="492"/>
      <c r="C85" s="461"/>
      <c r="D85" s="519"/>
      <c r="E85" s="518"/>
      <c r="F85" s="416">
        <f t="shared" si="25"/>
        <v>0</v>
      </c>
      <c r="G85" s="463"/>
      <c r="I85" s="516">
        <f>SUM(I79:I84)</f>
        <v>85130.762148730311</v>
      </c>
      <c r="N85" s="492"/>
      <c r="O85" s="461"/>
      <c r="P85" s="519"/>
      <c r="Q85" s="518"/>
      <c r="R85" s="517"/>
      <c r="S85" s="463">
        <f t="shared" si="27"/>
        <v>0</v>
      </c>
      <c r="U85" s="516">
        <f>SUM(U79:U84)</f>
        <v>163764.14311313079</v>
      </c>
      <c r="V85" s="492"/>
      <c r="W85" s="461"/>
      <c r="X85" s="519"/>
      <c r="Y85" s="518"/>
      <c r="Z85" s="517"/>
      <c r="AA85" s="463"/>
      <c r="AC85" s="516">
        <f>SUM(AC79:AC84)</f>
        <v>196711.78856318473</v>
      </c>
      <c r="AD85" s="492"/>
      <c r="AE85" s="461"/>
      <c r="AF85" s="519"/>
      <c r="AG85" s="518"/>
      <c r="AH85" s="517"/>
      <c r="AI85" s="463"/>
      <c r="AK85" s="516">
        <f>SUM(AK79:AK84)</f>
        <v>253405.8617183707</v>
      </c>
    </row>
    <row r="86" spans="2:37" ht="15" customHeight="1">
      <c r="B86" s="507">
        <v>3</v>
      </c>
      <c r="C86" s="460" t="s">
        <v>2086</v>
      </c>
      <c r="D86" s="519"/>
      <c r="E86" s="518"/>
      <c r="F86" s="416">
        <f t="shared" si="25"/>
        <v>0</v>
      </c>
      <c r="G86" s="463"/>
      <c r="N86" s="507">
        <v>3</v>
      </c>
      <c r="O86" s="460" t="s">
        <v>2086</v>
      </c>
      <c r="P86" s="519"/>
      <c r="Q86" s="518"/>
      <c r="R86" s="517"/>
      <c r="S86" s="463">
        <f t="shared" si="27"/>
        <v>0</v>
      </c>
      <c r="V86" s="507">
        <v>3</v>
      </c>
      <c r="W86" s="460" t="s">
        <v>2086</v>
      </c>
      <c r="X86" s="519"/>
      <c r="Y86" s="518"/>
      <c r="Z86" s="517"/>
      <c r="AA86" s="463"/>
      <c r="AD86" s="507">
        <v>3</v>
      </c>
      <c r="AE86" s="460" t="s">
        <v>2086</v>
      </c>
      <c r="AF86" s="519"/>
      <c r="AG86" s="518"/>
      <c r="AH86" s="517"/>
      <c r="AI86" s="463"/>
    </row>
    <row r="87" spans="2:37" ht="15" customHeight="1">
      <c r="B87" s="492" t="s">
        <v>721</v>
      </c>
      <c r="C87" s="461" t="s">
        <v>2247</v>
      </c>
      <c r="D87" s="519" t="str">
        <f>$D$41</f>
        <v>bh</v>
      </c>
      <c r="E87" s="518">
        <v>4</v>
      </c>
      <c r="F87" s="416">
        <f t="shared" si="25"/>
        <v>181849.04</v>
      </c>
      <c r="G87" s="463">
        <f t="shared" ref="G87:G92" si="35">E87*F87</f>
        <v>727396.16</v>
      </c>
      <c r="N87" s="492" t="s">
        <v>721</v>
      </c>
      <c r="O87" s="461" t="s">
        <v>2247</v>
      </c>
      <c r="P87" s="519" t="str">
        <f>$D$41</f>
        <v>bh</v>
      </c>
      <c r="Q87" s="518">
        <v>4</v>
      </c>
      <c r="R87" s="517">
        <f>$F$41</f>
        <v>181849.04</v>
      </c>
      <c r="S87" s="463">
        <f t="shared" si="27"/>
        <v>727396.16</v>
      </c>
      <c r="V87" s="492" t="s">
        <v>721</v>
      </c>
      <c r="W87" s="461" t="s">
        <v>2247</v>
      </c>
      <c r="X87" s="519" t="str">
        <f>$D$41</f>
        <v>bh</v>
      </c>
      <c r="Y87" s="518">
        <v>4</v>
      </c>
      <c r="Z87" s="517">
        <f>$F$41</f>
        <v>181849.04</v>
      </c>
      <c r="AA87" s="463">
        <f t="shared" ref="AA87:AA92" si="36">Y87*Z87</f>
        <v>727396.16</v>
      </c>
      <c r="AD87" s="492" t="s">
        <v>721</v>
      </c>
      <c r="AE87" s="461" t="s">
        <v>2247</v>
      </c>
      <c r="AF87" s="519" t="str">
        <f>$D$41</f>
        <v>bh</v>
      </c>
      <c r="AG87" s="518">
        <v>4</v>
      </c>
      <c r="AH87" s="517">
        <f>$F$41</f>
        <v>181849.04</v>
      </c>
      <c r="AI87" s="463">
        <f t="shared" ref="AI87:AI92" si="37">AG87*AH87</f>
        <v>727396.16</v>
      </c>
    </row>
    <row r="88" spans="2:37" ht="15" customHeight="1">
      <c r="B88" s="492" t="s">
        <v>2166</v>
      </c>
      <c r="C88" s="461" t="s">
        <v>2085</v>
      </c>
      <c r="D88" s="519" t="str">
        <f>$D$42</f>
        <v>kg</v>
      </c>
      <c r="E88" s="518">
        <f>I85</f>
        <v>85130.762148730311</v>
      </c>
      <c r="F88" s="416">
        <f t="shared" si="25"/>
        <v>462.7700000000001</v>
      </c>
      <c r="G88" s="463">
        <f t="shared" si="35"/>
        <v>39395962.799567938</v>
      </c>
      <c r="N88" s="492" t="s">
        <v>2166</v>
      </c>
      <c r="O88" s="461" t="s">
        <v>2085</v>
      </c>
      <c r="P88" s="519" t="str">
        <f>$D$42</f>
        <v>kg</v>
      </c>
      <c r="Q88" s="518">
        <f>U85</f>
        <v>163764.14311313079</v>
      </c>
      <c r="R88" s="517">
        <f>$F$42</f>
        <v>462.7700000000001</v>
      </c>
      <c r="S88" s="463">
        <f t="shared" si="27"/>
        <v>75785132.508463547</v>
      </c>
      <c r="V88" s="492" t="s">
        <v>2166</v>
      </c>
      <c r="W88" s="461" t="s">
        <v>2085</v>
      </c>
      <c r="X88" s="519" t="str">
        <f>$D$42</f>
        <v>kg</v>
      </c>
      <c r="Y88" s="518">
        <f>AC85</f>
        <v>196711.78856318473</v>
      </c>
      <c r="Z88" s="517">
        <f>$F$42</f>
        <v>462.7700000000001</v>
      </c>
      <c r="AA88" s="463">
        <f t="shared" si="36"/>
        <v>91032314.393385023</v>
      </c>
      <c r="AD88" s="492" t="s">
        <v>2166</v>
      </c>
      <c r="AE88" s="461" t="s">
        <v>2085</v>
      </c>
      <c r="AF88" s="519" t="str">
        <f>$D$42</f>
        <v>kg</v>
      </c>
      <c r="AG88" s="518">
        <f>AK85</f>
        <v>253405.8617183707</v>
      </c>
      <c r="AH88" s="517">
        <f>$F$42</f>
        <v>462.7700000000001</v>
      </c>
      <c r="AI88" s="463">
        <f t="shared" si="37"/>
        <v>117268630.62741043</v>
      </c>
    </row>
    <row r="89" spans="2:37" ht="15" customHeight="1">
      <c r="B89" s="492" t="s">
        <v>2168</v>
      </c>
      <c r="C89" s="461" t="s">
        <v>2249</v>
      </c>
      <c r="D89" s="519" t="str">
        <f>$D$43</f>
        <v>bh</v>
      </c>
      <c r="E89" s="518">
        <v>4</v>
      </c>
      <c r="F89" s="416">
        <f t="shared" si="25"/>
        <v>387825</v>
      </c>
      <c r="G89" s="463">
        <f t="shared" si="35"/>
        <v>1551300</v>
      </c>
      <c r="N89" s="492" t="s">
        <v>2168</v>
      </c>
      <c r="O89" s="461" t="s">
        <v>2249</v>
      </c>
      <c r="P89" s="519" t="str">
        <f>$D$43</f>
        <v>bh</v>
      </c>
      <c r="Q89" s="518">
        <v>4</v>
      </c>
      <c r="R89" s="517">
        <f>$F$43</f>
        <v>387825</v>
      </c>
      <c r="S89" s="463">
        <f t="shared" si="27"/>
        <v>1551300</v>
      </c>
      <c r="V89" s="492" t="s">
        <v>2168</v>
      </c>
      <c r="W89" s="461" t="s">
        <v>2249</v>
      </c>
      <c r="X89" s="519" t="str">
        <f>$D$43</f>
        <v>bh</v>
      </c>
      <c r="Y89" s="518">
        <v>4</v>
      </c>
      <c r="Z89" s="517">
        <f>$F$43</f>
        <v>387825</v>
      </c>
      <c r="AA89" s="463">
        <f t="shared" si="36"/>
        <v>1551300</v>
      </c>
      <c r="AD89" s="492" t="s">
        <v>2168</v>
      </c>
      <c r="AE89" s="461" t="s">
        <v>2249</v>
      </c>
      <c r="AF89" s="519" t="str">
        <f>$D$43</f>
        <v>bh</v>
      </c>
      <c r="AG89" s="518">
        <v>4</v>
      </c>
      <c r="AH89" s="517">
        <f>$F$43</f>
        <v>387825</v>
      </c>
      <c r="AI89" s="463">
        <f t="shared" si="37"/>
        <v>1551300</v>
      </c>
    </row>
    <row r="90" spans="2:37" ht="15" customHeight="1">
      <c r="B90" s="492" t="s">
        <v>2170</v>
      </c>
      <c r="C90" s="461" t="s">
        <v>2250</v>
      </c>
      <c r="D90" s="519" t="str">
        <f>$D$44</f>
        <v>kg</v>
      </c>
      <c r="E90" s="518">
        <v>251.56</v>
      </c>
      <c r="F90" s="416">
        <f t="shared" si="25"/>
        <v>2255.2190729845765</v>
      </c>
      <c r="G90" s="463">
        <f t="shared" si="35"/>
        <v>567322.91</v>
      </c>
      <c r="N90" s="492" t="s">
        <v>2170</v>
      </c>
      <c r="O90" s="461" t="s">
        <v>2250</v>
      </c>
      <c r="P90" s="519" t="str">
        <f>$D$44</f>
        <v>kg</v>
      </c>
      <c r="Q90" s="518">
        <v>399.36</v>
      </c>
      <c r="R90" s="517">
        <f>$F$44</f>
        <v>2255.2190729845765</v>
      </c>
      <c r="S90" s="463">
        <f t="shared" si="27"/>
        <v>900644.2889871205</v>
      </c>
      <c r="V90" s="492" t="s">
        <v>2170</v>
      </c>
      <c r="W90" s="461" t="s">
        <v>2250</v>
      </c>
      <c r="X90" s="519" t="str">
        <f>$D$44</f>
        <v>kg</v>
      </c>
      <c r="Y90" s="518">
        <v>519.12</v>
      </c>
      <c r="Z90" s="517">
        <f>$F$44</f>
        <v>2255.2190729845765</v>
      </c>
      <c r="AA90" s="463">
        <f t="shared" si="36"/>
        <v>1170729.3251677535</v>
      </c>
      <c r="AD90" s="492" t="s">
        <v>2170</v>
      </c>
      <c r="AE90" s="461" t="s">
        <v>2250</v>
      </c>
      <c r="AF90" s="519" t="str">
        <f>$D$44</f>
        <v>kg</v>
      </c>
      <c r="AG90" s="518">
        <v>671.96</v>
      </c>
      <c r="AH90" s="517">
        <f>$F$44</f>
        <v>2255.2190729845765</v>
      </c>
      <c r="AI90" s="463">
        <f t="shared" si="37"/>
        <v>1515417.0082827162</v>
      </c>
    </row>
    <row r="91" spans="2:37" ht="15" customHeight="1">
      <c r="B91" s="492" t="s">
        <v>2172</v>
      </c>
      <c r="C91" s="461" t="s">
        <v>2251</v>
      </c>
      <c r="D91" s="519" t="str">
        <f>$D$45</f>
        <v>set</v>
      </c>
      <c r="E91" s="518">
        <v>1</v>
      </c>
      <c r="F91" s="416">
        <f t="shared" si="25"/>
        <v>855127</v>
      </c>
      <c r="G91" s="463">
        <f t="shared" si="35"/>
        <v>855127</v>
      </c>
      <c r="N91" s="492" t="s">
        <v>2172</v>
      </c>
      <c r="O91" s="461" t="s">
        <v>2251</v>
      </c>
      <c r="P91" s="519" t="str">
        <f>$D$45</f>
        <v>set</v>
      </c>
      <c r="Q91" s="518">
        <v>1</v>
      </c>
      <c r="R91" s="517">
        <f>$F$45</f>
        <v>855127</v>
      </c>
      <c r="S91" s="463">
        <f t="shared" si="27"/>
        <v>855127</v>
      </c>
      <c r="V91" s="492" t="s">
        <v>2172</v>
      </c>
      <c r="W91" s="461" t="s">
        <v>2251</v>
      </c>
      <c r="X91" s="519" t="str">
        <f>$D$45</f>
        <v>set</v>
      </c>
      <c r="Y91" s="518">
        <v>1</v>
      </c>
      <c r="Z91" s="517">
        <f>$F$45</f>
        <v>855127</v>
      </c>
      <c r="AA91" s="463">
        <f t="shared" si="36"/>
        <v>855127</v>
      </c>
      <c r="AD91" s="492" t="s">
        <v>2172</v>
      </c>
      <c r="AE91" s="461" t="s">
        <v>2251</v>
      </c>
      <c r="AF91" s="519" t="str">
        <f>$D$45</f>
        <v>set</v>
      </c>
      <c r="AG91" s="518">
        <v>1</v>
      </c>
      <c r="AH91" s="517">
        <f>$F$45</f>
        <v>855127</v>
      </c>
      <c r="AI91" s="463">
        <f t="shared" si="37"/>
        <v>855127</v>
      </c>
    </row>
    <row r="92" spans="2:37" ht="15" customHeight="1">
      <c r="B92" s="492" t="s">
        <v>2174</v>
      </c>
      <c r="C92" s="461" t="s">
        <v>2252</v>
      </c>
      <c r="D92" s="519" t="str">
        <f>$D$46</f>
        <v>set</v>
      </c>
      <c r="E92" s="518">
        <v>1</v>
      </c>
      <c r="F92" s="416">
        <f t="shared" si="25"/>
        <v>674025</v>
      </c>
      <c r="G92" s="463">
        <f t="shared" si="35"/>
        <v>674025</v>
      </c>
      <c r="N92" s="492" t="s">
        <v>2174</v>
      </c>
      <c r="O92" s="461" t="s">
        <v>2252</v>
      </c>
      <c r="P92" s="519" t="str">
        <f>$D$46</f>
        <v>set</v>
      </c>
      <c r="Q92" s="518">
        <v>1</v>
      </c>
      <c r="R92" s="517">
        <f>$F$46</f>
        <v>674025</v>
      </c>
      <c r="S92" s="463">
        <f t="shared" si="27"/>
        <v>674025</v>
      </c>
      <c r="V92" s="492" t="s">
        <v>2174</v>
      </c>
      <c r="W92" s="461" t="s">
        <v>2252</v>
      </c>
      <c r="X92" s="519" t="str">
        <f>$D$46</f>
        <v>set</v>
      </c>
      <c r="Y92" s="518">
        <v>1</v>
      </c>
      <c r="Z92" s="517">
        <f>$F$46</f>
        <v>674025</v>
      </c>
      <c r="AA92" s="463">
        <f t="shared" si="36"/>
        <v>674025</v>
      </c>
      <c r="AD92" s="492" t="s">
        <v>2174</v>
      </c>
      <c r="AE92" s="461" t="s">
        <v>2252</v>
      </c>
      <c r="AF92" s="519" t="str">
        <f>$D$46</f>
        <v>set</v>
      </c>
      <c r="AG92" s="518">
        <v>1</v>
      </c>
      <c r="AH92" s="517">
        <f>$F$46</f>
        <v>674025</v>
      </c>
      <c r="AI92" s="463">
        <f t="shared" si="37"/>
        <v>674025</v>
      </c>
    </row>
    <row r="93" spans="2:37" ht="15" customHeight="1" thickBot="1">
      <c r="B93" s="459"/>
      <c r="C93" s="1194" t="s">
        <v>2258</v>
      </c>
      <c r="D93" s="1195"/>
      <c r="E93" s="1195"/>
      <c r="F93" s="1196"/>
      <c r="G93" s="458">
        <f>SUM(G75:G92)</f>
        <v>169390984.66325274</v>
      </c>
      <c r="N93" s="459"/>
      <c r="O93" s="1194" t="s">
        <v>2258</v>
      </c>
      <c r="P93" s="1195"/>
      <c r="Q93" s="1195"/>
      <c r="R93" s="1196"/>
      <c r="S93" s="458">
        <f>SUM(S75:S92)</f>
        <v>333074646.87078941</v>
      </c>
      <c r="V93" s="459"/>
      <c r="W93" s="1194" t="s">
        <v>2258</v>
      </c>
      <c r="X93" s="1195"/>
      <c r="Y93" s="1195"/>
      <c r="Z93" s="1196"/>
      <c r="AA93" s="458">
        <f>SUM(AA75:AA92)</f>
        <v>377467942.76628697</v>
      </c>
      <c r="AD93" s="459"/>
      <c r="AE93" s="1194" t="s">
        <v>2258</v>
      </c>
      <c r="AF93" s="1195"/>
      <c r="AG93" s="1195"/>
      <c r="AH93" s="1196"/>
      <c r="AI93" s="458">
        <f>SUM(AI75:AI92)</f>
        <v>517286351.1537745</v>
      </c>
    </row>
    <row r="94" spans="2:37" ht="15" customHeight="1" thickBot="1">
      <c r="B94" s="457"/>
      <c r="C94" s="456"/>
      <c r="D94" s="457"/>
      <c r="E94" s="455"/>
      <c r="F94" s="415"/>
      <c r="G94" s="453"/>
      <c r="N94" s="457"/>
      <c r="O94" s="456"/>
      <c r="P94" s="457"/>
      <c r="Q94" s="455"/>
      <c r="R94" s="454"/>
      <c r="S94" s="453"/>
      <c r="V94" s="457"/>
      <c r="W94" s="456"/>
      <c r="X94" s="457"/>
      <c r="Y94" s="455"/>
      <c r="Z94" s="454"/>
      <c r="AA94" s="453"/>
      <c r="AD94" s="457"/>
      <c r="AE94" s="456"/>
      <c r="AF94" s="457"/>
      <c r="AG94" s="455"/>
      <c r="AH94" s="454"/>
      <c r="AI94" s="453"/>
    </row>
    <row r="95" spans="2:37" ht="15" customHeight="1" thickBot="1">
      <c r="B95" s="452" t="s">
        <v>2229</v>
      </c>
      <c r="C95" s="435"/>
      <c r="D95" s="434"/>
      <c r="E95" s="433"/>
      <c r="F95" s="411"/>
      <c r="G95" s="431"/>
      <c r="N95" s="452" t="s">
        <v>2230</v>
      </c>
      <c r="O95" s="435"/>
      <c r="P95" s="434"/>
      <c r="Q95" s="433"/>
      <c r="R95" s="432"/>
      <c r="S95" s="431"/>
      <c r="V95" s="452" t="s">
        <v>2231</v>
      </c>
      <c r="W95" s="435"/>
      <c r="X95" s="434"/>
      <c r="Y95" s="433"/>
      <c r="Z95" s="432"/>
      <c r="AA95" s="431"/>
      <c r="AD95" s="452" t="s">
        <v>2254</v>
      </c>
      <c r="AE95" s="435"/>
      <c r="AF95" s="434"/>
      <c r="AG95" s="433"/>
      <c r="AH95" s="432"/>
      <c r="AI95" s="431"/>
    </row>
    <row r="96" spans="2:37" ht="15" customHeight="1">
      <c r="B96" s="446"/>
      <c r="C96" s="445" t="s">
        <v>2259</v>
      </c>
      <c r="D96" s="444"/>
      <c r="E96" s="443"/>
      <c r="F96" s="413"/>
      <c r="G96" s="441"/>
      <c r="N96" s="446"/>
      <c r="O96" s="445" t="s">
        <v>2259</v>
      </c>
      <c r="P96" s="444"/>
      <c r="Q96" s="443"/>
      <c r="R96" s="442"/>
      <c r="S96" s="441"/>
      <c r="V96" s="446"/>
      <c r="W96" s="445" t="s">
        <v>2259</v>
      </c>
      <c r="X96" s="444"/>
      <c r="Y96" s="443"/>
      <c r="Z96" s="442"/>
      <c r="AA96" s="441"/>
      <c r="AD96" s="446"/>
      <c r="AE96" s="445" t="s">
        <v>2259</v>
      </c>
      <c r="AF96" s="444"/>
      <c r="AG96" s="443"/>
      <c r="AH96" s="442"/>
      <c r="AI96" s="441"/>
    </row>
    <row r="97" spans="2:37" ht="15" customHeight="1">
      <c r="B97" s="468">
        <v>1</v>
      </c>
      <c r="C97" s="467" t="s">
        <v>2234</v>
      </c>
      <c r="D97" s="519"/>
      <c r="E97" s="466"/>
      <c r="F97" s="417"/>
      <c r="G97" s="486"/>
      <c r="N97" s="468">
        <v>1</v>
      </c>
      <c r="O97" s="467" t="s">
        <v>2234</v>
      </c>
      <c r="P97" s="519"/>
      <c r="Q97" s="466"/>
      <c r="R97" s="465"/>
      <c r="S97" s="486"/>
      <c r="V97" s="468">
        <v>1</v>
      </c>
      <c r="W97" s="467" t="s">
        <v>2234</v>
      </c>
      <c r="X97" s="519"/>
      <c r="Y97" s="466"/>
      <c r="Z97" s="465"/>
      <c r="AA97" s="486"/>
      <c r="AD97" s="468">
        <v>1</v>
      </c>
      <c r="AE97" s="467" t="s">
        <v>2234</v>
      </c>
      <c r="AF97" s="519"/>
      <c r="AG97" s="466"/>
      <c r="AH97" s="465"/>
      <c r="AI97" s="486"/>
    </row>
    <row r="98" spans="2:37" ht="15" customHeight="1">
      <c r="B98" s="492" t="s">
        <v>721</v>
      </c>
      <c r="C98" s="464" t="s">
        <v>2235</v>
      </c>
      <c r="D98" s="519" t="str">
        <f>$D$29</f>
        <v>m³</v>
      </c>
      <c r="E98" s="518">
        <v>162.15</v>
      </c>
      <c r="F98" s="416">
        <f>$F$29</f>
        <v>102390.75000000001</v>
      </c>
      <c r="G98" s="463">
        <f>E98*F98</f>
        <v>16602660.112500003</v>
      </c>
      <c r="N98" s="492" t="s">
        <v>721</v>
      </c>
      <c r="O98" s="464" t="s">
        <v>2235</v>
      </c>
      <c r="P98" s="519" t="str">
        <f>$D$29</f>
        <v>m³</v>
      </c>
      <c r="Q98" s="518">
        <v>268.74600000000004</v>
      </c>
      <c r="R98" s="517">
        <f>$F$29</f>
        <v>102390.75000000001</v>
      </c>
      <c r="S98" s="463">
        <f>Q98*R98</f>
        <v>27517104.499500006</v>
      </c>
      <c r="V98" s="492" t="s">
        <v>721</v>
      </c>
      <c r="W98" s="464" t="s">
        <v>2235</v>
      </c>
      <c r="X98" s="519" t="str">
        <f>$D$29</f>
        <v>m³</v>
      </c>
      <c r="Y98" s="518">
        <v>358.04300000000001</v>
      </c>
      <c r="Z98" s="517">
        <f>$F$29</f>
        <v>102390.75000000001</v>
      </c>
      <c r="AA98" s="463">
        <f>Y98*Z98</f>
        <v>36660291.302250005</v>
      </c>
      <c r="AD98" s="492" t="s">
        <v>721</v>
      </c>
      <c r="AE98" s="464" t="s">
        <v>2235</v>
      </c>
      <c r="AF98" s="519" t="str">
        <f>$D$29</f>
        <v>m³</v>
      </c>
      <c r="AG98" s="518">
        <v>505.76700000000005</v>
      </c>
      <c r="AH98" s="517">
        <f>$F$29</f>
        <v>102390.75000000001</v>
      </c>
      <c r="AI98" s="463">
        <f>AG98*AH98</f>
        <v>51785862.45525001</v>
      </c>
    </row>
    <row r="99" spans="2:37" ht="15" customHeight="1">
      <c r="B99" s="492" t="s">
        <v>2166</v>
      </c>
      <c r="C99" s="464" t="s">
        <v>2237</v>
      </c>
      <c r="D99" s="519" t="str">
        <f>$D$30</f>
        <v>m³</v>
      </c>
      <c r="E99" s="518">
        <v>125.12847336723772</v>
      </c>
      <c r="F99" s="416">
        <f>$F$30</f>
        <v>62462.950000000012</v>
      </c>
      <c r="G99" s="463">
        <f>E99*F99</f>
        <v>7815893.5755141024</v>
      </c>
      <c r="N99" s="492" t="s">
        <v>2166</v>
      </c>
      <c r="O99" s="464" t="s">
        <v>2237</v>
      </c>
      <c r="P99" s="519" t="str">
        <f>$D$30</f>
        <v>m³</v>
      </c>
      <c r="Q99" s="518">
        <v>196.36045905131112</v>
      </c>
      <c r="R99" s="517">
        <f>$F$30</f>
        <v>62462.950000000012</v>
      </c>
      <c r="S99" s="463">
        <f t="shared" ref="S99:S115" si="38">Q99*R99</f>
        <v>12265253.535699096</v>
      </c>
      <c r="V99" s="492" t="s">
        <v>2166</v>
      </c>
      <c r="W99" s="464" t="s">
        <v>2237</v>
      </c>
      <c r="X99" s="519" t="str">
        <f>$D$30</f>
        <v>m³</v>
      </c>
      <c r="Y99" s="518">
        <v>257.31094191412751</v>
      </c>
      <c r="Z99" s="517">
        <f>$F$30</f>
        <v>62462.950000000012</v>
      </c>
      <c r="AA99" s="463">
        <f>Y99*Z99</f>
        <v>16072400.499235054</v>
      </c>
      <c r="AD99" s="492" t="s">
        <v>2166</v>
      </c>
      <c r="AE99" s="464" t="s">
        <v>2237</v>
      </c>
      <c r="AF99" s="519" t="str">
        <f>$D$30</f>
        <v>m³</v>
      </c>
      <c r="AG99" s="518">
        <v>369.2720762761262</v>
      </c>
      <c r="AH99" s="517">
        <f>$F$30</f>
        <v>62462.950000000012</v>
      </c>
      <c r="AI99" s="463">
        <f>AG99*AH99</f>
        <v>23065823.236831862</v>
      </c>
    </row>
    <row r="100" spans="2:37" ht="15" customHeight="1">
      <c r="B100" s="462"/>
      <c r="C100" s="464"/>
      <c r="D100" s="519"/>
      <c r="E100" s="518"/>
      <c r="F100" s="416"/>
      <c r="G100" s="463"/>
      <c r="N100" s="462"/>
      <c r="O100" s="464"/>
      <c r="P100" s="519"/>
      <c r="Q100" s="518"/>
      <c r="R100" s="517"/>
      <c r="S100" s="463">
        <f t="shared" si="38"/>
        <v>0</v>
      </c>
      <c r="V100" s="462"/>
      <c r="W100" s="464"/>
      <c r="X100" s="519"/>
      <c r="Y100" s="518"/>
      <c r="Z100" s="517"/>
      <c r="AA100" s="463"/>
      <c r="AD100" s="462"/>
      <c r="AE100" s="464"/>
      <c r="AF100" s="519"/>
      <c r="AG100" s="518"/>
      <c r="AH100" s="517"/>
      <c r="AI100" s="463"/>
    </row>
    <row r="101" spans="2:37" ht="15" customHeight="1">
      <c r="B101" s="507">
        <v>2</v>
      </c>
      <c r="C101" s="467" t="s">
        <v>2238</v>
      </c>
      <c r="D101" s="519"/>
      <c r="E101" s="518"/>
      <c r="F101" s="416"/>
      <c r="G101" s="463"/>
      <c r="H101" s="516" t="s">
        <v>2239</v>
      </c>
      <c r="N101" s="507">
        <v>2</v>
      </c>
      <c r="O101" s="467" t="s">
        <v>2238</v>
      </c>
      <c r="P101" s="519"/>
      <c r="Q101" s="518"/>
      <c r="R101" s="517"/>
      <c r="S101" s="463">
        <f t="shared" si="38"/>
        <v>0</v>
      </c>
      <c r="T101" s="516" t="s">
        <v>2239</v>
      </c>
      <c r="V101" s="507">
        <v>2</v>
      </c>
      <c r="W101" s="467" t="s">
        <v>2238</v>
      </c>
      <c r="X101" s="519"/>
      <c r="Y101" s="518"/>
      <c r="Z101" s="517"/>
      <c r="AA101" s="463"/>
      <c r="AB101" s="516" t="s">
        <v>2239</v>
      </c>
      <c r="AD101" s="507">
        <v>2</v>
      </c>
      <c r="AE101" s="467" t="s">
        <v>2238</v>
      </c>
      <c r="AF101" s="519"/>
      <c r="AG101" s="518"/>
      <c r="AH101" s="517"/>
      <c r="AI101" s="463"/>
      <c r="AJ101" s="516" t="s">
        <v>2239</v>
      </c>
    </row>
    <row r="102" spans="2:37" ht="15" customHeight="1">
      <c r="B102" s="492" t="s">
        <v>721</v>
      </c>
      <c r="C102" s="464" t="s">
        <v>2240</v>
      </c>
      <c r="D102" s="519" t="str">
        <f>$D$33</f>
        <v>m³</v>
      </c>
      <c r="E102" s="518">
        <v>6.4</v>
      </c>
      <c r="F102" s="416">
        <f>$F$33</f>
        <v>404738.95</v>
      </c>
      <c r="G102" s="463">
        <f t="shared" ref="G102:G107" si="39">E102*F102</f>
        <v>2590329.2800000003</v>
      </c>
      <c r="H102" s="516">
        <v>1400</v>
      </c>
      <c r="I102" s="516">
        <f>E102*H102</f>
        <v>8960</v>
      </c>
      <c r="N102" s="492" t="s">
        <v>721</v>
      </c>
      <c r="O102" s="464" t="s">
        <v>2240</v>
      </c>
      <c r="P102" s="519" t="str">
        <f>$D$33</f>
        <v>m³</v>
      </c>
      <c r="Q102" s="518">
        <v>10.816000000000003</v>
      </c>
      <c r="R102" s="517">
        <f>$F$33</f>
        <v>404738.95</v>
      </c>
      <c r="S102" s="463">
        <f t="shared" si="38"/>
        <v>4377656.4832000015</v>
      </c>
      <c r="T102" s="516">
        <v>1400</v>
      </c>
      <c r="U102" s="516">
        <f>Q102*T102</f>
        <v>15142.400000000003</v>
      </c>
      <c r="V102" s="492" t="s">
        <v>721</v>
      </c>
      <c r="W102" s="464" t="s">
        <v>2240</v>
      </c>
      <c r="X102" s="519" t="str">
        <f>$D$33</f>
        <v>m³</v>
      </c>
      <c r="Y102" s="518">
        <v>14.4</v>
      </c>
      <c r="Z102" s="517">
        <f>$F$33</f>
        <v>404738.95</v>
      </c>
      <c r="AA102" s="463">
        <f t="shared" ref="AA102:AA107" si="40">Y102*Z102</f>
        <v>5828240.8799999999</v>
      </c>
      <c r="AB102" s="516">
        <v>1400</v>
      </c>
      <c r="AC102" s="516">
        <f>Y102*AB102</f>
        <v>20160</v>
      </c>
      <c r="AD102" s="492" t="s">
        <v>721</v>
      </c>
      <c r="AE102" s="464" t="s">
        <v>2240</v>
      </c>
      <c r="AF102" s="519" t="str">
        <f>$D$33</f>
        <v>m³</v>
      </c>
      <c r="AG102" s="518">
        <v>19.044000000000004</v>
      </c>
      <c r="AH102" s="517">
        <f>$F$33</f>
        <v>404738.95</v>
      </c>
      <c r="AI102" s="463">
        <f t="shared" ref="AI102:AI107" si="41">AG102*AH102</f>
        <v>7707848.5638000015</v>
      </c>
      <c r="AJ102" s="516">
        <v>1400</v>
      </c>
      <c r="AK102" s="516">
        <f>AG102*AJ102</f>
        <v>26661.600000000006</v>
      </c>
    </row>
    <row r="103" spans="2:37" ht="15" customHeight="1">
      <c r="B103" s="492" t="s">
        <v>2166</v>
      </c>
      <c r="C103" s="461" t="s">
        <v>2241</v>
      </c>
      <c r="D103" s="519" t="str">
        <f>$D$34</f>
        <v>m³</v>
      </c>
      <c r="E103" s="518">
        <v>3.2</v>
      </c>
      <c r="F103" s="416">
        <f>$F$34</f>
        <v>710224.707936508</v>
      </c>
      <c r="G103" s="463">
        <f t="shared" si="39"/>
        <v>2272719.0653968258</v>
      </c>
      <c r="H103" s="516">
        <v>2200</v>
      </c>
      <c r="I103" s="516">
        <f t="shared" ref="I103:I107" si="42">E103*H103</f>
        <v>7040</v>
      </c>
      <c r="N103" s="492" t="s">
        <v>2166</v>
      </c>
      <c r="O103" s="461" t="s">
        <v>2241</v>
      </c>
      <c r="P103" s="519" t="str">
        <f>$D$34</f>
        <v>m³</v>
      </c>
      <c r="Q103" s="518">
        <v>5.4080000000000013</v>
      </c>
      <c r="R103" s="517">
        <f>$F$34</f>
        <v>710224.707936508</v>
      </c>
      <c r="S103" s="463">
        <f t="shared" si="38"/>
        <v>3840895.2205206361</v>
      </c>
      <c r="T103" s="516">
        <v>2200</v>
      </c>
      <c r="U103" s="516">
        <f t="shared" ref="U103:U107" si="43">Q103*T103</f>
        <v>11897.600000000002</v>
      </c>
      <c r="V103" s="492" t="s">
        <v>2166</v>
      </c>
      <c r="W103" s="461" t="s">
        <v>2241</v>
      </c>
      <c r="X103" s="519" t="str">
        <f>$D$34</f>
        <v>m³</v>
      </c>
      <c r="Y103" s="518">
        <v>7.2</v>
      </c>
      <c r="Z103" s="517">
        <f>$F$34</f>
        <v>710224.707936508</v>
      </c>
      <c r="AA103" s="463">
        <f t="shared" si="40"/>
        <v>5113617.8971428573</v>
      </c>
      <c r="AB103" s="516">
        <v>2200</v>
      </c>
      <c r="AC103" s="516">
        <f t="shared" ref="AC103:AC107" si="44">Y103*AB103</f>
        <v>15840</v>
      </c>
      <c r="AD103" s="492" t="s">
        <v>2166</v>
      </c>
      <c r="AE103" s="461" t="s">
        <v>2241</v>
      </c>
      <c r="AF103" s="519" t="str">
        <f>$D$34</f>
        <v>m³</v>
      </c>
      <c r="AG103" s="518">
        <v>9.522000000000002</v>
      </c>
      <c r="AH103" s="517">
        <f>$F$34</f>
        <v>710224.707936508</v>
      </c>
      <c r="AI103" s="463">
        <f t="shared" si="41"/>
        <v>6762759.6689714305</v>
      </c>
      <c r="AJ103" s="516">
        <v>2200</v>
      </c>
      <c r="AK103" s="516">
        <f t="shared" ref="AK103:AK107" si="45">AG103*AJ103</f>
        <v>20948.400000000005</v>
      </c>
    </row>
    <row r="104" spans="2:37" ht="15" customHeight="1">
      <c r="B104" s="492" t="s">
        <v>2168</v>
      </c>
      <c r="C104" s="461" t="s">
        <v>2242</v>
      </c>
      <c r="D104" s="519" t="str">
        <f>$D$35</f>
        <v>m³</v>
      </c>
      <c r="E104" s="518">
        <v>27.927537364033292</v>
      </c>
      <c r="F104" s="416">
        <f>$F$35</f>
        <v>1115864.6138095236</v>
      </c>
      <c r="G104" s="463">
        <f t="shared" si="39"/>
        <v>31163350.695368052</v>
      </c>
      <c r="H104" s="516">
        <v>2400</v>
      </c>
      <c r="I104" s="516">
        <f t="shared" si="42"/>
        <v>67026.089673679904</v>
      </c>
      <c r="N104" s="492" t="s">
        <v>2168</v>
      </c>
      <c r="O104" s="461" t="s">
        <v>2242</v>
      </c>
      <c r="P104" s="519" t="str">
        <f>$D$35</f>
        <v>m³</v>
      </c>
      <c r="Q104" s="518">
        <v>56.773813933526824</v>
      </c>
      <c r="R104" s="517">
        <f>$F$35</f>
        <v>1115864.6138095236</v>
      </c>
      <c r="S104" s="463">
        <f t="shared" si="38"/>
        <v>63351889.959428661</v>
      </c>
      <c r="T104" s="516">
        <v>2400</v>
      </c>
      <c r="U104" s="516">
        <f t="shared" si="43"/>
        <v>136257.15344046438</v>
      </c>
      <c r="V104" s="492" t="s">
        <v>2168</v>
      </c>
      <c r="W104" s="461" t="s">
        <v>2242</v>
      </c>
      <c r="X104" s="519" t="str">
        <f>$D$35</f>
        <v>m³</v>
      </c>
      <c r="Y104" s="518">
        <v>79.860713538902786</v>
      </c>
      <c r="Z104" s="517">
        <f>$F$35</f>
        <v>1115864.6138095236</v>
      </c>
      <c r="AA104" s="463">
        <f t="shared" si="40"/>
        <v>89113744.271640748</v>
      </c>
      <c r="AB104" s="516">
        <v>2400</v>
      </c>
      <c r="AC104" s="516">
        <f t="shared" si="44"/>
        <v>191665.71249336668</v>
      </c>
      <c r="AD104" s="492" t="s">
        <v>2168</v>
      </c>
      <c r="AE104" s="461" t="s">
        <v>2242</v>
      </c>
      <c r="AF104" s="519" t="str">
        <f>$D$35</f>
        <v>m³</v>
      </c>
      <c r="AG104" s="518">
        <v>108.79032905457849</v>
      </c>
      <c r="AH104" s="517">
        <f>$F$35</f>
        <v>1115864.6138095236</v>
      </c>
      <c r="AI104" s="463">
        <f t="shared" si="41"/>
        <v>121395278.51669823</v>
      </c>
      <c r="AJ104" s="516">
        <v>2400</v>
      </c>
      <c r="AK104" s="516">
        <f t="shared" si="45"/>
        <v>261096.78973098838</v>
      </c>
    </row>
    <row r="105" spans="2:37" ht="15" customHeight="1">
      <c r="B105" s="492" t="s">
        <v>2170</v>
      </c>
      <c r="C105" s="461" t="s">
        <v>2243</v>
      </c>
      <c r="D105" s="519" t="str">
        <f>$D$36</f>
        <v>kg</v>
      </c>
      <c r="E105" s="518">
        <v>2909.5200000000004</v>
      </c>
      <c r="F105" s="416">
        <f>$F$36</f>
        <v>19478.039350000003</v>
      </c>
      <c r="G105" s="463">
        <f t="shared" si="39"/>
        <v>56671745.049612015</v>
      </c>
      <c r="H105" s="516">
        <v>1</v>
      </c>
      <c r="I105" s="516">
        <f t="shared" si="42"/>
        <v>2909.5200000000004</v>
      </c>
      <c r="N105" s="492" t="s">
        <v>2170</v>
      </c>
      <c r="O105" s="461" t="s">
        <v>2243</v>
      </c>
      <c r="P105" s="519" t="str">
        <f>$D$36</f>
        <v>kg</v>
      </c>
      <c r="Q105" s="518">
        <v>6656.48</v>
      </c>
      <c r="R105" s="517">
        <f>$F$36</f>
        <v>19478.039350000003</v>
      </c>
      <c r="S105" s="463">
        <f t="shared" si="38"/>
        <v>129655179.37248801</v>
      </c>
      <c r="T105" s="516">
        <v>1</v>
      </c>
      <c r="U105" s="516">
        <f t="shared" si="43"/>
        <v>6656.48</v>
      </c>
      <c r="V105" s="492" t="s">
        <v>2170</v>
      </c>
      <c r="W105" s="461" t="s">
        <v>2243</v>
      </c>
      <c r="X105" s="519" t="str">
        <f>$D$36</f>
        <v>kg</v>
      </c>
      <c r="Y105" s="518">
        <v>9128.8799999999992</v>
      </c>
      <c r="Z105" s="517">
        <f>$F$36</f>
        <v>19478.039350000003</v>
      </c>
      <c r="AA105" s="463">
        <f t="shared" si="40"/>
        <v>177812683.86142802</v>
      </c>
      <c r="AB105" s="516">
        <v>1</v>
      </c>
      <c r="AC105" s="516">
        <f t="shared" si="44"/>
        <v>9128.8799999999992</v>
      </c>
      <c r="AD105" s="492" t="s">
        <v>2170</v>
      </c>
      <c r="AE105" s="461" t="s">
        <v>2243</v>
      </c>
      <c r="AF105" s="519" t="str">
        <f>$D$36</f>
        <v>kg</v>
      </c>
      <c r="AG105" s="518">
        <v>12713.519999999999</v>
      </c>
      <c r="AH105" s="517">
        <f>$F$36</f>
        <v>19478.039350000003</v>
      </c>
      <c r="AI105" s="463">
        <f t="shared" si="41"/>
        <v>247634442.83701202</v>
      </c>
      <c r="AJ105" s="516">
        <v>1</v>
      </c>
      <c r="AK105" s="516">
        <f t="shared" si="45"/>
        <v>12713.519999999999</v>
      </c>
    </row>
    <row r="106" spans="2:37" ht="15" customHeight="1">
      <c r="B106" s="492" t="s">
        <v>2172</v>
      </c>
      <c r="C106" s="461" t="s">
        <v>2244</v>
      </c>
      <c r="D106" s="519" t="str">
        <f>$D$37</f>
        <v>m²</v>
      </c>
      <c r="E106" s="518">
        <v>44</v>
      </c>
      <c r="F106" s="416">
        <f>$F$37</f>
        <v>145812.67000000001</v>
      </c>
      <c r="G106" s="463">
        <f t="shared" si="39"/>
        <v>6415757.4800000004</v>
      </c>
      <c r="H106" s="516">
        <v>40</v>
      </c>
      <c r="I106" s="516">
        <f t="shared" si="42"/>
        <v>1760</v>
      </c>
      <c r="N106" s="492" t="s">
        <v>2172</v>
      </c>
      <c r="O106" s="461" t="s">
        <v>2244</v>
      </c>
      <c r="P106" s="519" t="str">
        <f>$D$37</f>
        <v>m²</v>
      </c>
      <c r="Q106" s="518">
        <v>60.96</v>
      </c>
      <c r="R106" s="517">
        <f>$F$37</f>
        <v>145812.67000000001</v>
      </c>
      <c r="S106" s="463">
        <f t="shared" si="38"/>
        <v>8888740.3632000014</v>
      </c>
      <c r="T106" s="516">
        <v>40</v>
      </c>
      <c r="U106" s="516">
        <f t="shared" si="43"/>
        <v>2438.4</v>
      </c>
      <c r="V106" s="492" t="s">
        <v>2172</v>
      </c>
      <c r="W106" s="461" t="s">
        <v>2244</v>
      </c>
      <c r="X106" s="519" t="str">
        <f>$D$37</f>
        <v>m²</v>
      </c>
      <c r="Y106" s="518">
        <v>73.52</v>
      </c>
      <c r="Z106" s="517">
        <f>$F$37</f>
        <v>145812.67000000001</v>
      </c>
      <c r="AA106" s="463">
        <f t="shared" si="40"/>
        <v>10720147.498400001</v>
      </c>
      <c r="AB106" s="516">
        <v>40</v>
      </c>
      <c r="AC106" s="516">
        <f t="shared" si="44"/>
        <v>2940.7999999999997</v>
      </c>
      <c r="AD106" s="492" t="s">
        <v>2172</v>
      </c>
      <c r="AE106" s="461" t="s">
        <v>2244</v>
      </c>
      <c r="AF106" s="519" t="str">
        <f>$D$37</f>
        <v>m²</v>
      </c>
      <c r="AG106" s="518">
        <v>85.16</v>
      </c>
      <c r="AH106" s="517">
        <f>$F$37</f>
        <v>145812.67000000001</v>
      </c>
      <c r="AI106" s="463">
        <f t="shared" si="41"/>
        <v>12417406.977200001</v>
      </c>
      <c r="AJ106" s="516">
        <v>40</v>
      </c>
      <c r="AK106" s="516">
        <f t="shared" si="45"/>
        <v>3406.3999999999996</v>
      </c>
    </row>
    <row r="107" spans="2:37" ht="15" customHeight="1">
      <c r="B107" s="492" t="s">
        <v>2174</v>
      </c>
      <c r="C107" s="491" t="s">
        <v>2246</v>
      </c>
      <c r="D107" s="519" t="str">
        <f>$D$38</f>
        <v>bh</v>
      </c>
      <c r="E107" s="518">
        <v>4</v>
      </c>
      <c r="F107" s="416">
        <f>$F$38</f>
        <v>100000</v>
      </c>
      <c r="G107" s="463">
        <f t="shared" si="39"/>
        <v>400000</v>
      </c>
      <c r="H107" s="516">
        <v>2.5</v>
      </c>
      <c r="I107" s="516">
        <f t="shared" si="42"/>
        <v>10</v>
      </c>
      <c r="N107" s="492" t="s">
        <v>2174</v>
      </c>
      <c r="O107" s="491" t="s">
        <v>2246</v>
      </c>
      <c r="P107" s="519" t="str">
        <f>$D$38</f>
        <v>bh</v>
      </c>
      <c r="Q107" s="518">
        <v>4</v>
      </c>
      <c r="R107" s="517">
        <f>$F$38</f>
        <v>100000</v>
      </c>
      <c r="S107" s="463">
        <f t="shared" si="38"/>
        <v>400000</v>
      </c>
      <c r="T107" s="516">
        <v>2.5</v>
      </c>
      <c r="U107" s="516">
        <f t="shared" si="43"/>
        <v>10</v>
      </c>
      <c r="V107" s="492" t="s">
        <v>2174</v>
      </c>
      <c r="W107" s="491" t="s">
        <v>2246</v>
      </c>
      <c r="X107" s="519" t="str">
        <f>$D$38</f>
        <v>bh</v>
      </c>
      <c r="Y107" s="518">
        <v>4</v>
      </c>
      <c r="Z107" s="517">
        <f>$F$38</f>
        <v>100000</v>
      </c>
      <c r="AA107" s="463">
        <f t="shared" si="40"/>
        <v>400000</v>
      </c>
      <c r="AB107" s="516">
        <v>2.5</v>
      </c>
      <c r="AC107" s="516">
        <f t="shared" si="44"/>
        <v>10</v>
      </c>
      <c r="AD107" s="492" t="s">
        <v>2174</v>
      </c>
      <c r="AE107" s="491" t="s">
        <v>2246</v>
      </c>
      <c r="AF107" s="519" t="str">
        <f>$D$38</f>
        <v>bh</v>
      </c>
      <c r="AG107" s="518">
        <v>4</v>
      </c>
      <c r="AH107" s="517">
        <f>$F$38</f>
        <v>100000</v>
      </c>
      <c r="AI107" s="463">
        <f t="shared" si="41"/>
        <v>400000</v>
      </c>
      <c r="AJ107" s="516">
        <v>2.5</v>
      </c>
      <c r="AK107" s="516">
        <f t="shared" si="45"/>
        <v>10</v>
      </c>
    </row>
    <row r="108" spans="2:37" ht="15" customHeight="1">
      <c r="B108" s="492"/>
      <c r="C108" s="461"/>
      <c r="D108" s="519"/>
      <c r="E108" s="518"/>
      <c r="F108" s="416"/>
      <c r="G108" s="463"/>
      <c r="I108" s="516">
        <f>SUM(I102:I107)</f>
        <v>87705.609673679908</v>
      </c>
      <c r="N108" s="492"/>
      <c r="O108" s="461"/>
      <c r="P108" s="519"/>
      <c r="Q108" s="518"/>
      <c r="R108" s="517"/>
      <c r="S108" s="463">
        <f t="shared" si="38"/>
        <v>0</v>
      </c>
      <c r="U108" s="516">
        <f>SUM(U102:U107)</f>
        <v>172402.03344046438</v>
      </c>
      <c r="V108" s="492"/>
      <c r="W108" s="461"/>
      <c r="X108" s="519"/>
      <c r="Y108" s="518"/>
      <c r="Z108" s="517"/>
      <c r="AA108" s="463"/>
      <c r="AC108" s="516">
        <f>SUM(AC102:AC107)</f>
        <v>239745.39249336667</v>
      </c>
      <c r="AD108" s="492"/>
      <c r="AE108" s="461"/>
      <c r="AF108" s="519"/>
      <c r="AG108" s="518"/>
      <c r="AH108" s="517"/>
      <c r="AI108" s="463"/>
      <c r="AK108" s="516">
        <f>SUM(AK102:AK107)</f>
        <v>324836.70973098843</v>
      </c>
    </row>
    <row r="109" spans="2:37" ht="15" customHeight="1">
      <c r="B109" s="507">
        <v>3</v>
      </c>
      <c r="C109" s="460" t="s">
        <v>2086</v>
      </c>
      <c r="D109" s="519"/>
      <c r="E109" s="518"/>
      <c r="F109" s="416"/>
      <c r="G109" s="463"/>
      <c r="N109" s="507">
        <v>3</v>
      </c>
      <c r="O109" s="460" t="s">
        <v>2086</v>
      </c>
      <c r="P109" s="519"/>
      <c r="Q109" s="518"/>
      <c r="R109" s="517"/>
      <c r="S109" s="463">
        <f t="shared" si="38"/>
        <v>0</v>
      </c>
      <c r="V109" s="507">
        <v>3</v>
      </c>
      <c r="W109" s="460" t="s">
        <v>2086</v>
      </c>
      <c r="X109" s="519"/>
      <c r="Y109" s="518"/>
      <c r="Z109" s="517"/>
      <c r="AA109" s="463"/>
      <c r="AD109" s="507">
        <v>3</v>
      </c>
      <c r="AE109" s="460" t="s">
        <v>2086</v>
      </c>
      <c r="AF109" s="519"/>
      <c r="AG109" s="518"/>
      <c r="AH109" s="517"/>
      <c r="AI109" s="463"/>
    </row>
    <row r="110" spans="2:37" ht="15" customHeight="1">
      <c r="B110" s="492" t="s">
        <v>721</v>
      </c>
      <c r="C110" s="461" t="s">
        <v>2247</v>
      </c>
      <c r="D110" s="519" t="str">
        <f>$D$41</f>
        <v>bh</v>
      </c>
      <c r="E110" s="518">
        <v>4</v>
      </c>
      <c r="F110" s="416">
        <f>$F$41</f>
        <v>181849.04</v>
      </c>
      <c r="G110" s="463">
        <f t="shared" ref="G110:G115" si="46">E110*F110</f>
        <v>727396.16</v>
      </c>
      <c r="N110" s="492" t="s">
        <v>721</v>
      </c>
      <c r="O110" s="461" t="s">
        <v>2247</v>
      </c>
      <c r="P110" s="519" t="str">
        <f>$D$41</f>
        <v>bh</v>
      </c>
      <c r="Q110" s="518">
        <v>4</v>
      </c>
      <c r="R110" s="517">
        <f>$F$41</f>
        <v>181849.04</v>
      </c>
      <c r="S110" s="463">
        <f t="shared" si="38"/>
        <v>727396.16</v>
      </c>
      <c r="V110" s="492" t="s">
        <v>721</v>
      </c>
      <c r="W110" s="461" t="s">
        <v>2247</v>
      </c>
      <c r="X110" s="519" t="str">
        <f>$D$41</f>
        <v>bh</v>
      </c>
      <c r="Y110" s="518">
        <v>4</v>
      </c>
      <c r="Z110" s="517">
        <f>$F$41</f>
        <v>181849.04</v>
      </c>
      <c r="AA110" s="463">
        <f t="shared" ref="AA110:AA115" si="47">Y110*Z110</f>
        <v>727396.16</v>
      </c>
      <c r="AD110" s="492" t="s">
        <v>721</v>
      </c>
      <c r="AE110" s="461" t="s">
        <v>2247</v>
      </c>
      <c r="AF110" s="519" t="str">
        <f>$D$41</f>
        <v>bh</v>
      </c>
      <c r="AG110" s="518">
        <v>4</v>
      </c>
      <c r="AH110" s="517">
        <f>$F$41</f>
        <v>181849.04</v>
      </c>
      <c r="AI110" s="463">
        <f t="shared" ref="AI110:AI115" si="48">AG110*AH110</f>
        <v>727396.16</v>
      </c>
    </row>
    <row r="111" spans="2:37" ht="15" customHeight="1">
      <c r="B111" s="492" t="s">
        <v>2166</v>
      </c>
      <c r="C111" s="461" t="s">
        <v>2085</v>
      </c>
      <c r="D111" s="519" t="str">
        <f>$D$42</f>
        <v>kg</v>
      </c>
      <c r="E111" s="518">
        <f>I108</f>
        <v>87705.609673679908</v>
      </c>
      <c r="F111" s="416">
        <f>$F$42</f>
        <v>462.7700000000001</v>
      </c>
      <c r="G111" s="463">
        <f t="shared" si="46"/>
        <v>40587524.988688856</v>
      </c>
      <c r="N111" s="492" t="s">
        <v>2166</v>
      </c>
      <c r="O111" s="461" t="s">
        <v>2085</v>
      </c>
      <c r="P111" s="519" t="str">
        <f>$D$42</f>
        <v>kg</v>
      </c>
      <c r="Q111" s="518">
        <f>U108</f>
        <v>172402.03344046438</v>
      </c>
      <c r="R111" s="517">
        <f>$F$42</f>
        <v>462.7700000000001</v>
      </c>
      <c r="S111" s="463">
        <f t="shared" si="38"/>
        <v>79782489.015243724</v>
      </c>
      <c r="V111" s="492" t="s">
        <v>2166</v>
      </c>
      <c r="W111" s="461" t="s">
        <v>2085</v>
      </c>
      <c r="X111" s="519" t="str">
        <f>$D$42</f>
        <v>kg</v>
      </c>
      <c r="Y111" s="518">
        <f>AC108</f>
        <v>239745.39249336667</v>
      </c>
      <c r="Z111" s="517">
        <f>$F$42</f>
        <v>462.7700000000001</v>
      </c>
      <c r="AA111" s="463">
        <f t="shared" si="47"/>
        <v>110946975.28415532</v>
      </c>
      <c r="AD111" s="492" t="s">
        <v>2166</v>
      </c>
      <c r="AE111" s="461" t="s">
        <v>2085</v>
      </c>
      <c r="AF111" s="519" t="str">
        <f>$D$42</f>
        <v>kg</v>
      </c>
      <c r="AG111" s="518">
        <f>AK108</f>
        <v>324836.70973098843</v>
      </c>
      <c r="AH111" s="517">
        <f>$F$42</f>
        <v>462.7700000000001</v>
      </c>
      <c r="AI111" s="463">
        <f t="shared" si="48"/>
        <v>150324684.16220954</v>
      </c>
    </row>
    <row r="112" spans="2:37" ht="15" customHeight="1">
      <c r="B112" s="492" t="s">
        <v>2168</v>
      </c>
      <c r="C112" s="461" t="s">
        <v>2249</v>
      </c>
      <c r="D112" s="519" t="str">
        <f>$D$43</f>
        <v>bh</v>
      </c>
      <c r="E112" s="518">
        <v>4</v>
      </c>
      <c r="F112" s="416">
        <f>$F$43</f>
        <v>387825</v>
      </c>
      <c r="G112" s="463">
        <f t="shared" si="46"/>
        <v>1551300</v>
      </c>
      <c r="N112" s="492" t="s">
        <v>2168</v>
      </c>
      <c r="O112" s="461" t="s">
        <v>2249</v>
      </c>
      <c r="P112" s="519" t="str">
        <f>$D$43</f>
        <v>bh</v>
      </c>
      <c r="Q112" s="518">
        <v>4</v>
      </c>
      <c r="R112" s="517">
        <f>$F$43</f>
        <v>387825</v>
      </c>
      <c r="S112" s="463">
        <f t="shared" si="38"/>
        <v>1551300</v>
      </c>
      <c r="V112" s="492" t="s">
        <v>2168</v>
      </c>
      <c r="W112" s="461" t="s">
        <v>2249</v>
      </c>
      <c r="X112" s="519" t="str">
        <f>$D$43</f>
        <v>bh</v>
      </c>
      <c r="Y112" s="518">
        <v>4</v>
      </c>
      <c r="Z112" s="517">
        <f>$F$43</f>
        <v>387825</v>
      </c>
      <c r="AA112" s="463">
        <f t="shared" si="47"/>
        <v>1551300</v>
      </c>
      <c r="AD112" s="492" t="s">
        <v>2168</v>
      </c>
      <c r="AE112" s="461" t="s">
        <v>2249</v>
      </c>
      <c r="AF112" s="519" t="str">
        <f>$D$43</f>
        <v>bh</v>
      </c>
      <c r="AG112" s="518">
        <v>4</v>
      </c>
      <c r="AH112" s="517">
        <f>$F$43</f>
        <v>387825</v>
      </c>
      <c r="AI112" s="463">
        <f t="shared" si="48"/>
        <v>1551300</v>
      </c>
    </row>
    <row r="113" spans="2:37" ht="15" customHeight="1">
      <c r="B113" s="492" t="s">
        <v>2170</v>
      </c>
      <c r="C113" s="461" t="s">
        <v>2250</v>
      </c>
      <c r="D113" s="519" t="str">
        <f>$D$44</f>
        <v>kg</v>
      </c>
      <c r="E113" s="518">
        <v>251.56</v>
      </c>
      <c r="F113" s="416">
        <f>$F$44</f>
        <v>2255.2190729845765</v>
      </c>
      <c r="G113" s="463">
        <f t="shared" si="46"/>
        <v>567322.91</v>
      </c>
      <c r="N113" s="492" t="s">
        <v>2170</v>
      </c>
      <c r="O113" s="461" t="s">
        <v>2250</v>
      </c>
      <c r="P113" s="519" t="str">
        <f>$D$44</f>
        <v>kg</v>
      </c>
      <c r="Q113" s="518">
        <v>399.36</v>
      </c>
      <c r="R113" s="517">
        <f>$F$44</f>
        <v>2255.2190729845765</v>
      </c>
      <c r="S113" s="463">
        <f t="shared" si="38"/>
        <v>900644.2889871205</v>
      </c>
      <c r="V113" s="492" t="s">
        <v>2170</v>
      </c>
      <c r="W113" s="461" t="s">
        <v>2250</v>
      </c>
      <c r="X113" s="519" t="str">
        <f>$D$44</f>
        <v>kg</v>
      </c>
      <c r="Y113" s="518">
        <v>519.12</v>
      </c>
      <c r="Z113" s="517">
        <f>$F$44</f>
        <v>2255.2190729845765</v>
      </c>
      <c r="AA113" s="463">
        <f t="shared" si="47"/>
        <v>1170729.3251677535</v>
      </c>
      <c r="AD113" s="492" t="s">
        <v>2170</v>
      </c>
      <c r="AE113" s="461" t="s">
        <v>2250</v>
      </c>
      <c r="AF113" s="519" t="str">
        <f>$D$44</f>
        <v>kg</v>
      </c>
      <c r="AG113" s="518">
        <v>671.96</v>
      </c>
      <c r="AH113" s="517">
        <f>$F$44</f>
        <v>2255.2190729845765</v>
      </c>
      <c r="AI113" s="463">
        <f t="shared" si="48"/>
        <v>1515417.0082827162</v>
      </c>
    </row>
    <row r="114" spans="2:37" ht="15" customHeight="1">
      <c r="B114" s="492" t="s">
        <v>2172</v>
      </c>
      <c r="C114" s="461" t="s">
        <v>2251</v>
      </c>
      <c r="D114" s="519" t="str">
        <f>$D$45</f>
        <v>set</v>
      </c>
      <c r="E114" s="518">
        <v>1</v>
      </c>
      <c r="F114" s="416">
        <f>$F$45</f>
        <v>855127</v>
      </c>
      <c r="G114" s="463">
        <f t="shared" si="46"/>
        <v>855127</v>
      </c>
      <c r="N114" s="492" t="s">
        <v>2172</v>
      </c>
      <c r="O114" s="461" t="s">
        <v>2251</v>
      </c>
      <c r="P114" s="519" t="str">
        <f>$D$45</f>
        <v>set</v>
      </c>
      <c r="Q114" s="518">
        <v>1</v>
      </c>
      <c r="R114" s="517">
        <f>$F$45</f>
        <v>855127</v>
      </c>
      <c r="S114" s="463">
        <f t="shared" si="38"/>
        <v>855127</v>
      </c>
      <c r="V114" s="492" t="s">
        <v>2172</v>
      </c>
      <c r="W114" s="461" t="s">
        <v>2251</v>
      </c>
      <c r="X114" s="519" t="str">
        <f>$D$45</f>
        <v>set</v>
      </c>
      <c r="Y114" s="518">
        <v>1</v>
      </c>
      <c r="Z114" s="517">
        <f>$F$45</f>
        <v>855127</v>
      </c>
      <c r="AA114" s="463">
        <f t="shared" si="47"/>
        <v>855127</v>
      </c>
      <c r="AD114" s="492" t="s">
        <v>2172</v>
      </c>
      <c r="AE114" s="461" t="s">
        <v>2251</v>
      </c>
      <c r="AF114" s="519" t="str">
        <f>$D$45</f>
        <v>set</v>
      </c>
      <c r="AG114" s="518">
        <v>1</v>
      </c>
      <c r="AH114" s="517">
        <f>$F$45</f>
        <v>855127</v>
      </c>
      <c r="AI114" s="463">
        <f t="shared" si="48"/>
        <v>855127</v>
      </c>
    </row>
    <row r="115" spans="2:37" ht="15" customHeight="1">
      <c r="B115" s="492" t="s">
        <v>2174</v>
      </c>
      <c r="C115" s="461" t="s">
        <v>2252</v>
      </c>
      <c r="D115" s="519" t="str">
        <f>$D$46</f>
        <v>set</v>
      </c>
      <c r="E115" s="518">
        <v>1</v>
      </c>
      <c r="F115" s="416">
        <f>$F$46</f>
        <v>674025</v>
      </c>
      <c r="G115" s="463">
        <f t="shared" si="46"/>
        <v>674025</v>
      </c>
      <c r="N115" s="492" t="s">
        <v>2174</v>
      </c>
      <c r="O115" s="461" t="s">
        <v>2252</v>
      </c>
      <c r="P115" s="519" t="str">
        <f>$D$46</f>
        <v>set</v>
      </c>
      <c r="Q115" s="518">
        <v>1</v>
      </c>
      <c r="R115" s="517">
        <f>$F$46</f>
        <v>674025</v>
      </c>
      <c r="S115" s="463">
        <f t="shared" si="38"/>
        <v>674025</v>
      </c>
      <c r="V115" s="492" t="s">
        <v>2174</v>
      </c>
      <c r="W115" s="461" t="s">
        <v>2252</v>
      </c>
      <c r="X115" s="519" t="str">
        <f>$D$46</f>
        <v>set</v>
      </c>
      <c r="Y115" s="518">
        <v>1</v>
      </c>
      <c r="Z115" s="517">
        <f>$F$46</f>
        <v>674025</v>
      </c>
      <c r="AA115" s="463">
        <f t="shared" si="47"/>
        <v>674025</v>
      </c>
      <c r="AD115" s="492" t="s">
        <v>2174</v>
      </c>
      <c r="AE115" s="461" t="s">
        <v>2252</v>
      </c>
      <c r="AF115" s="519" t="str">
        <f>$D$46</f>
        <v>set</v>
      </c>
      <c r="AG115" s="518">
        <v>1</v>
      </c>
      <c r="AH115" s="517">
        <f>$F$46</f>
        <v>674025</v>
      </c>
      <c r="AI115" s="463">
        <f t="shared" si="48"/>
        <v>674025</v>
      </c>
    </row>
    <row r="116" spans="2:37" ht="15" customHeight="1" thickBot="1">
      <c r="B116" s="459"/>
      <c r="C116" s="1194" t="s">
        <v>2260</v>
      </c>
      <c r="D116" s="1195"/>
      <c r="E116" s="1195"/>
      <c r="F116" s="1196"/>
      <c r="G116" s="458">
        <f>SUM(G98:G115)</f>
        <v>168895151.31707987</v>
      </c>
      <c r="N116" s="459"/>
      <c r="O116" s="1194" t="s">
        <v>2260</v>
      </c>
      <c r="P116" s="1195"/>
      <c r="Q116" s="1195"/>
      <c r="R116" s="1196"/>
      <c r="S116" s="458">
        <f>SUM(S98:S115)</f>
        <v>334787700.89826727</v>
      </c>
      <c r="V116" s="459"/>
      <c r="W116" s="1194" t="s">
        <v>2260</v>
      </c>
      <c r="X116" s="1195"/>
      <c r="Y116" s="1195"/>
      <c r="Z116" s="1196"/>
      <c r="AA116" s="458">
        <f>SUM(AA98:AA115)</f>
        <v>457646678.97941977</v>
      </c>
      <c r="AD116" s="459"/>
      <c r="AE116" s="1194" t="s">
        <v>2260</v>
      </c>
      <c r="AF116" s="1195"/>
      <c r="AG116" s="1195"/>
      <c r="AH116" s="1196"/>
      <c r="AI116" s="458">
        <f>SUM(AI98:AI115)</f>
        <v>626817371.58625579</v>
      </c>
    </row>
    <row r="117" spans="2:37" ht="15" customHeight="1" thickBot="1">
      <c r="B117" s="457"/>
      <c r="C117" s="456"/>
      <c r="D117" s="457"/>
      <c r="E117" s="455"/>
      <c r="F117" s="415"/>
      <c r="G117" s="453"/>
      <c r="N117" s="457"/>
      <c r="O117" s="456"/>
      <c r="P117" s="457"/>
      <c r="Q117" s="455"/>
      <c r="R117" s="454"/>
      <c r="S117" s="453"/>
      <c r="V117" s="457"/>
      <c r="W117" s="456"/>
      <c r="X117" s="457"/>
      <c r="Y117" s="455"/>
      <c r="Z117" s="454"/>
      <c r="AA117" s="453"/>
      <c r="AD117" s="457"/>
      <c r="AE117" s="456"/>
      <c r="AF117" s="457"/>
      <c r="AG117" s="455"/>
      <c r="AH117" s="454"/>
      <c r="AI117" s="453"/>
    </row>
    <row r="118" spans="2:37" ht="15" customHeight="1" thickBot="1">
      <c r="B118" s="452" t="s">
        <v>2229</v>
      </c>
      <c r="C118" s="435"/>
      <c r="D118" s="434"/>
      <c r="E118" s="433"/>
      <c r="F118" s="411"/>
      <c r="G118" s="447"/>
      <c r="N118" s="452" t="s">
        <v>2230</v>
      </c>
      <c r="O118" s="435"/>
      <c r="P118" s="434"/>
      <c r="Q118" s="433"/>
      <c r="R118" s="432"/>
      <c r="S118" s="447"/>
      <c r="V118" s="452" t="s">
        <v>2231</v>
      </c>
      <c r="W118" s="435"/>
      <c r="X118" s="434"/>
      <c r="Y118" s="433"/>
      <c r="Z118" s="432"/>
      <c r="AA118" s="447"/>
      <c r="AD118" s="452" t="s">
        <v>2254</v>
      </c>
      <c r="AE118" s="435"/>
      <c r="AF118" s="434"/>
      <c r="AG118" s="433"/>
      <c r="AH118" s="432"/>
      <c r="AI118" s="447"/>
    </row>
    <row r="119" spans="2:37" ht="15" customHeight="1">
      <c r="B119" s="446"/>
      <c r="C119" s="445" t="s">
        <v>2261</v>
      </c>
      <c r="D119" s="444"/>
      <c r="E119" s="443"/>
      <c r="F119" s="413"/>
      <c r="G119" s="441"/>
      <c r="N119" s="446"/>
      <c r="O119" s="445" t="s">
        <v>2261</v>
      </c>
      <c r="P119" s="444"/>
      <c r="Q119" s="443"/>
      <c r="R119" s="442"/>
      <c r="S119" s="441"/>
      <c r="V119" s="446"/>
      <c r="W119" s="445" t="s">
        <v>2261</v>
      </c>
      <c r="X119" s="444"/>
      <c r="Y119" s="443"/>
      <c r="Z119" s="442"/>
      <c r="AA119" s="441"/>
      <c r="AD119" s="446"/>
      <c r="AE119" s="445" t="s">
        <v>2261</v>
      </c>
      <c r="AF119" s="444"/>
      <c r="AG119" s="443"/>
      <c r="AH119" s="442"/>
      <c r="AI119" s="441"/>
    </row>
    <row r="120" spans="2:37" ht="15" customHeight="1">
      <c r="B120" s="468">
        <v>1</v>
      </c>
      <c r="C120" s="467" t="s">
        <v>2234</v>
      </c>
      <c r="D120" s="519"/>
      <c r="E120" s="466"/>
      <c r="F120" s="417"/>
      <c r="G120" s="486"/>
      <c r="N120" s="468">
        <v>1</v>
      </c>
      <c r="O120" s="467" t="s">
        <v>2234</v>
      </c>
      <c r="P120" s="519"/>
      <c r="Q120" s="466"/>
      <c r="R120" s="465"/>
      <c r="S120" s="486"/>
      <c r="V120" s="468">
        <v>1</v>
      </c>
      <c r="W120" s="467" t="s">
        <v>2234</v>
      </c>
      <c r="X120" s="519"/>
      <c r="Y120" s="466"/>
      <c r="Z120" s="465"/>
      <c r="AA120" s="486"/>
      <c r="AD120" s="468">
        <v>1</v>
      </c>
      <c r="AE120" s="467" t="s">
        <v>2234</v>
      </c>
      <c r="AF120" s="519"/>
      <c r="AG120" s="466"/>
      <c r="AH120" s="465"/>
      <c r="AI120" s="486"/>
    </row>
    <row r="121" spans="2:37" ht="15" customHeight="1">
      <c r="B121" s="492" t="s">
        <v>721</v>
      </c>
      <c r="C121" s="464" t="s">
        <v>2235</v>
      </c>
      <c r="D121" s="519" t="str">
        <f>$D$29</f>
        <v>m³</v>
      </c>
      <c r="E121" s="518">
        <v>230.11199999999994</v>
      </c>
      <c r="F121" s="416">
        <f>$F$29</f>
        <v>102390.75000000001</v>
      </c>
      <c r="G121" s="463">
        <f>E121*F121</f>
        <v>23561340.263999999</v>
      </c>
      <c r="N121" s="492" t="s">
        <v>721</v>
      </c>
      <c r="O121" s="464" t="s">
        <v>2235</v>
      </c>
      <c r="P121" s="519" t="str">
        <f>$D$29</f>
        <v>m³</v>
      </c>
      <c r="Q121" s="518">
        <v>430.47899999999998</v>
      </c>
      <c r="R121" s="517">
        <f>$F$29</f>
        <v>102390.75000000001</v>
      </c>
      <c r="S121" s="463">
        <f>Q121*R121</f>
        <v>44077067.669250004</v>
      </c>
      <c r="V121" s="492" t="s">
        <v>721</v>
      </c>
      <c r="W121" s="464" t="s">
        <v>2235</v>
      </c>
      <c r="X121" s="519" t="str">
        <f>$D$29</f>
        <v>m³</v>
      </c>
      <c r="Y121" s="518">
        <v>385.04999999999995</v>
      </c>
      <c r="Z121" s="517">
        <f>$F$29</f>
        <v>102390.75000000001</v>
      </c>
      <c r="AA121" s="463">
        <f>Y121*Z121</f>
        <v>39425558.287500001</v>
      </c>
      <c r="AD121" s="492" t="s">
        <v>721</v>
      </c>
      <c r="AE121" s="464" t="s">
        <v>2235</v>
      </c>
      <c r="AF121" s="519" t="str">
        <f>$D$29</f>
        <v>m³</v>
      </c>
      <c r="AG121" s="518">
        <v>585.10300000000007</v>
      </c>
      <c r="AH121" s="517">
        <f>$F$29</f>
        <v>102390.75000000001</v>
      </c>
      <c r="AI121" s="463">
        <f>AG121*AH121</f>
        <v>59909134.997250013</v>
      </c>
    </row>
    <row r="122" spans="2:37" ht="15" customHeight="1">
      <c r="B122" s="492" t="s">
        <v>2166</v>
      </c>
      <c r="C122" s="464" t="s">
        <v>2237</v>
      </c>
      <c r="D122" s="519" t="str">
        <f>$D$30</f>
        <v>m³</v>
      </c>
      <c r="E122" s="518">
        <v>172.20277907557042</v>
      </c>
      <c r="F122" s="416">
        <f>$F$30</f>
        <v>62462.950000000012</v>
      </c>
      <c r="G122" s="463">
        <f>E122*F122</f>
        <v>10756293.579258403</v>
      </c>
      <c r="N122" s="492" t="s">
        <v>2166</v>
      </c>
      <c r="O122" s="464" t="s">
        <v>2237</v>
      </c>
      <c r="P122" s="519" t="str">
        <f>$D$30</f>
        <v>m³</v>
      </c>
      <c r="Q122" s="518">
        <v>342.94384027557044</v>
      </c>
      <c r="R122" s="517">
        <f>$F$30</f>
        <v>62462.950000000012</v>
      </c>
      <c r="S122" s="463">
        <f t="shared" ref="S122:S138" si="49">Q122*R122</f>
        <v>21421283.947940946</v>
      </c>
      <c r="V122" s="492" t="s">
        <v>2166</v>
      </c>
      <c r="W122" s="464" t="s">
        <v>2237</v>
      </c>
      <c r="X122" s="519" t="str">
        <f>$D$30</f>
        <v>m³</v>
      </c>
      <c r="Y122" s="518">
        <v>280.82821482352136</v>
      </c>
      <c r="Z122" s="517">
        <f>$F$30</f>
        <v>62462.950000000012</v>
      </c>
      <c r="AA122" s="463">
        <f>Y122*Z122</f>
        <v>17541358.741110876</v>
      </c>
      <c r="AD122" s="492" t="s">
        <v>2166</v>
      </c>
      <c r="AE122" s="464" t="s">
        <v>2237</v>
      </c>
      <c r="AF122" s="519" t="str">
        <f>$D$30</f>
        <v>m³</v>
      </c>
      <c r="AG122" s="518">
        <v>438.48312014460623</v>
      </c>
      <c r="AH122" s="517">
        <f>$F$30</f>
        <v>62462.950000000012</v>
      </c>
      <c r="AI122" s="463">
        <f>AG122*AH122</f>
        <v>27388949.209436536</v>
      </c>
    </row>
    <row r="123" spans="2:37" ht="15" customHeight="1">
      <c r="B123" s="462"/>
      <c r="C123" s="464"/>
      <c r="D123" s="519"/>
      <c r="E123" s="518"/>
      <c r="F123" s="416"/>
      <c r="G123" s="463"/>
      <c r="N123" s="462"/>
      <c r="O123" s="464"/>
      <c r="P123" s="519"/>
      <c r="Q123" s="518"/>
      <c r="R123" s="517"/>
      <c r="S123" s="463">
        <f t="shared" si="49"/>
        <v>0</v>
      </c>
      <c r="V123" s="462"/>
      <c r="W123" s="464"/>
      <c r="X123" s="519"/>
      <c r="Y123" s="518"/>
      <c r="Z123" s="517"/>
      <c r="AA123" s="463"/>
      <c r="AD123" s="462"/>
      <c r="AE123" s="464"/>
      <c r="AF123" s="519"/>
      <c r="AG123" s="518"/>
      <c r="AH123" s="517"/>
      <c r="AI123" s="463"/>
    </row>
    <row r="124" spans="2:37" ht="15" customHeight="1">
      <c r="B124" s="507">
        <v>2</v>
      </c>
      <c r="C124" s="467" t="s">
        <v>2238</v>
      </c>
      <c r="D124" s="519"/>
      <c r="E124" s="518"/>
      <c r="F124" s="416"/>
      <c r="G124" s="463"/>
      <c r="H124" s="516" t="s">
        <v>2239</v>
      </c>
      <c r="N124" s="507">
        <v>2</v>
      </c>
      <c r="O124" s="467" t="s">
        <v>2238</v>
      </c>
      <c r="P124" s="519"/>
      <c r="Q124" s="518"/>
      <c r="R124" s="517"/>
      <c r="S124" s="463">
        <f t="shared" si="49"/>
        <v>0</v>
      </c>
      <c r="T124" s="516" t="s">
        <v>2239</v>
      </c>
      <c r="V124" s="507">
        <v>2</v>
      </c>
      <c r="W124" s="467" t="s">
        <v>2238</v>
      </c>
      <c r="X124" s="519"/>
      <c r="Y124" s="518"/>
      <c r="Z124" s="517"/>
      <c r="AA124" s="463"/>
      <c r="AB124" s="516" t="s">
        <v>2239</v>
      </c>
      <c r="AD124" s="507">
        <v>2</v>
      </c>
      <c r="AE124" s="467" t="s">
        <v>2238</v>
      </c>
      <c r="AF124" s="519"/>
      <c r="AG124" s="518"/>
      <c r="AH124" s="517"/>
      <c r="AI124" s="463"/>
      <c r="AJ124" s="516" t="s">
        <v>2239</v>
      </c>
    </row>
    <row r="125" spans="2:37" ht="15" customHeight="1">
      <c r="B125" s="492" t="s">
        <v>721</v>
      </c>
      <c r="C125" s="464" t="s">
        <v>2240</v>
      </c>
      <c r="D125" s="519" t="str">
        <f>$D$33</f>
        <v>m³</v>
      </c>
      <c r="E125" s="518">
        <v>8.4639999999999986</v>
      </c>
      <c r="F125" s="416">
        <f>$F$33</f>
        <v>404738.95</v>
      </c>
      <c r="G125" s="463">
        <f t="shared" ref="G125:G130" si="50">E125*F125</f>
        <v>3425710.4727999996</v>
      </c>
      <c r="H125" s="516">
        <v>1400</v>
      </c>
      <c r="I125" s="516">
        <f>E125*H125</f>
        <v>11849.599999999999</v>
      </c>
      <c r="N125" s="492" t="s">
        <v>721</v>
      </c>
      <c r="O125" s="464" t="s">
        <v>2240</v>
      </c>
      <c r="P125" s="519" t="str">
        <f>$D$33</f>
        <v>m³</v>
      </c>
      <c r="Q125" s="518">
        <v>12.996000000000002</v>
      </c>
      <c r="R125" s="517">
        <f>$F$33</f>
        <v>404738.95</v>
      </c>
      <c r="S125" s="463">
        <f t="shared" si="49"/>
        <v>5259987.3942000009</v>
      </c>
      <c r="T125" s="516">
        <v>1400</v>
      </c>
      <c r="U125" s="516">
        <f>Q125*T125</f>
        <v>18194.400000000001</v>
      </c>
      <c r="V125" s="492" t="s">
        <v>721</v>
      </c>
      <c r="W125" s="464" t="s">
        <v>2240</v>
      </c>
      <c r="X125" s="519" t="str">
        <f>$D$33</f>
        <v>m³</v>
      </c>
      <c r="Y125" s="518">
        <v>14.883999999999999</v>
      </c>
      <c r="Z125" s="517">
        <f>$F$33</f>
        <v>404738.95</v>
      </c>
      <c r="AA125" s="463">
        <f t="shared" ref="AA125:AA130" si="51">Y125*Z125</f>
        <v>6024134.5318</v>
      </c>
      <c r="AB125" s="516">
        <v>1400</v>
      </c>
      <c r="AC125" s="516">
        <f>Y125*AB125</f>
        <v>20837.599999999999</v>
      </c>
      <c r="AD125" s="492" t="s">
        <v>721</v>
      </c>
      <c r="AE125" s="464" t="s">
        <v>2240</v>
      </c>
      <c r="AF125" s="519" t="str">
        <f>$D$33</f>
        <v>m³</v>
      </c>
      <c r="AG125" s="518">
        <v>19.044000000000004</v>
      </c>
      <c r="AH125" s="517">
        <f>$F$33</f>
        <v>404738.95</v>
      </c>
      <c r="AI125" s="463">
        <f t="shared" ref="AI125:AI130" si="52">AG125*AH125</f>
        <v>7707848.5638000015</v>
      </c>
      <c r="AJ125" s="516">
        <v>1400</v>
      </c>
      <c r="AK125" s="516">
        <f>AG125*AJ125</f>
        <v>26661.600000000006</v>
      </c>
    </row>
    <row r="126" spans="2:37" ht="15" customHeight="1">
      <c r="B126" s="492" t="s">
        <v>2166</v>
      </c>
      <c r="C126" s="461" t="s">
        <v>2241</v>
      </c>
      <c r="D126" s="519" t="str">
        <f>$D$34</f>
        <v>m³</v>
      </c>
      <c r="E126" s="518">
        <v>4.2319999999999993</v>
      </c>
      <c r="F126" s="416">
        <f>$F$34</f>
        <v>710224.707936508</v>
      </c>
      <c r="G126" s="463">
        <f t="shared" si="50"/>
        <v>3005670.9639873016</v>
      </c>
      <c r="H126" s="516">
        <v>2200</v>
      </c>
      <c r="I126" s="516">
        <f t="shared" ref="I126:I130" si="53">E126*H126</f>
        <v>9310.3999999999978</v>
      </c>
      <c r="N126" s="492" t="s">
        <v>2166</v>
      </c>
      <c r="O126" s="461" t="s">
        <v>2241</v>
      </c>
      <c r="P126" s="519" t="str">
        <f>$D$34</f>
        <v>m³</v>
      </c>
      <c r="Q126" s="518">
        <v>6.4980000000000011</v>
      </c>
      <c r="R126" s="517">
        <f>$F$34</f>
        <v>710224.707936508</v>
      </c>
      <c r="S126" s="463">
        <f t="shared" si="49"/>
        <v>4615040.1521714302</v>
      </c>
      <c r="T126" s="516">
        <v>2200</v>
      </c>
      <c r="U126" s="516">
        <f t="shared" ref="U126:U130" si="54">Q126*T126</f>
        <v>14295.600000000002</v>
      </c>
      <c r="V126" s="492" t="s">
        <v>2166</v>
      </c>
      <c r="W126" s="461" t="s">
        <v>2241</v>
      </c>
      <c r="X126" s="519" t="str">
        <f>$D$34</f>
        <v>m³</v>
      </c>
      <c r="Y126" s="518">
        <v>7.4419999999999993</v>
      </c>
      <c r="Z126" s="517">
        <f>$F$34</f>
        <v>710224.707936508</v>
      </c>
      <c r="AA126" s="463">
        <f t="shared" si="51"/>
        <v>5285492.2764634918</v>
      </c>
      <c r="AB126" s="516">
        <v>2200</v>
      </c>
      <c r="AC126" s="516">
        <f t="shared" ref="AC126:AC130" si="55">Y126*AB126</f>
        <v>16372.399999999998</v>
      </c>
      <c r="AD126" s="492" t="s">
        <v>2166</v>
      </c>
      <c r="AE126" s="461" t="s">
        <v>2241</v>
      </c>
      <c r="AF126" s="519" t="str">
        <f>$D$34</f>
        <v>m³</v>
      </c>
      <c r="AG126" s="518">
        <v>9.522000000000002</v>
      </c>
      <c r="AH126" s="517">
        <f>$F$34</f>
        <v>710224.707936508</v>
      </c>
      <c r="AI126" s="463">
        <f t="shared" si="52"/>
        <v>6762759.6689714305</v>
      </c>
      <c r="AJ126" s="516">
        <v>2200</v>
      </c>
      <c r="AK126" s="516">
        <f t="shared" ref="AK126:AK130" si="56">AG126*AJ126</f>
        <v>20948.400000000005</v>
      </c>
    </row>
    <row r="127" spans="2:37" ht="15" customHeight="1">
      <c r="B127" s="492" t="s">
        <v>2168</v>
      </c>
      <c r="C127" s="461" t="s">
        <v>2242</v>
      </c>
      <c r="D127" s="519" t="str">
        <f>$D$35</f>
        <v>m³</v>
      </c>
      <c r="E127" s="518">
        <v>40.567305383441258</v>
      </c>
      <c r="F127" s="416">
        <f>$F$35</f>
        <v>1115864.6138095236</v>
      </c>
      <c r="G127" s="463">
        <f t="shared" si="50"/>
        <v>45267620.554986686</v>
      </c>
      <c r="H127" s="516">
        <v>2400</v>
      </c>
      <c r="I127" s="516">
        <f t="shared" si="53"/>
        <v>97361.532920259022</v>
      </c>
      <c r="N127" s="492" t="s">
        <v>2168</v>
      </c>
      <c r="O127" s="461" t="s">
        <v>2242</v>
      </c>
      <c r="P127" s="519" t="str">
        <f>$D$35</f>
        <v>m³</v>
      </c>
      <c r="Q127" s="518">
        <v>68.653432709267491</v>
      </c>
      <c r="R127" s="517">
        <f>$F$35</f>
        <v>1115864.6138095236</v>
      </c>
      <c r="S127" s="463">
        <f t="shared" si="49"/>
        <v>76607936.176824883</v>
      </c>
      <c r="T127" s="516">
        <v>2400</v>
      </c>
      <c r="U127" s="516">
        <f t="shared" si="54"/>
        <v>164768.23850224199</v>
      </c>
      <c r="V127" s="492" t="s">
        <v>2168</v>
      </c>
      <c r="W127" s="461" t="s">
        <v>2242</v>
      </c>
      <c r="X127" s="519" t="str">
        <f>$D$35</f>
        <v>m³</v>
      </c>
      <c r="Y127" s="518">
        <v>82.624440629508811</v>
      </c>
      <c r="Z127" s="517">
        <f>$F$35</f>
        <v>1115864.6138095236</v>
      </c>
      <c r="AA127" s="463">
        <f t="shared" si="51"/>
        <v>92197689.534274757</v>
      </c>
      <c r="AB127" s="516">
        <v>2400</v>
      </c>
      <c r="AC127" s="516">
        <f t="shared" si="55"/>
        <v>198298.65751082115</v>
      </c>
      <c r="AD127" s="492" t="s">
        <v>2168</v>
      </c>
      <c r="AE127" s="461" t="s">
        <v>2242</v>
      </c>
      <c r="AF127" s="519" t="str">
        <f>$D$35</f>
        <v>m³</v>
      </c>
      <c r="AG127" s="518">
        <v>118.91528518609842</v>
      </c>
      <c r="AH127" s="517">
        <f>$F$35</f>
        <v>1115864.6138095236</v>
      </c>
      <c r="AI127" s="463">
        <f t="shared" si="52"/>
        <v>132693358.78023508</v>
      </c>
      <c r="AJ127" s="516">
        <v>2400</v>
      </c>
      <c r="AK127" s="516">
        <f t="shared" si="56"/>
        <v>285396.68444663618</v>
      </c>
    </row>
    <row r="128" spans="2:37" ht="15" customHeight="1">
      <c r="B128" s="492" t="s">
        <v>2170</v>
      </c>
      <c r="C128" s="461" t="s">
        <v>2243</v>
      </c>
      <c r="D128" s="519" t="str">
        <f>$D$36</f>
        <v>kg</v>
      </c>
      <c r="E128" s="518">
        <v>3882.3599999999997</v>
      </c>
      <c r="F128" s="416">
        <f>$F$36</f>
        <v>19478.039350000003</v>
      </c>
      <c r="G128" s="463">
        <f t="shared" si="50"/>
        <v>75620760.850866005</v>
      </c>
      <c r="H128" s="516">
        <v>1</v>
      </c>
      <c r="I128" s="516">
        <f t="shared" si="53"/>
        <v>3882.3599999999997</v>
      </c>
      <c r="N128" s="492" t="s">
        <v>2170</v>
      </c>
      <c r="O128" s="461" t="s">
        <v>2243</v>
      </c>
      <c r="P128" s="519" t="str">
        <f>$D$36</f>
        <v>kg</v>
      </c>
      <c r="Q128" s="518">
        <v>8003.4</v>
      </c>
      <c r="R128" s="517">
        <f>$F$36</f>
        <v>19478.039350000003</v>
      </c>
      <c r="S128" s="463">
        <f t="shared" si="49"/>
        <v>155890540.13379002</v>
      </c>
      <c r="T128" s="516">
        <v>1</v>
      </c>
      <c r="U128" s="516">
        <f t="shared" si="54"/>
        <v>8003.4</v>
      </c>
      <c r="V128" s="492" t="s">
        <v>2170</v>
      </c>
      <c r="W128" s="461" t="s">
        <v>2243</v>
      </c>
      <c r="X128" s="519" t="str">
        <f>$D$36</f>
        <v>kg</v>
      </c>
      <c r="Y128" s="518">
        <v>9519.24</v>
      </c>
      <c r="Z128" s="517">
        <f>$F$36</f>
        <v>19478.039350000003</v>
      </c>
      <c r="AA128" s="463">
        <f t="shared" si="51"/>
        <v>185416131.30209401</v>
      </c>
      <c r="AB128" s="516">
        <v>1</v>
      </c>
      <c r="AC128" s="516">
        <f t="shared" si="55"/>
        <v>9519.24</v>
      </c>
      <c r="AD128" s="492" t="s">
        <v>2170</v>
      </c>
      <c r="AE128" s="461" t="s">
        <v>2243</v>
      </c>
      <c r="AF128" s="519" t="str">
        <f>$D$36</f>
        <v>kg</v>
      </c>
      <c r="AG128" s="518">
        <v>12951.839999999998</v>
      </c>
      <c r="AH128" s="517">
        <f>$F$36</f>
        <v>19478.039350000003</v>
      </c>
      <c r="AI128" s="463">
        <f t="shared" si="52"/>
        <v>252276449.17490399</v>
      </c>
      <c r="AJ128" s="516">
        <v>1</v>
      </c>
      <c r="AK128" s="516">
        <f t="shared" si="56"/>
        <v>12951.839999999998</v>
      </c>
    </row>
    <row r="129" spans="2:37" ht="15" customHeight="1">
      <c r="B129" s="492" t="s">
        <v>2172</v>
      </c>
      <c r="C129" s="461" t="s">
        <v>2244</v>
      </c>
      <c r="D129" s="519" t="str">
        <f>$D$37</f>
        <v>m²</v>
      </c>
      <c r="E129" s="518">
        <v>52.72</v>
      </c>
      <c r="F129" s="416">
        <f>$F$37</f>
        <v>145812.67000000001</v>
      </c>
      <c r="G129" s="463">
        <f t="shared" si="50"/>
        <v>7687243.9624000005</v>
      </c>
      <c r="H129" s="516">
        <v>40</v>
      </c>
      <c r="I129" s="516">
        <f t="shared" si="53"/>
        <v>2108.8000000000002</v>
      </c>
      <c r="N129" s="492" t="s">
        <v>2172</v>
      </c>
      <c r="O129" s="461" t="s">
        <v>2244</v>
      </c>
      <c r="P129" s="519" t="str">
        <f>$D$37</f>
        <v>m²</v>
      </c>
      <c r="Q129" s="518">
        <v>72</v>
      </c>
      <c r="R129" s="517">
        <f>$F$37</f>
        <v>145812.67000000001</v>
      </c>
      <c r="S129" s="463">
        <f t="shared" si="49"/>
        <v>10498512.24</v>
      </c>
      <c r="T129" s="516">
        <v>40</v>
      </c>
      <c r="U129" s="516">
        <f t="shared" si="54"/>
        <v>2880</v>
      </c>
      <c r="V129" s="492" t="s">
        <v>2172</v>
      </c>
      <c r="W129" s="461" t="s">
        <v>2244</v>
      </c>
      <c r="X129" s="519" t="str">
        <f>$D$37</f>
        <v>m²</v>
      </c>
      <c r="Y129" s="518">
        <v>75.36</v>
      </c>
      <c r="Z129" s="517">
        <f>$F$37</f>
        <v>145812.67000000001</v>
      </c>
      <c r="AA129" s="463">
        <f t="shared" si="51"/>
        <v>10988442.8112</v>
      </c>
      <c r="AB129" s="516">
        <v>40</v>
      </c>
      <c r="AC129" s="516">
        <f t="shared" si="55"/>
        <v>3014.4</v>
      </c>
      <c r="AD129" s="492" t="s">
        <v>2172</v>
      </c>
      <c r="AE129" s="461" t="s">
        <v>2244</v>
      </c>
      <c r="AF129" s="519" t="str">
        <f>$D$37</f>
        <v>m²</v>
      </c>
      <c r="AG129" s="518">
        <v>94.32</v>
      </c>
      <c r="AH129" s="517">
        <f>$F$37</f>
        <v>145812.67000000001</v>
      </c>
      <c r="AI129" s="463">
        <f t="shared" si="52"/>
        <v>13753051.034399999</v>
      </c>
      <c r="AJ129" s="516">
        <v>40</v>
      </c>
      <c r="AK129" s="516">
        <f t="shared" si="56"/>
        <v>3772.7999999999997</v>
      </c>
    </row>
    <row r="130" spans="2:37" ht="15" customHeight="1">
      <c r="B130" s="492" t="s">
        <v>2174</v>
      </c>
      <c r="C130" s="491" t="s">
        <v>2246</v>
      </c>
      <c r="D130" s="519" t="str">
        <f>$D$38</f>
        <v>bh</v>
      </c>
      <c r="E130" s="518">
        <v>4</v>
      </c>
      <c r="F130" s="416">
        <f>$F$38</f>
        <v>100000</v>
      </c>
      <c r="G130" s="463">
        <f t="shared" si="50"/>
        <v>400000</v>
      </c>
      <c r="H130" s="516">
        <v>2.5</v>
      </c>
      <c r="I130" s="516">
        <f t="shared" si="53"/>
        <v>10</v>
      </c>
      <c r="N130" s="492" t="s">
        <v>2174</v>
      </c>
      <c r="O130" s="491" t="s">
        <v>2246</v>
      </c>
      <c r="P130" s="519" t="str">
        <f>$D$38</f>
        <v>bh</v>
      </c>
      <c r="Q130" s="518">
        <v>4</v>
      </c>
      <c r="R130" s="517">
        <f>$F$38</f>
        <v>100000</v>
      </c>
      <c r="S130" s="463">
        <f t="shared" si="49"/>
        <v>400000</v>
      </c>
      <c r="T130" s="516">
        <v>2.5</v>
      </c>
      <c r="U130" s="516">
        <f t="shared" si="54"/>
        <v>10</v>
      </c>
      <c r="V130" s="492" t="s">
        <v>2174</v>
      </c>
      <c r="W130" s="491" t="s">
        <v>2246</v>
      </c>
      <c r="X130" s="519" t="str">
        <f>$D$38</f>
        <v>bh</v>
      </c>
      <c r="Y130" s="518">
        <v>4</v>
      </c>
      <c r="Z130" s="517">
        <f>$F$38</f>
        <v>100000</v>
      </c>
      <c r="AA130" s="463">
        <f t="shared" si="51"/>
        <v>400000</v>
      </c>
      <c r="AB130" s="516">
        <v>2.5</v>
      </c>
      <c r="AC130" s="516">
        <f t="shared" si="55"/>
        <v>10</v>
      </c>
      <c r="AD130" s="492" t="s">
        <v>2174</v>
      </c>
      <c r="AE130" s="491" t="s">
        <v>2246</v>
      </c>
      <c r="AF130" s="519" t="str">
        <f>$D$38</f>
        <v>bh</v>
      </c>
      <c r="AG130" s="518">
        <v>4</v>
      </c>
      <c r="AH130" s="517">
        <f>$F$38</f>
        <v>100000</v>
      </c>
      <c r="AI130" s="463">
        <f t="shared" si="52"/>
        <v>400000</v>
      </c>
      <c r="AJ130" s="516">
        <v>2.5</v>
      </c>
      <c r="AK130" s="516">
        <f t="shared" si="56"/>
        <v>10</v>
      </c>
    </row>
    <row r="131" spans="2:37" ht="15" customHeight="1">
      <c r="B131" s="492"/>
      <c r="C131" s="461"/>
      <c r="D131" s="519"/>
      <c r="E131" s="518"/>
      <c r="F131" s="416"/>
      <c r="G131" s="463"/>
      <c r="I131" s="516">
        <f>SUM(I125:I130)</f>
        <v>124522.69292025903</v>
      </c>
      <c r="N131" s="492"/>
      <c r="O131" s="461"/>
      <c r="P131" s="519"/>
      <c r="Q131" s="518"/>
      <c r="R131" s="517"/>
      <c r="S131" s="463">
        <f t="shared" si="49"/>
        <v>0</v>
      </c>
      <c r="U131" s="516">
        <f>SUM(U125:U130)</f>
        <v>208151.63850224199</v>
      </c>
      <c r="V131" s="492"/>
      <c r="W131" s="461"/>
      <c r="X131" s="519"/>
      <c r="Y131" s="518"/>
      <c r="Z131" s="517"/>
      <c r="AA131" s="463"/>
      <c r="AC131" s="516">
        <f>SUM(AC125:AC130)</f>
        <v>248052.29751082114</v>
      </c>
      <c r="AD131" s="492"/>
      <c r="AE131" s="461"/>
      <c r="AF131" s="519"/>
      <c r="AG131" s="518"/>
      <c r="AH131" s="517"/>
      <c r="AI131" s="463"/>
      <c r="AK131" s="516">
        <f>SUM(AK125:AK130)</f>
        <v>349741.32444663619</v>
      </c>
    </row>
    <row r="132" spans="2:37" ht="15" customHeight="1">
      <c r="B132" s="507">
        <v>3</v>
      </c>
      <c r="C132" s="460" t="s">
        <v>2086</v>
      </c>
      <c r="D132" s="519"/>
      <c r="E132" s="518"/>
      <c r="F132" s="416"/>
      <c r="G132" s="463"/>
      <c r="N132" s="507">
        <v>3</v>
      </c>
      <c r="O132" s="460" t="s">
        <v>2086</v>
      </c>
      <c r="P132" s="519"/>
      <c r="Q132" s="518"/>
      <c r="R132" s="517"/>
      <c r="S132" s="463">
        <f t="shared" si="49"/>
        <v>0</v>
      </c>
      <c r="V132" s="507">
        <v>3</v>
      </c>
      <c r="W132" s="460" t="s">
        <v>2086</v>
      </c>
      <c r="X132" s="519"/>
      <c r="Y132" s="518"/>
      <c r="Z132" s="517"/>
      <c r="AA132" s="463"/>
      <c r="AD132" s="507">
        <v>3</v>
      </c>
      <c r="AE132" s="460" t="s">
        <v>2086</v>
      </c>
      <c r="AF132" s="519"/>
      <c r="AG132" s="518"/>
      <c r="AH132" s="517"/>
      <c r="AI132" s="463"/>
    </row>
    <row r="133" spans="2:37" ht="15" customHeight="1">
      <c r="B133" s="492" t="s">
        <v>721</v>
      </c>
      <c r="C133" s="461" t="s">
        <v>2247</v>
      </c>
      <c r="D133" s="519" t="str">
        <f>$D$41</f>
        <v>bh</v>
      </c>
      <c r="E133" s="518">
        <v>4</v>
      </c>
      <c r="F133" s="416">
        <f>$F$41</f>
        <v>181849.04</v>
      </c>
      <c r="G133" s="463">
        <f t="shared" ref="G133:G138" si="57">E133*F133</f>
        <v>727396.16</v>
      </c>
      <c r="N133" s="492" t="s">
        <v>721</v>
      </c>
      <c r="O133" s="461" t="s">
        <v>2247</v>
      </c>
      <c r="P133" s="519" t="str">
        <f>$D$41</f>
        <v>bh</v>
      </c>
      <c r="Q133" s="518">
        <v>4</v>
      </c>
      <c r="R133" s="517">
        <f>$F$41</f>
        <v>181849.04</v>
      </c>
      <c r="S133" s="463">
        <f t="shared" si="49"/>
        <v>727396.16</v>
      </c>
      <c r="V133" s="492" t="s">
        <v>721</v>
      </c>
      <c r="W133" s="461" t="s">
        <v>2247</v>
      </c>
      <c r="X133" s="519" t="str">
        <f>$D$41</f>
        <v>bh</v>
      </c>
      <c r="Y133" s="518">
        <v>4</v>
      </c>
      <c r="Z133" s="517">
        <f>$F$41</f>
        <v>181849.04</v>
      </c>
      <c r="AA133" s="463">
        <f t="shared" ref="AA133:AA138" si="58">Y133*Z133</f>
        <v>727396.16</v>
      </c>
      <c r="AD133" s="492" t="s">
        <v>721</v>
      </c>
      <c r="AE133" s="461" t="s">
        <v>2247</v>
      </c>
      <c r="AF133" s="519" t="str">
        <f>$D$41</f>
        <v>bh</v>
      </c>
      <c r="AG133" s="518">
        <v>4</v>
      </c>
      <c r="AH133" s="517">
        <f>$F$41</f>
        <v>181849.04</v>
      </c>
      <c r="AI133" s="463">
        <f t="shared" ref="AI133:AI138" si="59">AG133*AH133</f>
        <v>727396.16</v>
      </c>
    </row>
    <row r="134" spans="2:37" ht="15" customHeight="1">
      <c r="B134" s="492" t="s">
        <v>2166</v>
      </c>
      <c r="C134" s="461" t="s">
        <v>2085</v>
      </c>
      <c r="D134" s="519" t="str">
        <f>$D$42</f>
        <v>kg</v>
      </c>
      <c r="E134" s="518">
        <f>I131</f>
        <v>124522.69292025903</v>
      </c>
      <c r="F134" s="416">
        <f>$F$42</f>
        <v>462.7700000000001</v>
      </c>
      <c r="G134" s="463">
        <f t="shared" si="57"/>
        <v>57625366.60270828</v>
      </c>
      <c r="N134" s="492" t="s">
        <v>2166</v>
      </c>
      <c r="O134" s="461" t="s">
        <v>2085</v>
      </c>
      <c r="P134" s="519" t="str">
        <f>$D$42</f>
        <v>kg</v>
      </c>
      <c r="Q134" s="518">
        <f>U131</f>
        <v>208151.63850224199</v>
      </c>
      <c r="R134" s="517">
        <f>$F$42</f>
        <v>462.7700000000001</v>
      </c>
      <c r="S134" s="463">
        <f t="shared" si="49"/>
        <v>96326333.749682546</v>
      </c>
      <c r="V134" s="492" t="s">
        <v>2166</v>
      </c>
      <c r="W134" s="461" t="s">
        <v>2085</v>
      </c>
      <c r="X134" s="519" t="str">
        <f>$D$42</f>
        <v>kg</v>
      </c>
      <c r="Y134" s="518">
        <f>AC131</f>
        <v>248052.29751082114</v>
      </c>
      <c r="Z134" s="517">
        <f>$F$42</f>
        <v>462.7700000000001</v>
      </c>
      <c r="AA134" s="463">
        <f t="shared" si="58"/>
        <v>114791161.71908273</v>
      </c>
      <c r="AD134" s="492" t="s">
        <v>2166</v>
      </c>
      <c r="AE134" s="461" t="s">
        <v>2085</v>
      </c>
      <c r="AF134" s="519" t="str">
        <f>$D$42</f>
        <v>kg</v>
      </c>
      <c r="AG134" s="518">
        <f>AK131</f>
        <v>349741.32444663619</v>
      </c>
      <c r="AH134" s="517">
        <f>$F$42</f>
        <v>462.7700000000001</v>
      </c>
      <c r="AI134" s="463">
        <f t="shared" si="59"/>
        <v>161849792.71416986</v>
      </c>
    </row>
    <row r="135" spans="2:37" ht="15" customHeight="1">
      <c r="B135" s="492" t="s">
        <v>2168</v>
      </c>
      <c r="C135" s="461" t="s">
        <v>2249</v>
      </c>
      <c r="D135" s="519" t="str">
        <f>$D$43</f>
        <v>bh</v>
      </c>
      <c r="E135" s="518">
        <v>4</v>
      </c>
      <c r="F135" s="416">
        <f>$F$43</f>
        <v>387825</v>
      </c>
      <c r="G135" s="463">
        <f t="shared" si="57"/>
        <v>1551300</v>
      </c>
      <c r="N135" s="492" t="s">
        <v>2168</v>
      </c>
      <c r="O135" s="461" t="s">
        <v>2249</v>
      </c>
      <c r="P135" s="519" t="str">
        <f>$D$43</f>
        <v>bh</v>
      </c>
      <c r="Q135" s="518">
        <v>4</v>
      </c>
      <c r="R135" s="517">
        <f>$F$43</f>
        <v>387825</v>
      </c>
      <c r="S135" s="463">
        <f t="shared" si="49"/>
        <v>1551300</v>
      </c>
      <c r="V135" s="492" t="s">
        <v>2168</v>
      </c>
      <c r="W135" s="461" t="s">
        <v>2249</v>
      </c>
      <c r="X135" s="519" t="str">
        <f>$D$43</f>
        <v>bh</v>
      </c>
      <c r="Y135" s="518">
        <v>4</v>
      </c>
      <c r="Z135" s="517">
        <f>$F$43</f>
        <v>387825</v>
      </c>
      <c r="AA135" s="463">
        <f t="shared" si="58"/>
        <v>1551300</v>
      </c>
      <c r="AD135" s="492" t="s">
        <v>2168</v>
      </c>
      <c r="AE135" s="461" t="s">
        <v>2249</v>
      </c>
      <c r="AF135" s="519" t="str">
        <f>$D$43</f>
        <v>bh</v>
      </c>
      <c r="AG135" s="518">
        <v>4</v>
      </c>
      <c r="AH135" s="517">
        <f>$F$43</f>
        <v>387825</v>
      </c>
      <c r="AI135" s="463">
        <f t="shared" si="59"/>
        <v>1551300</v>
      </c>
    </row>
    <row r="136" spans="2:37" ht="15" customHeight="1">
      <c r="B136" s="492" t="s">
        <v>2170</v>
      </c>
      <c r="C136" s="461" t="s">
        <v>2250</v>
      </c>
      <c r="D136" s="519" t="str">
        <f>$D$44</f>
        <v>kg</v>
      </c>
      <c r="E136" s="518">
        <v>251.56</v>
      </c>
      <c r="F136" s="416">
        <f>$F$44</f>
        <v>2255.2190729845765</v>
      </c>
      <c r="G136" s="463">
        <f t="shared" si="57"/>
        <v>567322.91</v>
      </c>
      <c r="N136" s="492" t="s">
        <v>2170</v>
      </c>
      <c r="O136" s="461" t="s">
        <v>2250</v>
      </c>
      <c r="P136" s="519" t="str">
        <f>$D$44</f>
        <v>kg</v>
      </c>
      <c r="Q136" s="518">
        <v>399.36</v>
      </c>
      <c r="R136" s="517">
        <f>$F$44</f>
        <v>2255.2190729845765</v>
      </c>
      <c r="S136" s="463">
        <f t="shared" si="49"/>
        <v>900644.2889871205</v>
      </c>
      <c r="V136" s="492" t="s">
        <v>2170</v>
      </c>
      <c r="W136" s="461" t="s">
        <v>2250</v>
      </c>
      <c r="X136" s="519" t="str">
        <f>$D$44</f>
        <v>kg</v>
      </c>
      <c r="Y136" s="518">
        <v>519.12</v>
      </c>
      <c r="Z136" s="517">
        <f>$F$44</f>
        <v>2255.2190729845765</v>
      </c>
      <c r="AA136" s="463">
        <f t="shared" si="58"/>
        <v>1170729.3251677535</v>
      </c>
      <c r="AD136" s="492" t="s">
        <v>2170</v>
      </c>
      <c r="AE136" s="461" t="s">
        <v>2250</v>
      </c>
      <c r="AF136" s="519" t="str">
        <f>$D$44</f>
        <v>kg</v>
      </c>
      <c r="AG136" s="518">
        <v>671.96</v>
      </c>
      <c r="AH136" s="517">
        <f>$F$44</f>
        <v>2255.2190729845765</v>
      </c>
      <c r="AI136" s="463">
        <f t="shared" si="59"/>
        <v>1515417.0082827162</v>
      </c>
    </row>
    <row r="137" spans="2:37" ht="15" customHeight="1">
      <c r="B137" s="492" t="s">
        <v>2172</v>
      </c>
      <c r="C137" s="461" t="s">
        <v>2251</v>
      </c>
      <c r="D137" s="519" t="str">
        <f>$D$45</f>
        <v>set</v>
      </c>
      <c r="E137" s="518">
        <v>1</v>
      </c>
      <c r="F137" s="416">
        <f>$F$45</f>
        <v>855127</v>
      </c>
      <c r="G137" s="463">
        <f t="shared" si="57"/>
        <v>855127</v>
      </c>
      <c r="N137" s="492" t="s">
        <v>2172</v>
      </c>
      <c r="O137" s="461" t="s">
        <v>2251</v>
      </c>
      <c r="P137" s="519" t="str">
        <f>$D$45</f>
        <v>set</v>
      </c>
      <c r="Q137" s="518">
        <v>1</v>
      </c>
      <c r="R137" s="517">
        <f>$F$45</f>
        <v>855127</v>
      </c>
      <c r="S137" s="463">
        <f t="shared" si="49"/>
        <v>855127</v>
      </c>
      <c r="V137" s="492" t="s">
        <v>2172</v>
      </c>
      <c r="W137" s="461" t="s">
        <v>2251</v>
      </c>
      <c r="X137" s="519" t="str">
        <f>$D$45</f>
        <v>set</v>
      </c>
      <c r="Y137" s="518">
        <v>1</v>
      </c>
      <c r="Z137" s="517">
        <f>$F$45</f>
        <v>855127</v>
      </c>
      <c r="AA137" s="463">
        <f t="shared" si="58"/>
        <v>855127</v>
      </c>
      <c r="AD137" s="492" t="s">
        <v>2172</v>
      </c>
      <c r="AE137" s="461" t="s">
        <v>2251</v>
      </c>
      <c r="AF137" s="519" t="str">
        <f>$D$45</f>
        <v>set</v>
      </c>
      <c r="AG137" s="518">
        <v>1</v>
      </c>
      <c r="AH137" s="517">
        <f>$F$45</f>
        <v>855127</v>
      </c>
      <c r="AI137" s="463">
        <f t="shared" si="59"/>
        <v>855127</v>
      </c>
    </row>
    <row r="138" spans="2:37" ht="15" customHeight="1">
      <c r="B138" s="492" t="s">
        <v>2174</v>
      </c>
      <c r="C138" s="461" t="s">
        <v>2252</v>
      </c>
      <c r="D138" s="519" t="str">
        <f>$D$46</f>
        <v>set</v>
      </c>
      <c r="E138" s="518">
        <v>1</v>
      </c>
      <c r="F138" s="416">
        <f>$F$46</f>
        <v>674025</v>
      </c>
      <c r="G138" s="463">
        <f t="shared" si="57"/>
        <v>674025</v>
      </c>
      <c r="N138" s="492" t="s">
        <v>2174</v>
      </c>
      <c r="O138" s="461" t="s">
        <v>2252</v>
      </c>
      <c r="P138" s="519" t="str">
        <f>$D$46</f>
        <v>set</v>
      </c>
      <c r="Q138" s="518">
        <v>1</v>
      </c>
      <c r="R138" s="517">
        <f>$F$46</f>
        <v>674025</v>
      </c>
      <c r="S138" s="463">
        <f t="shared" si="49"/>
        <v>674025</v>
      </c>
      <c r="V138" s="492" t="s">
        <v>2174</v>
      </c>
      <c r="W138" s="461" t="s">
        <v>2252</v>
      </c>
      <c r="X138" s="519" t="str">
        <f>$D$46</f>
        <v>set</v>
      </c>
      <c r="Y138" s="518">
        <v>1</v>
      </c>
      <c r="Z138" s="517">
        <f>$F$46</f>
        <v>674025</v>
      </c>
      <c r="AA138" s="463">
        <f t="shared" si="58"/>
        <v>674025</v>
      </c>
      <c r="AD138" s="492" t="s">
        <v>2174</v>
      </c>
      <c r="AE138" s="461" t="s">
        <v>2252</v>
      </c>
      <c r="AF138" s="519" t="str">
        <f>$D$46</f>
        <v>set</v>
      </c>
      <c r="AG138" s="518">
        <v>1</v>
      </c>
      <c r="AH138" s="517">
        <f>$F$46</f>
        <v>674025</v>
      </c>
      <c r="AI138" s="463">
        <f t="shared" si="59"/>
        <v>674025</v>
      </c>
    </row>
    <row r="139" spans="2:37" ht="15" customHeight="1" thickBot="1">
      <c r="B139" s="459"/>
      <c r="C139" s="1194" t="s">
        <v>2262</v>
      </c>
      <c r="D139" s="1195"/>
      <c r="E139" s="1195"/>
      <c r="F139" s="1196"/>
      <c r="G139" s="458">
        <f>SUM(G121:G138)</f>
        <v>231725178.32100666</v>
      </c>
      <c r="N139" s="459"/>
      <c r="O139" s="1194" t="s">
        <v>2262</v>
      </c>
      <c r="P139" s="1195"/>
      <c r="Q139" s="1195"/>
      <c r="R139" s="1196"/>
      <c r="S139" s="458">
        <f>SUM(S121:S138)</f>
        <v>419805193.91284698</v>
      </c>
      <c r="V139" s="459"/>
      <c r="W139" s="1194" t="s">
        <v>2262</v>
      </c>
      <c r="X139" s="1195"/>
      <c r="Y139" s="1195"/>
      <c r="Z139" s="1196"/>
      <c r="AA139" s="458">
        <f>SUM(AA121:AA138)</f>
        <v>477048546.6886937</v>
      </c>
      <c r="AD139" s="459"/>
      <c r="AE139" s="1194" t="s">
        <v>2262</v>
      </c>
      <c r="AF139" s="1195"/>
      <c r="AG139" s="1195"/>
      <c r="AH139" s="1196"/>
      <c r="AI139" s="458">
        <f>SUM(AI121:AI138)</f>
        <v>668064609.31144953</v>
      </c>
    </row>
    <row r="140" spans="2:37" ht="15" customHeight="1" thickBot="1">
      <c r="B140" s="457"/>
      <c r="C140" s="456"/>
      <c r="D140" s="457"/>
      <c r="E140" s="455"/>
      <c r="F140" s="415"/>
      <c r="G140" s="453"/>
      <c r="N140" s="457"/>
      <c r="O140" s="456"/>
      <c r="P140" s="457"/>
      <c r="Q140" s="455"/>
      <c r="R140" s="454"/>
      <c r="S140" s="453"/>
      <c r="V140" s="457"/>
      <c r="W140" s="456"/>
      <c r="X140" s="457"/>
      <c r="Y140" s="455"/>
      <c r="Z140" s="454"/>
      <c r="AA140" s="453"/>
      <c r="AD140" s="457"/>
      <c r="AE140" s="456"/>
      <c r="AF140" s="457"/>
      <c r="AG140" s="455"/>
      <c r="AH140" s="454"/>
      <c r="AI140" s="453"/>
    </row>
    <row r="141" spans="2:37" ht="15" customHeight="1" thickBot="1">
      <c r="B141" s="452" t="s">
        <v>2229</v>
      </c>
      <c r="C141" s="435"/>
      <c r="D141" s="434">
        <v>6</v>
      </c>
      <c r="E141" s="433"/>
      <c r="F141" s="411"/>
      <c r="G141" s="431"/>
      <c r="N141" s="452" t="s">
        <v>2230</v>
      </c>
      <c r="O141" s="435"/>
      <c r="P141" s="434"/>
      <c r="Q141" s="433"/>
      <c r="R141" s="432"/>
      <c r="S141" s="431"/>
      <c r="V141" s="452" t="s">
        <v>2231</v>
      </c>
      <c r="W141" s="435"/>
      <c r="X141" s="434"/>
      <c r="Y141" s="433"/>
      <c r="Z141" s="432"/>
      <c r="AA141" s="431"/>
      <c r="AD141" s="452" t="s">
        <v>2254</v>
      </c>
      <c r="AE141" s="435"/>
      <c r="AF141" s="434"/>
      <c r="AG141" s="433"/>
      <c r="AH141" s="432"/>
      <c r="AI141" s="431"/>
    </row>
    <row r="142" spans="2:37" ht="15" customHeight="1">
      <c r="B142" s="446"/>
      <c r="C142" s="445" t="s">
        <v>3224</v>
      </c>
      <c r="D142" s="444"/>
      <c r="E142" s="443"/>
      <c r="F142" s="413"/>
      <c r="G142" s="441"/>
      <c r="N142" s="446"/>
      <c r="O142" s="445" t="s">
        <v>3225</v>
      </c>
      <c r="P142" s="444"/>
      <c r="Q142" s="443"/>
      <c r="R142" s="442"/>
      <c r="S142" s="441"/>
      <c r="V142" s="446"/>
      <c r="W142" s="445" t="s">
        <v>3225</v>
      </c>
      <c r="X142" s="444"/>
      <c r="Y142" s="443"/>
      <c r="Z142" s="442"/>
      <c r="AA142" s="441"/>
      <c r="AD142" s="446"/>
      <c r="AE142" s="445" t="s">
        <v>3225</v>
      </c>
      <c r="AF142" s="444"/>
      <c r="AG142" s="443"/>
      <c r="AH142" s="442"/>
      <c r="AI142" s="441"/>
    </row>
    <row r="143" spans="2:37" ht="15" customHeight="1">
      <c r="B143" s="468">
        <v>1</v>
      </c>
      <c r="C143" s="467" t="s">
        <v>2234</v>
      </c>
      <c r="D143" s="519"/>
      <c r="E143" s="430"/>
      <c r="F143" s="417"/>
      <c r="G143" s="486"/>
      <c r="N143" s="468">
        <v>1</v>
      </c>
      <c r="O143" s="467" t="s">
        <v>2234</v>
      </c>
      <c r="P143" s="519"/>
      <c r="Q143" s="430"/>
      <c r="R143" s="429"/>
      <c r="S143" s="486"/>
      <c r="V143" s="468">
        <v>1</v>
      </c>
      <c r="W143" s="467" t="s">
        <v>2234</v>
      </c>
      <c r="X143" s="519"/>
      <c r="Y143" s="430"/>
      <c r="Z143" s="429"/>
      <c r="AA143" s="486"/>
      <c r="AD143" s="468">
        <v>1</v>
      </c>
      <c r="AE143" s="467" t="s">
        <v>2234</v>
      </c>
      <c r="AF143" s="519"/>
      <c r="AG143" s="430"/>
      <c r="AH143" s="429"/>
      <c r="AI143" s="486"/>
    </row>
    <row r="144" spans="2:37" ht="15" customHeight="1">
      <c r="B144" s="492" t="s">
        <v>721</v>
      </c>
      <c r="C144" s="464" t="s">
        <v>2235</v>
      </c>
      <c r="D144" s="519" t="str">
        <f>$D$244</f>
        <v>m³</v>
      </c>
      <c r="E144" s="518">
        <v>50.35</v>
      </c>
      <c r="F144" s="416">
        <f>ahs_excavation_manual_2m</f>
        <v>102390.75000000001</v>
      </c>
      <c r="G144" s="463">
        <f>E144*F144</f>
        <v>5155374.2625000011</v>
      </c>
      <c r="N144" s="492" t="s">
        <v>721</v>
      </c>
      <c r="O144" s="464" t="s">
        <v>2235</v>
      </c>
      <c r="P144" s="519" t="str">
        <f>$D$244</f>
        <v>m³</v>
      </c>
      <c r="Q144" s="518">
        <v>50.35</v>
      </c>
      <c r="R144" s="517">
        <f>$F$244</f>
        <v>102390.75000000001</v>
      </c>
      <c r="S144" s="463">
        <f>Q144*R144</f>
        <v>5155374.2625000011</v>
      </c>
      <c r="V144" s="492" t="s">
        <v>721</v>
      </c>
      <c r="W144" s="464" t="s">
        <v>2235</v>
      </c>
      <c r="X144" s="519" t="str">
        <f>$D$244</f>
        <v>m³</v>
      </c>
      <c r="Y144" s="518">
        <v>50.35</v>
      </c>
      <c r="Z144" s="517">
        <f>$F$244</f>
        <v>102390.75000000001</v>
      </c>
      <c r="AA144" s="463">
        <f>Y144*Z144</f>
        <v>5155374.2625000011</v>
      </c>
      <c r="AD144" s="492" t="s">
        <v>721</v>
      </c>
      <c r="AE144" s="464" t="s">
        <v>2235</v>
      </c>
      <c r="AF144" s="519" t="str">
        <f>$D$244</f>
        <v>m³</v>
      </c>
      <c r="AG144" s="518">
        <v>50.35</v>
      </c>
      <c r="AH144" s="517">
        <f>$F$244</f>
        <v>102390.75000000001</v>
      </c>
      <c r="AI144" s="463">
        <f>AG144*AH144</f>
        <v>5155374.2625000011</v>
      </c>
    </row>
    <row r="145" spans="2:37" ht="15" customHeight="1">
      <c r="B145" s="492" t="s">
        <v>2166</v>
      </c>
      <c r="C145" s="464" t="s">
        <v>2237</v>
      </c>
      <c r="D145" s="519" t="str">
        <f>$D$245</f>
        <v>m³</v>
      </c>
      <c r="E145" s="518">
        <v>12.160000000000002</v>
      </c>
      <c r="F145" s="416">
        <f>ahs_back_filling</f>
        <v>62462.950000000012</v>
      </c>
      <c r="G145" s="463">
        <f t="shared" ref="G145:G146" si="60">E145*F145</f>
        <v>759549.4720000003</v>
      </c>
      <c r="N145" s="492" t="s">
        <v>2166</v>
      </c>
      <c r="O145" s="464" t="s">
        <v>2237</v>
      </c>
      <c r="P145" s="519" t="str">
        <f>$D$245</f>
        <v>m³</v>
      </c>
      <c r="Q145" s="518">
        <v>12.160000000000002</v>
      </c>
      <c r="R145" s="517">
        <f>$F$245</f>
        <v>62462.950000000012</v>
      </c>
      <c r="S145" s="463">
        <f t="shared" ref="S145:S163" si="61">Q145*R145</f>
        <v>759549.4720000003</v>
      </c>
      <c r="V145" s="492" t="s">
        <v>2166</v>
      </c>
      <c r="W145" s="464" t="s">
        <v>2237</v>
      </c>
      <c r="X145" s="519" t="str">
        <f>$D$245</f>
        <v>m³</v>
      </c>
      <c r="Y145" s="518">
        <v>12.160000000000002</v>
      </c>
      <c r="Z145" s="517">
        <f>$F$245</f>
        <v>62462.950000000012</v>
      </c>
      <c r="AA145" s="463">
        <f>Y145*Z145</f>
        <v>759549.4720000003</v>
      </c>
      <c r="AD145" s="492" t="s">
        <v>2166</v>
      </c>
      <c r="AE145" s="464" t="s">
        <v>2237</v>
      </c>
      <c r="AF145" s="519" t="str">
        <f>$D$245</f>
        <v>m³</v>
      </c>
      <c r="AG145" s="518">
        <v>12.160000000000002</v>
      </c>
      <c r="AH145" s="517">
        <f>$F$245</f>
        <v>62462.950000000012</v>
      </c>
      <c r="AI145" s="463">
        <f>AG145*AH145</f>
        <v>759549.4720000003</v>
      </c>
    </row>
    <row r="146" spans="2:37" ht="15" customHeight="1">
      <c r="B146" s="492" t="s">
        <v>2168</v>
      </c>
      <c r="C146" s="464" t="s">
        <v>2265</v>
      </c>
      <c r="D146" s="519" t="str">
        <f>$D$246</f>
        <v>m'</v>
      </c>
      <c r="E146" s="518">
        <v>96</v>
      </c>
      <c r="F146" s="416">
        <f>AHS!$G$1081</f>
        <v>52230.612500000003</v>
      </c>
      <c r="G146" s="463">
        <f t="shared" si="60"/>
        <v>5014138.8000000007</v>
      </c>
      <c r="N146" s="492" t="s">
        <v>2168</v>
      </c>
      <c r="O146" s="464" t="s">
        <v>2265</v>
      </c>
      <c r="P146" s="519" t="str">
        <f>$D$246</f>
        <v>m'</v>
      </c>
      <c r="Q146" s="518">
        <v>96</v>
      </c>
      <c r="R146" s="517">
        <f>$F$246</f>
        <v>52230.612500000003</v>
      </c>
      <c r="S146" s="463">
        <f t="shared" si="61"/>
        <v>5014138.8000000007</v>
      </c>
      <c r="V146" s="492" t="s">
        <v>2168</v>
      </c>
      <c r="W146" s="464" t="s">
        <v>2265</v>
      </c>
      <c r="X146" s="519" t="str">
        <f>$D$246</f>
        <v>m'</v>
      </c>
      <c r="Y146" s="518">
        <v>96</v>
      </c>
      <c r="Z146" s="517">
        <f>$F$246</f>
        <v>52230.612500000003</v>
      </c>
      <c r="AA146" s="463">
        <f>Y146*Z146</f>
        <v>5014138.8000000007</v>
      </c>
      <c r="AD146" s="492" t="s">
        <v>2168</v>
      </c>
      <c r="AE146" s="464" t="s">
        <v>2265</v>
      </c>
      <c r="AF146" s="519" t="str">
        <f>$D$246</f>
        <v>m'</v>
      </c>
      <c r="AG146" s="518">
        <v>96</v>
      </c>
      <c r="AH146" s="517">
        <f>$F$246</f>
        <v>52230.612500000003</v>
      </c>
      <c r="AI146" s="463">
        <f>AG146*AH146</f>
        <v>5014138.8000000007</v>
      </c>
    </row>
    <row r="147" spans="2:37" ht="15" customHeight="1">
      <c r="B147" s="462"/>
      <c r="C147" s="464"/>
      <c r="D147" s="519"/>
      <c r="E147" s="428"/>
      <c r="F147" s="416"/>
      <c r="G147" s="463"/>
      <c r="N147" s="462"/>
      <c r="O147" s="464"/>
      <c r="P147" s="519"/>
      <c r="Q147" s="428"/>
      <c r="R147" s="517"/>
      <c r="S147" s="463">
        <f t="shared" si="61"/>
        <v>0</v>
      </c>
      <c r="V147" s="462"/>
      <c r="W147" s="464"/>
      <c r="X147" s="519"/>
      <c r="Y147" s="428"/>
      <c r="Z147" s="517"/>
      <c r="AA147" s="463"/>
      <c r="AD147" s="462"/>
      <c r="AE147" s="464"/>
      <c r="AF147" s="519"/>
      <c r="AG147" s="428"/>
      <c r="AH147" s="517"/>
      <c r="AI147" s="463"/>
    </row>
    <row r="148" spans="2:37" ht="15" customHeight="1">
      <c r="B148" s="507">
        <v>2</v>
      </c>
      <c r="C148" s="467" t="s">
        <v>2238</v>
      </c>
      <c r="D148" s="519"/>
      <c r="E148" s="428"/>
      <c r="F148" s="416"/>
      <c r="G148" s="463"/>
      <c r="H148" s="516" t="s">
        <v>2239</v>
      </c>
      <c r="N148" s="507">
        <v>2</v>
      </c>
      <c r="O148" s="467" t="s">
        <v>2238</v>
      </c>
      <c r="P148" s="519"/>
      <c r="Q148" s="428"/>
      <c r="R148" s="517"/>
      <c r="S148" s="463">
        <f t="shared" si="61"/>
        <v>0</v>
      </c>
      <c r="T148" s="516" t="s">
        <v>2239</v>
      </c>
      <c r="V148" s="507">
        <v>2</v>
      </c>
      <c r="W148" s="467" t="s">
        <v>2238</v>
      </c>
      <c r="X148" s="519"/>
      <c r="Y148" s="428"/>
      <c r="Z148" s="517"/>
      <c r="AA148" s="463"/>
      <c r="AB148" s="516" t="s">
        <v>2239</v>
      </c>
      <c r="AD148" s="507">
        <v>2</v>
      </c>
      <c r="AE148" s="467" t="s">
        <v>2238</v>
      </c>
      <c r="AF148" s="519"/>
      <c r="AG148" s="428"/>
      <c r="AH148" s="517"/>
      <c r="AI148" s="463"/>
      <c r="AJ148" s="516" t="s">
        <v>2239</v>
      </c>
    </row>
    <row r="149" spans="2:37" ht="15" customHeight="1">
      <c r="B149" s="492" t="s">
        <v>721</v>
      </c>
      <c r="C149" s="464" t="s">
        <v>2240</v>
      </c>
      <c r="D149" s="519" t="str">
        <f>$D$249</f>
        <v>m³</v>
      </c>
      <c r="E149" s="518">
        <v>4.9000000000000004</v>
      </c>
      <c r="F149" s="416">
        <f>ahs_compacted_sand_layer_m3</f>
        <v>404738.95</v>
      </c>
      <c r="G149" s="463">
        <f t="shared" ref="G149:G155" si="62">E149*F149</f>
        <v>1983220.8550000002</v>
      </c>
      <c r="H149" s="516">
        <v>1400</v>
      </c>
      <c r="I149" s="516">
        <f>E149*H149</f>
        <v>6860.0000000000009</v>
      </c>
      <c r="N149" s="492" t="s">
        <v>721</v>
      </c>
      <c r="O149" s="464" t="s">
        <v>2240</v>
      </c>
      <c r="P149" s="519" t="str">
        <f>$D$249</f>
        <v>m³</v>
      </c>
      <c r="Q149" s="518">
        <v>4.9000000000000004</v>
      </c>
      <c r="R149" s="517">
        <f>$F$249</f>
        <v>404738.95</v>
      </c>
      <c r="S149" s="463">
        <f t="shared" si="61"/>
        <v>1983220.8550000002</v>
      </c>
      <c r="T149" s="516">
        <v>1400</v>
      </c>
      <c r="U149" s="516">
        <f>Q149*T149</f>
        <v>6860.0000000000009</v>
      </c>
      <c r="V149" s="492" t="s">
        <v>721</v>
      </c>
      <c r="W149" s="464" t="s">
        <v>2240</v>
      </c>
      <c r="X149" s="519" t="str">
        <f>$D$249</f>
        <v>m³</v>
      </c>
      <c r="Y149" s="518">
        <v>4.9000000000000004</v>
      </c>
      <c r="Z149" s="517">
        <f>$F$249</f>
        <v>404738.95</v>
      </c>
      <c r="AA149" s="463">
        <f t="shared" ref="AA149:AA155" si="63">Y149*Z149</f>
        <v>1983220.8550000002</v>
      </c>
      <c r="AB149" s="516">
        <v>1400</v>
      </c>
      <c r="AC149" s="516">
        <f>Y149*AB149</f>
        <v>6860.0000000000009</v>
      </c>
      <c r="AD149" s="492" t="s">
        <v>721</v>
      </c>
      <c r="AE149" s="464" t="s">
        <v>2240</v>
      </c>
      <c r="AF149" s="519" t="str">
        <f>$D$249</f>
        <v>m³</v>
      </c>
      <c r="AG149" s="518">
        <v>4.9000000000000004</v>
      </c>
      <c r="AH149" s="517">
        <f>$F$249</f>
        <v>404738.95</v>
      </c>
      <c r="AI149" s="463">
        <f t="shared" ref="AI149:AI155" si="64">AG149*AH149</f>
        <v>1983220.8550000002</v>
      </c>
      <c r="AJ149" s="516">
        <v>1400</v>
      </c>
      <c r="AK149" s="516">
        <f>AG149*AJ149</f>
        <v>6860.0000000000009</v>
      </c>
    </row>
    <row r="150" spans="2:37" ht="15" customHeight="1">
      <c r="B150" s="492" t="s">
        <v>2166</v>
      </c>
      <c r="C150" s="461" t="s">
        <v>2241</v>
      </c>
      <c r="D150" s="519" t="str">
        <f>$D$250</f>
        <v>m³</v>
      </c>
      <c r="E150" s="518">
        <v>2.4500000000000002</v>
      </c>
      <c r="F150" s="416">
        <f>K_100</f>
        <v>710224.707936508</v>
      </c>
      <c r="G150" s="463">
        <f t="shared" si="62"/>
        <v>1740050.5344444448</v>
      </c>
      <c r="H150" s="516">
        <v>2200</v>
      </c>
      <c r="I150" s="516">
        <f t="shared" ref="I150:I155" si="65">E150*H150</f>
        <v>5390</v>
      </c>
      <c r="N150" s="492" t="s">
        <v>2166</v>
      </c>
      <c r="O150" s="461" t="s">
        <v>2241</v>
      </c>
      <c r="P150" s="519" t="str">
        <f>$D$250</f>
        <v>m³</v>
      </c>
      <c r="Q150" s="518">
        <v>2.4500000000000002</v>
      </c>
      <c r="R150" s="517">
        <f>$F$250</f>
        <v>710224.707936508</v>
      </c>
      <c r="S150" s="463">
        <f t="shared" si="61"/>
        <v>1740050.5344444448</v>
      </c>
      <c r="T150" s="516">
        <v>2200</v>
      </c>
      <c r="U150" s="516">
        <f t="shared" ref="U150:U155" si="66">Q150*T150</f>
        <v>5390</v>
      </c>
      <c r="V150" s="492" t="s">
        <v>2166</v>
      </c>
      <c r="W150" s="461" t="s">
        <v>2241</v>
      </c>
      <c r="X150" s="519" t="str">
        <f>$D$250</f>
        <v>m³</v>
      </c>
      <c r="Y150" s="518">
        <v>2.4500000000000002</v>
      </c>
      <c r="Z150" s="517">
        <f>$F$250</f>
        <v>710224.707936508</v>
      </c>
      <c r="AA150" s="463">
        <f t="shared" si="63"/>
        <v>1740050.5344444448</v>
      </c>
      <c r="AB150" s="516">
        <v>2200</v>
      </c>
      <c r="AC150" s="516">
        <f t="shared" ref="AC150:AC155" si="67">Y150*AB150</f>
        <v>5390</v>
      </c>
      <c r="AD150" s="492" t="s">
        <v>2166</v>
      </c>
      <c r="AE150" s="461" t="s">
        <v>2241</v>
      </c>
      <c r="AF150" s="519" t="str">
        <f>$D$250</f>
        <v>m³</v>
      </c>
      <c r="AG150" s="518">
        <v>2.4500000000000002</v>
      </c>
      <c r="AH150" s="517">
        <f>$F$250</f>
        <v>710224.707936508</v>
      </c>
      <c r="AI150" s="463">
        <f t="shared" si="64"/>
        <v>1740050.5344444448</v>
      </c>
      <c r="AJ150" s="516">
        <v>2200</v>
      </c>
      <c r="AK150" s="516">
        <f t="shared" ref="AK150:AK155" si="68">AG150*AJ150</f>
        <v>5390</v>
      </c>
    </row>
    <row r="151" spans="2:37" ht="15" customHeight="1">
      <c r="B151" s="492" t="s">
        <v>2168</v>
      </c>
      <c r="C151" s="461" t="s">
        <v>2266</v>
      </c>
      <c r="D151" s="519" t="str">
        <f>$D$251</f>
        <v>m³</v>
      </c>
      <c r="E151" s="518">
        <v>30.84</v>
      </c>
      <c r="F151" s="416">
        <f>K_225</f>
        <v>1115864.6138095236</v>
      </c>
      <c r="G151" s="463">
        <f t="shared" si="62"/>
        <v>34413264.689885706</v>
      </c>
      <c r="H151" s="516">
        <v>2400</v>
      </c>
      <c r="I151" s="516">
        <f t="shared" si="65"/>
        <v>74016</v>
      </c>
      <c r="N151" s="492" t="s">
        <v>2168</v>
      </c>
      <c r="O151" s="461" t="str">
        <f>C151</f>
        <v>Beton K 225 (Pad &amp; Chimney)</v>
      </c>
      <c r="P151" s="519" t="str">
        <f>$D$251</f>
        <v>m³</v>
      </c>
      <c r="Q151" s="518">
        <v>30.84</v>
      </c>
      <c r="R151" s="517">
        <f>$F$251</f>
        <v>1115864.6138095236</v>
      </c>
      <c r="S151" s="463">
        <f t="shared" si="61"/>
        <v>34413264.689885706</v>
      </c>
      <c r="T151" s="516">
        <v>2400</v>
      </c>
      <c r="U151" s="516">
        <f t="shared" si="66"/>
        <v>74016</v>
      </c>
      <c r="V151" s="492" t="s">
        <v>2168</v>
      </c>
      <c r="W151" s="461" t="str">
        <f>O151</f>
        <v>Beton K 225 (Pad &amp; Chimney)</v>
      </c>
      <c r="X151" s="519" t="str">
        <f>$D$251</f>
        <v>m³</v>
      </c>
      <c r="Y151" s="518">
        <v>30.84</v>
      </c>
      <c r="Z151" s="517">
        <f>$F$251</f>
        <v>1115864.6138095236</v>
      </c>
      <c r="AA151" s="463">
        <f t="shared" si="63"/>
        <v>34413264.689885706</v>
      </c>
      <c r="AB151" s="516">
        <v>2400</v>
      </c>
      <c r="AC151" s="516">
        <f t="shared" si="67"/>
        <v>74016</v>
      </c>
      <c r="AD151" s="492" t="s">
        <v>2168</v>
      </c>
      <c r="AE151" s="461" t="str">
        <f>W151</f>
        <v>Beton K 225 (Pad &amp; Chimney)</v>
      </c>
      <c r="AF151" s="519" t="str">
        <f>$D$251</f>
        <v>m³</v>
      </c>
      <c r="AG151" s="518">
        <v>30.84</v>
      </c>
      <c r="AH151" s="517">
        <f>$F$251</f>
        <v>1115864.6138095236</v>
      </c>
      <c r="AI151" s="463">
        <f t="shared" si="64"/>
        <v>34413264.689885706</v>
      </c>
      <c r="AJ151" s="516">
        <v>2400</v>
      </c>
      <c r="AK151" s="516">
        <f t="shared" si="68"/>
        <v>74016</v>
      </c>
    </row>
    <row r="152" spans="2:37" ht="15" customHeight="1">
      <c r="B152" s="492" t="s">
        <v>2170</v>
      </c>
      <c r="C152" s="461" t="s">
        <v>2267</v>
      </c>
      <c r="D152" s="519" t="str">
        <f>$D$252</f>
        <v>m³</v>
      </c>
      <c r="E152" s="518">
        <v>23.533714285714286</v>
      </c>
      <c r="F152" s="416">
        <f>K_175</f>
        <v>1057576.2423809525</v>
      </c>
      <c r="G152" s="463">
        <f t="shared" si="62"/>
        <v>24888697.123552654</v>
      </c>
      <c r="H152" s="516">
        <v>2200</v>
      </c>
      <c r="I152" s="516">
        <f t="shared" si="65"/>
        <v>51774.171428571426</v>
      </c>
      <c r="N152" s="492" t="s">
        <v>2170</v>
      </c>
      <c r="O152" s="461" t="s">
        <v>2267</v>
      </c>
      <c r="P152" s="519" t="str">
        <f>$D$252</f>
        <v>m³</v>
      </c>
      <c r="Q152" s="518">
        <v>23.533714285714286</v>
      </c>
      <c r="R152" s="517">
        <f>$F$252</f>
        <v>1057576.2423809525</v>
      </c>
      <c r="S152" s="463">
        <f t="shared" si="61"/>
        <v>24888697.123552654</v>
      </c>
      <c r="T152" s="516">
        <v>2200</v>
      </c>
      <c r="U152" s="516">
        <f t="shared" si="66"/>
        <v>51774.171428571426</v>
      </c>
      <c r="V152" s="492" t="s">
        <v>2170</v>
      </c>
      <c r="W152" s="461" t="s">
        <v>2267</v>
      </c>
      <c r="X152" s="519" t="str">
        <f>$D$252</f>
        <v>m³</v>
      </c>
      <c r="Y152" s="518">
        <v>23.533714285714286</v>
      </c>
      <c r="Z152" s="517">
        <f>$F$252</f>
        <v>1057576.2423809525</v>
      </c>
      <c r="AA152" s="463">
        <f t="shared" si="63"/>
        <v>24888697.123552654</v>
      </c>
      <c r="AB152" s="516">
        <v>2200</v>
      </c>
      <c r="AC152" s="516">
        <f t="shared" si="67"/>
        <v>51774.171428571426</v>
      </c>
      <c r="AD152" s="492" t="s">
        <v>2170</v>
      </c>
      <c r="AE152" s="461" t="s">
        <v>2267</v>
      </c>
      <c r="AF152" s="519" t="str">
        <f>$D$252</f>
        <v>m³</v>
      </c>
      <c r="AG152" s="518">
        <v>23.533714285714286</v>
      </c>
      <c r="AH152" s="517">
        <f>$F$252</f>
        <v>1057576.2423809525</v>
      </c>
      <c r="AI152" s="463">
        <f t="shared" si="64"/>
        <v>24888697.123552654</v>
      </c>
      <c r="AJ152" s="516">
        <v>2200</v>
      </c>
      <c r="AK152" s="516">
        <f t="shared" si="68"/>
        <v>51774.171428571426</v>
      </c>
    </row>
    <row r="153" spans="2:37" ht="15" customHeight="1">
      <c r="B153" s="492" t="s">
        <v>2172</v>
      </c>
      <c r="C153" s="461" t="s">
        <v>2243</v>
      </c>
      <c r="D153" s="519" t="str">
        <f>$D$253</f>
        <v>kg</v>
      </c>
      <c r="E153" s="518">
        <v>5687.3080000000009</v>
      </c>
      <c r="F153" s="416">
        <f>85%*ahs_besi_ulir_kg+15%*ahs_besi_polos_kg</f>
        <v>19478.039350000003</v>
      </c>
      <c r="G153" s="463">
        <f t="shared" si="62"/>
        <v>110777609.01956983</v>
      </c>
      <c r="H153" s="516">
        <v>1</v>
      </c>
      <c r="I153" s="516">
        <f t="shared" si="65"/>
        <v>5687.3080000000009</v>
      </c>
      <c r="N153" s="492" t="s">
        <v>2172</v>
      </c>
      <c r="O153" s="461" t="s">
        <v>2243</v>
      </c>
      <c r="P153" s="519" t="str">
        <f>$D$253</f>
        <v>kg</v>
      </c>
      <c r="Q153" s="518">
        <v>5687.3080000000009</v>
      </c>
      <c r="R153" s="517">
        <f>$F$253</f>
        <v>19478.039350000003</v>
      </c>
      <c r="S153" s="463">
        <f t="shared" si="61"/>
        <v>110777609.01956983</v>
      </c>
      <c r="T153" s="516">
        <v>1</v>
      </c>
      <c r="U153" s="516">
        <f t="shared" si="66"/>
        <v>5687.3080000000009</v>
      </c>
      <c r="V153" s="492" t="s">
        <v>2172</v>
      </c>
      <c r="W153" s="461" t="s">
        <v>2243</v>
      </c>
      <c r="X153" s="519" t="str">
        <f>$D$253</f>
        <v>kg</v>
      </c>
      <c r="Y153" s="518">
        <v>5687.3080000000009</v>
      </c>
      <c r="Z153" s="517">
        <f>$F$253</f>
        <v>19478.039350000003</v>
      </c>
      <c r="AA153" s="463">
        <f t="shared" si="63"/>
        <v>110777609.01956983</v>
      </c>
      <c r="AB153" s="516">
        <v>1</v>
      </c>
      <c r="AC153" s="516">
        <f t="shared" si="67"/>
        <v>5687.3080000000009</v>
      </c>
      <c r="AD153" s="492" t="s">
        <v>2172</v>
      </c>
      <c r="AE153" s="461" t="s">
        <v>2243</v>
      </c>
      <c r="AF153" s="519" t="str">
        <f>$D$253</f>
        <v>kg</v>
      </c>
      <c r="AG153" s="518">
        <v>5687.3080000000009</v>
      </c>
      <c r="AH153" s="517">
        <f>$F$253</f>
        <v>19478.039350000003</v>
      </c>
      <c r="AI153" s="463">
        <f t="shared" si="64"/>
        <v>110777609.01956983</v>
      </c>
      <c r="AJ153" s="516">
        <v>1</v>
      </c>
      <c r="AK153" s="516">
        <f t="shared" si="68"/>
        <v>5687.3080000000009</v>
      </c>
    </row>
    <row r="154" spans="2:37" ht="15" customHeight="1">
      <c r="B154" s="492" t="s">
        <v>2268</v>
      </c>
      <c r="C154" s="461" t="s">
        <v>2244</v>
      </c>
      <c r="D154" s="519" t="str">
        <f>$D$254</f>
        <v>m²</v>
      </c>
      <c r="E154" s="518">
        <v>43.2</v>
      </c>
      <c r="F154" s="416">
        <f>ahs_formwork_foundation_wooden_plank</f>
        <v>145812.67000000001</v>
      </c>
      <c r="G154" s="463">
        <f t="shared" si="62"/>
        <v>6299107.3440000005</v>
      </c>
      <c r="H154" s="516">
        <v>40</v>
      </c>
      <c r="I154" s="516">
        <f t="shared" si="65"/>
        <v>1728</v>
      </c>
      <c r="N154" s="492" t="s">
        <v>2268</v>
      </c>
      <c r="O154" s="461" t="s">
        <v>2244</v>
      </c>
      <c r="P154" s="519" t="str">
        <f>$D$254</f>
        <v>m²</v>
      </c>
      <c r="Q154" s="518">
        <v>43.2</v>
      </c>
      <c r="R154" s="517">
        <f>$F$254</f>
        <v>145812.67000000001</v>
      </c>
      <c r="S154" s="463">
        <f t="shared" si="61"/>
        <v>6299107.3440000005</v>
      </c>
      <c r="T154" s="516">
        <v>40</v>
      </c>
      <c r="U154" s="516">
        <f t="shared" si="66"/>
        <v>1728</v>
      </c>
      <c r="V154" s="492" t="s">
        <v>2268</v>
      </c>
      <c r="W154" s="461" t="s">
        <v>2244</v>
      </c>
      <c r="X154" s="519" t="str">
        <f>$D$254</f>
        <v>m²</v>
      </c>
      <c r="Y154" s="518">
        <v>43.2</v>
      </c>
      <c r="Z154" s="517">
        <f>$F$254</f>
        <v>145812.67000000001</v>
      </c>
      <c r="AA154" s="463">
        <f t="shared" si="63"/>
        <v>6299107.3440000005</v>
      </c>
      <c r="AB154" s="516">
        <v>40</v>
      </c>
      <c r="AC154" s="516">
        <f t="shared" si="67"/>
        <v>1728</v>
      </c>
      <c r="AD154" s="492" t="s">
        <v>2268</v>
      </c>
      <c r="AE154" s="461" t="s">
        <v>2244</v>
      </c>
      <c r="AF154" s="519" t="str">
        <f>$D$254</f>
        <v>m²</v>
      </c>
      <c r="AG154" s="518">
        <v>43.2</v>
      </c>
      <c r="AH154" s="517">
        <f>$F$254</f>
        <v>145812.67000000001</v>
      </c>
      <c r="AI154" s="463">
        <f t="shared" si="64"/>
        <v>6299107.3440000005</v>
      </c>
      <c r="AJ154" s="516">
        <v>40</v>
      </c>
      <c r="AK154" s="516">
        <f t="shared" si="68"/>
        <v>1728</v>
      </c>
    </row>
    <row r="155" spans="2:37" ht="15" customHeight="1">
      <c r="B155" s="492" t="s">
        <v>2176</v>
      </c>
      <c r="C155" s="491" t="s">
        <v>2246</v>
      </c>
      <c r="D155" s="519" t="str">
        <f>$D$255</f>
        <v>bh</v>
      </c>
      <c r="E155" s="518">
        <v>4</v>
      </c>
      <c r="F155" s="416">
        <v>100000</v>
      </c>
      <c r="G155" s="463">
        <f t="shared" si="62"/>
        <v>400000</v>
      </c>
      <c r="H155" s="516">
        <v>2.5</v>
      </c>
      <c r="I155" s="516">
        <f t="shared" si="65"/>
        <v>10</v>
      </c>
      <c r="N155" s="492" t="s">
        <v>2176</v>
      </c>
      <c r="O155" s="491" t="s">
        <v>2246</v>
      </c>
      <c r="P155" s="519" t="str">
        <f>$D$255</f>
        <v>bh</v>
      </c>
      <c r="Q155" s="518">
        <v>4</v>
      </c>
      <c r="R155" s="517">
        <f>$F$255</f>
        <v>100000</v>
      </c>
      <c r="S155" s="463">
        <f t="shared" si="61"/>
        <v>400000</v>
      </c>
      <c r="T155" s="516">
        <v>2.5</v>
      </c>
      <c r="U155" s="516">
        <f t="shared" si="66"/>
        <v>10</v>
      </c>
      <c r="V155" s="492" t="s">
        <v>2176</v>
      </c>
      <c r="W155" s="491" t="s">
        <v>2246</v>
      </c>
      <c r="X155" s="519" t="str">
        <f>$D$255</f>
        <v>bh</v>
      </c>
      <c r="Y155" s="518">
        <v>4</v>
      </c>
      <c r="Z155" s="517">
        <f>$F$255</f>
        <v>100000</v>
      </c>
      <c r="AA155" s="463">
        <f t="shared" si="63"/>
        <v>400000</v>
      </c>
      <c r="AB155" s="516">
        <v>2.5</v>
      </c>
      <c r="AC155" s="516">
        <f t="shared" si="67"/>
        <v>10</v>
      </c>
      <c r="AD155" s="492" t="s">
        <v>2176</v>
      </c>
      <c r="AE155" s="491" t="s">
        <v>2246</v>
      </c>
      <c r="AF155" s="519" t="str">
        <f>$D$255</f>
        <v>bh</v>
      </c>
      <c r="AG155" s="518">
        <v>4</v>
      </c>
      <c r="AH155" s="517">
        <f>$F$255</f>
        <v>100000</v>
      </c>
      <c r="AI155" s="463">
        <f t="shared" si="64"/>
        <v>400000</v>
      </c>
      <c r="AJ155" s="516">
        <v>2.5</v>
      </c>
      <c r="AK155" s="516">
        <f t="shared" si="68"/>
        <v>10</v>
      </c>
    </row>
    <row r="156" spans="2:37" ht="15" customHeight="1">
      <c r="B156" s="492"/>
      <c r="C156" s="461"/>
      <c r="D156" s="519"/>
      <c r="E156" s="428"/>
      <c r="F156" s="416"/>
      <c r="G156" s="463"/>
      <c r="I156" s="516">
        <f>SUM(I149:I154)</f>
        <v>145455.47942857142</v>
      </c>
      <c r="N156" s="492"/>
      <c r="O156" s="461"/>
      <c r="P156" s="519"/>
      <c r="Q156" s="428"/>
      <c r="R156" s="517"/>
      <c r="S156" s="463">
        <f t="shared" si="61"/>
        <v>0</v>
      </c>
      <c r="U156" s="516">
        <f>SUM(U149:U154)</f>
        <v>145455.47942857142</v>
      </c>
      <c r="V156" s="492"/>
      <c r="W156" s="461"/>
      <c r="X156" s="519"/>
      <c r="Y156" s="428"/>
      <c r="Z156" s="517"/>
      <c r="AA156" s="463"/>
      <c r="AC156" s="516">
        <f>SUM(AC149:AC154)</f>
        <v>145455.47942857142</v>
      </c>
      <c r="AD156" s="492"/>
      <c r="AE156" s="461"/>
      <c r="AF156" s="519"/>
      <c r="AG156" s="428"/>
      <c r="AH156" s="517"/>
      <c r="AI156" s="463"/>
      <c r="AK156" s="516">
        <f>SUM(AK149:AK154)</f>
        <v>145455.47942857142</v>
      </c>
    </row>
    <row r="157" spans="2:37" ht="15" customHeight="1">
      <c r="B157" s="507">
        <v>3</v>
      </c>
      <c r="C157" s="460" t="s">
        <v>2086</v>
      </c>
      <c r="D157" s="519"/>
      <c r="E157" s="428"/>
      <c r="F157" s="416"/>
      <c r="G157" s="463"/>
      <c r="N157" s="507">
        <v>3</v>
      </c>
      <c r="O157" s="460" t="s">
        <v>2086</v>
      </c>
      <c r="P157" s="519"/>
      <c r="Q157" s="428"/>
      <c r="R157" s="517"/>
      <c r="S157" s="463">
        <f t="shared" si="61"/>
        <v>0</v>
      </c>
      <c r="V157" s="507">
        <v>3</v>
      </c>
      <c r="W157" s="460" t="s">
        <v>2086</v>
      </c>
      <c r="X157" s="519"/>
      <c r="Y157" s="428"/>
      <c r="Z157" s="517"/>
      <c r="AA157" s="463"/>
      <c r="AD157" s="507">
        <v>3</v>
      </c>
      <c r="AE157" s="460" t="s">
        <v>2086</v>
      </c>
      <c r="AF157" s="519"/>
      <c r="AG157" s="428"/>
      <c r="AH157" s="517"/>
      <c r="AI157" s="463"/>
    </row>
    <row r="158" spans="2:37" ht="15" customHeight="1">
      <c r="B158" s="492" t="s">
        <v>721</v>
      </c>
      <c r="C158" s="461" t="s">
        <v>2247</v>
      </c>
      <c r="D158" s="519" t="str">
        <f>$D$258</f>
        <v>bh</v>
      </c>
      <c r="E158" s="518">
        <v>4</v>
      </c>
      <c r="F158" s="416">
        <f>ahs_patok_beton</f>
        <v>181849.04</v>
      </c>
      <c r="G158" s="463">
        <f t="shared" ref="G158:G163" si="69">E158*F158</f>
        <v>727396.16</v>
      </c>
      <c r="N158" s="492" t="s">
        <v>721</v>
      </c>
      <c r="O158" s="461" t="s">
        <v>2247</v>
      </c>
      <c r="P158" s="519" t="str">
        <f>$D$258</f>
        <v>bh</v>
      </c>
      <c r="Q158" s="518">
        <v>4</v>
      </c>
      <c r="R158" s="517">
        <f>$F$258</f>
        <v>181849.04</v>
      </c>
      <c r="S158" s="463">
        <f t="shared" si="61"/>
        <v>727396.16</v>
      </c>
      <c r="V158" s="492" t="s">
        <v>721</v>
      </c>
      <c r="W158" s="461" t="s">
        <v>2247</v>
      </c>
      <c r="X158" s="519" t="str">
        <f>$D$258</f>
        <v>bh</v>
      </c>
      <c r="Y158" s="518">
        <v>4</v>
      </c>
      <c r="Z158" s="517">
        <f>$F$258</f>
        <v>181849.04</v>
      </c>
      <c r="AA158" s="463">
        <f t="shared" ref="AA158:AA163" si="70">Y158*Z158</f>
        <v>727396.16</v>
      </c>
      <c r="AD158" s="492" t="s">
        <v>721</v>
      </c>
      <c r="AE158" s="461" t="s">
        <v>2247</v>
      </c>
      <c r="AF158" s="519" t="str">
        <f>$D$258</f>
        <v>bh</v>
      </c>
      <c r="AG158" s="518">
        <v>4</v>
      </c>
      <c r="AH158" s="517">
        <f>$F$258</f>
        <v>181849.04</v>
      </c>
      <c r="AI158" s="463">
        <f t="shared" ref="AI158:AI163" si="71">AG158*AH158</f>
        <v>727396.16</v>
      </c>
    </row>
    <row r="159" spans="2:37" ht="15" customHeight="1">
      <c r="B159" s="492" t="s">
        <v>2166</v>
      </c>
      <c r="C159" s="461" t="s">
        <v>2085</v>
      </c>
      <c r="D159" s="519" t="str">
        <f>$D$259</f>
        <v>kg</v>
      </c>
      <c r="E159" s="518">
        <f>I156</f>
        <v>145455.47942857142</v>
      </c>
      <c r="F159" s="416">
        <f>Langsir_material_datar_500_1000m_Kg</f>
        <v>462.7700000000001</v>
      </c>
      <c r="G159" s="463">
        <f t="shared" si="69"/>
        <v>67312432.215160012</v>
      </c>
      <c r="N159" s="492" t="s">
        <v>2166</v>
      </c>
      <c r="O159" s="461" t="s">
        <v>2085</v>
      </c>
      <c r="P159" s="519" t="str">
        <f>$D$259</f>
        <v>kg</v>
      </c>
      <c r="Q159" s="518">
        <f>U156</f>
        <v>145455.47942857142</v>
      </c>
      <c r="R159" s="517">
        <f>$F$259</f>
        <v>462.7700000000001</v>
      </c>
      <c r="S159" s="463">
        <f t="shared" si="61"/>
        <v>67312432.215160012</v>
      </c>
      <c r="V159" s="492" t="s">
        <v>2166</v>
      </c>
      <c r="W159" s="461" t="s">
        <v>2085</v>
      </c>
      <c r="X159" s="519" t="str">
        <f>$D$259</f>
        <v>kg</v>
      </c>
      <c r="Y159" s="518">
        <f>AC156</f>
        <v>145455.47942857142</v>
      </c>
      <c r="Z159" s="517">
        <f>$F$259</f>
        <v>462.7700000000001</v>
      </c>
      <c r="AA159" s="463">
        <f t="shared" si="70"/>
        <v>67312432.215160012</v>
      </c>
      <c r="AD159" s="492" t="s">
        <v>2166</v>
      </c>
      <c r="AE159" s="461" t="s">
        <v>2085</v>
      </c>
      <c r="AF159" s="519" t="str">
        <f>$D$259</f>
        <v>kg</v>
      </c>
      <c r="AG159" s="518">
        <f>AK156</f>
        <v>145455.47942857142</v>
      </c>
      <c r="AH159" s="517">
        <f>$F$259</f>
        <v>462.7700000000001</v>
      </c>
      <c r="AI159" s="463">
        <f t="shared" si="71"/>
        <v>67312432.215160012</v>
      </c>
    </row>
    <row r="160" spans="2:37" ht="15" customHeight="1">
      <c r="B160" s="492" t="s">
        <v>2168</v>
      </c>
      <c r="C160" s="461" t="s">
        <v>2249</v>
      </c>
      <c r="D160" s="519" t="str">
        <f>$D$260</f>
        <v>bh</v>
      </c>
      <c r="E160" s="518">
        <v>4</v>
      </c>
      <c r="F160" s="416">
        <f>ahs_tes_beton</f>
        <v>387825</v>
      </c>
      <c r="G160" s="463">
        <f t="shared" si="69"/>
        <v>1551300</v>
      </c>
      <c r="N160" s="492" t="s">
        <v>2168</v>
      </c>
      <c r="O160" s="461" t="s">
        <v>2249</v>
      </c>
      <c r="P160" s="519" t="str">
        <f>$D$260</f>
        <v>bh</v>
      </c>
      <c r="Q160" s="518">
        <v>4</v>
      </c>
      <c r="R160" s="517">
        <f>$F$260</f>
        <v>387825</v>
      </c>
      <c r="S160" s="463">
        <f t="shared" si="61"/>
        <v>1551300</v>
      </c>
      <c r="V160" s="492" t="s">
        <v>2168</v>
      </c>
      <c r="W160" s="461" t="s">
        <v>2249</v>
      </c>
      <c r="X160" s="519" t="str">
        <f>$D$260</f>
        <v>bh</v>
      </c>
      <c r="Y160" s="518">
        <v>4</v>
      </c>
      <c r="Z160" s="517">
        <f>$F$260</f>
        <v>387825</v>
      </c>
      <c r="AA160" s="463">
        <f t="shared" si="70"/>
        <v>1551300</v>
      </c>
      <c r="AD160" s="492" t="s">
        <v>2168</v>
      </c>
      <c r="AE160" s="461" t="s">
        <v>2249</v>
      </c>
      <c r="AF160" s="519" t="str">
        <f>$D$260</f>
        <v>bh</v>
      </c>
      <c r="AG160" s="518">
        <v>4</v>
      </c>
      <c r="AH160" s="517">
        <f>$F$260</f>
        <v>387825</v>
      </c>
      <c r="AI160" s="463">
        <f t="shared" si="71"/>
        <v>1551300</v>
      </c>
    </row>
    <row r="161" spans="2:37" ht="15" customHeight="1">
      <c r="B161" s="492" t="s">
        <v>2170</v>
      </c>
      <c r="C161" s="461" t="s">
        <v>2250</v>
      </c>
      <c r="D161" s="519" t="str">
        <f>$D$261</f>
        <v>kg</v>
      </c>
      <c r="E161" s="518">
        <v>150.93599999999998</v>
      </c>
      <c r="F161" s="416">
        <f>ahs_setting_stub/E161</f>
        <v>3758.6984549742947</v>
      </c>
      <c r="G161" s="463">
        <f t="shared" si="69"/>
        <v>567322.91</v>
      </c>
      <c r="N161" s="492" t="s">
        <v>2170</v>
      </c>
      <c r="O161" s="461" t="s">
        <v>2250</v>
      </c>
      <c r="P161" s="519" t="str">
        <f>$D$261</f>
        <v>kg</v>
      </c>
      <c r="Q161" s="518">
        <v>239.61599999999999</v>
      </c>
      <c r="R161" s="517">
        <f>$F$261</f>
        <v>3758.6984549742947</v>
      </c>
      <c r="S161" s="463">
        <f t="shared" si="61"/>
        <v>900644.2889871205</v>
      </c>
      <c r="V161" s="492" t="s">
        <v>2170</v>
      </c>
      <c r="W161" s="461" t="s">
        <v>2269</v>
      </c>
      <c r="X161" s="519" t="str">
        <f>$D$261</f>
        <v>kg</v>
      </c>
      <c r="Y161" s="518">
        <v>311.47199999999998</v>
      </c>
      <c r="Z161" s="517">
        <f>$F$261</f>
        <v>3758.6984549742947</v>
      </c>
      <c r="AA161" s="463">
        <f t="shared" si="70"/>
        <v>1170729.3251677535</v>
      </c>
      <c r="AD161" s="492" t="s">
        <v>2170</v>
      </c>
      <c r="AE161" s="461" t="s">
        <v>2269</v>
      </c>
      <c r="AF161" s="519" t="str">
        <f>$D$261</f>
        <v>kg</v>
      </c>
      <c r="AG161" s="518">
        <v>403.17599999999999</v>
      </c>
      <c r="AH161" s="517">
        <f>$F$261</f>
        <v>3758.6984549742947</v>
      </c>
      <c r="AI161" s="463">
        <f t="shared" si="71"/>
        <v>1515417.0082827162</v>
      </c>
    </row>
    <row r="162" spans="2:37" ht="15" customHeight="1">
      <c r="B162" s="492" t="s">
        <v>2172</v>
      </c>
      <c r="C162" s="461" t="s">
        <v>2251</v>
      </c>
      <c r="D162" s="519" t="str">
        <f>$D$262</f>
        <v>set</v>
      </c>
      <c r="E162" s="518">
        <v>1</v>
      </c>
      <c r="F162" s="416">
        <f>ahs_pemasangan_grounding_100m/5</f>
        <v>855127</v>
      </c>
      <c r="G162" s="463">
        <f t="shared" si="69"/>
        <v>855127</v>
      </c>
      <c r="N162" s="492" t="s">
        <v>2172</v>
      </c>
      <c r="O162" s="461" t="s">
        <v>2251</v>
      </c>
      <c r="P162" s="519" t="str">
        <f>$D$262</f>
        <v>set</v>
      </c>
      <c r="Q162" s="518">
        <v>1</v>
      </c>
      <c r="R162" s="517">
        <f>$F$262</f>
        <v>855127</v>
      </c>
      <c r="S162" s="463">
        <f t="shared" si="61"/>
        <v>855127</v>
      </c>
      <c r="V162" s="492" t="s">
        <v>2172</v>
      </c>
      <c r="W162" s="461" t="s">
        <v>2251</v>
      </c>
      <c r="X162" s="519" t="str">
        <f>$D$262</f>
        <v>set</v>
      </c>
      <c r="Y162" s="518">
        <v>1</v>
      </c>
      <c r="Z162" s="517">
        <f>$F$262</f>
        <v>855127</v>
      </c>
      <c r="AA162" s="463">
        <f t="shared" si="70"/>
        <v>855127</v>
      </c>
      <c r="AD162" s="492" t="s">
        <v>2172</v>
      </c>
      <c r="AE162" s="461" t="s">
        <v>2251</v>
      </c>
      <c r="AF162" s="519" t="str">
        <f>$D$262</f>
        <v>set</v>
      </c>
      <c r="AG162" s="518">
        <v>1</v>
      </c>
      <c r="AH162" s="517">
        <f>$F$262</f>
        <v>855127</v>
      </c>
      <c r="AI162" s="463">
        <f t="shared" si="71"/>
        <v>855127</v>
      </c>
    </row>
    <row r="163" spans="2:37" ht="15" customHeight="1">
      <c r="B163" s="492" t="s">
        <v>2174</v>
      </c>
      <c r="C163" s="461" t="s">
        <v>2252</v>
      </c>
      <c r="D163" s="519" t="str">
        <f>$D$263</f>
        <v>set</v>
      </c>
      <c r="E163" s="518">
        <v>1</v>
      </c>
      <c r="F163" s="416">
        <f>ahs_komisioning_sistem_pentanahan_per_tower</f>
        <v>674025</v>
      </c>
      <c r="G163" s="463">
        <f t="shared" si="69"/>
        <v>674025</v>
      </c>
      <c r="N163" s="492" t="s">
        <v>2174</v>
      </c>
      <c r="O163" s="461" t="s">
        <v>2252</v>
      </c>
      <c r="P163" s="519" t="str">
        <f>$D$263</f>
        <v>set</v>
      </c>
      <c r="Q163" s="518">
        <v>1</v>
      </c>
      <c r="R163" s="517">
        <f>$F$263</f>
        <v>674025</v>
      </c>
      <c r="S163" s="463">
        <f t="shared" si="61"/>
        <v>674025</v>
      </c>
      <c r="V163" s="492" t="s">
        <v>2174</v>
      </c>
      <c r="W163" s="461" t="s">
        <v>2252</v>
      </c>
      <c r="X163" s="519" t="str">
        <f>$D$263</f>
        <v>set</v>
      </c>
      <c r="Y163" s="518">
        <v>1</v>
      </c>
      <c r="Z163" s="517">
        <f>$F$263</f>
        <v>674025</v>
      </c>
      <c r="AA163" s="463">
        <f t="shared" si="70"/>
        <v>674025</v>
      </c>
      <c r="AD163" s="492" t="s">
        <v>2174</v>
      </c>
      <c r="AE163" s="461" t="s">
        <v>2252</v>
      </c>
      <c r="AF163" s="519" t="str">
        <f>$D$263</f>
        <v>set</v>
      </c>
      <c r="AG163" s="518">
        <v>1</v>
      </c>
      <c r="AH163" s="517">
        <f>$F$263</f>
        <v>674025</v>
      </c>
      <c r="AI163" s="463">
        <f t="shared" si="71"/>
        <v>674025</v>
      </c>
    </row>
    <row r="164" spans="2:37" ht="15" customHeight="1" thickBot="1">
      <c r="B164" s="459"/>
      <c r="C164" s="1194" t="s">
        <v>3226</v>
      </c>
      <c r="D164" s="1195"/>
      <c r="E164" s="1195"/>
      <c r="F164" s="1196"/>
      <c r="G164" s="458">
        <f>SUM(G144:G163)</f>
        <v>263118615.38611266</v>
      </c>
      <c r="N164" s="459"/>
      <c r="O164" s="1194" t="s">
        <v>3227</v>
      </c>
      <c r="P164" s="1195"/>
      <c r="Q164" s="1195"/>
      <c r="R164" s="1196"/>
      <c r="S164" s="458">
        <f>SUM(S143:S163)</f>
        <v>263451936.76509979</v>
      </c>
      <c r="V164" s="459"/>
      <c r="W164" s="1194" t="s">
        <v>3227</v>
      </c>
      <c r="X164" s="1195"/>
      <c r="Y164" s="1195"/>
      <c r="Z164" s="1196"/>
      <c r="AA164" s="458">
        <f>SUM(AA143:AA163)</f>
        <v>263722021.80128041</v>
      </c>
      <c r="AD164" s="459"/>
      <c r="AE164" s="1194" t="s">
        <v>3227</v>
      </c>
      <c r="AF164" s="1195"/>
      <c r="AG164" s="1195"/>
      <c r="AH164" s="1196"/>
      <c r="AI164" s="458">
        <f>SUM(AI143:AI163)</f>
        <v>264066709.48439538</v>
      </c>
    </row>
    <row r="165" spans="2:37" ht="15" customHeight="1" thickBot="1">
      <c r="B165" s="427"/>
      <c r="C165" s="427"/>
      <c r="D165" s="427"/>
      <c r="E165" s="427"/>
      <c r="F165" s="426"/>
      <c r="G165" s="426"/>
      <c r="N165" s="427"/>
      <c r="O165" s="427"/>
      <c r="P165" s="427"/>
      <c r="Q165" s="427"/>
      <c r="R165" s="427"/>
      <c r="S165" s="426"/>
      <c r="V165" s="427"/>
      <c r="W165" s="427"/>
      <c r="X165" s="427"/>
      <c r="Y165" s="427"/>
      <c r="Z165" s="427"/>
      <c r="AA165" s="426"/>
      <c r="AD165" s="427"/>
      <c r="AE165" s="427"/>
      <c r="AF165" s="427"/>
      <c r="AG165" s="427"/>
      <c r="AH165" s="427"/>
      <c r="AI165" s="426"/>
    </row>
    <row r="166" spans="2:37" ht="15" customHeight="1" thickBot="1">
      <c r="B166" s="452" t="s">
        <v>2229</v>
      </c>
      <c r="C166" s="435"/>
      <c r="D166" s="434">
        <v>6</v>
      </c>
      <c r="E166" s="433"/>
      <c r="F166" s="411"/>
      <c r="G166" s="431"/>
      <c r="N166" s="452" t="s">
        <v>2230</v>
      </c>
      <c r="O166" s="435"/>
      <c r="P166" s="434">
        <v>6</v>
      </c>
      <c r="Q166" s="433"/>
      <c r="R166" s="432"/>
      <c r="S166" s="431"/>
      <c r="V166" s="452" t="s">
        <v>2231</v>
      </c>
      <c r="W166" s="435"/>
      <c r="X166" s="434"/>
      <c r="Y166" s="433"/>
      <c r="Z166" s="432"/>
      <c r="AA166" s="431"/>
      <c r="AD166" s="452" t="s">
        <v>2254</v>
      </c>
      <c r="AE166" s="435"/>
      <c r="AF166" s="434"/>
      <c r="AG166" s="433"/>
      <c r="AH166" s="432"/>
      <c r="AI166" s="431"/>
    </row>
    <row r="167" spans="2:37" ht="15" customHeight="1">
      <c r="B167" s="446"/>
      <c r="C167" s="445" t="s">
        <v>3228</v>
      </c>
      <c r="D167" s="444"/>
      <c r="E167" s="443"/>
      <c r="F167" s="413"/>
      <c r="G167" s="441"/>
      <c r="N167" s="446"/>
      <c r="O167" s="445" t="s">
        <v>3228</v>
      </c>
      <c r="P167" s="444"/>
      <c r="Q167" s="443"/>
      <c r="R167" s="442"/>
      <c r="S167" s="441"/>
      <c r="V167" s="446"/>
      <c r="W167" s="445" t="s">
        <v>3229</v>
      </c>
      <c r="X167" s="444"/>
      <c r="Y167" s="443"/>
      <c r="Z167" s="442"/>
      <c r="AA167" s="441"/>
      <c r="AD167" s="446"/>
      <c r="AE167" s="445" t="s">
        <v>3229</v>
      </c>
      <c r="AF167" s="444"/>
      <c r="AG167" s="443"/>
      <c r="AH167" s="442"/>
      <c r="AI167" s="441"/>
    </row>
    <row r="168" spans="2:37" ht="15" customHeight="1">
      <c r="B168" s="468">
        <v>1</v>
      </c>
      <c r="C168" s="467" t="s">
        <v>2234</v>
      </c>
      <c r="D168" s="519"/>
      <c r="E168" s="430"/>
      <c r="F168" s="417"/>
      <c r="G168" s="486"/>
      <c r="N168" s="468">
        <v>1</v>
      </c>
      <c r="O168" s="467" t="s">
        <v>2234</v>
      </c>
      <c r="P168" s="519"/>
      <c r="Q168" s="430"/>
      <c r="R168" s="429"/>
      <c r="S168" s="486"/>
      <c r="V168" s="468">
        <v>1</v>
      </c>
      <c r="W168" s="467" t="s">
        <v>2234</v>
      </c>
      <c r="X168" s="519"/>
      <c r="Y168" s="430"/>
      <c r="Z168" s="429"/>
      <c r="AA168" s="486"/>
      <c r="AD168" s="468">
        <v>1</v>
      </c>
      <c r="AE168" s="467" t="s">
        <v>2234</v>
      </c>
      <c r="AF168" s="519"/>
      <c r="AG168" s="430"/>
      <c r="AH168" s="429"/>
      <c r="AI168" s="486"/>
    </row>
    <row r="169" spans="2:37" ht="15" customHeight="1">
      <c r="B169" s="492" t="s">
        <v>721</v>
      </c>
      <c r="C169" s="464" t="s">
        <v>2235</v>
      </c>
      <c r="D169" s="519" t="str">
        <f>$D$244</f>
        <v>m³</v>
      </c>
      <c r="E169" s="518">
        <v>50.35</v>
      </c>
      <c r="F169" s="416">
        <f>F144</f>
        <v>102390.75000000001</v>
      </c>
      <c r="G169" s="463">
        <f>E169*F169</f>
        <v>5155374.2625000011</v>
      </c>
      <c r="N169" s="492" t="s">
        <v>721</v>
      </c>
      <c r="O169" s="464" t="s">
        <v>2235</v>
      </c>
      <c r="P169" s="519" t="str">
        <f>$D$244</f>
        <v>m³</v>
      </c>
      <c r="Q169" s="518">
        <v>50.35</v>
      </c>
      <c r="R169" s="517">
        <f>$F$244</f>
        <v>102390.75000000001</v>
      </c>
      <c r="S169" s="463">
        <f>Q169*R169</f>
        <v>5155374.2625000011</v>
      </c>
      <c r="V169" s="492" t="s">
        <v>721</v>
      </c>
      <c r="W169" s="464" t="s">
        <v>2235</v>
      </c>
      <c r="X169" s="519" t="str">
        <f>$D$244</f>
        <v>m³</v>
      </c>
      <c r="Y169" s="518">
        <v>50.35</v>
      </c>
      <c r="Z169" s="517">
        <f>$F$244</f>
        <v>102390.75000000001</v>
      </c>
      <c r="AA169" s="463">
        <f>Y169*Z169</f>
        <v>5155374.2625000011</v>
      </c>
      <c r="AD169" s="492" t="s">
        <v>721</v>
      </c>
      <c r="AE169" s="464" t="s">
        <v>2235</v>
      </c>
      <c r="AF169" s="519" t="str">
        <f>$D$244</f>
        <v>m³</v>
      </c>
      <c r="AG169" s="518">
        <v>50.35</v>
      </c>
      <c r="AH169" s="517">
        <f>$F$244</f>
        <v>102390.75000000001</v>
      </c>
      <c r="AI169" s="463">
        <f>AG169*AH169</f>
        <v>5155374.2625000011</v>
      </c>
    </row>
    <row r="170" spans="2:37" ht="15" customHeight="1">
      <c r="B170" s="492" t="s">
        <v>2166</v>
      </c>
      <c r="C170" s="464" t="s">
        <v>2237</v>
      </c>
      <c r="D170" s="519" t="str">
        <f>$D$245</f>
        <v>m³</v>
      </c>
      <c r="E170" s="518">
        <v>12.160000000000002</v>
      </c>
      <c r="F170" s="416">
        <f t="shared" ref="F170:F188" si="72">F145</f>
        <v>62462.950000000012</v>
      </c>
      <c r="G170" s="463">
        <f t="shared" ref="G170:G171" si="73">E170*F170</f>
        <v>759549.4720000003</v>
      </c>
      <c r="N170" s="492" t="s">
        <v>2166</v>
      </c>
      <c r="O170" s="464" t="s">
        <v>2237</v>
      </c>
      <c r="P170" s="519" t="str">
        <f>$D$245</f>
        <v>m³</v>
      </c>
      <c r="Q170" s="518">
        <v>12.160000000000002</v>
      </c>
      <c r="R170" s="517">
        <f>$F$245</f>
        <v>62462.950000000012</v>
      </c>
      <c r="S170" s="463">
        <f t="shared" ref="S170:S188" si="74">Q170*R170</f>
        <v>759549.4720000003</v>
      </c>
      <c r="V170" s="492" t="s">
        <v>2166</v>
      </c>
      <c r="W170" s="464" t="s">
        <v>2237</v>
      </c>
      <c r="X170" s="519" t="str">
        <f>$D$245</f>
        <v>m³</v>
      </c>
      <c r="Y170" s="518">
        <v>12.160000000000002</v>
      </c>
      <c r="Z170" s="517">
        <f>$F$245</f>
        <v>62462.950000000012</v>
      </c>
      <c r="AA170" s="463">
        <f>Y170*Z170</f>
        <v>759549.4720000003</v>
      </c>
      <c r="AD170" s="492" t="s">
        <v>2166</v>
      </c>
      <c r="AE170" s="464" t="s">
        <v>2237</v>
      </c>
      <c r="AF170" s="519" t="str">
        <f>$D$245</f>
        <v>m³</v>
      </c>
      <c r="AG170" s="518">
        <v>12.160000000000002</v>
      </c>
      <c r="AH170" s="517">
        <f>$F$245</f>
        <v>62462.950000000012</v>
      </c>
      <c r="AI170" s="463">
        <f>AG170*AH170</f>
        <v>759549.4720000003</v>
      </c>
    </row>
    <row r="171" spans="2:37" ht="15" customHeight="1">
      <c r="B171" s="492" t="s">
        <v>2168</v>
      </c>
      <c r="C171" s="464" t="s">
        <v>2265</v>
      </c>
      <c r="D171" s="519" t="str">
        <f>$D$246</f>
        <v>m'</v>
      </c>
      <c r="E171" s="518">
        <v>112</v>
      </c>
      <c r="F171" s="416">
        <f t="shared" si="72"/>
        <v>52230.612500000003</v>
      </c>
      <c r="G171" s="463">
        <f t="shared" si="73"/>
        <v>5849828.6000000006</v>
      </c>
      <c r="N171" s="492" t="s">
        <v>2168</v>
      </c>
      <c r="O171" s="464" t="s">
        <v>2265</v>
      </c>
      <c r="P171" s="519" t="str">
        <f>$D$246</f>
        <v>m'</v>
      </c>
      <c r="Q171" s="518">
        <v>112</v>
      </c>
      <c r="R171" s="517">
        <f>$F$246</f>
        <v>52230.612500000003</v>
      </c>
      <c r="S171" s="463">
        <f t="shared" si="74"/>
        <v>5849828.6000000006</v>
      </c>
      <c r="V171" s="492" t="s">
        <v>2168</v>
      </c>
      <c r="W171" s="464" t="s">
        <v>2265</v>
      </c>
      <c r="X171" s="519" t="str">
        <f>$D$246</f>
        <v>m'</v>
      </c>
      <c r="Y171" s="518">
        <v>112</v>
      </c>
      <c r="Z171" s="517">
        <f>$F$246</f>
        <v>52230.612500000003</v>
      </c>
      <c r="AA171" s="463">
        <f>Y171*Z171</f>
        <v>5849828.6000000006</v>
      </c>
      <c r="AD171" s="492" t="s">
        <v>2168</v>
      </c>
      <c r="AE171" s="464" t="s">
        <v>2265</v>
      </c>
      <c r="AF171" s="519" t="str">
        <f>$D$246</f>
        <v>m'</v>
      </c>
      <c r="AG171" s="518">
        <v>112</v>
      </c>
      <c r="AH171" s="517">
        <f>$F$246</f>
        <v>52230.612500000003</v>
      </c>
      <c r="AI171" s="463">
        <f>AG171*AH171</f>
        <v>5849828.6000000006</v>
      </c>
    </row>
    <row r="172" spans="2:37" ht="15" customHeight="1">
      <c r="B172" s="462"/>
      <c r="C172" s="464"/>
      <c r="D172" s="519"/>
      <c r="E172" s="428"/>
      <c r="F172" s="416">
        <f t="shared" si="72"/>
        <v>0</v>
      </c>
      <c r="G172" s="463"/>
      <c r="N172" s="462"/>
      <c r="O172" s="464"/>
      <c r="P172" s="519"/>
      <c r="Q172" s="428"/>
      <c r="R172" s="517"/>
      <c r="S172" s="463">
        <f t="shared" si="74"/>
        <v>0</v>
      </c>
      <c r="V172" s="462"/>
      <c r="W172" s="464"/>
      <c r="X172" s="519"/>
      <c r="Y172" s="428"/>
      <c r="Z172" s="517"/>
      <c r="AA172" s="463"/>
      <c r="AD172" s="462"/>
      <c r="AE172" s="464"/>
      <c r="AF172" s="519"/>
      <c r="AG172" s="428"/>
      <c r="AH172" s="517"/>
      <c r="AI172" s="463"/>
    </row>
    <row r="173" spans="2:37" ht="15" customHeight="1">
      <c r="B173" s="507">
        <v>2</v>
      </c>
      <c r="C173" s="467" t="s">
        <v>2238</v>
      </c>
      <c r="D173" s="519"/>
      <c r="E173" s="428"/>
      <c r="F173" s="416">
        <f t="shared" si="72"/>
        <v>0</v>
      </c>
      <c r="G173" s="463"/>
      <c r="H173" s="516" t="s">
        <v>2239</v>
      </c>
      <c r="N173" s="507">
        <v>2</v>
      </c>
      <c r="O173" s="467" t="s">
        <v>2238</v>
      </c>
      <c r="P173" s="519"/>
      <c r="Q173" s="428"/>
      <c r="R173" s="517"/>
      <c r="S173" s="463">
        <f t="shared" si="74"/>
        <v>0</v>
      </c>
      <c r="T173" s="516" t="s">
        <v>2239</v>
      </c>
      <c r="V173" s="507">
        <v>2</v>
      </c>
      <c r="W173" s="467" t="s">
        <v>2238</v>
      </c>
      <c r="X173" s="519"/>
      <c r="Y173" s="428"/>
      <c r="Z173" s="517"/>
      <c r="AA173" s="463"/>
      <c r="AB173" s="516" t="s">
        <v>2239</v>
      </c>
      <c r="AD173" s="507">
        <v>2</v>
      </c>
      <c r="AE173" s="467" t="s">
        <v>2238</v>
      </c>
      <c r="AF173" s="519"/>
      <c r="AG173" s="428"/>
      <c r="AH173" s="517"/>
      <c r="AI173" s="463"/>
      <c r="AJ173" s="516" t="s">
        <v>2239</v>
      </c>
    </row>
    <row r="174" spans="2:37" ht="15" customHeight="1">
      <c r="B174" s="492" t="s">
        <v>721</v>
      </c>
      <c r="C174" s="464" t="s">
        <v>2240</v>
      </c>
      <c r="D174" s="519" t="str">
        <f>$D$249</f>
        <v>m³</v>
      </c>
      <c r="E174" s="518">
        <v>4.9000000000000004</v>
      </c>
      <c r="F174" s="416">
        <f t="shared" si="72"/>
        <v>404738.95</v>
      </c>
      <c r="G174" s="463">
        <f t="shared" ref="G174:G180" si="75">E174*F174</f>
        <v>1983220.8550000002</v>
      </c>
      <c r="H174" s="516">
        <v>1400</v>
      </c>
      <c r="I174" s="516">
        <f>E174*H174</f>
        <v>6860.0000000000009</v>
      </c>
      <c r="N174" s="492" t="s">
        <v>721</v>
      </c>
      <c r="O174" s="464" t="s">
        <v>2240</v>
      </c>
      <c r="P174" s="519" t="str">
        <f>$D$249</f>
        <v>m³</v>
      </c>
      <c r="Q174" s="518">
        <v>4.9000000000000004</v>
      </c>
      <c r="R174" s="517">
        <f>$F$249</f>
        <v>404738.95</v>
      </c>
      <c r="S174" s="463">
        <f t="shared" si="74"/>
        <v>1983220.8550000002</v>
      </c>
      <c r="T174" s="516">
        <v>1400</v>
      </c>
      <c r="U174" s="516">
        <f>Q174*T174</f>
        <v>6860.0000000000009</v>
      </c>
      <c r="V174" s="492" t="s">
        <v>721</v>
      </c>
      <c r="W174" s="464" t="s">
        <v>2240</v>
      </c>
      <c r="X174" s="519" t="str">
        <f>$D$249</f>
        <v>m³</v>
      </c>
      <c r="Y174" s="518">
        <v>4.9000000000000004</v>
      </c>
      <c r="Z174" s="517">
        <f>$F$249</f>
        <v>404738.95</v>
      </c>
      <c r="AA174" s="463">
        <f t="shared" ref="AA174:AA180" si="76">Y174*Z174</f>
        <v>1983220.8550000002</v>
      </c>
      <c r="AB174" s="516">
        <v>1400</v>
      </c>
      <c r="AC174" s="516">
        <f>Y174*AB174</f>
        <v>6860.0000000000009</v>
      </c>
      <c r="AD174" s="492" t="s">
        <v>721</v>
      </c>
      <c r="AE174" s="464" t="s">
        <v>2240</v>
      </c>
      <c r="AF174" s="519" t="str">
        <f>$D$249</f>
        <v>m³</v>
      </c>
      <c r="AG174" s="518">
        <v>4.9000000000000004</v>
      </c>
      <c r="AH174" s="517">
        <f>$F$249</f>
        <v>404738.95</v>
      </c>
      <c r="AI174" s="463">
        <f t="shared" ref="AI174:AI180" si="77">AG174*AH174</f>
        <v>1983220.8550000002</v>
      </c>
      <c r="AJ174" s="516">
        <v>1400</v>
      </c>
      <c r="AK174" s="516">
        <f>AG174*AJ174</f>
        <v>6860.0000000000009</v>
      </c>
    </row>
    <row r="175" spans="2:37" ht="15" customHeight="1">
      <c r="B175" s="492" t="s">
        <v>2166</v>
      </c>
      <c r="C175" s="461" t="s">
        <v>2241</v>
      </c>
      <c r="D175" s="519" t="str">
        <f>$D$250</f>
        <v>m³</v>
      </c>
      <c r="E175" s="518">
        <v>2.4500000000000002</v>
      </c>
      <c r="F175" s="416">
        <f t="shared" si="72"/>
        <v>710224.707936508</v>
      </c>
      <c r="G175" s="463">
        <f t="shared" si="75"/>
        <v>1740050.5344444448</v>
      </c>
      <c r="H175" s="516">
        <v>2200</v>
      </c>
      <c r="I175" s="516">
        <f t="shared" ref="I175:I180" si="78">E175*H175</f>
        <v>5390</v>
      </c>
      <c r="N175" s="492" t="s">
        <v>2166</v>
      </c>
      <c r="O175" s="461" t="s">
        <v>2241</v>
      </c>
      <c r="P175" s="519" t="str">
        <f>$D$250</f>
        <v>m³</v>
      </c>
      <c r="Q175" s="518">
        <v>2.4500000000000002</v>
      </c>
      <c r="R175" s="517">
        <f>$F$250</f>
        <v>710224.707936508</v>
      </c>
      <c r="S175" s="463">
        <f t="shared" si="74"/>
        <v>1740050.5344444448</v>
      </c>
      <c r="T175" s="516">
        <v>2200</v>
      </c>
      <c r="U175" s="516">
        <f t="shared" ref="U175:U180" si="79">Q175*T175</f>
        <v>5390</v>
      </c>
      <c r="V175" s="492" t="s">
        <v>2166</v>
      </c>
      <c r="W175" s="461" t="s">
        <v>2241</v>
      </c>
      <c r="X175" s="519" t="str">
        <f>$D$250</f>
        <v>m³</v>
      </c>
      <c r="Y175" s="518">
        <v>2.4500000000000002</v>
      </c>
      <c r="Z175" s="517">
        <f>$F$250</f>
        <v>710224.707936508</v>
      </c>
      <c r="AA175" s="463">
        <f t="shared" si="76"/>
        <v>1740050.5344444448</v>
      </c>
      <c r="AB175" s="516">
        <v>2200</v>
      </c>
      <c r="AC175" s="516">
        <f t="shared" ref="AC175:AC180" si="80">Y175*AB175</f>
        <v>5390</v>
      </c>
      <c r="AD175" s="492" t="s">
        <v>2166</v>
      </c>
      <c r="AE175" s="461" t="s">
        <v>2241</v>
      </c>
      <c r="AF175" s="519" t="str">
        <f>$D$250</f>
        <v>m³</v>
      </c>
      <c r="AG175" s="518">
        <v>2.4500000000000002</v>
      </c>
      <c r="AH175" s="517">
        <f>$F$250</f>
        <v>710224.707936508</v>
      </c>
      <c r="AI175" s="463">
        <f t="shared" si="77"/>
        <v>1740050.5344444448</v>
      </c>
      <c r="AJ175" s="516">
        <v>2200</v>
      </c>
      <c r="AK175" s="516">
        <f t="shared" ref="AK175:AK180" si="81">AG175*AJ175</f>
        <v>5390</v>
      </c>
    </row>
    <row r="176" spans="2:37" ht="15" customHeight="1">
      <c r="B176" s="492" t="s">
        <v>2168</v>
      </c>
      <c r="C176" s="461" t="s">
        <v>2266</v>
      </c>
      <c r="D176" s="519" t="str">
        <f>$D$251</f>
        <v>m³</v>
      </c>
      <c r="E176" s="518">
        <v>30.84</v>
      </c>
      <c r="F176" s="416">
        <f t="shared" si="72"/>
        <v>1115864.6138095236</v>
      </c>
      <c r="G176" s="463">
        <f t="shared" si="75"/>
        <v>34413264.689885706</v>
      </c>
      <c r="H176" s="516">
        <v>2400</v>
      </c>
      <c r="I176" s="516">
        <f t="shared" si="78"/>
        <v>74016</v>
      </c>
      <c r="N176" s="492" t="s">
        <v>2168</v>
      </c>
      <c r="O176" s="461" t="s">
        <v>2266</v>
      </c>
      <c r="P176" s="519" t="str">
        <f>$D$251</f>
        <v>m³</v>
      </c>
      <c r="Q176" s="518">
        <v>30.84</v>
      </c>
      <c r="R176" s="517">
        <f>$F$251</f>
        <v>1115864.6138095236</v>
      </c>
      <c r="S176" s="463">
        <f t="shared" si="74"/>
        <v>34413264.689885706</v>
      </c>
      <c r="T176" s="516">
        <v>2400</v>
      </c>
      <c r="U176" s="516">
        <f t="shared" si="79"/>
        <v>74016</v>
      </c>
      <c r="V176" s="492" t="s">
        <v>2168</v>
      </c>
      <c r="W176" s="461" t="str">
        <f>O176</f>
        <v>Beton K 225 (Pad &amp; Chimney)</v>
      </c>
      <c r="X176" s="519" t="str">
        <f>$D$251</f>
        <v>m³</v>
      </c>
      <c r="Y176" s="518">
        <v>30.84</v>
      </c>
      <c r="Z176" s="517">
        <f>$F$251</f>
        <v>1115864.6138095236</v>
      </c>
      <c r="AA176" s="463">
        <f t="shared" si="76"/>
        <v>34413264.689885706</v>
      </c>
      <c r="AB176" s="516">
        <v>2400</v>
      </c>
      <c r="AC176" s="516">
        <f t="shared" si="80"/>
        <v>74016</v>
      </c>
      <c r="AD176" s="492" t="s">
        <v>2168</v>
      </c>
      <c r="AE176" s="461" t="str">
        <f>W176</f>
        <v>Beton K 225 (Pad &amp; Chimney)</v>
      </c>
      <c r="AF176" s="519" t="str">
        <f>$D$251</f>
        <v>m³</v>
      </c>
      <c r="AG176" s="518">
        <v>30.84</v>
      </c>
      <c r="AH176" s="517">
        <f>$F$251</f>
        <v>1115864.6138095236</v>
      </c>
      <c r="AI176" s="463">
        <f t="shared" si="77"/>
        <v>34413264.689885706</v>
      </c>
      <c r="AJ176" s="516">
        <v>2400</v>
      </c>
      <c r="AK176" s="516">
        <f t="shared" si="81"/>
        <v>74016</v>
      </c>
    </row>
    <row r="177" spans="2:37" ht="15" customHeight="1">
      <c r="B177" s="492" t="s">
        <v>2170</v>
      </c>
      <c r="C177" s="461" t="s">
        <v>2267</v>
      </c>
      <c r="D177" s="519" t="str">
        <f>$D$252</f>
        <v>m³</v>
      </c>
      <c r="E177" s="518">
        <v>28.059428571428572</v>
      </c>
      <c r="F177" s="416">
        <f t="shared" si="72"/>
        <v>1057576.2423809525</v>
      </c>
      <c r="G177" s="463">
        <f t="shared" si="75"/>
        <v>29674985.031928167</v>
      </c>
      <c r="H177" s="516">
        <v>2200</v>
      </c>
      <c r="I177" s="516">
        <f t="shared" si="78"/>
        <v>61730.742857142861</v>
      </c>
      <c r="N177" s="492" t="s">
        <v>2170</v>
      </c>
      <c r="O177" s="461" t="s">
        <v>2267</v>
      </c>
      <c r="P177" s="519" t="str">
        <f>$D$252</f>
        <v>m³</v>
      </c>
      <c r="Q177" s="518">
        <v>28.059428571428572</v>
      </c>
      <c r="R177" s="517">
        <f>$F$252</f>
        <v>1057576.2423809525</v>
      </c>
      <c r="S177" s="463">
        <f t="shared" si="74"/>
        <v>29674985.031928167</v>
      </c>
      <c r="T177" s="516">
        <v>2200</v>
      </c>
      <c r="U177" s="516">
        <f t="shared" si="79"/>
        <v>61730.742857142861</v>
      </c>
      <c r="V177" s="492" t="s">
        <v>2170</v>
      </c>
      <c r="W177" s="461" t="s">
        <v>2267</v>
      </c>
      <c r="X177" s="519" t="str">
        <f>$D$252</f>
        <v>m³</v>
      </c>
      <c r="Y177" s="518">
        <v>28.059428571428572</v>
      </c>
      <c r="Z177" s="517">
        <f>$F$252</f>
        <v>1057576.2423809525</v>
      </c>
      <c r="AA177" s="463">
        <f t="shared" si="76"/>
        <v>29674985.031928167</v>
      </c>
      <c r="AB177" s="516">
        <v>2200</v>
      </c>
      <c r="AC177" s="516">
        <f t="shared" si="80"/>
        <v>61730.742857142861</v>
      </c>
      <c r="AD177" s="492" t="s">
        <v>2170</v>
      </c>
      <c r="AE177" s="461" t="s">
        <v>2267</v>
      </c>
      <c r="AF177" s="519" t="str">
        <f>$D$252</f>
        <v>m³</v>
      </c>
      <c r="AG177" s="518">
        <v>28.059428571428572</v>
      </c>
      <c r="AH177" s="517">
        <f>$F$252</f>
        <v>1057576.2423809525</v>
      </c>
      <c r="AI177" s="463">
        <f t="shared" si="77"/>
        <v>29674985.031928167</v>
      </c>
      <c r="AJ177" s="516">
        <v>2200</v>
      </c>
      <c r="AK177" s="516">
        <f t="shared" si="81"/>
        <v>61730.742857142861</v>
      </c>
    </row>
    <row r="178" spans="2:37" ht="15" customHeight="1">
      <c r="B178" s="492" t="s">
        <v>2172</v>
      </c>
      <c r="C178" s="461" t="s">
        <v>2243</v>
      </c>
      <c r="D178" s="519" t="str">
        <f>$D$253</f>
        <v>kg</v>
      </c>
      <c r="E178" s="518">
        <v>6233.7400000000007</v>
      </c>
      <c r="F178" s="416">
        <f t="shared" si="72"/>
        <v>19478.039350000003</v>
      </c>
      <c r="G178" s="463">
        <f t="shared" si="75"/>
        <v>121421033.01766904</v>
      </c>
      <c r="H178" s="516">
        <v>1</v>
      </c>
      <c r="I178" s="516">
        <f t="shared" si="78"/>
        <v>6233.7400000000007</v>
      </c>
      <c r="N178" s="492" t="s">
        <v>2172</v>
      </c>
      <c r="O178" s="461" t="s">
        <v>2243</v>
      </c>
      <c r="P178" s="519" t="str">
        <f>$D$253</f>
        <v>kg</v>
      </c>
      <c r="Q178" s="518">
        <v>6233.7400000000007</v>
      </c>
      <c r="R178" s="517">
        <f>$F$253</f>
        <v>19478.039350000003</v>
      </c>
      <c r="S178" s="463">
        <f t="shared" si="74"/>
        <v>121421033.01766904</v>
      </c>
      <c r="T178" s="516">
        <v>1</v>
      </c>
      <c r="U178" s="516">
        <f t="shared" si="79"/>
        <v>6233.7400000000007</v>
      </c>
      <c r="V178" s="492" t="s">
        <v>2172</v>
      </c>
      <c r="W178" s="461" t="s">
        <v>2243</v>
      </c>
      <c r="X178" s="519" t="str">
        <f>$D$253</f>
        <v>kg</v>
      </c>
      <c r="Y178" s="518">
        <v>6233.7400000000007</v>
      </c>
      <c r="Z178" s="517">
        <f>$F$253</f>
        <v>19478.039350000003</v>
      </c>
      <c r="AA178" s="463">
        <f t="shared" si="76"/>
        <v>121421033.01766904</v>
      </c>
      <c r="AB178" s="516">
        <v>1</v>
      </c>
      <c r="AC178" s="516">
        <f t="shared" si="80"/>
        <v>6233.7400000000007</v>
      </c>
      <c r="AD178" s="492" t="s">
        <v>2172</v>
      </c>
      <c r="AE178" s="461" t="s">
        <v>2243</v>
      </c>
      <c r="AF178" s="519" t="str">
        <f>$D$253</f>
        <v>kg</v>
      </c>
      <c r="AG178" s="518">
        <v>6233.7400000000007</v>
      </c>
      <c r="AH178" s="517">
        <f>$F$253</f>
        <v>19478.039350000003</v>
      </c>
      <c r="AI178" s="463">
        <f t="shared" si="77"/>
        <v>121421033.01766904</v>
      </c>
      <c r="AJ178" s="516">
        <v>1</v>
      </c>
      <c r="AK178" s="516">
        <f t="shared" si="81"/>
        <v>6233.7400000000007</v>
      </c>
    </row>
    <row r="179" spans="2:37" ht="15" customHeight="1">
      <c r="B179" s="492" t="s">
        <v>2268</v>
      </c>
      <c r="C179" s="461" t="s">
        <v>2244</v>
      </c>
      <c r="D179" s="519" t="str">
        <f>$D$254</f>
        <v>m²</v>
      </c>
      <c r="E179" s="518">
        <v>43.2</v>
      </c>
      <c r="F179" s="416">
        <f t="shared" si="72"/>
        <v>145812.67000000001</v>
      </c>
      <c r="G179" s="463">
        <f t="shared" si="75"/>
        <v>6299107.3440000005</v>
      </c>
      <c r="H179" s="516">
        <v>40</v>
      </c>
      <c r="I179" s="516">
        <f t="shared" si="78"/>
        <v>1728</v>
      </c>
      <c r="N179" s="492" t="s">
        <v>2268</v>
      </c>
      <c r="O179" s="461" t="s">
        <v>2244</v>
      </c>
      <c r="P179" s="519" t="str">
        <f>$D$254</f>
        <v>m²</v>
      </c>
      <c r="Q179" s="518">
        <v>43.2</v>
      </c>
      <c r="R179" s="517">
        <f>$F$254</f>
        <v>145812.67000000001</v>
      </c>
      <c r="S179" s="463">
        <f t="shared" si="74"/>
        <v>6299107.3440000005</v>
      </c>
      <c r="T179" s="516">
        <v>40</v>
      </c>
      <c r="U179" s="516">
        <f t="shared" si="79"/>
        <v>1728</v>
      </c>
      <c r="V179" s="492" t="s">
        <v>2268</v>
      </c>
      <c r="W179" s="461" t="s">
        <v>2244</v>
      </c>
      <c r="X179" s="519" t="str">
        <f>$D$254</f>
        <v>m²</v>
      </c>
      <c r="Y179" s="518">
        <v>43.2</v>
      </c>
      <c r="Z179" s="517">
        <f>$F$254</f>
        <v>145812.67000000001</v>
      </c>
      <c r="AA179" s="463">
        <f t="shared" si="76"/>
        <v>6299107.3440000005</v>
      </c>
      <c r="AB179" s="516">
        <v>40</v>
      </c>
      <c r="AC179" s="516">
        <f t="shared" si="80"/>
        <v>1728</v>
      </c>
      <c r="AD179" s="492" t="s">
        <v>2268</v>
      </c>
      <c r="AE179" s="461" t="s">
        <v>2244</v>
      </c>
      <c r="AF179" s="519" t="str">
        <f>$D$254</f>
        <v>m²</v>
      </c>
      <c r="AG179" s="518">
        <v>43.2</v>
      </c>
      <c r="AH179" s="517">
        <f>$F$254</f>
        <v>145812.67000000001</v>
      </c>
      <c r="AI179" s="463">
        <f t="shared" si="77"/>
        <v>6299107.3440000005</v>
      </c>
      <c r="AJ179" s="516">
        <v>40</v>
      </c>
      <c r="AK179" s="516">
        <f t="shared" si="81"/>
        <v>1728</v>
      </c>
    </row>
    <row r="180" spans="2:37" ht="15" customHeight="1">
      <c r="B180" s="492" t="s">
        <v>2176</v>
      </c>
      <c r="C180" s="491" t="s">
        <v>2246</v>
      </c>
      <c r="D180" s="519" t="str">
        <f>$D$255</f>
        <v>bh</v>
      </c>
      <c r="E180" s="518">
        <v>4</v>
      </c>
      <c r="F180" s="416">
        <f t="shared" si="72"/>
        <v>100000</v>
      </c>
      <c r="G180" s="463">
        <f t="shared" si="75"/>
        <v>400000</v>
      </c>
      <c r="H180" s="516">
        <v>2.5</v>
      </c>
      <c r="I180" s="516">
        <f t="shared" si="78"/>
        <v>10</v>
      </c>
      <c r="N180" s="492" t="s">
        <v>2176</v>
      </c>
      <c r="O180" s="491" t="s">
        <v>2246</v>
      </c>
      <c r="P180" s="519" t="str">
        <f>$D$255</f>
        <v>bh</v>
      </c>
      <c r="Q180" s="518">
        <v>4</v>
      </c>
      <c r="R180" s="517">
        <f>$F$255</f>
        <v>100000</v>
      </c>
      <c r="S180" s="463">
        <f t="shared" si="74"/>
        <v>400000</v>
      </c>
      <c r="T180" s="516">
        <v>2.5</v>
      </c>
      <c r="U180" s="516">
        <f t="shared" si="79"/>
        <v>10</v>
      </c>
      <c r="V180" s="492" t="s">
        <v>2176</v>
      </c>
      <c r="W180" s="491" t="s">
        <v>2246</v>
      </c>
      <c r="X180" s="519" t="str">
        <f>$D$255</f>
        <v>bh</v>
      </c>
      <c r="Y180" s="518">
        <v>4</v>
      </c>
      <c r="Z180" s="517">
        <f>$F$255</f>
        <v>100000</v>
      </c>
      <c r="AA180" s="463">
        <f t="shared" si="76"/>
        <v>400000</v>
      </c>
      <c r="AB180" s="516">
        <v>2.5</v>
      </c>
      <c r="AC180" s="516">
        <f t="shared" si="80"/>
        <v>10</v>
      </c>
      <c r="AD180" s="492" t="s">
        <v>2176</v>
      </c>
      <c r="AE180" s="491" t="s">
        <v>2246</v>
      </c>
      <c r="AF180" s="519" t="str">
        <f>$D$255</f>
        <v>bh</v>
      </c>
      <c r="AG180" s="518">
        <v>4</v>
      </c>
      <c r="AH180" s="517">
        <f>$F$255</f>
        <v>100000</v>
      </c>
      <c r="AI180" s="463">
        <f t="shared" si="77"/>
        <v>400000</v>
      </c>
      <c r="AJ180" s="516">
        <v>2.5</v>
      </c>
      <c r="AK180" s="516">
        <f t="shared" si="81"/>
        <v>10</v>
      </c>
    </row>
    <row r="181" spans="2:37" ht="15" customHeight="1">
      <c r="B181" s="492"/>
      <c r="C181" s="461"/>
      <c r="D181" s="519"/>
      <c r="E181" s="428"/>
      <c r="F181" s="416">
        <f t="shared" si="72"/>
        <v>0</v>
      </c>
      <c r="G181" s="463"/>
      <c r="I181" s="516">
        <f>SUM(I174:I179)</f>
        <v>155958.48285714287</v>
      </c>
      <c r="N181" s="492"/>
      <c r="O181" s="461"/>
      <c r="P181" s="519"/>
      <c r="Q181" s="428"/>
      <c r="R181" s="517"/>
      <c r="S181" s="463">
        <f t="shared" si="74"/>
        <v>0</v>
      </c>
      <c r="U181" s="516">
        <f>SUM(U174:U179)</f>
        <v>155958.48285714287</v>
      </c>
      <c r="V181" s="492"/>
      <c r="W181" s="461"/>
      <c r="X181" s="519"/>
      <c r="Y181" s="428"/>
      <c r="Z181" s="517"/>
      <c r="AA181" s="463"/>
      <c r="AC181" s="516">
        <f>SUM(AC174:AC179)</f>
        <v>155958.48285714287</v>
      </c>
      <c r="AD181" s="492"/>
      <c r="AE181" s="461"/>
      <c r="AF181" s="519"/>
      <c r="AG181" s="428"/>
      <c r="AH181" s="517"/>
      <c r="AI181" s="463"/>
      <c r="AK181" s="516">
        <f>SUM(AK174:AK179)</f>
        <v>155958.48285714287</v>
      </c>
    </row>
    <row r="182" spans="2:37" ht="15" customHeight="1">
      <c r="B182" s="507">
        <v>3</v>
      </c>
      <c r="C182" s="460" t="s">
        <v>2086</v>
      </c>
      <c r="D182" s="519"/>
      <c r="E182" s="428"/>
      <c r="F182" s="416">
        <f t="shared" si="72"/>
        <v>0</v>
      </c>
      <c r="G182" s="463"/>
      <c r="N182" s="507">
        <v>3</v>
      </c>
      <c r="O182" s="460" t="s">
        <v>2086</v>
      </c>
      <c r="P182" s="519"/>
      <c r="Q182" s="428"/>
      <c r="R182" s="517"/>
      <c r="S182" s="463">
        <f t="shared" si="74"/>
        <v>0</v>
      </c>
      <c r="V182" s="507">
        <v>3</v>
      </c>
      <c r="W182" s="460" t="s">
        <v>2086</v>
      </c>
      <c r="X182" s="519"/>
      <c r="Y182" s="428"/>
      <c r="Z182" s="517"/>
      <c r="AA182" s="463"/>
      <c r="AD182" s="507">
        <v>3</v>
      </c>
      <c r="AE182" s="460" t="s">
        <v>2086</v>
      </c>
      <c r="AF182" s="519"/>
      <c r="AG182" s="428"/>
      <c r="AH182" s="517"/>
      <c r="AI182" s="463"/>
    </row>
    <row r="183" spans="2:37" ht="15" customHeight="1">
      <c r="B183" s="492" t="s">
        <v>721</v>
      </c>
      <c r="C183" s="461" t="s">
        <v>2247</v>
      </c>
      <c r="D183" s="519" t="str">
        <f>$D$258</f>
        <v>bh</v>
      </c>
      <c r="E183" s="518">
        <v>4</v>
      </c>
      <c r="F183" s="416">
        <f t="shared" si="72"/>
        <v>181849.04</v>
      </c>
      <c r="G183" s="463">
        <f t="shared" ref="G183:G188" si="82">E183*F183</f>
        <v>727396.16</v>
      </c>
      <c r="N183" s="492" t="s">
        <v>721</v>
      </c>
      <c r="O183" s="461" t="s">
        <v>2247</v>
      </c>
      <c r="P183" s="519" t="str">
        <f>$D$258</f>
        <v>bh</v>
      </c>
      <c r="Q183" s="518">
        <v>4</v>
      </c>
      <c r="R183" s="517">
        <f>$F$258</f>
        <v>181849.04</v>
      </c>
      <c r="S183" s="463">
        <f t="shared" si="74"/>
        <v>727396.16</v>
      </c>
      <c r="V183" s="492" t="s">
        <v>721</v>
      </c>
      <c r="W183" s="461" t="s">
        <v>2247</v>
      </c>
      <c r="X183" s="519" t="str">
        <f>$D$258</f>
        <v>bh</v>
      </c>
      <c r="Y183" s="518">
        <v>4</v>
      </c>
      <c r="Z183" s="517">
        <f>$F$258</f>
        <v>181849.04</v>
      </c>
      <c r="AA183" s="463">
        <f t="shared" ref="AA183:AA188" si="83">Y183*Z183</f>
        <v>727396.16</v>
      </c>
      <c r="AD183" s="492" t="s">
        <v>721</v>
      </c>
      <c r="AE183" s="461" t="s">
        <v>2247</v>
      </c>
      <c r="AF183" s="519" t="str">
        <f>$D$258</f>
        <v>bh</v>
      </c>
      <c r="AG183" s="518">
        <v>4</v>
      </c>
      <c r="AH183" s="517">
        <f>$F$258</f>
        <v>181849.04</v>
      </c>
      <c r="AI183" s="463">
        <f t="shared" ref="AI183:AI188" si="84">AG183*AH183</f>
        <v>727396.16</v>
      </c>
    </row>
    <row r="184" spans="2:37" ht="15" customHeight="1">
      <c r="B184" s="492" t="s">
        <v>2166</v>
      </c>
      <c r="C184" s="461" t="s">
        <v>2085</v>
      </c>
      <c r="D184" s="519" t="str">
        <f>$D$259</f>
        <v>kg</v>
      </c>
      <c r="E184" s="518">
        <f>I181</f>
        <v>155958.48285714287</v>
      </c>
      <c r="F184" s="416">
        <f t="shared" si="72"/>
        <v>462.7700000000001</v>
      </c>
      <c r="G184" s="463">
        <f t="shared" si="82"/>
        <v>72172907.111800015</v>
      </c>
      <c r="N184" s="492" t="s">
        <v>2166</v>
      </c>
      <c r="O184" s="461" t="s">
        <v>2085</v>
      </c>
      <c r="P184" s="519" t="str">
        <f>$D$259</f>
        <v>kg</v>
      </c>
      <c r="Q184" s="518">
        <f>U181</f>
        <v>155958.48285714287</v>
      </c>
      <c r="R184" s="517">
        <f>$F$259</f>
        <v>462.7700000000001</v>
      </c>
      <c r="S184" s="463">
        <f t="shared" si="74"/>
        <v>72172907.111800015</v>
      </c>
      <c r="V184" s="492" t="s">
        <v>2166</v>
      </c>
      <c r="W184" s="461" t="s">
        <v>2085</v>
      </c>
      <c r="X184" s="519" t="str">
        <f>$D$259</f>
        <v>kg</v>
      </c>
      <c r="Y184" s="518">
        <f>AC181</f>
        <v>155958.48285714287</v>
      </c>
      <c r="Z184" s="517">
        <f>$F$259</f>
        <v>462.7700000000001</v>
      </c>
      <c r="AA184" s="463">
        <f t="shared" si="83"/>
        <v>72172907.111800015</v>
      </c>
      <c r="AD184" s="492" t="s">
        <v>2166</v>
      </c>
      <c r="AE184" s="461" t="s">
        <v>2085</v>
      </c>
      <c r="AF184" s="519" t="str">
        <f>$D$259</f>
        <v>kg</v>
      </c>
      <c r="AG184" s="518">
        <f>AK181</f>
        <v>155958.48285714287</v>
      </c>
      <c r="AH184" s="517">
        <f>$F$259</f>
        <v>462.7700000000001</v>
      </c>
      <c r="AI184" s="463">
        <f t="shared" si="84"/>
        <v>72172907.111800015</v>
      </c>
    </row>
    <row r="185" spans="2:37" ht="15" customHeight="1">
      <c r="B185" s="492" t="s">
        <v>2168</v>
      </c>
      <c r="C185" s="461" t="s">
        <v>2249</v>
      </c>
      <c r="D185" s="519" t="str">
        <f>$D$260</f>
        <v>bh</v>
      </c>
      <c r="E185" s="518">
        <v>4</v>
      </c>
      <c r="F185" s="416">
        <f t="shared" si="72"/>
        <v>387825</v>
      </c>
      <c r="G185" s="463">
        <f t="shared" si="82"/>
        <v>1551300</v>
      </c>
      <c r="N185" s="492" t="s">
        <v>2168</v>
      </c>
      <c r="O185" s="461" t="s">
        <v>2249</v>
      </c>
      <c r="P185" s="519" t="str">
        <f>$D$260</f>
        <v>bh</v>
      </c>
      <c r="Q185" s="518">
        <v>4</v>
      </c>
      <c r="R185" s="517">
        <f>$F$260</f>
        <v>387825</v>
      </c>
      <c r="S185" s="463">
        <f t="shared" si="74"/>
        <v>1551300</v>
      </c>
      <c r="V185" s="492" t="s">
        <v>2168</v>
      </c>
      <c r="W185" s="461" t="s">
        <v>2249</v>
      </c>
      <c r="X185" s="519" t="str">
        <f>$D$260</f>
        <v>bh</v>
      </c>
      <c r="Y185" s="518">
        <v>4</v>
      </c>
      <c r="Z185" s="517">
        <f>$F$260</f>
        <v>387825</v>
      </c>
      <c r="AA185" s="463">
        <f t="shared" si="83"/>
        <v>1551300</v>
      </c>
      <c r="AD185" s="492" t="s">
        <v>2168</v>
      </c>
      <c r="AE185" s="461" t="s">
        <v>2249</v>
      </c>
      <c r="AF185" s="519" t="str">
        <f>$D$260</f>
        <v>bh</v>
      </c>
      <c r="AG185" s="518">
        <v>4</v>
      </c>
      <c r="AH185" s="517">
        <f>$F$260</f>
        <v>387825</v>
      </c>
      <c r="AI185" s="463">
        <f t="shared" si="84"/>
        <v>1551300</v>
      </c>
    </row>
    <row r="186" spans="2:37" ht="15" customHeight="1">
      <c r="B186" s="492" t="s">
        <v>2170</v>
      </c>
      <c r="C186" s="461" t="s">
        <v>2250</v>
      </c>
      <c r="D186" s="519" t="str">
        <f>$D$261</f>
        <v>kg</v>
      </c>
      <c r="E186" s="518">
        <v>150.93599999999998</v>
      </c>
      <c r="F186" s="416">
        <f t="shared" si="72"/>
        <v>3758.6984549742947</v>
      </c>
      <c r="G186" s="463">
        <f t="shared" si="82"/>
        <v>567322.91</v>
      </c>
      <c r="N186" s="492" t="s">
        <v>2170</v>
      </c>
      <c r="O186" s="461" t="s">
        <v>2250</v>
      </c>
      <c r="P186" s="519" t="str">
        <f>$D$261</f>
        <v>kg</v>
      </c>
      <c r="Q186" s="518">
        <v>239.61599999999999</v>
      </c>
      <c r="R186" s="517">
        <f>$F$261</f>
        <v>3758.6984549742947</v>
      </c>
      <c r="S186" s="463">
        <f t="shared" si="74"/>
        <v>900644.2889871205</v>
      </c>
      <c r="V186" s="492" t="s">
        <v>2170</v>
      </c>
      <c r="W186" s="461" t="s">
        <v>2269</v>
      </c>
      <c r="X186" s="519" t="str">
        <f>$D$261</f>
        <v>kg</v>
      </c>
      <c r="Y186" s="518">
        <v>311.47199999999998</v>
      </c>
      <c r="Z186" s="517">
        <f>$F$261</f>
        <v>3758.6984549742947</v>
      </c>
      <c r="AA186" s="463">
        <f t="shared" si="83"/>
        <v>1170729.3251677535</v>
      </c>
      <c r="AD186" s="492" t="s">
        <v>2170</v>
      </c>
      <c r="AE186" s="461" t="s">
        <v>2269</v>
      </c>
      <c r="AF186" s="519" t="str">
        <f>$D$261</f>
        <v>kg</v>
      </c>
      <c r="AG186" s="518">
        <v>403.17599999999999</v>
      </c>
      <c r="AH186" s="517">
        <f>$F$261</f>
        <v>3758.6984549742947</v>
      </c>
      <c r="AI186" s="463">
        <f t="shared" si="84"/>
        <v>1515417.0082827162</v>
      </c>
    </row>
    <row r="187" spans="2:37" ht="15" customHeight="1">
      <c r="B187" s="492" t="s">
        <v>2172</v>
      </c>
      <c r="C187" s="461" t="s">
        <v>2251</v>
      </c>
      <c r="D187" s="519" t="str">
        <f>$D$262</f>
        <v>set</v>
      </c>
      <c r="E187" s="518">
        <v>1</v>
      </c>
      <c r="F187" s="416">
        <f t="shared" si="72"/>
        <v>855127</v>
      </c>
      <c r="G187" s="463">
        <f t="shared" si="82"/>
        <v>855127</v>
      </c>
      <c r="N187" s="492" t="s">
        <v>2172</v>
      </c>
      <c r="O187" s="461" t="s">
        <v>2251</v>
      </c>
      <c r="P187" s="519" t="str">
        <f>$D$262</f>
        <v>set</v>
      </c>
      <c r="Q187" s="518">
        <v>1</v>
      </c>
      <c r="R187" s="517">
        <f>$F$262</f>
        <v>855127</v>
      </c>
      <c r="S187" s="463">
        <f t="shared" si="74"/>
        <v>855127</v>
      </c>
      <c r="V187" s="492" t="s">
        <v>2172</v>
      </c>
      <c r="W187" s="461" t="s">
        <v>2251</v>
      </c>
      <c r="X187" s="519" t="str">
        <f>$D$262</f>
        <v>set</v>
      </c>
      <c r="Y187" s="518">
        <v>1</v>
      </c>
      <c r="Z187" s="517">
        <f>$F$262</f>
        <v>855127</v>
      </c>
      <c r="AA187" s="463">
        <f t="shared" si="83"/>
        <v>855127</v>
      </c>
      <c r="AD187" s="492" t="s">
        <v>2172</v>
      </c>
      <c r="AE187" s="461" t="s">
        <v>2251</v>
      </c>
      <c r="AF187" s="519" t="str">
        <f>$D$262</f>
        <v>set</v>
      </c>
      <c r="AG187" s="518">
        <v>1</v>
      </c>
      <c r="AH187" s="517">
        <f>$F$262</f>
        <v>855127</v>
      </c>
      <c r="AI187" s="463">
        <f t="shared" si="84"/>
        <v>855127</v>
      </c>
    </row>
    <row r="188" spans="2:37" ht="15" customHeight="1">
      <c r="B188" s="492" t="s">
        <v>2174</v>
      </c>
      <c r="C188" s="461" t="s">
        <v>2252</v>
      </c>
      <c r="D188" s="519" t="str">
        <f>$D$263</f>
        <v>set</v>
      </c>
      <c r="E188" s="518">
        <v>1</v>
      </c>
      <c r="F188" s="416">
        <f t="shared" si="72"/>
        <v>674025</v>
      </c>
      <c r="G188" s="463">
        <f t="shared" si="82"/>
        <v>674025</v>
      </c>
      <c r="N188" s="492" t="s">
        <v>2174</v>
      </c>
      <c r="O188" s="461" t="s">
        <v>2252</v>
      </c>
      <c r="P188" s="519" t="str">
        <f>$D$263</f>
        <v>set</v>
      </c>
      <c r="Q188" s="518">
        <v>1</v>
      </c>
      <c r="R188" s="517">
        <f>$F$263</f>
        <v>674025</v>
      </c>
      <c r="S188" s="463">
        <f t="shared" si="74"/>
        <v>674025</v>
      </c>
      <c r="V188" s="492" t="s">
        <v>2174</v>
      </c>
      <c r="W188" s="461" t="s">
        <v>2252</v>
      </c>
      <c r="X188" s="519" t="str">
        <f>$D$263</f>
        <v>set</v>
      </c>
      <c r="Y188" s="518">
        <v>1</v>
      </c>
      <c r="Z188" s="517">
        <f>$F$263</f>
        <v>674025</v>
      </c>
      <c r="AA188" s="463">
        <f t="shared" si="83"/>
        <v>674025</v>
      </c>
      <c r="AD188" s="492" t="s">
        <v>2174</v>
      </c>
      <c r="AE188" s="461" t="s">
        <v>2252</v>
      </c>
      <c r="AF188" s="519" t="str">
        <f>$D$263</f>
        <v>set</v>
      </c>
      <c r="AG188" s="518">
        <v>1</v>
      </c>
      <c r="AH188" s="517">
        <f>$F$263</f>
        <v>674025</v>
      </c>
      <c r="AI188" s="463">
        <f t="shared" si="84"/>
        <v>674025</v>
      </c>
    </row>
    <row r="189" spans="2:37" ht="15" customHeight="1" thickBot="1">
      <c r="B189" s="459"/>
      <c r="C189" s="1194" t="s">
        <v>3230</v>
      </c>
      <c r="D189" s="1195"/>
      <c r="E189" s="1195"/>
      <c r="F189" s="1196"/>
      <c r="G189" s="458">
        <f>SUM(G169:G188)</f>
        <v>284244491.98922741</v>
      </c>
      <c r="N189" s="459"/>
      <c r="O189" s="1194" t="s">
        <v>3230</v>
      </c>
      <c r="P189" s="1195"/>
      <c r="Q189" s="1195"/>
      <c r="R189" s="1196"/>
      <c r="S189" s="458">
        <f>SUM(S168:S188)</f>
        <v>284577813.36821449</v>
      </c>
      <c r="V189" s="459"/>
      <c r="W189" s="1194" t="s">
        <v>3230</v>
      </c>
      <c r="X189" s="1195"/>
      <c r="Y189" s="1195"/>
      <c r="Z189" s="1196"/>
      <c r="AA189" s="458">
        <f>SUM(AA168:AA188)</f>
        <v>284847898.40439516</v>
      </c>
      <c r="AD189" s="459"/>
      <c r="AE189" s="1194" t="s">
        <v>3230</v>
      </c>
      <c r="AF189" s="1195"/>
      <c r="AG189" s="1195"/>
      <c r="AH189" s="1196"/>
      <c r="AI189" s="458">
        <f>SUM(AI168:AI188)</f>
        <v>285192586.08751011</v>
      </c>
    </row>
    <row r="190" spans="2:37" ht="15" customHeight="1" thickBot="1">
      <c r="B190" s="427"/>
      <c r="C190" s="427"/>
      <c r="D190" s="427"/>
      <c r="E190" s="427"/>
      <c r="F190" s="426"/>
      <c r="G190" s="426"/>
      <c r="N190" s="427"/>
      <c r="O190" s="427"/>
      <c r="P190" s="427"/>
      <c r="Q190" s="427"/>
      <c r="R190" s="427"/>
      <c r="S190" s="426"/>
      <c r="V190" s="427"/>
      <c r="W190" s="427"/>
      <c r="X190" s="427"/>
      <c r="Y190" s="427"/>
      <c r="Z190" s="427"/>
      <c r="AA190" s="426"/>
      <c r="AD190" s="427"/>
      <c r="AE190" s="427"/>
      <c r="AF190" s="427"/>
      <c r="AG190" s="427"/>
      <c r="AH190" s="427"/>
      <c r="AI190" s="426"/>
    </row>
    <row r="191" spans="2:37" ht="15" customHeight="1" thickBot="1">
      <c r="B191" s="452" t="s">
        <v>2229</v>
      </c>
      <c r="C191" s="435"/>
      <c r="D191" s="434">
        <v>6</v>
      </c>
      <c r="E191" s="433"/>
      <c r="F191" s="411"/>
      <c r="G191" s="431"/>
      <c r="N191" s="452" t="s">
        <v>2230</v>
      </c>
      <c r="O191" s="435"/>
      <c r="P191" s="434">
        <v>6</v>
      </c>
      <c r="Q191" s="433"/>
      <c r="R191" s="432"/>
      <c r="S191" s="431"/>
      <c r="V191" s="452" t="s">
        <v>2231</v>
      </c>
      <c r="W191" s="435"/>
      <c r="X191" s="434"/>
      <c r="Y191" s="433"/>
      <c r="Z191" s="432"/>
      <c r="AA191" s="431"/>
      <c r="AD191" s="452" t="s">
        <v>2254</v>
      </c>
      <c r="AE191" s="435"/>
      <c r="AF191" s="434"/>
      <c r="AG191" s="433"/>
      <c r="AH191" s="432"/>
      <c r="AI191" s="431"/>
    </row>
    <row r="192" spans="2:37" ht="15" customHeight="1">
      <c r="B192" s="446"/>
      <c r="C192" s="445" t="s">
        <v>3231</v>
      </c>
      <c r="D192" s="444"/>
      <c r="E192" s="443"/>
      <c r="F192" s="413"/>
      <c r="G192" s="441"/>
      <c r="N192" s="446"/>
      <c r="O192" s="445" t="s">
        <v>3231</v>
      </c>
      <c r="P192" s="444"/>
      <c r="Q192" s="443"/>
      <c r="R192" s="442"/>
      <c r="S192" s="441"/>
      <c r="V192" s="446"/>
      <c r="W192" s="445" t="s">
        <v>3232</v>
      </c>
      <c r="X192" s="444"/>
      <c r="Y192" s="443"/>
      <c r="Z192" s="442"/>
      <c r="AA192" s="441"/>
      <c r="AD192" s="446"/>
      <c r="AE192" s="445" t="s">
        <v>3232</v>
      </c>
      <c r="AF192" s="444"/>
      <c r="AG192" s="443"/>
      <c r="AH192" s="442"/>
      <c r="AI192" s="441"/>
    </row>
    <row r="193" spans="2:37" ht="15" customHeight="1">
      <c r="B193" s="468">
        <v>1</v>
      </c>
      <c r="C193" s="467" t="s">
        <v>2234</v>
      </c>
      <c r="D193" s="519"/>
      <c r="E193" s="430"/>
      <c r="F193" s="417"/>
      <c r="G193" s="486"/>
      <c r="N193" s="468">
        <v>1</v>
      </c>
      <c r="O193" s="467" t="s">
        <v>2234</v>
      </c>
      <c r="P193" s="519"/>
      <c r="Q193" s="430"/>
      <c r="R193" s="429"/>
      <c r="S193" s="486"/>
      <c r="V193" s="468">
        <v>1</v>
      </c>
      <c r="W193" s="467" t="s">
        <v>2234</v>
      </c>
      <c r="X193" s="519"/>
      <c r="Y193" s="430"/>
      <c r="Z193" s="429"/>
      <c r="AA193" s="486"/>
      <c r="AD193" s="468">
        <v>1</v>
      </c>
      <c r="AE193" s="467" t="s">
        <v>2234</v>
      </c>
      <c r="AF193" s="519"/>
      <c r="AG193" s="430"/>
      <c r="AH193" s="429"/>
      <c r="AI193" s="486"/>
    </row>
    <row r="194" spans="2:37" ht="15" customHeight="1">
      <c r="B194" s="492" t="s">
        <v>721</v>
      </c>
      <c r="C194" s="464" t="s">
        <v>2235</v>
      </c>
      <c r="D194" s="519" t="str">
        <f>$D$244</f>
        <v>m³</v>
      </c>
      <c r="E194" s="518">
        <v>50.35</v>
      </c>
      <c r="F194" s="416">
        <f>F169</f>
        <v>102390.75000000001</v>
      </c>
      <c r="G194" s="463">
        <f>E194*F194</f>
        <v>5155374.2625000011</v>
      </c>
      <c r="N194" s="492" t="s">
        <v>721</v>
      </c>
      <c r="O194" s="464" t="s">
        <v>2235</v>
      </c>
      <c r="P194" s="519" t="str">
        <f>$D$244</f>
        <v>m³</v>
      </c>
      <c r="Q194" s="518">
        <v>50.35</v>
      </c>
      <c r="R194" s="517">
        <f>$F$244</f>
        <v>102390.75000000001</v>
      </c>
      <c r="S194" s="463">
        <f>Q194*R194</f>
        <v>5155374.2625000011</v>
      </c>
      <c r="V194" s="492" t="s">
        <v>721</v>
      </c>
      <c r="W194" s="464" t="s">
        <v>2235</v>
      </c>
      <c r="X194" s="519" t="str">
        <f>$D$244</f>
        <v>m³</v>
      </c>
      <c r="Y194" s="518">
        <v>50.35</v>
      </c>
      <c r="Z194" s="517">
        <f>$F$244</f>
        <v>102390.75000000001</v>
      </c>
      <c r="AA194" s="463">
        <f>Y194*Z194</f>
        <v>5155374.2625000011</v>
      </c>
      <c r="AD194" s="492" t="s">
        <v>721</v>
      </c>
      <c r="AE194" s="464" t="s">
        <v>2235</v>
      </c>
      <c r="AF194" s="519" t="str">
        <f>$D$244</f>
        <v>m³</v>
      </c>
      <c r="AG194" s="518">
        <v>50.35</v>
      </c>
      <c r="AH194" s="517">
        <f>$F$244</f>
        <v>102390.75000000001</v>
      </c>
      <c r="AI194" s="463">
        <f>AG194*AH194</f>
        <v>5155374.2625000011</v>
      </c>
    </row>
    <row r="195" spans="2:37" ht="15" customHeight="1">
      <c r="B195" s="492" t="s">
        <v>2166</v>
      </c>
      <c r="C195" s="464" t="s">
        <v>2237</v>
      </c>
      <c r="D195" s="519" t="str">
        <f>$D$245</f>
        <v>m³</v>
      </c>
      <c r="E195" s="518">
        <v>12.160000000000002</v>
      </c>
      <c r="F195" s="416">
        <f t="shared" ref="F195:F213" si="85">F170</f>
        <v>62462.950000000012</v>
      </c>
      <c r="G195" s="463">
        <f t="shared" ref="G195:G196" si="86">E195*F195</f>
        <v>759549.4720000003</v>
      </c>
      <c r="N195" s="492" t="s">
        <v>2166</v>
      </c>
      <c r="O195" s="464" t="s">
        <v>2237</v>
      </c>
      <c r="P195" s="519" t="str">
        <f>$D$245</f>
        <v>m³</v>
      </c>
      <c r="Q195" s="518">
        <v>12.160000000000002</v>
      </c>
      <c r="R195" s="517">
        <f>$F$245</f>
        <v>62462.950000000012</v>
      </c>
      <c r="S195" s="463">
        <f t="shared" ref="S195:S213" si="87">Q195*R195</f>
        <v>759549.4720000003</v>
      </c>
      <c r="V195" s="492" t="s">
        <v>2166</v>
      </c>
      <c r="W195" s="464" t="s">
        <v>2237</v>
      </c>
      <c r="X195" s="519" t="str">
        <f>$D$245</f>
        <v>m³</v>
      </c>
      <c r="Y195" s="518">
        <v>12.160000000000002</v>
      </c>
      <c r="Z195" s="517">
        <f>$F$245</f>
        <v>62462.950000000012</v>
      </c>
      <c r="AA195" s="463">
        <f>Y195*Z195</f>
        <v>759549.4720000003</v>
      </c>
      <c r="AD195" s="492" t="s">
        <v>2166</v>
      </c>
      <c r="AE195" s="464" t="s">
        <v>2237</v>
      </c>
      <c r="AF195" s="519" t="str">
        <f>$D$245</f>
        <v>m³</v>
      </c>
      <c r="AG195" s="518">
        <v>12.160000000000002</v>
      </c>
      <c r="AH195" s="517">
        <f>$F$245</f>
        <v>62462.950000000012</v>
      </c>
      <c r="AI195" s="463">
        <f>AG195*AH195</f>
        <v>759549.4720000003</v>
      </c>
    </row>
    <row r="196" spans="2:37" ht="15" customHeight="1">
      <c r="B196" s="492" t="s">
        <v>2168</v>
      </c>
      <c r="C196" s="464" t="s">
        <v>2265</v>
      </c>
      <c r="D196" s="519" t="str">
        <f>$D$246</f>
        <v>m'</v>
      </c>
      <c r="E196" s="518">
        <v>128</v>
      </c>
      <c r="F196" s="416">
        <f t="shared" si="85"/>
        <v>52230.612500000003</v>
      </c>
      <c r="G196" s="463">
        <f t="shared" si="86"/>
        <v>6685518.4000000004</v>
      </c>
      <c r="N196" s="492" t="s">
        <v>2168</v>
      </c>
      <c r="O196" s="464" t="s">
        <v>2265</v>
      </c>
      <c r="P196" s="519" t="str">
        <f>$D$246</f>
        <v>m'</v>
      </c>
      <c r="Q196" s="518">
        <v>128</v>
      </c>
      <c r="R196" s="517">
        <f>$F$246</f>
        <v>52230.612500000003</v>
      </c>
      <c r="S196" s="463">
        <f t="shared" si="87"/>
        <v>6685518.4000000004</v>
      </c>
      <c r="V196" s="492" t="s">
        <v>2168</v>
      </c>
      <c r="W196" s="464" t="s">
        <v>2265</v>
      </c>
      <c r="X196" s="519" t="str">
        <f>$D$246</f>
        <v>m'</v>
      </c>
      <c r="Y196" s="518">
        <v>128</v>
      </c>
      <c r="Z196" s="517">
        <f>$F$246</f>
        <v>52230.612500000003</v>
      </c>
      <c r="AA196" s="463">
        <f>Y196*Z196</f>
        <v>6685518.4000000004</v>
      </c>
      <c r="AD196" s="492" t="s">
        <v>2168</v>
      </c>
      <c r="AE196" s="464" t="s">
        <v>2265</v>
      </c>
      <c r="AF196" s="519" t="str">
        <f>$D$246</f>
        <v>m'</v>
      </c>
      <c r="AG196" s="518">
        <v>128</v>
      </c>
      <c r="AH196" s="517">
        <f>$F$246</f>
        <v>52230.612500000003</v>
      </c>
      <c r="AI196" s="463">
        <f>AG196*AH196</f>
        <v>6685518.4000000004</v>
      </c>
    </row>
    <row r="197" spans="2:37" ht="15" customHeight="1">
      <c r="B197" s="462"/>
      <c r="C197" s="464"/>
      <c r="D197" s="519"/>
      <c r="E197" s="428"/>
      <c r="F197" s="416">
        <f t="shared" si="85"/>
        <v>0</v>
      </c>
      <c r="G197" s="463"/>
      <c r="N197" s="462"/>
      <c r="O197" s="464"/>
      <c r="P197" s="519"/>
      <c r="Q197" s="428"/>
      <c r="R197" s="517"/>
      <c r="S197" s="463">
        <f t="shared" si="87"/>
        <v>0</v>
      </c>
      <c r="V197" s="462"/>
      <c r="W197" s="464"/>
      <c r="X197" s="519"/>
      <c r="Y197" s="428"/>
      <c r="Z197" s="517"/>
      <c r="AA197" s="463"/>
      <c r="AD197" s="462"/>
      <c r="AE197" s="464"/>
      <c r="AF197" s="519"/>
      <c r="AG197" s="428"/>
      <c r="AH197" s="517"/>
      <c r="AI197" s="463"/>
    </row>
    <row r="198" spans="2:37" ht="15" customHeight="1">
      <c r="B198" s="507">
        <v>2</v>
      </c>
      <c r="C198" s="467" t="s">
        <v>2238</v>
      </c>
      <c r="D198" s="519"/>
      <c r="E198" s="428"/>
      <c r="F198" s="416">
        <f t="shared" si="85"/>
        <v>0</v>
      </c>
      <c r="G198" s="463"/>
      <c r="H198" s="516" t="s">
        <v>2239</v>
      </c>
      <c r="N198" s="507">
        <v>2</v>
      </c>
      <c r="O198" s="467" t="s">
        <v>2238</v>
      </c>
      <c r="P198" s="519"/>
      <c r="Q198" s="428"/>
      <c r="R198" s="517"/>
      <c r="S198" s="463">
        <f t="shared" si="87"/>
        <v>0</v>
      </c>
      <c r="T198" s="516" t="s">
        <v>2239</v>
      </c>
      <c r="V198" s="507">
        <v>2</v>
      </c>
      <c r="W198" s="467" t="s">
        <v>2238</v>
      </c>
      <c r="X198" s="519"/>
      <c r="Y198" s="428"/>
      <c r="Z198" s="517"/>
      <c r="AA198" s="463"/>
      <c r="AB198" s="516" t="s">
        <v>2239</v>
      </c>
      <c r="AD198" s="507">
        <v>2</v>
      </c>
      <c r="AE198" s="467" t="s">
        <v>2238</v>
      </c>
      <c r="AF198" s="519"/>
      <c r="AG198" s="428"/>
      <c r="AH198" s="517"/>
      <c r="AI198" s="463"/>
      <c r="AJ198" s="516" t="s">
        <v>2239</v>
      </c>
    </row>
    <row r="199" spans="2:37" ht="15" customHeight="1">
      <c r="B199" s="492" t="s">
        <v>721</v>
      </c>
      <c r="C199" s="464" t="s">
        <v>2240</v>
      </c>
      <c r="D199" s="519" t="str">
        <f>$D$249</f>
        <v>m³</v>
      </c>
      <c r="E199" s="518">
        <v>4.9000000000000004</v>
      </c>
      <c r="F199" s="416">
        <f t="shared" si="85"/>
        <v>404738.95</v>
      </c>
      <c r="G199" s="463">
        <f t="shared" ref="G199:G205" si="88">E199*F199</f>
        <v>1983220.8550000002</v>
      </c>
      <c r="H199" s="516">
        <v>1400</v>
      </c>
      <c r="I199" s="516">
        <f>E199*H199</f>
        <v>6860.0000000000009</v>
      </c>
      <c r="N199" s="492" t="s">
        <v>721</v>
      </c>
      <c r="O199" s="464" t="s">
        <v>2240</v>
      </c>
      <c r="P199" s="519" t="str">
        <f>$D$249</f>
        <v>m³</v>
      </c>
      <c r="Q199" s="518">
        <v>4.9000000000000004</v>
      </c>
      <c r="R199" s="517">
        <f>$F$249</f>
        <v>404738.95</v>
      </c>
      <c r="S199" s="463">
        <f t="shared" si="87"/>
        <v>1983220.8550000002</v>
      </c>
      <c r="T199" s="516">
        <v>1400</v>
      </c>
      <c r="U199" s="516">
        <f>Q199*T199</f>
        <v>6860.0000000000009</v>
      </c>
      <c r="V199" s="492" t="s">
        <v>721</v>
      </c>
      <c r="W199" s="464" t="s">
        <v>2240</v>
      </c>
      <c r="X199" s="519" t="str">
        <f>$D$249</f>
        <v>m³</v>
      </c>
      <c r="Y199" s="518">
        <v>4.9000000000000004</v>
      </c>
      <c r="Z199" s="517">
        <f>$F$249</f>
        <v>404738.95</v>
      </c>
      <c r="AA199" s="463">
        <f t="shared" ref="AA199:AA205" si="89">Y199*Z199</f>
        <v>1983220.8550000002</v>
      </c>
      <c r="AB199" s="516">
        <v>1400</v>
      </c>
      <c r="AC199" s="516">
        <f>Y199*AB199</f>
        <v>6860.0000000000009</v>
      </c>
      <c r="AD199" s="492" t="s">
        <v>721</v>
      </c>
      <c r="AE199" s="464" t="s">
        <v>2240</v>
      </c>
      <c r="AF199" s="519" t="str">
        <f>$D$249</f>
        <v>m³</v>
      </c>
      <c r="AG199" s="518">
        <v>4.9000000000000004</v>
      </c>
      <c r="AH199" s="517">
        <f>$F$249</f>
        <v>404738.95</v>
      </c>
      <c r="AI199" s="463">
        <f t="shared" ref="AI199:AI205" si="90">AG199*AH199</f>
        <v>1983220.8550000002</v>
      </c>
      <c r="AJ199" s="516">
        <v>1400</v>
      </c>
      <c r="AK199" s="516">
        <f>AG199*AJ199</f>
        <v>6860.0000000000009</v>
      </c>
    </row>
    <row r="200" spans="2:37" ht="15" customHeight="1">
      <c r="B200" s="492" t="s">
        <v>2166</v>
      </c>
      <c r="C200" s="461" t="s">
        <v>2241</v>
      </c>
      <c r="D200" s="519" t="str">
        <f>$D$250</f>
        <v>m³</v>
      </c>
      <c r="E200" s="518">
        <v>2.4500000000000002</v>
      </c>
      <c r="F200" s="416">
        <f t="shared" si="85"/>
        <v>710224.707936508</v>
      </c>
      <c r="G200" s="463">
        <f t="shared" si="88"/>
        <v>1740050.5344444448</v>
      </c>
      <c r="H200" s="516">
        <v>2200</v>
      </c>
      <c r="I200" s="516">
        <f t="shared" ref="I200:I205" si="91">E200*H200</f>
        <v>5390</v>
      </c>
      <c r="N200" s="492" t="s">
        <v>2166</v>
      </c>
      <c r="O200" s="461" t="s">
        <v>2241</v>
      </c>
      <c r="P200" s="519" t="str">
        <f>$D$250</f>
        <v>m³</v>
      </c>
      <c r="Q200" s="518">
        <v>2.4500000000000002</v>
      </c>
      <c r="R200" s="517">
        <f>$F$250</f>
        <v>710224.707936508</v>
      </c>
      <c r="S200" s="463">
        <f t="shared" si="87"/>
        <v>1740050.5344444448</v>
      </c>
      <c r="T200" s="516">
        <v>2200</v>
      </c>
      <c r="U200" s="516">
        <f t="shared" ref="U200:U205" si="92">Q200*T200</f>
        <v>5390</v>
      </c>
      <c r="V200" s="492" t="s">
        <v>2166</v>
      </c>
      <c r="W200" s="461" t="s">
        <v>2241</v>
      </c>
      <c r="X200" s="519" t="str">
        <f>$D$250</f>
        <v>m³</v>
      </c>
      <c r="Y200" s="518">
        <v>2.4500000000000002</v>
      </c>
      <c r="Z200" s="517">
        <f>$F$250</f>
        <v>710224.707936508</v>
      </c>
      <c r="AA200" s="463">
        <f t="shared" si="89"/>
        <v>1740050.5344444448</v>
      </c>
      <c r="AB200" s="516">
        <v>2200</v>
      </c>
      <c r="AC200" s="516">
        <f t="shared" ref="AC200:AC205" si="93">Y200*AB200</f>
        <v>5390</v>
      </c>
      <c r="AD200" s="492" t="s">
        <v>2166</v>
      </c>
      <c r="AE200" s="461" t="s">
        <v>2241</v>
      </c>
      <c r="AF200" s="519" t="str">
        <f>$D$250</f>
        <v>m³</v>
      </c>
      <c r="AG200" s="518">
        <v>2.4500000000000002</v>
      </c>
      <c r="AH200" s="517">
        <f>$F$250</f>
        <v>710224.707936508</v>
      </c>
      <c r="AI200" s="463">
        <f t="shared" si="90"/>
        <v>1740050.5344444448</v>
      </c>
      <c r="AJ200" s="516">
        <v>2200</v>
      </c>
      <c r="AK200" s="516">
        <f t="shared" ref="AK200:AK205" si="94">AG200*AJ200</f>
        <v>5390</v>
      </c>
    </row>
    <row r="201" spans="2:37" ht="15" customHeight="1">
      <c r="B201" s="492" t="s">
        <v>2168</v>
      </c>
      <c r="C201" s="461" t="s">
        <v>2266</v>
      </c>
      <c r="D201" s="519" t="str">
        <f>$D$251</f>
        <v>m³</v>
      </c>
      <c r="E201" s="518">
        <v>30.84</v>
      </c>
      <c r="F201" s="416">
        <f t="shared" si="85"/>
        <v>1115864.6138095236</v>
      </c>
      <c r="G201" s="463">
        <f t="shared" si="88"/>
        <v>34413264.689885706</v>
      </c>
      <c r="H201" s="516">
        <v>2400</v>
      </c>
      <c r="I201" s="516">
        <f t="shared" si="91"/>
        <v>74016</v>
      </c>
      <c r="N201" s="492" t="s">
        <v>2168</v>
      </c>
      <c r="O201" s="461" t="s">
        <v>2266</v>
      </c>
      <c r="P201" s="519" t="str">
        <f>$D$251</f>
        <v>m³</v>
      </c>
      <c r="Q201" s="518">
        <v>30.84</v>
      </c>
      <c r="R201" s="517">
        <f>$F$251</f>
        <v>1115864.6138095236</v>
      </c>
      <c r="S201" s="463">
        <f t="shared" si="87"/>
        <v>34413264.689885706</v>
      </c>
      <c r="T201" s="516">
        <v>2400</v>
      </c>
      <c r="U201" s="516">
        <f t="shared" si="92"/>
        <v>74016</v>
      </c>
      <c r="V201" s="492" t="s">
        <v>2168</v>
      </c>
      <c r="W201" s="461" t="str">
        <f>O201</f>
        <v>Beton K 225 (Pad &amp; Chimney)</v>
      </c>
      <c r="X201" s="519" t="str">
        <f>$D$251</f>
        <v>m³</v>
      </c>
      <c r="Y201" s="518">
        <v>30.84</v>
      </c>
      <c r="Z201" s="517">
        <f>$F$251</f>
        <v>1115864.6138095236</v>
      </c>
      <c r="AA201" s="463">
        <f t="shared" si="89"/>
        <v>34413264.689885706</v>
      </c>
      <c r="AB201" s="516">
        <v>2400</v>
      </c>
      <c r="AC201" s="516">
        <f t="shared" si="93"/>
        <v>74016</v>
      </c>
      <c r="AD201" s="492" t="s">
        <v>2168</v>
      </c>
      <c r="AE201" s="461" t="str">
        <f>W201</f>
        <v>Beton K 225 (Pad &amp; Chimney)</v>
      </c>
      <c r="AF201" s="519" t="str">
        <f>$D$251</f>
        <v>m³</v>
      </c>
      <c r="AG201" s="518">
        <v>30.84</v>
      </c>
      <c r="AH201" s="517">
        <f>$F$251</f>
        <v>1115864.6138095236</v>
      </c>
      <c r="AI201" s="463">
        <f t="shared" si="90"/>
        <v>34413264.689885706</v>
      </c>
      <c r="AJ201" s="516">
        <v>2400</v>
      </c>
      <c r="AK201" s="516">
        <f t="shared" si="94"/>
        <v>74016</v>
      </c>
    </row>
    <row r="202" spans="2:37" ht="15" customHeight="1">
      <c r="B202" s="492" t="s">
        <v>2170</v>
      </c>
      <c r="C202" s="461" t="s">
        <v>2267</v>
      </c>
      <c r="D202" s="519" t="str">
        <f>$D$252</f>
        <v>m³</v>
      </c>
      <c r="E202" s="518">
        <v>32.585142857142856</v>
      </c>
      <c r="F202" s="416">
        <f t="shared" si="85"/>
        <v>1057576.2423809525</v>
      </c>
      <c r="G202" s="463">
        <f t="shared" si="88"/>
        <v>34461272.940303676</v>
      </c>
      <c r="H202" s="516">
        <v>2200</v>
      </c>
      <c r="I202" s="516">
        <f t="shared" si="91"/>
        <v>71687.314285714281</v>
      </c>
      <c r="N202" s="492" t="s">
        <v>2170</v>
      </c>
      <c r="O202" s="461" t="s">
        <v>2267</v>
      </c>
      <c r="P202" s="519" t="str">
        <f>$D$252</f>
        <v>m³</v>
      </c>
      <c r="Q202" s="518">
        <v>32.585142857142856</v>
      </c>
      <c r="R202" s="517">
        <f>$F$252</f>
        <v>1057576.2423809525</v>
      </c>
      <c r="S202" s="463">
        <f t="shared" si="87"/>
        <v>34461272.940303676</v>
      </c>
      <c r="T202" s="516">
        <v>2200</v>
      </c>
      <c r="U202" s="516">
        <f t="shared" si="92"/>
        <v>71687.314285714281</v>
      </c>
      <c r="V202" s="492" t="s">
        <v>2170</v>
      </c>
      <c r="W202" s="461" t="s">
        <v>2267</v>
      </c>
      <c r="X202" s="519" t="str">
        <f>$D$252</f>
        <v>m³</v>
      </c>
      <c r="Y202" s="518">
        <v>32.585142857142856</v>
      </c>
      <c r="Z202" s="517">
        <f>$F$252</f>
        <v>1057576.2423809525</v>
      </c>
      <c r="AA202" s="463">
        <f t="shared" si="89"/>
        <v>34461272.940303676</v>
      </c>
      <c r="AB202" s="516">
        <v>2200</v>
      </c>
      <c r="AC202" s="516">
        <f t="shared" si="93"/>
        <v>71687.314285714281</v>
      </c>
      <c r="AD202" s="492" t="s">
        <v>2170</v>
      </c>
      <c r="AE202" s="461" t="s">
        <v>2267</v>
      </c>
      <c r="AF202" s="519" t="str">
        <f>$D$252</f>
        <v>m³</v>
      </c>
      <c r="AG202" s="518">
        <v>32.585142857142856</v>
      </c>
      <c r="AH202" s="517">
        <f>$F$252</f>
        <v>1057576.2423809525</v>
      </c>
      <c r="AI202" s="463">
        <f t="shared" si="90"/>
        <v>34461272.940303676</v>
      </c>
      <c r="AJ202" s="516">
        <v>2200</v>
      </c>
      <c r="AK202" s="516">
        <f t="shared" si="94"/>
        <v>71687.314285714281</v>
      </c>
    </row>
    <row r="203" spans="2:37" ht="15" customHeight="1">
      <c r="B203" s="492" t="s">
        <v>2172</v>
      </c>
      <c r="C203" s="461" t="s">
        <v>2243</v>
      </c>
      <c r="D203" s="519" t="str">
        <f>$D$253</f>
        <v>kg</v>
      </c>
      <c r="E203" s="518">
        <v>6779.9800000000005</v>
      </c>
      <c r="F203" s="416">
        <f t="shared" si="85"/>
        <v>19478.039350000003</v>
      </c>
      <c r="G203" s="463">
        <f t="shared" si="88"/>
        <v>132060717.23221304</v>
      </c>
      <c r="H203" s="516">
        <v>1</v>
      </c>
      <c r="I203" s="516">
        <f t="shared" si="91"/>
        <v>6779.9800000000005</v>
      </c>
      <c r="N203" s="492" t="s">
        <v>2172</v>
      </c>
      <c r="O203" s="461" t="s">
        <v>2243</v>
      </c>
      <c r="P203" s="519" t="str">
        <f>$D$253</f>
        <v>kg</v>
      </c>
      <c r="Q203" s="518">
        <v>6779.9800000000005</v>
      </c>
      <c r="R203" s="517">
        <f>$F$253</f>
        <v>19478.039350000003</v>
      </c>
      <c r="S203" s="463">
        <f t="shared" si="87"/>
        <v>132060717.23221304</v>
      </c>
      <c r="T203" s="516">
        <v>1</v>
      </c>
      <c r="U203" s="516">
        <f t="shared" si="92"/>
        <v>6779.9800000000005</v>
      </c>
      <c r="V203" s="492" t="s">
        <v>2172</v>
      </c>
      <c r="W203" s="461" t="s">
        <v>2243</v>
      </c>
      <c r="X203" s="519" t="str">
        <f>$D$253</f>
        <v>kg</v>
      </c>
      <c r="Y203" s="518">
        <v>6779.9800000000005</v>
      </c>
      <c r="Z203" s="517">
        <f>$F$253</f>
        <v>19478.039350000003</v>
      </c>
      <c r="AA203" s="463">
        <f t="shared" si="89"/>
        <v>132060717.23221304</v>
      </c>
      <c r="AB203" s="516">
        <v>1</v>
      </c>
      <c r="AC203" s="516">
        <f t="shared" si="93"/>
        <v>6779.9800000000005</v>
      </c>
      <c r="AD203" s="492" t="s">
        <v>2172</v>
      </c>
      <c r="AE203" s="461" t="s">
        <v>2243</v>
      </c>
      <c r="AF203" s="519" t="str">
        <f>$D$253</f>
        <v>kg</v>
      </c>
      <c r="AG203" s="518">
        <v>6779.9800000000005</v>
      </c>
      <c r="AH203" s="517">
        <f>$F$253</f>
        <v>19478.039350000003</v>
      </c>
      <c r="AI203" s="463">
        <f t="shared" si="90"/>
        <v>132060717.23221304</v>
      </c>
      <c r="AJ203" s="516">
        <v>1</v>
      </c>
      <c r="AK203" s="516">
        <f t="shared" si="94"/>
        <v>6779.9800000000005</v>
      </c>
    </row>
    <row r="204" spans="2:37" ht="15" customHeight="1">
      <c r="B204" s="492" t="s">
        <v>2268</v>
      </c>
      <c r="C204" s="461" t="s">
        <v>2244</v>
      </c>
      <c r="D204" s="519" t="str">
        <f>$D$254</f>
        <v>m²</v>
      </c>
      <c r="E204" s="518">
        <v>43.2</v>
      </c>
      <c r="F204" s="416">
        <f t="shared" si="85"/>
        <v>145812.67000000001</v>
      </c>
      <c r="G204" s="463">
        <f t="shared" si="88"/>
        <v>6299107.3440000005</v>
      </c>
      <c r="H204" s="516">
        <v>40</v>
      </c>
      <c r="I204" s="516">
        <f t="shared" si="91"/>
        <v>1728</v>
      </c>
      <c r="N204" s="492" t="s">
        <v>2268</v>
      </c>
      <c r="O204" s="461" t="s">
        <v>2244</v>
      </c>
      <c r="P204" s="519" t="str">
        <f>$D$254</f>
        <v>m²</v>
      </c>
      <c r="Q204" s="518">
        <v>43.2</v>
      </c>
      <c r="R204" s="517">
        <f>$F$254</f>
        <v>145812.67000000001</v>
      </c>
      <c r="S204" s="463">
        <f t="shared" si="87"/>
        <v>6299107.3440000005</v>
      </c>
      <c r="T204" s="516">
        <v>40</v>
      </c>
      <c r="U204" s="516">
        <f t="shared" si="92"/>
        <v>1728</v>
      </c>
      <c r="V204" s="492" t="s">
        <v>2268</v>
      </c>
      <c r="W204" s="461" t="s">
        <v>2244</v>
      </c>
      <c r="X204" s="519" t="str">
        <f>$D$254</f>
        <v>m²</v>
      </c>
      <c r="Y204" s="518">
        <v>43.2</v>
      </c>
      <c r="Z204" s="517">
        <f>$F$254</f>
        <v>145812.67000000001</v>
      </c>
      <c r="AA204" s="463">
        <f t="shared" si="89"/>
        <v>6299107.3440000005</v>
      </c>
      <c r="AB204" s="516">
        <v>40</v>
      </c>
      <c r="AC204" s="516">
        <f t="shared" si="93"/>
        <v>1728</v>
      </c>
      <c r="AD204" s="492" t="s">
        <v>2268</v>
      </c>
      <c r="AE204" s="461" t="s">
        <v>2244</v>
      </c>
      <c r="AF204" s="519" t="str">
        <f>$D$254</f>
        <v>m²</v>
      </c>
      <c r="AG204" s="518">
        <v>43.2</v>
      </c>
      <c r="AH204" s="517">
        <f>$F$254</f>
        <v>145812.67000000001</v>
      </c>
      <c r="AI204" s="463">
        <f t="shared" si="90"/>
        <v>6299107.3440000005</v>
      </c>
      <c r="AJ204" s="516">
        <v>40</v>
      </c>
      <c r="AK204" s="516">
        <f t="shared" si="94"/>
        <v>1728</v>
      </c>
    </row>
    <row r="205" spans="2:37" ht="15" customHeight="1">
      <c r="B205" s="492" t="s">
        <v>2176</v>
      </c>
      <c r="C205" s="491" t="s">
        <v>2246</v>
      </c>
      <c r="D205" s="519" t="str">
        <f>$D$255</f>
        <v>bh</v>
      </c>
      <c r="E205" s="518">
        <v>4</v>
      </c>
      <c r="F205" s="416">
        <f t="shared" si="85"/>
        <v>100000</v>
      </c>
      <c r="G205" s="463">
        <f t="shared" si="88"/>
        <v>400000</v>
      </c>
      <c r="H205" s="516">
        <v>2.5</v>
      </c>
      <c r="I205" s="516">
        <f t="shared" si="91"/>
        <v>10</v>
      </c>
      <c r="N205" s="492" t="s">
        <v>2176</v>
      </c>
      <c r="O205" s="491" t="s">
        <v>2246</v>
      </c>
      <c r="P205" s="519" t="str">
        <f>$D$255</f>
        <v>bh</v>
      </c>
      <c r="Q205" s="518">
        <v>4</v>
      </c>
      <c r="R205" s="517">
        <f>$F$255</f>
        <v>100000</v>
      </c>
      <c r="S205" s="463">
        <f t="shared" si="87"/>
        <v>400000</v>
      </c>
      <c r="T205" s="516">
        <v>2.5</v>
      </c>
      <c r="U205" s="516">
        <f t="shared" si="92"/>
        <v>10</v>
      </c>
      <c r="V205" s="492" t="s">
        <v>2176</v>
      </c>
      <c r="W205" s="491" t="s">
        <v>2246</v>
      </c>
      <c r="X205" s="519" t="str">
        <f>$D$255</f>
        <v>bh</v>
      </c>
      <c r="Y205" s="518">
        <v>4</v>
      </c>
      <c r="Z205" s="517">
        <f>$F$255</f>
        <v>100000</v>
      </c>
      <c r="AA205" s="463">
        <f t="shared" si="89"/>
        <v>400000</v>
      </c>
      <c r="AB205" s="516">
        <v>2.5</v>
      </c>
      <c r="AC205" s="516">
        <f t="shared" si="93"/>
        <v>10</v>
      </c>
      <c r="AD205" s="492" t="s">
        <v>2176</v>
      </c>
      <c r="AE205" s="491" t="s">
        <v>2246</v>
      </c>
      <c r="AF205" s="519" t="str">
        <f>$D$255</f>
        <v>bh</v>
      </c>
      <c r="AG205" s="518">
        <v>4</v>
      </c>
      <c r="AH205" s="517">
        <f>$F$255</f>
        <v>100000</v>
      </c>
      <c r="AI205" s="463">
        <f t="shared" si="90"/>
        <v>400000</v>
      </c>
      <c r="AJ205" s="516">
        <v>2.5</v>
      </c>
      <c r="AK205" s="516">
        <f t="shared" si="94"/>
        <v>10</v>
      </c>
    </row>
    <row r="206" spans="2:37" ht="15" customHeight="1">
      <c r="B206" s="492"/>
      <c r="C206" s="461"/>
      <c r="D206" s="519"/>
      <c r="E206" s="428"/>
      <c r="F206" s="416">
        <f t="shared" si="85"/>
        <v>0</v>
      </c>
      <c r="G206" s="463"/>
      <c r="I206" s="516">
        <f>SUM(I199:I204)</f>
        <v>166461.29428571431</v>
      </c>
      <c r="N206" s="492"/>
      <c r="O206" s="461"/>
      <c r="P206" s="519"/>
      <c r="Q206" s="428"/>
      <c r="R206" s="517"/>
      <c r="S206" s="463">
        <f t="shared" si="87"/>
        <v>0</v>
      </c>
      <c r="U206" s="516">
        <f>SUM(U199:U204)</f>
        <v>166461.29428571431</v>
      </c>
      <c r="V206" s="492"/>
      <c r="W206" s="461"/>
      <c r="X206" s="519"/>
      <c r="Y206" s="428"/>
      <c r="Z206" s="517"/>
      <c r="AA206" s="463"/>
      <c r="AC206" s="516">
        <f>SUM(AC199:AC204)</f>
        <v>166461.29428571431</v>
      </c>
      <c r="AD206" s="492"/>
      <c r="AE206" s="461"/>
      <c r="AF206" s="519"/>
      <c r="AG206" s="428"/>
      <c r="AH206" s="517"/>
      <c r="AI206" s="463"/>
      <c r="AK206" s="516">
        <f>SUM(AK199:AK204)</f>
        <v>166461.29428571431</v>
      </c>
    </row>
    <row r="207" spans="2:37" ht="15" customHeight="1">
      <c r="B207" s="507">
        <v>3</v>
      </c>
      <c r="C207" s="460" t="s">
        <v>2086</v>
      </c>
      <c r="D207" s="519"/>
      <c r="E207" s="428"/>
      <c r="F207" s="416">
        <f t="shared" si="85"/>
        <v>0</v>
      </c>
      <c r="G207" s="463"/>
      <c r="N207" s="507">
        <v>3</v>
      </c>
      <c r="O207" s="460" t="s">
        <v>2086</v>
      </c>
      <c r="P207" s="519"/>
      <c r="Q207" s="428"/>
      <c r="R207" s="517"/>
      <c r="S207" s="463">
        <f t="shared" si="87"/>
        <v>0</v>
      </c>
      <c r="V207" s="507">
        <v>3</v>
      </c>
      <c r="W207" s="460" t="s">
        <v>2086</v>
      </c>
      <c r="X207" s="519"/>
      <c r="Y207" s="428"/>
      <c r="Z207" s="517"/>
      <c r="AA207" s="463"/>
      <c r="AD207" s="507">
        <v>3</v>
      </c>
      <c r="AE207" s="460" t="s">
        <v>2086</v>
      </c>
      <c r="AF207" s="519"/>
      <c r="AG207" s="428"/>
      <c r="AH207" s="517"/>
      <c r="AI207" s="463"/>
    </row>
    <row r="208" spans="2:37" ht="15" customHeight="1">
      <c r="B208" s="492" t="s">
        <v>721</v>
      </c>
      <c r="C208" s="461" t="s">
        <v>2247</v>
      </c>
      <c r="D208" s="519" t="str">
        <f>$D$258</f>
        <v>bh</v>
      </c>
      <c r="E208" s="518">
        <v>4</v>
      </c>
      <c r="F208" s="416">
        <f t="shared" si="85"/>
        <v>181849.04</v>
      </c>
      <c r="G208" s="463">
        <f t="shared" ref="G208:G213" si="95">E208*F208</f>
        <v>727396.16</v>
      </c>
      <c r="N208" s="492" t="s">
        <v>721</v>
      </c>
      <c r="O208" s="461" t="s">
        <v>2247</v>
      </c>
      <c r="P208" s="519" t="str">
        <f>$D$258</f>
        <v>bh</v>
      </c>
      <c r="Q208" s="518">
        <v>4</v>
      </c>
      <c r="R208" s="517">
        <f>$F$258</f>
        <v>181849.04</v>
      </c>
      <c r="S208" s="463">
        <f t="shared" si="87"/>
        <v>727396.16</v>
      </c>
      <c r="V208" s="492" t="s">
        <v>721</v>
      </c>
      <c r="W208" s="461" t="s">
        <v>2247</v>
      </c>
      <c r="X208" s="519" t="str">
        <f>$D$258</f>
        <v>bh</v>
      </c>
      <c r="Y208" s="518">
        <v>4</v>
      </c>
      <c r="Z208" s="517">
        <f>$F$258</f>
        <v>181849.04</v>
      </c>
      <c r="AA208" s="463">
        <f t="shared" ref="AA208:AA213" si="96">Y208*Z208</f>
        <v>727396.16</v>
      </c>
      <c r="AD208" s="492" t="s">
        <v>721</v>
      </c>
      <c r="AE208" s="461" t="s">
        <v>2247</v>
      </c>
      <c r="AF208" s="519" t="str">
        <f>$D$258</f>
        <v>bh</v>
      </c>
      <c r="AG208" s="518">
        <v>4</v>
      </c>
      <c r="AH208" s="517">
        <f>$F$258</f>
        <v>181849.04</v>
      </c>
      <c r="AI208" s="463">
        <f t="shared" ref="AI208:AI213" si="97">AG208*AH208</f>
        <v>727396.16</v>
      </c>
    </row>
    <row r="209" spans="2:37" ht="15" customHeight="1">
      <c r="B209" s="492" t="s">
        <v>2166</v>
      </c>
      <c r="C209" s="461" t="s">
        <v>2085</v>
      </c>
      <c r="D209" s="519" t="str">
        <f>$D$259</f>
        <v>kg</v>
      </c>
      <c r="E209" s="518">
        <f>I206</f>
        <v>166461.29428571431</v>
      </c>
      <c r="F209" s="416">
        <f t="shared" si="85"/>
        <v>462.7700000000001</v>
      </c>
      <c r="G209" s="463">
        <f t="shared" si="95"/>
        <v>77033293.156600028</v>
      </c>
      <c r="N209" s="492" t="s">
        <v>2166</v>
      </c>
      <c r="O209" s="461" t="s">
        <v>2085</v>
      </c>
      <c r="P209" s="519" t="str">
        <f>$D$259</f>
        <v>kg</v>
      </c>
      <c r="Q209" s="518">
        <f>U206</f>
        <v>166461.29428571431</v>
      </c>
      <c r="R209" s="517">
        <f>$F$259</f>
        <v>462.7700000000001</v>
      </c>
      <c r="S209" s="463">
        <f t="shared" si="87"/>
        <v>77033293.156600028</v>
      </c>
      <c r="V209" s="492" t="s">
        <v>2166</v>
      </c>
      <c r="W209" s="461" t="s">
        <v>2085</v>
      </c>
      <c r="X209" s="519" t="str">
        <f>$D$259</f>
        <v>kg</v>
      </c>
      <c r="Y209" s="518">
        <f>AC206</f>
        <v>166461.29428571431</v>
      </c>
      <c r="Z209" s="517">
        <f>$F$259</f>
        <v>462.7700000000001</v>
      </c>
      <c r="AA209" s="463">
        <f t="shared" si="96"/>
        <v>77033293.156600028</v>
      </c>
      <c r="AD209" s="492" t="s">
        <v>2166</v>
      </c>
      <c r="AE209" s="461" t="s">
        <v>2085</v>
      </c>
      <c r="AF209" s="519" t="str">
        <f>$D$259</f>
        <v>kg</v>
      </c>
      <c r="AG209" s="518">
        <f>AK206</f>
        <v>166461.29428571431</v>
      </c>
      <c r="AH209" s="517">
        <f>$F$259</f>
        <v>462.7700000000001</v>
      </c>
      <c r="AI209" s="463">
        <f t="shared" si="97"/>
        <v>77033293.156600028</v>
      </c>
    </row>
    <row r="210" spans="2:37" ht="15" customHeight="1">
      <c r="B210" s="492" t="s">
        <v>2168</v>
      </c>
      <c r="C210" s="461" t="s">
        <v>2249</v>
      </c>
      <c r="D210" s="519" t="str">
        <f>$D$260</f>
        <v>bh</v>
      </c>
      <c r="E210" s="518">
        <v>4</v>
      </c>
      <c r="F210" s="416">
        <f t="shared" si="85"/>
        <v>387825</v>
      </c>
      <c r="G210" s="463">
        <f t="shared" si="95"/>
        <v>1551300</v>
      </c>
      <c r="N210" s="492" t="s">
        <v>2168</v>
      </c>
      <c r="O210" s="461" t="s">
        <v>2249</v>
      </c>
      <c r="P210" s="519" t="str">
        <f>$D$260</f>
        <v>bh</v>
      </c>
      <c r="Q210" s="518">
        <v>4</v>
      </c>
      <c r="R210" s="517">
        <f>$F$260</f>
        <v>387825</v>
      </c>
      <c r="S210" s="463">
        <f t="shared" si="87"/>
        <v>1551300</v>
      </c>
      <c r="V210" s="492" t="s">
        <v>2168</v>
      </c>
      <c r="W210" s="461" t="s">
        <v>2249</v>
      </c>
      <c r="X210" s="519" t="str">
        <f>$D$260</f>
        <v>bh</v>
      </c>
      <c r="Y210" s="518">
        <v>4</v>
      </c>
      <c r="Z210" s="517">
        <f>$F$260</f>
        <v>387825</v>
      </c>
      <c r="AA210" s="463">
        <f t="shared" si="96"/>
        <v>1551300</v>
      </c>
      <c r="AD210" s="492" t="s">
        <v>2168</v>
      </c>
      <c r="AE210" s="461" t="s">
        <v>2249</v>
      </c>
      <c r="AF210" s="519" t="str">
        <f>$D$260</f>
        <v>bh</v>
      </c>
      <c r="AG210" s="518">
        <v>4</v>
      </c>
      <c r="AH210" s="517">
        <f>$F$260</f>
        <v>387825</v>
      </c>
      <c r="AI210" s="463">
        <f t="shared" si="97"/>
        <v>1551300</v>
      </c>
    </row>
    <row r="211" spans="2:37" ht="15" customHeight="1">
      <c r="B211" s="492" t="s">
        <v>2170</v>
      </c>
      <c r="C211" s="461" t="s">
        <v>2250</v>
      </c>
      <c r="D211" s="519" t="str">
        <f>$D$261</f>
        <v>kg</v>
      </c>
      <c r="E211" s="518">
        <v>150.93599999999998</v>
      </c>
      <c r="F211" s="416">
        <f t="shared" si="85"/>
        <v>3758.6984549742947</v>
      </c>
      <c r="G211" s="463">
        <f t="shared" si="95"/>
        <v>567322.91</v>
      </c>
      <c r="N211" s="492" t="s">
        <v>2170</v>
      </c>
      <c r="O211" s="461" t="s">
        <v>2250</v>
      </c>
      <c r="P211" s="519" t="str">
        <f>$D$261</f>
        <v>kg</v>
      </c>
      <c r="Q211" s="518">
        <v>239.61599999999999</v>
      </c>
      <c r="R211" s="517">
        <f>$F$261</f>
        <v>3758.6984549742947</v>
      </c>
      <c r="S211" s="463">
        <f t="shared" si="87"/>
        <v>900644.2889871205</v>
      </c>
      <c r="V211" s="492" t="s">
        <v>2170</v>
      </c>
      <c r="W211" s="461" t="s">
        <v>2269</v>
      </c>
      <c r="X211" s="519" t="str">
        <f>$D$261</f>
        <v>kg</v>
      </c>
      <c r="Y211" s="518">
        <v>311.47199999999998</v>
      </c>
      <c r="Z211" s="517">
        <f>$F$261</f>
        <v>3758.6984549742947</v>
      </c>
      <c r="AA211" s="463">
        <f t="shared" si="96"/>
        <v>1170729.3251677535</v>
      </c>
      <c r="AD211" s="492" t="s">
        <v>2170</v>
      </c>
      <c r="AE211" s="461" t="s">
        <v>2269</v>
      </c>
      <c r="AF211" s="519" t="str">
        <f>$D$261</f>
        <v>kg</v>
      </c>
      <c r="AG211" s="518">
        <v>403.17599999999999</v>
      </c>
      <c r="AH211" s="517">
        <f>$F$261</f>
        <v>3758.6984549742947</v>
      </c>
      <c r="AI211" s="463">
        <f t="shared" si="97"/>
        <v>1515417.0082827162</v>
      </c>
    </row>
    <row r="212" spans="2:37" ht="15" customHeight="1">
      <c r="B212" s="492" t="s">
        <v>2172</v>
      </c>
      <c r="C212" s="461" t="s">
        <v>2251</v>
      </c>
      <c r="D212" s="519" t="str">
        <f>$D$262</f>
        <v>set</v>
      </c>
      <c r="E212" s="518">
        <v>1</v>
      </c>
      <c r="F212" s="416">
        <f t="shared" si="85"/>
        <v>855127</v>
      </c>
      <c r="G212" s="463">
        <f t="shared" si="95"/>
        <v>855127</v>
      </c>
      <c r="N212" s="492" t="s">
        <v>2172</v>
      </c>
      <c r="O212" s="461" t="s">
        <v>2251</v>
      </c>
      <c r="P212" s="519" t="str">
        <f>$D$262</f>
        <v>set</v>
      </c>
      <c r="Q212" s="518">
        <v>1</v>
      </c>
      <c r="R212" s="517">
        <f>$F$262</f>
        <v>855127</v>
      </c>
      <c r="S212" s="463">
        <f t="shared" si="87"/>
        <v>855127</v>
      </c>
      <c r="V212" s="492" t="s">
        <v>2172</v>
      </c>
      <c r="W212" s="461" t="s">
        <v>2251</v>
      </c>
      <c r="X212" s="519" t="str">
        <f>$D$262</f>
        <v>set</v>
      </c>
      <c r="Y212" s="518">
        <v>1</v>
      </c>
      <c r="Z212" s="517">
        <f>$F$262</f>
        <v>855127</v>
      </c>
      <c r="AA212" s="463">
        <f t="shared" si="96"/>
        <v>855127</v>
      </c>
      <c r="AD212" s="492" t="s">
        <v>2172</v>
      </c>
      <c r="AE212" s="461" t="s">
        <v>2251</v>
      </c>
      <c r="AF212" s="519" t="str">
        <f>$D$262</f>
        <v>set</v>
      </c>
      <c r="AG212" s="518">
        <v>1</v>
      </c>
      <c r="AH212" s="517">
        <f>$F$262</f>
        <v>855127</v>
      </c>
      <c r="AI212" s="463">
        <f t="shared" si="97"/>
        <v>855127</v>
      </c>
    </row>
    <row r="213" spans="2:37" ht="15" customHeight="1">
      <c r="B213" s="492" t="s">
        <v>2174</v>
      </c>
      <c r="C213" s="461" t="s">
        <v>2252</v>
      </c>
      <c r="D213" s="519" t="str">
        <f>$D$263</f>
        <v>set</v>
      </c>
      <c r="E213" s="518">
        <v>1</v>
      </c>
      <c r="F213" s="416">
        <f t="shared" si="85"/>
        <v>674025</v>
      </c>
      <c r="G213" s="463">
        <f t="shared" si="95"/>
        <v>674025</v>
      </c>
      <c r="N213" s="492" t="s">
        <v>2174</v>
      </c>
      <c r="O213" s="461" t="s">
        <v>2252</v>
      </c>
      <c r="P213" s="519" t="str">
        <f>$D$263</f>
        <v>set</v>
      </c>
      <c r="Q213" s="518">
        <v>1</v>
      </c>
      <c r="R213" s="517">
        <f>$F$263</f>
        <v>674025</v>
      </c>
      <c r="S213" s="463">
        <f t="shared" si="87"/>
        <v>674025</v>
      </c>
      <c r="V213" s="492" t="s">
        <v>2174</v>
      </c>
      <c r="W213" s="461" t="s">
        <v>2252</v>
      </c>
      <c r="X213" s="519" t="str">
        <f>$D$263</f>
        <v>set</v>
      </c>
      <c r="Y213" s="518">
        <v>1</v>
      </c>
      <c r="Z213" s="517">
        <f>$F$263</f>
        <v>674025</v>
      </c>
      <c r="AA213" s="463">
        <f t="shared" si="96"/>
        <v>674025</v>
      </c>
      <c r="AD213" s="492" t="s">
        <v>2174</v>
      </c>
      <c r="AE213" s="461" t="s">
        <v>2252</v>
      </c>
      <c r="AF213" s="519" t="str">
        <f>$D$263</f>
        <v>set</v>
      </c>
      <c r="AG213" s="518">
        <v>1</v>
      </c>
      <c r="AH213" s="517">
        <f>$F$263</f>
        <v>674025</v>
      </c>
      <c r="AI213" s="463">
        <f t="shared" si="97"/>
        <v>674025</v>
      </c>
    </row>
    <row r="214" spans="2:37" ht="15" customHeight="1" thickBot="1">
      <c r="B214" s="459"/>
      <c r="C214" s="1194" t="s">
        <v>3233</v>
      </c>
      <c r="D214" s="1195"/>
      <c r="E214" s="1195"/>
      <c r="F214" s="1196"/>
      <c r="G214" s="458">
        <f>SUM(G194:G213)</f>
        <v>305366539.95694691</v>
      </c>
      <c r="N214" s="459"/>
      <c r="O214" s="1194" t="s">
        <v>3233</v>
      </c>
      <c r="P214" s="1195"/>
      <c r="Q214" s="1195"/>
      <c r="R214" s="1196"/>
      <c r="S214" s="458">
        <f>SUM(S193:S213)</f>
        <v>305699861.33593398</v>
      </c>
      <c r="V214" s="459"/>
      <c r="W214" s="1194" t="s">
        <v>3233</v>
      </c>
      <c r="X214" s="1195"/>
      <c r="Y214" s="1195"/>
      <c r="Z214" s="1196"/>
      <c r="AA214" s="458">
        <f>SUM(AA193:AA213)</f>
        <v>305969946.37211466</v>
      </c>
      <c r="AD214" s="459"/>
      <c r="AE214" s="1194" t="s">
        <v>3233</v>
      </c>
      <c r="AF214" s="1195"/>
      <c r="AG214" s="1195"/>
      <c r="AH214" s="1196"/>
      <c r="AI214" s="458">
        <f>SUM(AI193:AI213)</f>
        <v>306314634.0552296</v>
      </c>
    </row>
    <row r="215" spans="2:37" ht="15" customHeight="1" thickBot="1">
      <c r="B215" s="427"/>
      <c r="C215" s="427"/>
      <c r="D215" s="427"/>
      <c r="E215" s="427"/>
      <c r="F215" s="426"/>
      <c r="G215" s="426"/>
      <c r="N215" s="427"/>
      <c r="O215" s="427"/>
      <c r="P215" s="427"/>
      <c r="Q215" s="427"/>
      <c r="R215" s="427"/>
      <c r="S215" s="426"/>
      <c r="V215" s="427"/>
      <c r="W215" s="427"/>
      <c r="X215" s="427"/>
      <c r="Y215" s="427"/>
      <c r="Z215" s="427"/>
      <c r="AA215" s="426"/>
      <c r="AD215" s="427"/>
      <c r="AE215" s="427"/>
      <c r="AF215" s="427"/>
      <c r="AG215" s="427"/>
      <c r="AH215" s="427"/>
      <c r="AI215" s="426"/>
    </row>
    <row r="216" spans="2:37" ht="15" customHeight="1" thickBot="1">
      <c r="B216" s="452" t="s">
        <v>2229</v>
      </c>
      <c r="C216" s="435"/>
      <c r="D216" s="434">
        <v>6</v>
      </c>
      <c r="E216" s="433"/>
      <c r="F216" s="411"/>
      <c r="G216" s="431"/>
      <c r="N216" s="452" t="s">
        <v>2230</v>
      </c>
      <c r="O216" s="435"/>
      <c r="P216" s="434">
        <v>6</v>
      </c>
      <c r="Q216" s="433"/>
      <c r="R216" s="432"/>
      <c r="S216" s="431"/>
      <c r="V216" s="452" t="s">
        <v>2231</v>
      </c>
      <c r="W216" s="435"/>
      <c r="X216" s="434"/>
      <c r="Y216" s="433"/>
      <c r="Z216" s="432"/>
      <c r="AA216" s="431"/>
      <c r="AD216" s="452" t="s">
        <v>2254</v>
      </c>
      <c r="AE216" s="435"/>
      <c r="AF216" s="434"/>
      <c r="AG216" s="433"/>
      <c r="AH216" s="432"/>
      <c r="AI216" s="431"/>
    </row>
    <row r="217" spans="2:37" ht="15" customHeight="1">
      <c r="B217" s="446"/>
      <c r="C217" s="445" t="s">
        <v>3234</v>
      </c>
      <c r="D217" s="444"/>
      <c r="E217" s="443"/>
      <c r="F217" s="413"/>
      <c r="G217" s="441"/>
      <c r="N217" s="446"/>
      <c r="O217" s="445" t="s">
        <v>3234</v>
      </c>
      <c r="P217" s="444"/>
      <c r="Q217" s="443"/>
      <c r="R217" s="442"/>
      <c r="S217" s="441"/>
      <c r="V217" s="446"/>
      <c r="W217" s="445" t="s">
        <v>3235</v>
      </c>
      <c r="X217" s="444"/>
      <c r="Y217" s="443"/>
      <c r="Z217" s="442"/>
      <c r="AA217" s="441"/>
      <c r="AD217" s="446"/>
      <c r="AE217" s="445" t="s">
        <v>3235</v>
      </c>
      <c r="AF217" s="444"/>
      <c r="AG217" s="443"/>
      <c r="AH217" s="442"/>
      <c r="AI217" s="441"/>
    </row>
    <row r="218" spans="2:37" ht="15" customHeight="1">
      <c r="B218" s="468">
        <v>1</v>
      </c>
      <c r="C218" s="467" t="s">
        <v>2234</v>
      </c>
      <c r="D218" s="519"/>
      <c r="E218" s="430"/>
      <c r="F218" s="417"/>
      <c r="G218" s="486"/>
      <c r="N218" s="468">
        <v>1</v>
      </c>
      <c r="O218" s="467" t="s">
        <v>2234</v>
      </c>
      <c r="P218" s="519"/>
      <c r="Q218" s="430"/>
      <c r="R218" s="429"/>
      <c r="S218" s="486"/>
      <c r="V218" s="468">
        <v>1</v>
      </c>
      <c r="W218" s="467" t="s">
        <v>2234</v>
      </c>
      <c r="X218" s="519"/>
      <c r="Y218" s="430"/>
      <c r="Z218" s="429"/>
      <c r="AA218" s="486"/>
      <c r="AD218" s="468">
        <v>1</v>
      </c>
      <c r="AE218" s="467" t="s">
        <v>2234</v>
      </c>
      <c r="AF218" s="519"/>
      <c r="AG218" s="430"/>
      <c r="AH218" s="429"/>
      <c r="AI218" s="486"/>
    </row>
    <row r="219" spans="2:37" ht="15" customHeight="1">
      <c r="B219" s="492" t="s">
        <v>721</v>
      </c>
      <c r="C219" s="464" t="s">
        <v>2235</v>
      </c>
      <c r="D219" s="519" t="str">
        <f>$D$244</f>
        <v>m³</v>
      </c>
      <c r="E219" s="518">
        <v>50.35</v>
      </c>
      <c r="F219" s="416">
        <f>F194</f>
        <v>102390.75000000001</v>
      </c>
      <c r="G219" s="463">
        <f>E219*F219</f>
        <v>5155374.2625000011</v>
      </c>
      <c r="N219" s="492" t="s">
        <v>721</v>
      </c>
      <c r="O219" s="464" t="s">
        <v>2235</v>
      </c>
      <c r="P219" s="519" t="str">
        <f>$D$244</f>
        <v>m³</v>
      </c>
      <c r="Q219" s="518">
        <v>50.35</v>
      </c>
      <c r="R219" s="517">
        <f>$F$244</f>
        <v>102390.75000000001</v>
      </c>
      <c r="S219" s="463">
        <f>Q219*R219</f>
        <v>5155374.2625000011</v>
      </c>
      <c r="V219" s="492" t="s">
        <v>721</v>
      </c>
      <c r="W219" s="464" t="s">
        <v>2235</v>
      </c>
      <c r="X219" s="519" t="str">
        <f>$D$244</f>
        <v>m³</v>
      </c>
      <c r="Y219" s="518">
        <v>50.35</v>
      </c>
      <c r="Z219" s="517">
        <f>$F$244</f>
        <v>102390.75000000001</v>
      </c>
      <c r="AA219" s="463">
        <f>Y219*Z219</f>
        <v>5155374.2625000011</v>
      </c>
      <c r="AD219" s="492" t="s">
        <v>721</v>
      </c>
      <c r="AE219" s="464" t="s">
        <v>2235</v>
      </c>
      <c r="AF219" s="519" t="str">
        <f>$D$244</f>
        <v>m³</v>
      </c>
      <c r="AG219" s="518">
        <v>50.35</v>
      </c>
      <c r="AH219" s="517">
        <f>$F$244</f>
        <v>102390.75000000001</v>
      </c>
      <c r="AI219" s="463">
        <f>AG219*AH219</f>
        <v>5155374.2625000011</v>
      </c>
    </row>
    <row r="220" spans="2:37" ht="15" customHeight="1">
      <c r="B220" s="492" t="s">
        <v>2166</v>
      </c>
      <c r="C220" s="464" t="s">
        <v>2237</v>
      </c>
      <c r="D220" s="519" t="str">
        <f>$D$245</f>
        <v>m³</v>
      </c>
      <c r="E220" s="518">
        <v>12.160000000000002</v>
      </c>
      <c r="F220" s="416">
        <f t="shared" ref="F220:F238" si="98">F195</f>
        <v>62462.950000000012</v>
      </c>
      <c r="G220" s="463">
        <f t="shared" ref="G220:G221" si="99">E220*F220</f>
        <v>759549.4720000003</v>
      </c>
      <c r="N220" s="492" t="s">
        <v>2166</v>
      </c>
      <c r="O220" s="464" t="s">
        <v>2237</v>
      </c>
      <c r="P220" s="519" t="str">
        <f>$D$245</f>
        <v>m³</v>
      </c>
      <c r="Q220" s="518">
        <v>12.160000000000002</v>
      </c>
      <c r="R220" s="517">
        <f>$F$245</f>
        <v>62462.950000000012</v>
      </c>
      <c r="S220" s="463">
        <f t="shared" ref="S220:S238" si="100">Q220*R220</f>
        <v>759549.4720000003</v>
      </c>
      <c r="V220" s="492" t="s">
        <v>2166</v>
      </c>
      <c r="W220" s="464" t="s">
        <v>2237</v>
      </c>
      <c r="X220" s="519" t="str">
        <f>$D$245</f>
        <v>m³</v>
      </c>
      <c r="Y220" s="518">
        <v>12.160000000000002</v>
      </c>
      <c r="Z220" s="517">
        <f>$F$245</f>
        <v>62462.950000000012</v>
      </c>
      <c r="AA220" s="463">
        <f>Y220*Z220</f>
        <v>759549.4720000003</v>
      </c>
      <c r="AD220" s="492" t="s">
        <v>2166</v>
      </c>
      <c r="AE220" s="464" t="s">
        <v>2237</v>
      </c>
      <c r="AF220" s="519" t="str">
        <f>$D$245</f>
        <v>m³</v>
      </c>
      <c r="AG220" s="518">
        <v>12.160000000000002</v>
      </c>
      <c r="AH220" s="517">
        <f>$F$245</f>
        <v>62462.950000000012</v>
      </c>
      <c r="AI220" s="463">
        <f>AG220*AH220</f>
        <v>759549.4720000003</v>
      </c>
    </row>
    <row r="221" spans="2:37" ht="15" customHeight="1">
      <c r="B221" s="492" t="s">
        <v>2168</v>
      </c>
      <c r="C221" s="464" t="s">
        <v>2265</v>
      </c>
      <c r="D221" s="519" t="str">
        <f>$D$246</f>
        <v>m'</v>
      </c>
      <c r="E221" s="518">
        <v>144</v>
      </c>
      <c r="F221" s="416">
        <f t="shared" si="98"/>
        <v>52230.612500000003</v>
      </c>
      <c r="G221" s="463">
        <f t="shared" si="99"/>
        <v>7521208.2000000002</v>
      </c>
      <c r="N221" s="492" t="s">
        <v>2168</v>
      </c>
      <c r="O221" s="464" t="s">
        <v>2265</v>
      </c>
      <c r="P221" s="519" t="str">
        <f>$D$246</f>
        <v>m'</v>
      </c>
      <c r="Q221" s="518">
        <v>144</v>
      </c>
      <c r="R221" s="517">
        <f>$F$246</f>
        <v>52230.612500000003</v>
      </c>
      <c r="S221" s="463">
        <f t="shared" si="100"/>
        <v>7521208.2000000002</v>
      </c>
      <c r="V221" s="492" t="s">
        <v>2168</v>
      </c>
      <c r="W221" s="464" t="s">
        <v>2265</v>
      </c>
      <c r="X221" s="519" t="str">
        <f>$D$246</f>
        <v>m'</v>
      </c>
      <c r="Y221" s="518">
        <v>144</v>
      </c>
      <c r="Z221" s="517">
        <f>$F$246</f>
        <v>52230.612500000003</v>
      </c>
      <c r="AA221" s="463">
        <f>Y221*Z221</f>
        <v>7521208.2000000002</v>
      </c>
      <c r="AD221" s="492" t="s">
        <v>2168</v>
      </c>
      <c r="AE221" s="464" t="s">
        <v>2265</v>
      </c>
      <c r="AF221" s="519" t="str">
        <f>$D$246</f>
        <v>m'</v>
      </c>
      <c r="AG221" s="518">
        <v>144</v>
      </c>
      <c r="AH221" s="517">
        <f>$F$246</f>
        <v>52230.612500000003</v>
      </c>
      <c r="AI221" s="463">
        <f>AG221*AH221</f>
        <v>7521208.2000000002</v>
      </c>
    </row>
    <row r="222" spans="2:37" ht="15" customHeight="1">
      <c r="B222" s="462"/>
      <c r="C222" s="464"/>
      <c r="D222" s="519"/>
      <c r="E222" s="428"/>
      <c r="F222" s="416">
        <f t="shared" si="98"/>
        <v>0</v>
      </c>
      <c r="G222" s="463"/>
      <c r="N222" s="462"/>
      <c r="O222" s="464"/>
      <c r="P222" s="519"/>
      <c r="Q222" s="428"/>
      <c r="R222" s="517"/>
      <c r="S222" s="463">
        <f t="shared" si="100"/>
        <v>0</v>
      </c>
      <c r="V222" s="462"/>
      <c r="W222" s="464"/>
      <c r="X222" s="519"/>
      <c r="Y222" s="428"/>
      <c r="Z222" s="517"/>
      <c r="AA222" s="463"/>
      <c r="AD222" s="462"/>
      <c r="AE222" s="464"/>
      <c r="AF222" s="519"/>
      <c r="AG222" s="428"/>
      <c r="AH222" s="517"/>
      <c r="AI222" s="463"/>
    </row>
    <row r="223" spans="2:37" ht="15" customHeight="1">
      <c r="B223" s="507">
        <v>2</v>
      </c>
      <c r="C223" s="467" t="s">
        <v>2238</v>
      </c>
      <c r="D223" s="519"/>
      <c r="E223" s="428"/>
      <c r="F223" s="416">
        <f t="shared" si="98"/>
        <v>0</v>
      </c>
      <c r="G223" s="463"/>
      <c r="H223" s="516" t="s">
        <v>2239</v>
      </c>
      <c r="N223" s="507">
        <v>2</v>
      </c>
      <c r="O223" s="467" t="s">
        <v>2238</v>
      </c>
      <c r="P223" s="519"/>
      <c r="Q223" s="428"/>
      <c r="R223" s="517"/>
      <c r="S223" s="463">
        <f t="shared" si="100"/>
        <v>0</v>
      </c>
      <c r="T223" s="516" t="s">
        <v>2239</v>
      </c>
      <c r="V223" s="507">
        <v>2</v>
      </c>
      <c r="W223" s="467" t="s">
        <v>2238</v>
      </c>
      <c r="X223" s="519"/>
      <c r="Y223" s="428"/>
      <c r="Z223" s="517"/>
      <c r="AA223" s="463"/>
      <c r="AB223" s="516" t="s">
        <v>2239</v>
      </c>
      <c r="AD223" s="507">
        <v>2</v>
      </c>
      <c r="AE223" s="467" t="s">
        <v>2238</v>
      </c>
      <c r="AF223" s="519"/>
      <c r="AG223" s="428"/>
      <c r="AH223" s="517"/>
      <c r="AI223" s="463"/>
      <c r="AJ223" s="516" t="s">
        <v>2239</v>
      </c>
    </row>
    <row r="224" spans="2:37" ht="15" customHeight="1">
      <c r="B224" s="492" t="s">
        <v>721</v>
      </c>
      <c r="C224" s="464" t="s">
        <v>2240</v>
      </c>
      <c r="D224" s="519" t="str">
        <f>$D$249</f>
        <v>m³</v>
      </c>
      <c r="E224" s="518">
        <v>4.9000000000000004</v>
      </c>
      <c r="F224" s="416">
        <f t="shared" si="98"/>
        <v>404738.95</v>
      </c>
      <c r="G224" s="463">
        <f t="shared" ref="G224:G230" si="101">E224*F224</f>
        <v>1983220.8550000002</v>
      </c>
      <c r="H224" s="516">
        <v>1400</v>
      </c>
      <c r="I224" s="516">
        <f>E224*H224</f>
        <v>6860.0000000000009</v>
      </c>
      <c r="N224" s="492" t="s">
        <v>721</v>
      </c>
      <c r="O224" s="464" t="s">
        <v>2240</v>
      </c>
      <c r="P224" s="519" t="str">
        <f>$D$249</f>
        <v>m³</v>
      </c>
      <c r="Q224" s="518">
        <v>4.9000000000000004</v>
      </c>
      <c r="R224" s="517">
        <f>$F$249</f>
        <v>404738.95</v>
      </c>
      <c r="S224" s="463">
        <f t="shared" si="100"/>
        <v>1983220.8550000002</v>
      </c>
      <c r="T224" s="516">
        <v>1400</v>
      </c>
      <c r="U224" s="516">
        <f>Q224*T224</f>
        <v>6860.0000000000009</v>
      </c>
      <c r="V224" s="492" t="s">
        <v>721</v>
      </c>
      <c r="W224" s="464" t="s">
        <v>2240</v>
      </c>
      <c r="X224" s="519" t="str">
        <f>$D$249</f>
        <v>m³</v>
      </c>
      <c r="Y224" s="518">
        <v>4.9000000000000004</v>
      </c>
      <c r="Z224" s="517">
        <f>$F$249</f>
        <v>404738.95</v>
      </c>
      <c r="AA224" s="463">
        <f t="shared" ref="AA224:AA230" si="102">Y224*Z224</f>
        <v>1983220.8550000002</v>
      </c>
      <c r="AB224" s="516">
        <v>1400</v>
      </c>
      <c r="AC224" s="516">
        <f>Y224*AB224</f>
        <v>6860.0000000000009</v>
      </c>
      <c r="AD224" s="492" t="s">
        <v>721</v>
      </c>
      <c r="AE224" s="464" t="s">
        <v>2240</v>
      </c>
      <c r="AF224" s="519" t="str">
        <f>$D$249</f>
        <v>m³</v>
      </c>
      <c r="AG224" s="518">
        <v>4.9000000000000004</v>
      </c>
      <c r="AH224" s="517">
        <f>$F$249</f>
        <v>404738.95</v>
      </c>
      <c r="AI224" s="463">
        <f t="shared" ref="AI224:AI230" si="103">AG224*AH224</f>
        <v>1983220.8550000002</v>
      </c>
      <c r="AJ224" s="516">
        <v>1400</v>
      </c>
      <c r="AK224" s="516">
        <f>AG224*AJ224</f>
        <v>6860.0000000000009</v>
      </c>
    </row>
    <row r="225" spans="2:37" ht="15" customHeight="1">
      <c r="B225" s="492" t="s">
        <v>2166</v>
      </c>
      <c r="C225" s="461" t="s">
        <v>2241</v>
      </c>
      <c r="D225" s="519" t="str">
        <f>$D$250</f>
        <v>m³</v>
      </c>
      <c r="E225" s="518">
        <v>2.4500000000000002</v>
      </c>
      <c r="F225" s="416">
        <f t="shared" si="98"/>
        <v>710224.707936508</v>
      </c>
      <c r="G225" s="463">
        <f t="shared" si="101"/>
        <v>1740050.5344444448</v>
      </c>
      <c r="H225" s="516">
        <v>2200</v>
      </c>
      <c r="I225" s="516">
        <f t="shared" ref="I225:I230" si="104">E225*H225</f>
        <v>5390</v>
      </c>
      <c r="N225" s="492" t="s">
        <v>2166</v>
      </c>
      <c r="O225" s="461" t="s">
        <v>2241</v>
      </c>
      <c r="P225" s="519" t="str">
        <f>$D$250</f>
        <v>m³</v>
      </c>
      <c r="Q225" s="518">
        <v>2.4500000000000002</v>
      </c>
      <c r="R225" s="517">
        <f>$F$250</f>
        <v>710224.707936508</v>
      </c>
      <c r="S225" s="463">
        <f t="shared" si="100"/>
        <v>1740050.5344444448</v>
      </c>
      <c r="T225" s="516">
        <v>2200</v>
      </c>
      <c r="U225" s="516">
        <f t="shared" ref="U225:U230" si="105">Q225*T225</f>
        <v>5390</v>
      </c>
      <c r="V225" s="492" t="s">
        <v>2166</v>
      </c>
      <c r="W225" s="461" t="s">
        <v>2241</v>
      </c>
      <c r="X225" s="519" t="str">
        <f>$D$250</f>
        <v>m³</v>
      </c>
      <c r="Y225" s="518">
        <v>2.4500000000000002</v>
      </c>
      <c r="Z225" s="517">
        <f>$F$250</f>
        <v>710224.707936508</v>
      </c>
      <c r="AA225" s="463">
        <f t="shared" si="102"/>
        <v>1740050.5344444448</v>
      </c>
      <c r="AB225" s="516">
        <v>2200</v>
      </c>
      <c r="AC225" s="516">
        <f t="shared" ref="AC225:AC230" si="106">Y225*AB225</f>
        <v>5390</v>
      </c>
      <c r="AD225" s="492" t="s">
        <v>2166</v>
      </c>
      <c r="AE225" s="461" t="s">
        <v>2241</v>
      </c>
      <c r="AF225" s="519" t="str">
        <f>$D$250</f>
        <v>m³</v>
      </c>
      <c r="AG225" s="518">
        <v>2.4500000000000002</v>
      </c>
      <c r="AH225" s="517">
        <f>$F$250</f>
        <v>710224.707936508</v>
      </c>
      <c r="AI225" s="463">
        <f t="shared" si="103"/>
        <v>1740050.5344444448</v>
      </c>
      <c r="AJ225" s="516">
        <v>2200</v>
      </c>
      <c r="AK225" s="516">
        <f t="shared" ref="AK225:AK230" si="107">AG225*AJ225</f>
        <v>5390</v>
      </c>
    </row>
    <row r="226" spans="2:37" ht="15" customHeight="1">
      <c r="B226" s="492" t="s">
        <v>2168</v>
      </c>
      <c r="C226" s="461" t="s">
        <v>2266</v>
      </c>
      <c r="D226" s="519" t="str">
        <f>$D$251</f>
        <v>m³</v>
      </c>
      <c r="E226" s="518">
        <v>30.84</v>
      </c>
      <c r="F226" s="416">
        <f t="shared" si="98"/>
        <v>1115864.6138095236</v>
      </c>
      <c r="G226" s="463">
        <f t="shared" si="101"/>
        <v>34413264.689885706</v>
      </c>
      <c r="H226" s="516">
        <v>2400</v>
      </c>
      <c r="I226" s="516">
        <f t="shared" si="104"/>
        <v>74016</v>
      </c>
      <c r="N226" s="492" t="s">
        <v>2168</v>
      </c>
      <c r="O226" s="461" t="s">
        <v>2266</v>
      </c>
      <c r="P226" s="519" t="str">
        <f>$D$251</f>
        <v>m³</v>
      </c>
      <c r="Q226" s="518">
        <v>30.84</v>
      </c>
      <c r="R226" s="517">
        <f>$F$251</f>
        <v>1115864.6138095236</v>
      </c>
      <c r="S226" s="463">
        <f t="shared" si="100"/>
        <v>34413264.689885706</v>
      </c>
      <c r="T226" s="516">
        <v>2400</v>
      </c>
      <c r="U226" s="516">
        <f t="shared" si="105"/>
        <v>74016</v>
      </c>
      <c r="V226" s="492" t="s">
        <v>2168</v>
      </c>
      <c r="W226" s="461" t="str">
        <f>O226</f>
        <v>Beton K 225 (Pad &amp; Chimney)</v>
      </c>
      <c r="X226" s="519" t="str">
        <f>$D$251</f>
        <v>m³</v>
      </c>
      <c r="Y226" s="518">
        <v>30.84</v>
      </c>
      <c r="Z226" s="517">
        <f>$F$251</f>
        <v>1115864.6138095236</v>
      </c>
      <c r="AA226" s="463">
        <f t="shared" si="102"/>
        <v>34413264.689885706</v>
      </c>
      <c r="AB226" s="516">
        <v>2400</v>
      </c>
      <c r="AC226" s="516">
        <f t="shared" si="106"/>
        <v>74016</v>
      </c>
      <c r="AD226" s="492" t="s">
        <v>2168</v>
      </c>
      <c r="AE226" s="461" t="str">
        <f>W226</f>
        <v>Beton K 225 (Pad &amp; Chimney)</v>
      </c>
      <c r="AF226" s="519" t="str">
        <f>$D$251</f>
        <v>m³</v>
      </c>
      <c r="AG226" s="518">
        <v>30.84</v>
      </c>
      <c r="AH226" s="517">
        <f>$F$251</f>
        <v>1115864.6138095236</v>
      </c>
      <c r="AI226" s="463">
        <f t="shared" si="103"/>
        <v>34413264.689885706</v>
      </c>
      <c r="AJ226" s="516">
        <v>2400</v>
      </c>
      <c r="AK226" s="516">
        <f t="shared" si="107"/>
        <v>74016</v>
      </c>
    </row>
    <row r="227" spans="2:37" ht="15" customHeight="1">
      <c r="B227" s="492" t="s">
        <v>2170</v>
      </c>
      <c r="C227" s="461" t="s">
        <v>2267</v>
      </c>
      <c r="D227" s="519" t="str">
        <f>$D$252</f>
        <v>m³</v>
      </c>
      <c r="E227" s="518">
        <v>37.110857142857149</v>
      </c>
      <c r="F227" s="416">
        <f t="shared" si="98"/>
        <v>1057576.2423809525</v>
      </c>
      <c r="G227" s="463">
        <f t="shared" si="101"/>
        <v>39247560.848679192</v>
      </c>
      <c r="H227" s="516">
        <v>2200</v>
      </c>
      <c r="I227" s="516">
        <f t="shared" si="104"/>
        <v>81643.885714285731</v>
      </c>
      <c r="N227" s="492" t="s">
        <v>2170</v>
      </c>
      <c r="O227" s="461" t="s">
        <v>2267</v>
      </c>
      <c r="P227" s="519" t="str">
        <f>$D$252</f>
        <v>m³</v>
      </c>
      <c r="Q227" s="518">
        <v>37.110857142857149</v>
      </c>
      <c r="R227" s="517">
        <f>$F$252</f>
        <v>1057576.2423809525</v>
      </c>
      <c r="S227" s="463">
        <f t="shared" si="100"/>
        <v>39247560.848679192</v>
      </c>
      <c r="T227" s="516">
        <v>2200</v>
      </c>
      <c r="U227" s="516">
        <f t="shared" si="105"/>
        <v>81643.885714285731</v>
      </c>
      <c r="V227" s="492" t="s">
        <v>2170</v>
      </c>
      <c r="W227" s="461" t="s">
        <v>2267</v>
      </c>
      <c r="X227" s="519" t="str">
        <f>$D$252</f>
        <v>m³</v>
      </c>
      <c r="Y227" s="518">
        <v>37.110857142857149</v>
      </c>
      <c r="Z227" s="517">
        <f>$F$252</f>
        <v>1057576.2423809525</v>
      </c>
      <c r="AA227" s="463">
        <f t="shared" si="102"/>
        <v>39247560.848679192</v>
      </c>
      <c r="AB227" s="516">
        <v>2200</v>
      </c>
      <c r="AC227" s="516">
        <f t="shared" si="106"/>
        <v>81643.885714285731</v>
      </c>
      <c r="AD227" s="492" t="s">
        <v>2170</v>
      </c>
      <c r="AE227" s="461" t="s">
        <v>2267</v>
      </c>
      <c r="AF227" s="519" t="str">
        <f>$D$252</f>
        <v>m³</v>
      </c>
      <c r="AG227" s="518">
        <v>37.110857142857149</v>
      </c>
      <c r="AH227" s="517">
        <f>$F$252</f>
        <v>1057576.2423809525</v>
      </c>
      <c r="AI227" s="463">
        <f t="shared" si="103"/>
        <v>39247560.848679192</v>
      </c>
      <c r="AJ227" s="516">
        <v>2200</v>
      </c>
      <c r="AK227" s="516">
        <f t="shared" si="107"/>
        <v>81643.885714285731</v>
      </c>
    </row>
    <row r="228" spans="2:37" ht="15" customHeight="1">
      <c r="B228" s="492" t="s">
        <v>2172</v>
      </c>
      <c r="C228" s="461" t="s">
        <v>2243</v>
      </c>
      <c r="D228" s="519" t="str">
        <f>$D$253</f>
        <v>kg</v>
      </c>
      <c r="E228" s="518">
        <v>7326.4120000000012</v>
      </c>
      <c r="F228" s="416">
        <f t="shared" si="98"/>
        <v>19478.039350000003</v>
      </c>
      <c r="G228" s="463">
        <f t="shared" si="101"/>
        <v>142704141.23031223</v>
      </c>
      <c r="H228" s="516">
        <v>1</v>
      </c>
      <c r="I228" s="516">
        <f t="shared" si="104"/>
        <v>7326.4120000000012</v>
      </c>
      <c r="N228" s="492" t="s">
        <v>2172</v>
      </c>
      <c r="O228" s="461" t="s">
        <v>2243</v>
      </c>
      <c r="P228" s="519" t="str">
        <f>$D$253</f>
        <v>kg</v>
      </c>
      <c r="Q228" s="518">
        <v>7326.4120000000012</v>
      </c>
      <c r="R228" s="517">
        <f>$F$253</f>
        <v>19478.039350000003</v>
      </c>
      <c r="S228" s="463">
        <f t="shared" si="100"/>
        <v>142704141.23031223</v>
      </c>
      <c r="T228" s="516">
        <v>1</v>
      </c>
      <c r="U228" s="516">
        <f t="shared" si="105"/>
        <v>7326.4120000000012</v>
      </c>
      <c r="V228" s="492" t="s">
        <v>2172</v>
      </c>
      <c r="W228" s="461" t="s">
        <v>2243</v>
      </c>
      <c r="X228" s="519" t="str">
        <f>$D$253</f>
        <v>kg</v>
      </c>
      <c r="Y228" s="518">
        <v>7326.4120000000012</v>
      </c>
      <c r="Z228" s="517">
        <f>$F$253</f>
        <v>19478.039350000003</v>
      </c>
      <c r="AA228" s="463">
        <f t="shared" si="102"/>
        <v>142704141.23031223</v>
      </c>
      <c r="AB228" s="516">
        <v>1</v>
      </c>
      <c r="AC228" s="516">
        <f t="shared" si="106"/>
        <v>7326.4120000000012</v>
      </c>
      <c r="AD228" s="492" t="s">
        <v>2172</v>
      </c>
      <c r="AE228" s="461" t="s">
        <v>2243</v>
      </c>
      <c r="AF228" s="519" t="str">
        <f>$D$253</f>
        <v>kg</v>
      </c>
      <c r="AG228" s="518">
        <v>7326.4120000000012</v>
      </c>
      <c r="AH228" s="517">
        <f>$F$253</f>
        <v>19478.039350000003</v>
      </c>
      <c r="AI228" s="463">
        <f t="shared" si="103"/>
        <v>142704141.23031223</v>
      </c>
      <c r="AJ228" s="516">
        <v>1</v>
      </c>
      <c r="AK228" s="516">
        <f t="shared" si="107"/>
        <v>7326.4120000000012</v>
      </c>
    </row>
    <row r="229" spans="2:37" ht="15" customHeight="1">
      <c r="B229" s="492" t="s">
        <v>2268</v>
      </c>
      <c r="C229" s="461" t="s">
        <v>2244</v>
      </c>
      <c r="D229" s="519" t="str">
        <f>$D$254</f>
        <v>m²</v>
      </c>
      <c r="E229" s="518">
        <v>43.2</v>
      </c>
      <c r="F229" s="416">
        <f t="shared" si="98"/>
        <v>145812.67000000001</v>
      </c>
      <c r="G229" s="463">
        <f t="shared" si="101"/>
        <v>6299107.3440000005</v>
      </c>
      <c r="H229" s="516">
        <v>40</v>
      </c>
      <c r="I229" s="516">
        <f t="shared" si="104"/>
        <v>1728</v>
      </c>
      <c r="N229" s="492" t="s">
        <v>2268</v>
      </c>
      <c r="O229" s="461" t="s">
        <v>2244</v>
      </c>
      <c r="P229" s="519" t="str">
        <f>$D$254</f>
        <v>m²</v>
      </c>
      <c r="Q229" s="518">
        <v>43.2</v>
      </c>
      <c r="R229" s="517">
        <f>$F$254</f>
        <v>145812.67000000001</v>
      </c>
      <c r="S229" s="463">
        <f t="shared" si="100"/>
        <v>6299107.3440000005</v>
      </c>
      <c r="T229" s="516">
        <v>40</v>
      </c>
      <c r="U229" s="516">
        <f t="shared" si="105"/>
        <v>1728</v>
      </c>
      <c r="V229" s="492" t="s">
        <v>2268</v>
      </c>
      <c r="W229" s="461" t="s">
        <v>2244</v>
      </c>
      <c r="X229" s="519" t="str">
        <f>$D$254</f>
        <v>m²</v>
      </c>
      <c r="Y229" s="518">
        <v>43.2</v>
      </c>
      <c r="Z229" s="517">
        <f>$F$254</f>
        <v>145812.67000000001</v>
      </c>
      <c r="AA229" s="463">
        <f t="shared" si="102"/>
        <v>6299107.3440000005</v>
      </c>
      <c r="AB229" s="516">
        <v>40</v>
      </c>
      <c r="AC229" s="516">
        <f t="shared" si="106"/>
        <v>1728</v>
      </c>
      <c r="AD229" s="492" t="s">
        <v>2268</v>
      </c>
      <c r="AE229" s="461" t="s">
        <v>2244</v>
      </c>
      <c r="AF229" s="519" t="str">
        <f>$D$254</f>
        <v>m²</v>
      </c>
      <c r="AG229" s="518">
        <v>43.2</v>
      </c>
      <c r="AH229" s="517">
        <f>$F$254</f>
        <v>145812.67000000001</v>
      </c>
      <c r="AI229" s="463">
        <f t="shared" si="103"/>
        <v>6299107.3440000005</v>
      </c>
      <c r="AJ229" s="516">
        <v>40</v>
      </c>
      <c r="AK229" s="516">
        <f t="shared" si="107"/>
        <v>1728</v>
      </c>
    </row>
    <row r="230" spans="2:37" ht="15" customHeight="1">
      <c r="B230" s="492" t="s">
        <v>2176</v>
      </c>
      <c r="C230" s="491" t="s">
        <v>2246</v>
      </c>
      <c r="D230" s="519" t="str">
        <f>$D$255</f>
        <v>bh</v>
      </c>
      <c r="E230" s="518">
        <v>4</v>
      </c>
      <c r="F230" s="416">
        <f t="shared" si="98"/>
        <v>100000</v>
      </c>
      <c r="G230" s="463">
        <f t="shared" si="101"/>
        <v>400000</v>
      </c>
      <c r="H230" s="516">
        <v>2.5</v>
      </c>
      <c r="I230" s="516">
        <f t="shared" si="104"/>
        <v>10</v>
      </c>
      <c r="N230" s="492" t="s">
        <v>2176</v>
      </c>
      <c r="O230" s="491" t="s">
        <v>2246</v>
      </c>
      <c r="P230" s="519" t="str">
        <f>$D$255</f>
        <v>bh</v>
      </c>
      <c r="Q230" s="518">
        <v>4</v>
      </c>
      <c r="R230" s="517">
        <f>$F$255</f>
        <v>100000</v>
      </c>
      <c r="S230" s="463">
        <f t="shared" si="100"/>
        <v>400000</v>
      </c>
      <c r="T230" s="516">
        <v>2.5</v>
      </c>
      <c r="U230" s="516">
        <f t="shared" si="105"/>
        <v>10</v>
      </c>
      <c r="V230" s="492" t="s">
        <v>2176</v>
      </c>
      <c r="W230" s="491" t="s">
        <v>2246</v>
      </c>
      <c r="X230" s="519" t="str">
        <f>$D$255</f>
        <v>bh</v>
      </c>
      <c r="Y230" s="518">
        <v>4</v>
      </c>
      <c r="Z230" s="517">
        <f>$F$255</f>
        <v>100000</v>
      </c>
      <c r="AA230" s="463">
        <f t="shared" si="102"/>
        <v>400000</v>
      </c>
      <c r="AB230" s="516">
        <v>2.5</v>
      </c>
      <c r="AC230" s="516">
        <f t="shared" si="106"/>
        <v>10</v>
      </c>
      <c r="AD230" s="492" t="s">
        <v>2176</v>
      </c>
      <c r="AE230" s="491" t="s">
        <v>2246</v>
      </c>
      <c r="AF230" s="519" t="str">
        <f>$D$255</f>
        <v>bh</v>
      </c>
      <c r="AG230" s="518">
        <v>4</v>
      </c>
      <c r="AH230" s="517">
        <f>$F$255</f>
        <v>100000</v>
      </c>
      <c r="AI230" s="463">
        <f t="shared" si="103"/>
        <v>400000</v>
      </c>
      <c r="AJ230" s="516">
        <v>2.5</v>
      </c>
      <c r="AK230" s="516">
        <f t="shared" si="107"/>
        <v>10</v>
      </c>
    </row>
    <row r="231" spans="2:37" ht="15" customHeight="1">
      <c r="B231" s="492"/>
      <c r="C231" s="461"/>
      <c r="D231" s="519"/>
      <c r="E231" s="428"/>
      <c r="F231" s="416">
        <f t="shared" si="98"/>
        <v>0</v>
      </c>
      <c r="G231" s="463"/>
      <c r="I231" s="516">
        <f>SUM(I224:I229)</f>
        <v>176964.29771428573</v>
      </c>
      <c r="N231" s="492"/>
      <c r="O231" s="461"/>
      <c r="P231" s="519"/>
      <c r="Q231" s="428"/>
      <c r="R231" s="517"/>
      <c r="S231" s="463">
        <f t="shared" si="100"/>
        <v>0</v>
      </c>
      <c r="U231" s="516">
        <f>SUM(U224:U229)</f>
        <v>176964.29771428573</v>
      </c>
      <c r="V231" s="492"/>
      <c r="W231" s="461"/>
      <c r="X231" s="519"/>
      <c r="Y231" s="428"/>
      <c r="Z231" s="517"/>
      <c r="AA231" s="463"/>
      <c r="AC231" s="516">
        <f>SUM(AC224:AC229)</f>
        <v>176964.29771428573</v>
      </c>
      <c r="AD231" s="492"/>
      <c r="AE231" s="461"/>
      <c r="AF231" s="519"/>
      <c r="AG231" s="428"/>
      <c r="AH231" s="517"/>
      <c r="AI231" s="463"/>
      <c r="AK231" s="516">
        <f>SUM(AK224:AK229)</f>
        <v>176964.29771428573</v>
      </c>
    </row>
    <row r="232" spans="2:37" ht="15" customHeight="1">
      <c r="B232" s="507">
        <v>3</v>
      </c>
      <c r="C232" s="460" t="s">
        <v>2086</v>
      </c>
      <c r="D232" s="519"/>
      <c r="E232" s="428"/>
      <c r="F232" s="416">
        <f t="shared" si="98"/>
        <v>0</v>
      </c>
      <c r="G232" s="463"/>
      <c r="N232" s="507">
        <v>3</v>
      </c>
      <c r="O232" s="460" t="s">
        <v>2086</v>
      </c>
      <c r="P232" s="519"/>
      <c r="Q232" s="428"/>
      <c r="R232" s="517"/>
      <c r="S232" s="463">
        <f t="shared" si="100"/>
        <v>0</v>
      </c>
      <c r="V232" s="507">
        <v>3</v>
      </c>
      <c r="W232" s="460" t="s">
        <v>2086</v>
      </c>
      <c r="X232" s="519"/>
      <c r="Y232" s="428"/>
      <c r="Z232" s="517"/>
      <c r="AA232" s="463"/>
      <c r="AD232" s="507">
        <v>3</v>
      </c>
      <c r="AE232" s="460" t="s">
        <v>2086</v>
      </c>
      <c r="AF232" s="519"/>
      <c r="AG232" s="428"/>
      <c r="AH232" s="517"/>
      <c r="AI232" s="463"/>
    </row>
    <row r="233" spans="2:37" ht="15" customHeight="1">
      <c r="B233" s="492" t="s">
        <v>721</v>
      </c>
      <c r="C233" s="461" t="s">
        <v>2247</v>
      </c>
      <c r="D233" s="519" t="str">
        <f>$D$258</f>
        <v>bh</v>
      </c>
      <c r="E233" s="518">
        <v>4</v>
      </c>
      <c r="F233" s="416">
        <f t="shared" si="98"/>
        <v>181849.04</v>
      </c>
      <c r="G233" s="463">
        <f t="shared" ref="G233:G238" si="108">E233*F233</f>
        <v>727396.16</v>
      </c>
      <c r="N233" s="492" t="s">
        <v>721</v>
      </c>
      <c r="O233" s="461" t="s">
        <v>2247</v>
      </c>
      <c r="P233" s="519" t="str">
        <f>$D$258</f>
        <v>bh</v>
      </c>
      <c r="Q233" s="518">
        <v>4</v>
      </c>
      <c r="R233" s="517">
        <f>$F$258</f>
        <v>181849.04</v>
      </c>
      <c r="S233" s="463">
        <f t="shared" si="100"/>
        <v>727396.16</v>
      </c>
      <c r="V233" s="492" t="s">
        <v>721</v>
      </c>
      <c r="W233" s="461" t="s">
        <v>2247</v>
      </c>
      <c r="X233" s="519" t="str">
        <f>$D$258</f>
        <v>bh</v>
      </c>
      <c r="Y233" s="518">
        <v>4</v>
      </c>
      <c r="Z233" s="517">
        <f>$F$258</f>
        <v>181849.04</v>
      </c>
      <c r="AA233" s="463">
        <f t="shared" ref="AA233:AA238" si="109">Y233*Z233</f>
        <v>727396.16</v>
      </c>
      <c r="AD233" s="492" t="s">
        <v>721</v>
      </c>
      <c r="AE233" s="461" t="s">
        <v>2247</v>
      </c>
      <c r="AF233" s="519" t="str">
        <f>$D$258</f>
        <v>bh</v>
      </c>
      <c r="AG233" s="518">
        <v>4</v>
      </c>
      <c r="AH233" s="517">
        <f>$F$258</f>
        <v>181849.04</v>
      </c>
      <c r="AI233" s="463">
        <f t="shared" ref="AI233:AI238" si="110">AG233*AH233</f>
        <v>727396.16</v>
      </c>
    </row>
    <row r="234" spans="2:37" ht="15" customHeight="1">
      <c r="B234" s="492" t="s">
        <v>2166</v>
      </c>
      <c r="C234" s="461" t="s">
        <v>2085</v>
      </c>
      <c r="D234" s="519" t="str">
        <f>$D$259</f>
        <v>kg</v>
      </c>
      <c r="E234" s="518">
        <f>I231</f>
        <v>176964.29771428573</v>
      </c>
      <c r="F234" s="416">
        <f t="shared" si="98"/>
        <v>462.7700000000001</v>
      </c>
      <c r="G234" s="463">
        <f t="shared" si="108"/>
        <v>81893768.053240016</v>
      </c>
      <c r="N234" s="492" t="s">
        <v>2166</v>
      </c>
      <c r="O234" s="461" t="s">
        <v>2085</v>
      </c>
      <c r="P234" s="519" t="str">
        <f>$D$259</f>
        <v>kg</v>
      </c>
      <c r="Q234" s="518">
        <f>U231</f>
        <v>176964.29771428573</v>
      </c>
      <c r="R234" s="517">
        <f>$F$259</f>
        <v>462.7700000000001</v>
      </c>
      <c r="S234" s="463">
        <f t="shared" si="100"/>
        <v>81893768.053240016</v>
      </c>
      <c r="V234" s="492" t="s">
        <v>2166</v>
      </c>
      <c r="W234" s="461" t="s">
        <v>2085</v>
      </c>
      <c r="X234" s="519" t="str">
        <f>$D$259</f>
        <v>kg</v>
      </c>
      <c r="Y234" s="518">
        <f>AC231</f>
        <v>176964.29771428573</v>
      </c>
      <c r="Z234" s="517">
        <f>$F$259</f>
        <v>462.7700000000001</v>
      </c>
      <c r="AA234" s="463">
        <f t="shared" si="109"/>
        <v>81893768.053240016</v>
      </c>
      <c r="AD234" s="492" t="s">
        <v>2166</v>
      </c>
      <c r="AE234" s="461" t="s">
        <v>2085</v>
      </c>
      <c r="AF234" s="519" t="str">
        <f>$D$259</f>
        <v>kg</v>
      </c>
      <c r="AG234" s="518">
        <f>AK231</f>
        <v>176964.29771428573</v>
      </c>
      <c r="AH234" s="517">
        <f>$F$259</f>
        <v>462.7700000000001</v>
      </c>
      <c r="AI234" s="463">
        <f t="shared" si="110"/>
        <v>81893768.053240016</v>
      </c>
    </row>
    <row r="235" spans="2:37" ht="15" customHeight="1">
      <c r="B235" s="492" t="s">
        <v>2168</v>
      </c>
      <c r="C235" s="461" t="s">
        <v>2249</v>
      </c>
      <c r="D235" s="519" t="str">
        <f>$D$260</f>
        <v>bh</v>
      </c>
      <c r="E235" s="518">
        <v>4</v>
      </c>
      <c r="F235" s="416">
        <f t="shared" si="98"/>
        <v>387825</v>
      </c>
      <c r="G235" s="463">
        <f t="shared" si="108"/>
        <v>1551300</v>
      </c>
      <c r="N235" s="492" t="s">
        <v>2168</v>
      </c>
      <c r="O235" s="461" t="s">
        <v>2249</v>
      </c>
      <c r="P235" s="519" t="str">
        <f>$D$260</f>
        <v>bh</v>
      </c>
      <c r="Q235" s="518">
        <v>4</v>
      </c>
      <c r="R235" s="517">
        <f>$F$260</f>
        <v>387825</v>
      </c>
      <c r="S235" s="463">
        <f t="shared" si="100"/>
        <v>1551300</v>
      </c>
      <c r="V235" s="492" t="s">
        <v>2168</v>
      </c>
      <c r="W235" s="461" t="s">
        <v>2249</v>
      </c>
      <c r="X235" s="519" t="str">
        <f>$D$260</f>
        <v>bh</v>
      </c>
      <c r="Y235" s="518">
        <v>4</v>
      </c>
      <c r="Z235" s="517">
        <f>$F$260</f>
        <v>387825</v>
      </c>
      <c r="AA235" s="463">
        <f t="shared" si="109"/>
        <v>1551300</v>
      </c>
      <c r="AD235" s="492" t="s">
        <v>2168</v>
      </c>
      <c r="AE235" s="461" t="s">
        <v>2249</v>
      </c>
      <c r="AF235" s="519" t="str">
        <f>$D$260</f>
        <v>bh</v>
      </c>
      <c r="AG235" s="518">
        <v>4</v>
      </c>
      <c r="AH235" s="517">
        <f>$F$260</f>
        <v>387825</v>
      </c>
      <c r="AI235" s="463">
        <f t="shared" si="110"/>
        <v>1551300</v>
      </c>
    </row>
    <row r="236" spans="2:37" ht="15" customHeight="1">
      <c r="B236" s="492" t="s">
        <v>2170</v>
      </c>
      <c r="C236" s="461" t="s">
        <v>2250</v>
      </c>
      <c r="D236" s="519" t="str">
        <f>$D$261</f>
        <v>kg</v>
      </c>
      <c r="E236" s="518">
        <v>150.93599999999998</v>
      </c>
      <c r="F236" s="416">
        <f t="shared" si="98"/>
        <v>3758.6984549742947</v>
      </c>
      <c r="G236" s="463">
        <f t="shared" si="108"/>
        <v>567322.91</v>
      </c>
      <c r="N236" s="492" t="s">
        <v>2170</v>
      </c>
      <c r="O236" s="461" t="s">
        <v>2250</v>
      </c>
      <c r="P236" s="519" t="str">
        <f>$D$261</f>
        <v>kg</v>
      </c>
      <c r="Q236" s="518">
        <v>239.61599999999999</v>
      </c>
      <c r="R236" s="517">
        <f>$F$261</f>
        <v>3758.6984549742947</v>
      </c>
      <c r="S236" s="463">
        <f t="shared" si="100"/>
        <v>900644.2889871205</v>
      </c>
      <c r="V236" s="492" t="s">
        <v>2170</v>
      </c>
      <c r="W236" s="461" t="s">
        <v>2269</v>
      </c>
      <c r="X236" s="519" t="str">
        <f>$D$261</f>
        <v>kg</v>
      </c>
      <c r="Y236" s="518">
        <v>311.47199999999998</v>
      </c>
      <c r="Z236" s="517">
        <f>$F$261</f>
        <v>3758.6984549742947</v>
      </c>
      <c r="AA236" s="463">
        <f t="shared" si="109"/>
        <v>1170729.3251677535</v>
      </c>
      <c r="AD236" s="492" t="s">
        <v>2170</v>
      </c>
      <c r="AE236" s="461" t="s">
        <v>2269</v>
      </c>
      <c r="AF236" s="519" t="str">
        <f>$D$261</f>
        <v>kg</v>
      </c>
      <c r="AG236" s="518">
        <v>403.17599999999999</v>
      </c>
      <c r="AH236" s="517">
        <f>$F$261</f>
        <v>3758.6984549742947</v>
      </c>
      <c r="AI236" s="463">
        <f t="shared" si="110"/>
        <v>1515417.0082827162</v>
      </c>
    </row>
    <row r="237" spans="2:37" ht="15" customHeight="1">
      <c r="B237" s="492" t="s">
        <v>2172</v>
      </c>
      <c r="C237" s="461" t="s">
        <v>2251</v>
      </c>
      <c r="D237" s="519" t="str">
        <f>$D$262</f>
        <v>set</v>
      </c>
      <c r="E237" s="518">
        <v>1</v>
      </c>
      <c r="F237" s="416">
        <f t="shared" si="98"/>
        <v>855127</v>
      </c>
      <c r="G237" s="463">
        <f t="shared" si="108"/>
        <v>855127</v>
      </c>
      <c r="N237" s="492" t="s">
        <v>2172</v>
      </c>
      <c r="O237" s="461" t="s">
        <v>2251</v>
      </c>
      <c r="P237" s="519" t="str">
        <f>$D$262</f>
        <v>set</v>
      </c>
      <c r="Q237" s="518">
        <v>1</v>
      </c>
      <c r="R237" s="517">
        <f>$F$262</f>
        <v>855127</v>
      </c>
      <c r="S237" s="463">
        <f t="shared" si="100"/>
        <v>855127</v>
      </c>
      <c r="V237" s="492" t="s">
        <v>2172</v>
      </c>
      <c r="W237" s="461" t="s">
        <v>2251</v>
      </c>
      <c r="X237" s="519" t="str">
        <f>$D$262</f>
        <v>set</v>
      </c>
      <c r="Y237" s="518">
        <v>1</v>
      </c>
      <c r="Z237" s="517">
        <f>$F$262</f>
        <v>855127</v>
      </c>
      <c r="AA237" s="463">
        <f t="shared" si="109"/>
        <v>855127</v>
      </c>
      <c r="AD237" s="492" t="s">
        <v>2172</v>
      </c>
      <c r="AE237" s="461" t="s">
        <v>2251</v>
      </c>
      <c r="AF237" s="519" t="str">
        <f>$D$262</f>
        <v>set</v>
      </c>
      <c r="AG237" s="518">
        <v>1</v>
      </c>
      <c r="AH237" s="517">
        <f>$F$262</f>
        <v>855127</v>
      </c>
      <c r="AI237" s="463">
        <f t="shared" si="110"/>
        <v>855127</v>
      </c>
    </row>
    <row r="238" spans="2:37" ht="15" customHeight="1">
      <c r="B238" s="492" t="s">
        <v>2174</v>
      </c>
      <c r="C238" s="461" t="s">
        <v>2252</v>
      </c>
      <c r="D238" s="519" t="str">
        <f>$D$263</f>
        <v>set</v>
      </c>
      <c r="E238" s="518">
        <v>1</v>
      </c>
      <c r="F238" s="416">
        <f t="shared" si="98"/>
        <v>674025</v>
      </c>
      <c r="G238" s="463">
        <f t="shared" si="108"/>
        <v>674025</v>
      </c>
      <c r="N238" s="492" t="s">
        <v>2174</v>
      </c>
      <c r="O238" s="461" t="s">
        <v>2252</v>
      </c>
      <c r="P238" s="519" t="str">
        <f>$D$263</f>
        <v>set</v>
      </c>
      <c r="Q238" s="518">
        <v>1</v>
      </c>
      <c r="R238" s="517">
        <f>$F$263</f>
        <v>674025</v>
      </c>
      <c r="S238" s="463">
        <f t="shared" si="100"/>
        <v>674025</v>
      </c>
      <c r="V238" s="492" t="s">
        <v>2174</v>
      </c>
      <c r="W238" s="461" t="s">
        <v>2252</v>
      </c>
      <c r="X238" s="519" t="str">
        <f>$D$263</f>
        <v>set</v>
      </c>
      <c r="Y238" s="518">
        <v>1</v>
      </c>
      <c r="Z238" s="517">
        <f>$F$263</f>
        <v>674025</v>
      </c>
      <c r="AA238" s="463">
        <f t="shared" si="109"/>
        <v>674025</v>
      </c>
      <c r="AD238" s="492" t="s">
        <v>2174</v>
      </c>
      <c r="AE238" s="461" t="s">
        <v>2252</v>
      </c>
      <c r="AF238" s="519" t="str">
        <f>$D$263</f>
        <v>set</v>
      </c>
      <c r="AG238" s="518">
        <v>1</v>
      </c>
      <c r="AH238" s="517">
        <f>$F$263</f>
        <v>674025</v>
      </c>
      <c r="AI238" s="463">
        <f t="shared" si="110"/>
        <v>674025</v>
      </c>
    </row>
    <row r="239" spans="2:37" ht="15" customHeight="1" thickBot="1">
      <c r="B239" s="459"/>
      <c r="C239" s="1194" t="s">
        <v>3236</v>
      </c>
      <c r="D239" s="1195"/>
      <c r="E239" s="1195"/>
      <c r="F239" s="1196"/>
      <c r="G239" s="458">
        <f>SUM(G219:G238)</f>
        <v>326492416.56006163</v>
      </c>
      <c r="N239" s="459"/>
      <c r="O239" s="1194" t="s">
        <v>3236</v>
      </c>
      <c r="P239" s="1195"/>
      <c r="Q239" s="1195"/>
      <c r="R239" s="1196"/>
      <c r="S239" s="458">
        <f>SUM(S218:S238)</f>
        <v>326825737.93904871</v>
      </c>
      <c r="V239" s="459"/>
      <c r="W239" s="1194" t="s">
        <v>3236</v>
      </c>
      <c r="X239" s="1195"/>
      <c r="Y239" s="1195"/>
      <c r="Z239" s="1196"/>
      <c r="AA239" s="458">
        <f>SUM(AA218:AA238)</f>
        <v>327095822.97522938</v>
      </c>
      <c r="AD239" s="459"/>
      <c r="AE239" s="1194" t="s">
        <v>3236</v>
      </c>
      <c r="AF239" s="1195"/>
      <c r="AG239" s="1195"/>
      <c r="AH239" s="1196"/>
      <c r="AI239" s="458">
        <f>SUM(AI218:AI238)</f>
        <v>327440510.65834433</v>
      </c>
    </row>
    <row r="240" spans="2:37" ht="15" customHeight="1" thickBot="1">
      <c r="B240" s="427"/>
      <c r="C240" s="427"/>
      <c r="D240" s="427"/>
      <c r="E240" s="427"/>
      <c r="F240" s="426"/>
      <c r="G240" s="426"/>
      <c r="N240" s="427"/>
      <c r="O240" s="427"/>
      <c r="P240" s="427"/>
      <c r="Q240" s="427"/>
      <c r="R240" s="427"/>
      <c r="S240" s="426"/>
      <c r="V240" s="427"/>
      <c r="W240" s="427"/>
      <c r="X240" s="427"/>
      <c r="Y240" s="427"/>
      <c r="Z240" s="427"/>
      <c r="AA240" s="426"/>
      <c r="AD240" s="427"/>
      <c r="AE240" s="427"/>
      <c r="AF240" s="427"/>
      <c r="AG240" s="427"/>
      <c r="AH240" s="427"/>
      <c r="AI240" s="426"/>
    </row>
    <row r="241" spans="2:37" ht="15" customHeight="1" thickBot="1">
      <c r="B241" s="452" t="s">
        <v>2229</v>
      </c>
      <c r="C241" s="435"/>
      <c r="D241" s="434">
        <v>6</v>
      </c>
      <c r="E241" s="433"/>
      <c r="F241" s="411"/>
      <c r="G241" s="431"/>
      <c r="N241" s="452" t="s">
        <v>2230</v>
      </c>
      <c r="O241" s="435"/>
      <c r="P241" s="434">
        <v>6</v>
      </c>
      <c r="Q241" s="433"/>
      <c r="R241" s="432"/>
      <c r="S241" s="431"/>
      <c r="V241" s="452" t="s">
        <v>2231</v>
      </c>
      <c r="W241" s="435"/>
      <c r="X241" s="434"/>
      <c r="Y241" s="433"/>
      <c r="Z241" s="432"/>
      <c r="AA241" s="431"/>
      <c r="AD241" s="452" t="s">
        <v>2254</v>
      </c>
      <c r="AE241" s="435"/>
      <c r="AF241" s="434"/>
      <c r="AG241" s="433"/>
      <c r="AH241" s="432"/>
      <c r="AI241" s="431"/>
    </row>
    <row r="242" spans="2:37" ht="15" customHeight="1">
      <c r="B242" s="446"/>
      <c r="C242" s="445" t="s">
        <v>3237</v>
      </c>
      <c r="D242" s="444"/>
      <c r="E242" s="443"/>
      <c r="F242" s="413"/>
      <c r="G242" s="441"/>
      <c r="N242" s="446"/>
      <c r="O242" s="445" t="s">
        <v>3237</v>
      </c>
      <c r="P242" s="444"/>
      <c r="Q242" s="443"/>
      <c r="R242" s="442"/>
      <c r="S242" s="441"/>
      <c r="V242" s="446"/>
      <c r="W242" s="445" t="s">
        <v>3238</v>
      </c>
      <c r="X242" s="444"/>
      <c r="Y242" s="443"/>
      <c r="Z242" s="442"/>
      <c r="AA242" s="441"/>
      <c r="AD242" s="446"/>
      <c r="AE242" s="445" t="s">
        <v>3238</v>
      </c>
      <c r="AF242" s="444"/>
      <c r="AG242" s="443"/>
      <c r="AH242" s="442"/>
      <c r="AI242" s="441"/>
    </row>
    <row r="243" spans="2:37" ht="15" customHeight="1">
      <c r="B243" s="468">
        <v>1</v>
      </c>
      <c r="C243" s="467" t="s">
        <v>2234</v>
      </c>
      <c r="D243" s="519"/>
      <c r="E243" s="430"/>
      <c r="F243" s="417"/>
      <c r="G243" s="486"/>
      <c r="N243" s="468">
        <v>1</v>
      </c>
      <c r="O243" s="467" t="s">
        <v>2234</v>
      </c>
      <c r="P243" s="519"/>
      <c r="Q243" s="430"/>
      <c r="R243" s="429"/>
      <c r="S243" s="486"/>
      <c r="V243" s="468">
        <v>1</v>
      </c>
      <c r="W243" s="467" t="s">
        <v>2234</v>
      </c>
      <c r="X243" s="519"/>
      <c r="Y243" s="430"/>
      <c r="Z243" s="429"/>
      <c r="AA243" s="486"/>
      <c r="AD243" s="468">
        <v>1</v>
      </c>
      <c r="AE243" s="467" t="s">
        <v>2234</v>
      </c>
      <c r="AF243" s="519"/>
      <c r="AG243" s="430"/>
      <c r="AH243" s="429"/>
      <c r="AI243" s="486"/>
    </row>
    <row r="244" spans="2:37" ht="15" customHeight="1">
      <c r="B244" s="492" t="s">
        <v>721</v>
      </c>
      <c r="C244" s="464" t="s">
        <v>2235</v>
      </c>
      <c r="D244" s="519" t="s">
        <v>2236</v>
      </c>
      <c r="E244" s="518">
        <v>50.35</v>
      </c>
      <c r="F244" s="416">
        <f>F219</f>
        <v>102390.75000000001</v>
      </c>
      <c r="G244" s="463">
        <f>E244*F244</f>
        <v>5155374.2625000011</v>
      </c>
      <c r="N244" s="492" t="s">
        <v>721</v>
      </c>
      <c r="O244" s="464" t="s">
        <v>2235</v>
      </c>
      <c r="P244" s="519" t="str">
        <f>$D$244</f>
        <v>m³</v>
      </c>
      <c r="Q244" s="518">
        <v>50.35</v>
      </c>
      <c r="R244" s="517">
        <f>$F$244</f>
        <v>102390.75000000001</v>
      </c>
      <c r="S244" s="463">
        <f>Q244*R244</f>
        <v>5155374.2625000011</v>
      </c>
      <c r="V244" s="492" t="s">
        <v>721</v>
      </c>
      <c r="W244" s="464" t="s">
        <v>2235</v>
      </c>
      <c r="X244" s="519" t="str">
        <f>$D$244</f>
        <v>m³</v>
      </c>
      <c r="Y244" s="518">
        <v>50.35</v>
      </c>
      <c r="Z244" s="517">
        <f>$F$244</f>
        <v>102390.75000000001</v>
      </c>
      <c r="AA244" s="463">
        <f>Y244*Z244</f>
        <v>5155374.2625000011</v>
      </c>
      <c r="AD244" s="492" t="s">
        <v>721</v>
      </c>
      <c r="AE244" s="464" t="s">
        <v>2235</v>
      </c>
      <c r="AF244" s="519" t="str">
        <f>$D$244</f>
        <v>m³</v>
      </c>
      <c r="AG244" s="518">
        <v>50.35</v>
      </c>
      <c r="AH244" s="517">
        <f>$F$244</f>
        <v>102390.75000000001</v>
      </c>
      <c r="AI244" s="463">
        <f>AG244*AH244</f>
        <v>5155374.2625000011</v>
      </c>
    </row>
    <row r="245" spans="2:37" ht="15" customHeight="1">
      <c r="B245" s="492" t="s">
        <v>2166</v>
      </c>
      <c r="C245" s="464" t="s">
        <v>2237</v>
      </c>
      <c r="D245" s="519" t="s">
        <v>2236</v>
      </c>
      <c r="E245" s="518">
        <v>12.160000000000002</v>
      </c>
      <c r="F245" s="416">
        <f t="shared" ref="F245:F263" si="111">F220</f>
        <v>62462.950000000012</v>
      </c>
      <c r="G245" s="463">
        <f t="shared" ref="G245:G246" si="112">E245*F245</f>
        <v>759549.4720000003</v>
      </c>
      <c r="J245" s="1192"/>
      <c r="K245" s="1192"/>
      <c r="L245" s="1192"/>
      <c r="M245" s="1192"/>
      <c r="N245" s="492" t="s">
        <v>2166</v>
      </c>
      <c r="O245" s="464" t="s">
        <v>2237</v>
      </c>
      <c r="P245" s="519" t="str">
        <f>$D$245</f>
        <v>m³</v>
      </c>
      <c r="Q245" s="518">
        <v>12.160000000000002</v>
      </c>
      <c r="R245" s="517">
        <f>$F$245</f>
        <v>62462.950000000012</v>
      </c>
      <c r="S245" s="463">
        <f t="shared" ref="S245:S263" si="113">Q245*R245</f>
        <v>759549.4720000003</v>
      </c>
      <c r="V245" s="492" t="s">
        <v>2166</v>
      </c>
      <c r="W245" s="464" t="s">
        <v>2237</v>
      </c>
      <c r="X245" s="519" t="str">
        <f>$D$245</f>
        <v>m³</v>
      </c>
      <c r="Y245" s="518">
        <v>12.160000000000002</v>
      </c>
      <c r="Z245" s="517">
        <f>$F$245</f>
        <v>62462.950000000012</v>
      </c>
      <c r="AA245" s="463">
        <f>Y245*Z245</f>
        <v>759549.4720000003</v>
      </c>
      <c r="AD245" s="492" t="s">
        <v>2166</v>
      </c>
      <c r="AE245" s="464" t="s">
        <v>2237</v>
      </c>
      <c r="AF245" s="519" t="str">
        <f>$D$245</f>
        <v>m³</v>
      </c>
      <c r="AG245" s="518">
        <v>12.160000000000002</v>
      </c>
      <c r="AH245" s="517">
        <f>$F$245</f>
        <v>62462.950000000012</v>
      </c>
      <c r="AI245" s="463">
        <f>AG245*AH245</f>
        <v>759549.4720000003</v>
      </c>
    </row>
    <row r="246" spans="2:37" ht="15" customHeight="1">
      <c r="B246" s="492" t="s">
        <v>2168</v>
      </c>
      <c r="C246" s="464" t="s">
        <v>2265</v>
      </c>
      <c r="D246" s="519" t="s">
        <v>194</v>
      </c>
      <c r="E246" s="518">
        <v>160</v>
      </c>
      <c r="F246" s="416">
        <f t="shared" si="111"/>
        <v>52230.612500000003</v>
      </c>
      <c r="G246" s="463">
        <f t="shared" si="112"/>
        <v>8356898</v>
      </c>
      <c r="J246" s="1192"/>
      <c r="K246" s="1192"/>
      <c r="L246" s="1192"/>
      <c r="M246" s="1192"/>
      <c r="N246" s="492" t="s">
        <v>2168</v>
      </c>
      <c r="O246" s="464" t="s">
        <v>2265</v>
      </c>
      <c r="P246" s="519" t="str">
        <f>$D$246</f>
        <v>m'</v>
      </c>
      <c r="Q246" s="518">
        <v>160</v>
      </c>
      <c r="R246" s="517">
        <f>$F$246</f>
        <v>52230.612500000003</v>
      </c>
      <c r="S246" s="463">
        <f t="shared" si="113"/>
        <v>8356898</v>
      </c>
      <c r="V246" s="492" t="s">
        <v>2168</v>
      </c>
      <c r="W246" s="464" t="s">
        <v>2265</v>
      </c>
      <c r="X246" s="519" t="str">
        <f>$D$246</f>
        <v>m'</v>
      </c>
      <c r="Y246" s="518">
        <v>160</v>
      </c>
      <c r="Z246" s="517">
        <f>$F$246</f>
        <v>52230.612500000003</v>
      </c>
      <c r="AA246" s="463">
        <f>Y246*Z246</f>
        <v>8356898</v>
      </c>
      <c r="AD246" s="492" t="s">
        <v>2168</v>
      </c>
      <c r="AE246" s="464" t="s">
        <v>2265</v>
      </c>
      <c r="AF246" s="519" t="str">
        <f>$D$246</f>
        <v>m'</v>
      </c>
      <c r="AG246" s="518">
        <v>160</v>
      </c>
      <c r="AH246" s="517">
        <f>$F$246</f>
        <v>52230.612500000003</v>
      </c>
      <c r="AI246" s="463">
        <f>AG246*AH246</f>
        <v>8356898</v>
      </c>
    </row>
    <row r="247" spans="2:37" ht="15" customHeight="1">
      <c r="B247" s="462"/>
      <c r="C247" s="464"/>
      <c r="D247" s="519"/>
      <c r="E247" s="428"/>
      <c r="F247" s="416">
        <f t="shared" si="111"/>
        <v>0</v>
      </c>
      <c r="G247" s="463"/>
      <c r="N247" s="462"/>
      <c r="O247" s="464"/>
      <c r="P247" s="519"/>
      <c r="Q247" s="428"/>
      <c r="R247" s="517"/>
      <c r="S247" s="463">
        <f t="shared" si="113"/>
        <v>0</v>
      </c>
      <c r="V247" s="462"/>
      <c r="W247" s="464"/>
      <c r="X247" s="519"/>
      <c r="Y247" s="428"/>
      <c r="Z247" s="517"/>
      <c r="AA247" s="463"/>
      <c r="AD247" s="462"/>
      <c r="AE247" s="464"/>
      <c r="AF247" s="519"/>
      <c r="AG247" s="428"/>
      <c r="AH247" s="517"/>
      <c r="AI247" s="463"/>
    </row>
    <row r="248" spans="2:37" ht="15" customHeight="1">
      <c r="B248" s="507">
        <v>2</v>
      </c>
      <c r="C248" s="467" t="s">
        <v>2238</v>
      </c>
      <c r="D248" s="519"/>
      <c r="E248" s="428"/>
      <c r="F248" s="416">
        <f t="shared" si="111"/>
        <v>0</v>
      </c>
      <c r="G248" s="463"/>
      <c r="H248" s="516" t="s">
        <v>2239</v>
      </c>
      <c r="N248" s="507">
        <v>2</v>
      </c>
      <c r="O248" s="467" t="s">
        <v>2238</v>
      </c>
      <c r="P248" s="519"/>
      <c r="Q248" s="428"/>
      <c r="R248" s="517"/>
      <c r="S248" s="463">
        <f t="shared" si="113"/>
        <v>0</v>
      </c>
      <c r="T248" s="516" t="s">
        <v>2239</v>
      </c>
      <c r="V248" s="507">
        <v>2</v>
      </c>
      <c r="W248" s="467" t="s">
        <v>2238</v>
      </c>
      <c r="X248" s="519"/>
      <c r="Y248" s="428"/>
      <c r="Z248" s="517"/>
      <c r="AA248" s="463"/>
      <c r="AB248" s="516" t="s">
        <v>2239</v>
      </c>
      <c r="AD248" s="507">
        <v>2</v>
      </c>
      <c r="AE248" s="467" t="s">
        <v>2238</v>
      </c>
      <c r="AF248" s="519"/>
      <c r="AG248" s="428"/>
      <c r="AH248" s="517"/>
      <c r="AI248" s="463"/>
      <c r="AJ248" s="516" t="s">
        <v>2239</v>
      </c>
    </row>
    <row r="249" spans="2:37" ht="15" customHeight="1">
      <c r="B249" s="492" t="s">
        <v>721</v>
      </c>
      <c r="C249" s="464" t="s">
        <v>2240</v>
      </c>
      <c r="D249" s="519" t="s">
        <v>2236</v>
      </c>
      <c r="E249" s="518">
        <v>4.9000000000000004</v>
      </c>
      <c r="F249" s="416">
        <f t="shared" si="111"/>
        <v>404738.95</v>
      </c>
      <c r="G249" s="463">
        <f t="shared" ref="G249:G255" si="114">E249*F249</f>
        <v>1983220.8550000002</v>
      </c>
      <c r="H249" s="516">
        <v>1400</v>
      </c>
      <c r="I249" s="516">
        <f>E249*H249</f>
        <v>6860.0000000000009</v>
      </c>
      <c r="N249" s="492" t="s">
        <v>721</v>
      </c>
      <c r="O249" s="464" t="s">
        <v>2240</v>
      </c>
      <c r="P249" s="519" t="str">
        <f>$D$249</f>
        <v>m³</v>
      </c>
      <c r="Q249" s="518">
        <v>4.9000000000000004</v>
      </c>
      <c r="R249" s="517">
        <f>$F$249</f>
        <v>404738.95</v>
      </c>
      <c r="S249" s="463">
        <f t="shared" si="113"/>
        <v>1983220.8550000002</v>
      </c>
      <c r="T249" s="516">
        <v>1400</v>
      </c>
      <c r="U249" s="516">
        <f>Q249*T249</f>
        <v>6860.0000000000009</v>
      </c>
      <c r="V249" s="492" t="s">
        <v>721</v>
      </c>
      <c r="W249" s="464" t="s">
        <v>2240</v>
      </c>
      <c r="X249" s="519" t="str">
        <f>$D$249</f>
        <v>m³</v>
      </c>
      <c r="Y249" s="518">
        <v>4.9000000000000004</v>
      </c>
      <c r="Z249" s="517">
        <f>$F$249</f>
        <v>404738.95</v>
      </c>
      <c r="AA249" s="463">
        <f t="shared" ref="AA249:AA255" si="115">Y249*Z249</f>
        <v>1983220.8550000002</v>
      </c>
      <c r="AB249" s="516">
        <v>1400</v>
      </c>
      <c r="AC249" s="516">
        <f>Y249*AB249</f>
        <v>6860.0000000000009</v>
      </c>
      <c r="AD249" s="492" t="s">
        <v>721</v>
      </c>
      <c r="AE249" s="464" t="s">
        <v>2240</v>
      </c>
      <c r="AF249" s="519" t="str">
        <f>$D$249</f>
        <v>m³</v>
      </c>
      <c r="AG249" s="518">
        <v>4.9000000000000004</v>
      </c>
      <c r="AH249" s="517">
        <f>$F$249</f>
        <v>404738.95</v>
      </c>
      <c r="AI249" s="463">
        <f t="shared" ref="AI249:AI255" si="116">AG249*AH249</f>
        <v>1983220.8550000002</v>
      </c>
      <c r="AJ249" s="516">
        <v>1400</v>
      </c>
      <c r="AK249" s="516">
        <f>AG249*AJ249</f>
        <v>6860.0000000000009</v>
      </c>
    </row>
    <row r="250" spans="2:37" ht="15" customHeight="1">
      <c r="B250" s="492" t="s">
        <v>2166</v>
      </c>
      <c r="C250" s="461" t="s">
        <v>2241</v>
      </c>
      <c r="D250" s="519" t="s">
        <v>2236</v>
      </c>
      <c r="E250" s="518">
        <v>2.4500000000000002</v>
      </c>
      <c r="F250" s="416">
        <f t="shared" si="111"/>
        <v>710224.707936508</v>
      </c>
      <c r="G250" s="463">
        <f t="shared" si="114"/>
        <v>1740050.5344444448</v>
      </c>
      <c r="H250" s="516">
        <v>2200</v>
      </c>
      <c r="I250" s="516">
        <f t="shared" ref="I250:I255" si="117">E250*H250</f>
        <v>5390</v>
      </c>
      <c r="N250" s="492" t="s">
        <v>2166</v>
      </c>
      <c r="O250" s="461" t="s">
        <v>2241</v>
      </c>
      <c r="P250" s="519" t="str">
        <f>$D$250</f>
        <v>m³</v>
      </c>
      <c r="Q250" s="518">
        <v>2.4500000000000002</v>
      </c>
      <c r="R250" s="517">
        <f>$F$250</f>
        <v>710224.707936508</v>
      </c>
      <c r="S250" s="463">
        <f t="shared" si="113"/>
        <v>1740050.5344444448</v>
      </c>
      <c r="T250" s="516">
        <v>2200</v>
      </c>
      <c r="U250" s="516">
        <f t="shared" ref="U250:U255" si="118">Q250*T250</f>
        <v>5390</v>
      </c>
      <c r="V250" s="492" t="s">
        <v>2166</v>
      </c>
      <c r="W250" s="461" t="s">
        <v>2241</v>
      </c>
      <c r="X250" s="519" t="str">
        <f>$D$250</f>
        <v>m³</v>
      </c>
      <c r="Y250" s="518">
        <v>2.4500000000000002</v>
      </c>
      <c r="Z250" s="517">
        <f>$F$250</f>
        <v>710224.707936508</v>
      </c>
      <c r="AA250" s="463">
        <f t="shared" si="115"/>
        <v>1740050.5344444448</v>
      </c>
      <c r="AB250" s="516">
        <v>2200</v>
      </c>
      <c r="AC250" s="516">
        <f t="shared" ref="AC250:AC255" si="119">Y250*AB250</f>
        <v>5390</v>
      </c>
      <c r="AD250" s="492" t="s">
        <v>2166</v>
      </c>
      <c r="AE250" s="461" t="s">
        <v>2241</v>
      </c>
      <c r="AF250" s="519" t="str">
        <f>$D$250</f>
        <v>m³</v>
      </c>
      <c r="AG250" s="518">
        <v>2.4500000000000002</v>
      </c>
      <c r="AH250" s="517">
        <f>$F$250</f>
        <v>710224.707936508</v>
      </c>
      <c r="AI250" s="463">
        <f t="shared" si="116"/>
        <v>1740050.5344444448</v>
      </c>
      <c r="AJ250" s="516">
        <v>2200</v>
      </c>
      <c r="AK250" s="516">
        <f t="shared" ref="AK250:AK255" si="120">AG250*AJ250</f>
        <v>5390</v>
      </c>
    </row>
    <row r="251" spans="2:37" ht="15" customHeight="1">
      <c r="B251" s="492" t="s">
        <v>2168</v>
      </c>
      <c r="C251" s="461" t="s">
        <v>2266</v>
      </c>
      <c r="D251" s="519" t="s">
        <v>2236</v>
      </c>
      <c r="E251" s="518">
        <v>30.84</v>
      </c>
      <c r="F251" s="416">
        <f t="shared" si="111"/>
        <v>1115864.6138095236</v>
      </c>
      <c r="G251" s="463">
        <f t="shared" si="114"/>
        <v>34413264.689885706</v>
      </c>
      <c r="H251" s="516">
        <v>2400</v>
      </c>
      <c r="I251" s="516">
        <f t="shared" si="117"/>
        <v>74016</v>
      </c>
      <c r="N251" s="492" t="s">
        <v>2168</v>
      </c>
      <c r="O251" s="461" t="s">
        <v>2266</v>
      </c>
      <c r="P251" s="519" t="str">
        <f>$D$251</f>
        <v>m³</v>
      </c>
      <c r="Q251" s="518">
        <v>30.84</v>
      </c>
      <c r="R251" s="517">
        <f>$F$251</f>
        <v>1115864.6138095236</v>
      </c>
      <c r="S251" s="463">
        <f t="shared" si="113"/>
        <v>34413264.689885706</v>
      </c>
      <c r="T251" s="516">
        <v>2400</v>
      </c>
      <c r="U251" s="516">
        <f t="shared" si="118"/>
        <v>74016</v>
      </c>
      <c r="V251" s="492" t="s">
        <v>2168</v>
      </c>
      <c r="W251" s="461" t="str">
        <f>O251</f>
        <v>Beton K 225 (Pad &amp; Chimney)</v>
      </c>
      <c r="X251" s="519" t="str">
        <f>$D$251</f>
        <v>m³</v>
      </c>
      <c r="Y251" s="518">
        <v>30.84</v>
      </c>
      <c r="Z251" s="517">
        <f>$F$251</f>
        <v>1115864.6138095236</v>
      </c>
      <c r="AA251" s="463">
        <f t="shared" si="115"/>
        <v>34413264.689885706</v>
      </c>
      <c r="AB251" s="516">
        <v>2400</v>
      </c>
      <c r="AC251" s="516">
        <f t="shared" si="119"/>
        <v>74016</v>
      </c>
      <c r="AD251" s="492" t="s">
        <v>2168</v>
      </c>
      <c r="AE251" s="461" t="str">
        <f>W251</f>
        <v>Beton K 225 (Pad &amp; Chimney)</v>
      </c>
      <c r="AF251" s="519" t="str">
        <f>$D$251</f>
        <v>m³</v>
      </c>
      <c r="AG251" s="518">
        <v>30.84</v>
      </c>
      <c r="AH251" s="517">
        <f>$F$251</f>
        <v>1115864.6138095236</v>
      </c>
      <c r="AI251" s="463">
        <f t="shared" si="116"/>
        <v>34413264.689885706</v>
      </c>
      <c r="AJ251" s="516">
        <v>2400</v>
      </c>
      <c r="AK251" s="516">
        <f t="shared" si="120"/>
        <v>74016</v>
      </c>
    </row>
    <row r="252" spans="2:37" ht="15" customHeight="1">
      <c r="B252" s="492" t="s">
        <v>2170</v>
      </c>
      <c r="C252" s="461" t="s">
        <v>2267</v>
      </c>
      <c r="D252" s="519" t="s">
        <v>2236</v>
      </c>
      <c r="E252" s="518">
        <v>41.636571428571436</v>
      </c>
      <c r="F252" s="416">
        <f t="shared" si="111"/>
        <v>1057576.2423809525</v>
      </c>
      <c r="G252" s="463">
        <f t="shared" si="114"/>
        <v>44033848.757054709</v>
      </c>
      <c r="H252" s="516">
        <v>2200</v>
      </c>
      <c r="I252" s="516">
        <f t="shared" si="117"/>
        <v>91600.457142857165</v>
      </c>
      <c r="N252" s="492" t="s">
        <v>2170</v>
      </c>
      <c r="O252" s="461" t="s">
        <v>2267</v>
      </c>
      <c r="P252" s="519" t="str">
        <f>$D$252</f>
        <v>m³</v>
      </c>
      <c r="Q252" s="518">
        <v>41.636571428571436</v>
      </c>
      <c r="R252" s="517">
        <f>$F$252</f>
        <v>1057576.2423809525</v>
      </c>
      <c r="S252" s="463">
        <f t="shared" si="113"/>
        <v>44033848.757054709</v>
      </c>
      <c r="T252" s="516">
        <v>2200</v>
      </c>
      <c r="U252" s="516">
        <f t="shared" si="118"/>
        <v>91600.457142857165</v>
      </c>
      <c r="V252" s="492" t="s">
        <v>2170</v>
      </c>
      <c r="W252" s="461" t="s">
        <v>2267</v>
      </c>
      <c r="X252" s="519" t="str">
        <f>$D$252</f>
        <v>m³</v>
      </c>
      <c r="Y252" s="518">
        <v>41.636571428571436</v>
      </c>
      <c r="Z252" s="517">
        <f>$F$252</f>
        <v>1057576.2423809525</v>
      </c>
      <c r="AA252" s="463">
        <f t="shared" si="115"/>
        <v>44033848.757054709</v>
      </c>
      <c r="AB252" s="516">
        <v>2200</v>
      </c>
      <c r="AC252" s="516">
        <f t="shared" si="119"/>
        <v>91600.457142857165</v>
      </c>
      <c r="AD252" s="492" t="s">
        <v>2170</v>
      </c>
      <c r="AE252" s="461" t="s">
        <v>2267</v>
      </c>
      <c r="AF252" s="519" t="str">
        <f>$D$252</f>
        <v>m³</v>
      </c>
      <c r="AG252" s="518">
        <v>41.636571428571436</v>
      </c>
      <c r="AH252" s="517">
        <f>$F$252</f>
        <v>1057576.2423809525</v>
      </c>
      <c r="AI252" s="463">
        <f t="shared" si="116"/>
        <v>44033848.757054709</v>
      </c>
      <c r="AJ252" s="516">
        <v>2200</v>
      </c>
      <c r="AK252" s="516">
        <f t="shared" si="120"/>
        <v>91600.457142857165</v>
      </c>
    </row>
    <row r="253" spans="2:37" ht="15" customHeight="1">
      <c r="B253" s="492" t="s">
        <v>2172</v>
      </c>
      <c r="C253" s="461" t="s">
        <v>2243</v>
      </c>
      <c r="D253" s="519" t="s">
        <v>1</v>
      </c>
      <c r="E253" s="518">
        <v>7872.844000000001</v>
      </c>
      <c r="F253" s="416">
        <f t="shared" si="111"/>
        <v>19478.039350000003</v>
      </c>
      <c r="G253" s="463">
        <f t="shared" si="114"/>
        <v>153347565.22841144</v>
      </c>
      <c r="H253" s="516">
        <v>1</v>
      </c>
      <c r="I253" s="516">
        <f t="shared" si="117"/>
        <v>7872.844000000001</v>
      </c>
      <c r="N253" s="492" t="s">
        <v>2172</v>
      </c>
      <c r="O253" s="461" t="s">
        <v>2243</v>
      </c>
      <c r="P253" s="519" t="str">
        <f>$D$253</f>
        <v>kg</v>
      </c>
      <c r="Q253" s="518">
        <v>7872.844000000001</v>
      </c>
      <c r="R253" s="517">
        <f>$F$253</f>
        <v>19478.039350000003</v>
      </c>
      <c r="S253" s="463">
        <f t="shared" si="113"/>
        <v>153347565.22841144</v>
      </c>
      <c r="T253" s="516">
        <v>1</v>
      </c>
      <c r="U253" s="516">
        <f t="shared" si="118"/>
        <v>7872.844000000001</v>
      </c>
      <c r="V253" s="492" t="s">
        <v>2172</v>
      </c>
      <c r="W253" s="461" t="s">
        <v>2243</v>
      </c>
      <c r="X253" s="519" t="str">
        <f>$D$253</f>
        <v>kg</v>
      </c>
      <c r="Y253" s="518">
        <v>7872.844000000001</v>
      </c>
      <c r="Z253" s="517">
        <f>$F$253</f>
        <v>19478.039350000003</v>
      </c>
      <c r="AA253" s="463">
        <f t="shared" si="115"/>
        <v>153347565.22841144</v>
      </c>
      <c r="AB253" s="516">
        <v>1</v>
      </c>
      <c r="AC253" s="516">
        <f t="shared" si="119"/>
        <v>7872.844000000001</v>
      </c>
      <c r="AD253" s="492" t="s">
        <v>2172</v>
      </c>
      <c r="AE253" s="461" t="s">
        <v>2243</v>
      </c>
      <c r="AF253" s="519" t="str">
        <f>$D$253</f>
        <v>kg</v>
      </c>
      <c r="AG253" s="518">
        <v>7872.844000000001</v>
      </c>
      <c r="AH253" s="517">
        <f>$F$253</f>
        <v>19478.039350000003</v>
      </c>
      <c r="AI253" s="463">
        <f t="shared" si="116"/>
        <v>153347565.22841144</v>
      </c>
      <c r="AJ253" s="516">
        <v>1</v>
      </c>
      <c r="AK253" s="516">
        <f t="shared" si="120"/>
        <v>7872.844000000001</v>
      </c>
    </row>
    <row r="254" spans="2:37" ht="15" customHeight="1">
      <c r="B254" s="492" t="s">
        <v>2268</v>
      </c>
      <c r="C254" s="461" t="s">
        <v>2244</v>
      </c>
      <c r="D254" s="519" t="s">
        <v>2245</v>
      </c>
      <c r="E254" s="518">
        <v>43.2</v>
      </c>
      <c r="F254" s="416">
        <f t="shared" si="111"/>
        <v>145812.67000000001</v>
      </c>
      <c r="G254" s="463">
        <f t="shared" si="114"/>
        <v>6299107.3440000005</v>
      </c>
      <c r="H254" s="516">
        <v>40</v>
      </c>
      <c r="I254" s="516">
        <f t="shared" si="117"/>
        <v>1728</v>
      </c>
      <c r="N254" s="492" t="s">
        <v>2268</v>
      </c>
      <c r="O254" s="461" t="s">
        <v>2244</v>
      </c>
      <c r="P254" s="519" t="str">
        <f>$D$254</f>
        <v>m²</v>
      </c>
      <c r="Q254" s="518">
        <v>43.2</v>
      </c>
      <c r="R254" s="517">
        <f>$F$254</f>
        <v>145812.67000000001</v>
      </c>
      <c r="S254" s="463">
        <f t="shared" si="113"/>
        <v>6299107.3440000005</v>
      </c>
      <c r="T254" s="516">
        <v>40</v>
      </c>
      <c r="U254" s="516">
        <f t="shared" si="118"/>
        <v>1728</v>
      </c>
      <c r="V254" s="492" t="s">
        <v>2268</v>
      </c>
      <c r="W254" s="461" t="s">
        <v>2244</v>
      </c>
      <c r="X254" s="519" t="str">
        <f>$D$254</f>
        <v>m²</v>
      </c>
      <c r="Y254" s="518">
        <v>43.2</v>
      </c>
      <c r="Z254" s="517">
        <f>$F$254</f>
        <v>145812.67000000001</v>
      </c>
      <c r="AA254" s="463">
        <f t="shared" si="115"/>
        <v>6299107.3440000005</v>
      </c>
      <c r="AB254" s="516">
        <v>40</v>
      </c>
      <c r="AC254" s="516">
        <f t="shared" si="119"/>
        <v>1728</v>
      </c>
      <c r="AD254" s="492" t="s">
        <v>2268</v>
      </c>
      <c r="AE254" s="461" t="s">
        <v>2244</v>
      </c>
      <c r="AF254" s="519" t="str">
        <f>$D$254</f>
        <v>m²</v>
      </c>
      <c r="AG254" s="518">
        <v>43.2</v>
      </c>
      <c r="AH254" s="517">
        <f>$F$254</f>
        <v>145812.67000000001</v>
      </c>
      <c r="AI254" s="463">
        <f t="shared" si="116"/>
        <v>6299107.3440000005</v>
      </c>
      <c r="AJ254" s="516">
        <v>40</v>
      </c>
      <c r="AK254" s="516">
        <f t="shared" si="120"/>
        <v>1728</v>
      </c>
    </row>
    <row r="255" spans="2:37" ht="15" customHeight="1">
      <c r="B255" s="492" t="s">
        <v>2176</v>
      </c>
      <c r="C255" s="491" t="s">
        <v>2246</v>
      </c>
      <c r="D255" s="519" t="s">
        <v>226</v>
      </c>
      <c r="E255" s="518">
        <v>4</v>
      </c>
      <c r="F255" s="416">
        <f t="shared" si="111"/>
        <v>100000</v>
      </c>
      <c r="G255" s="463">
        <f t="shared" si="114"/>
        <v>400000</v>
      </c>
      <c r="H255" s="516">
        <v>2.5</v>
      </c>
      <c r="I255" s="516">
        <f t="shared" si="117"/>
        <v>10</v>
      </c>
      <c r="N255" s="492" t="s">
        <v>2176</v>
      </c>
      <c r="O255" s="491" t="s">
        <v>2246</v>
      </c>
      <c r="P255" s="519" t="str">
        <f>$D$255</f>
        <v>bh</v>
      </c>
      <c r="Q255" s="518">
        <v>4</v>
      </c>
      <c r="R255" s="517">
        <f>$F$255</f>
        <v>100000</v>
      </c>
      <c r="S255" s="463">
        <f t="shared" si="113"/>
        <v>400000</v>
      </c>
      <c r="T255" s="516">
        <v>2.5</v>
      </c>
      <c r="U255" s="516">
        <f t="shared" si="118"/>
        <v>10</v>
      </c>
      <c r="V255" s="492" t="s">
        <v>2176</v>
      </c>
      <c r="W255" s="491" t="s">
        <v>2246</v>
      </c>
      <c r="X255" s="519" t="str">
        <f>$D$255</f>
        <v>bh</v>
      </c>
      <c r="Y255" s="518">
        <v>4</v>
      </c>
      <c r="Z255" s="517">
        <f>$F$255</f>
        <v>100000</v>
      </c>
      <c r="AA255" s="463">
        <f t="shared" si="115"/>
        <v>400000</v>
      </c>
      <c r="AB255" s="516">
        <v>2.5</v>
      </c>
      <c r="AC255" s="516">
        <f t="shared" si="119"/>
        <v>10</v>
      </c>
      <c r="AD255" s="492" t="s">
        <v>2176</v>
      </c>
      <c r="AE255" s="491" t="s">
        <v>2246</v>
      </c>
      <c r="AF255" s="519" t="str">
        <f>$D$255</f>
        <v>bh</v>
      </c>
      <c r="AG255" s="518">
        <v>4</v>
      </c>
      <c r="AH255" s="517">
        <f>$F$255</f>
        <v>100000</v>
      </c>
      <c r="AI255" s="463">
        <f t="shared" si="116"/>
        <v>400000</v>
      </c>
      <c r="AJ255" s="516">
        <v>2.5</v>
      </c>
      <c r="AK255" s="516">
        <f t="shared" si="120"/>
        <v>10</v>
      </c>
    </row>
    <row r="256" spans="2:37" ht="15" customHeight="1">
      <c r="B256" s="492"/>
      <c r="C256" s="461"/>
      <c r="D256" s="519"/>
      <c r="E256" s="428"/>
      <c r="F256" s="416">
        <f t="shared" si="111"/>
        <v>0</v>
      </c>
      <c r="G256" s="463"/>
      <c r="I256" s="516">
        <f>SUM(I249:I254)</f>
        <v>187467.30114285718</v>
      </c>
      <c r="N256" s="492"/>
      <c r="O256" s="461"/>
      <c r="P256" s="519"/>
      <c r="Q256" s="428"/>
      <c r="R256" s="517"/>
      <c r="S256" s="463">
        <f t="shared" si="113"/>
        <v>0</v>
      </c>
      <c r="U256" s="516">
        <f>SUM(U249:U254)</f>
        <v>187467.30114285718</v>
      </c>
      <c r="V256" s="492"/>
      <c r="W256" s="461"/>
      <c r="X256" s="519"/>
      <c r="Y256" s="428"/>
      <c r="Z256" s="517"/>
      <c r="AA256" s="463"/>
      <c r="AC256" s="516">
        <f>SUM(AC249:AC254)</f>
        <v>187467.30114285718</v>
      </c>
      <c r="AD256" s="492"/>
      <c r="AE256" s="461"/>
      <c r="AF256" s="519"/>
      <c r="AG256" s="428"/>
      <c r="AH256" s="517"/>
      <c r="AI256" s="463"/>
      <c r="AK256" s="516">
        <f>SUM(AK249:AK254)</f>
        <v>187467.30114285718</v>
      </c>
    </row>
    <row r="257" spans="2:35" ht="15" customHeight="1">
      <c r="B257" s="507">
        <v>3</v>
      </c>
      <c r="C257" s="460" t="s">
        <v>2086</v>
      </c>
      <c r="D257" s="519"/>
      <c r="E257" s="428"/>
      <c r="F257" s="416">
        <f t="shared" si="111"/>
        <v>0</v>
      </c>
      <c r="G257" s="463"/>
      <c r="N257" s="507">
        <v>3</v>
      </c>
      <c r="O257" s="460" t="s">
        <v>2086</v>
      </c>
      <c r="P257" s="519"/>
      <c r="Q257" s="428"/>
      <c r="R257" s="517"/>
      <c r="S257" s="463">
        <f t="shared" si="113"/>
        <v>0</v>
      </c>
      <c r="V257" s="507">
        <v>3</v>
      </c>
      <c r="W257" s="460" t="s">
        <v>2086</v>
      </c>
      <c r="X257" s="519"/>
      <c r="Y257" s="428"/>
      <c r="Z257" s="517"/>
      <c r="AA257" s="463"/>
      <c r="AD257" s="507">
        <v>3</v>
      </c>
      <c r="AE257" s="460" t="s">
        <v>2086</v>
      </c>
      <c r="AF257" s="519"/>
      <c r="AG257" s="428"/>
      <c r="AH257" s="517"/>
      <c r="AI257" s="463"/>
    </row>
    <row r="258" spans="2:35" ht="15" customHeight="1">
      <c r="B258" s="492" t="s">
        <v>721</v>
      </c>
      <c r="C258" s="461" t="s">
        <v>2247</v>
      </c>
      <c r="D258" s="519" t="s">
        <v>226</v>
      </c>
      <c r="E258" s="518">
        <v>4</v>
      </c>
      <c r="F258" s="416">
        <f t="shared" si="111"/>
        <v>181849.04</v>
      </c>
      <c r="G258" s="463">
        <f t="shared" ref="G258:G263" si="121">E258*F258</f>
        <v>727396.16</v>
      </c>
      <c r="N258" s="492" t="s">
        <v>721</v>
      </c>
      <c r="O258" s="461" t="s">
        <v>2247</v>
      </c>
      <c r="P258" s="519" t="str">
        <f>$D$258</f>
        <v>bh</v>
      </c>
      <c r="Q258" s="518">
        <v>4</v>
      </c>
      <c r="R258" s="517">
        <f>$F$258</f>
        <v>181849.04</v>
      </c>
      <c r="S258" s="463">
        <f t="shared" si="113"/>
        <v>727396.16</v>
      </c>
      <c r="V258" s="492" t="s">
        <v>721</v>
      </c>
      <c r="W258" s="461" t="s">
        <v>2247</v>
      </c>
      <c r="X258" s="519" t="str">
        <f>$D$258</f>
        <v>bh</v>
      </c>
      <c r="Y258" s="518">
        <v>4</v>
      </c>
      <c r="Z258" s="517">
        <f>$F$258</f>
        <v>181849.04</v>
      </c>
      <c r="AA258" s="463">
        <f t="shared" ref="AA258:AA263" si="122">Y258*Z258</f>
        <v>727396.16</v>
      </c>
      <c r="AD258" s="492" t="s">
        <v>721</v>
      </c>
      <c r="AE258" s="461" t="s">
        <v>2247</v>
      </c>
      <c r="AF258" s="519" t="str">
        <f>$D$258</f>
        <v>bh</v>
      </c>
      <c r="AG258" s="518">
        <v>4</v>
      </c>
      <c r="AH258" s="517">
        <f>$F$258</f>
        <v>181849.04</v>
      </c>
      <c r="AI258" s="463">
        <f t="shared" ref="AI258:AI263" si="123">AG258*AH258</f>
        <v>727396.16</v>
      </c>
    </row>
    <row r="259" spans="2:35" ht="15" customHeight="1">
      <c r="B259" s="492" t="s">
        <v>2166</v>
      </c>
      <c r="C259" s="461" t="s">
        <v>2085</v>
      </c>
      <c r="D259" s="519" t="s">
        <v>1</v>
      </c>
      <c r="E259" s="518">
        <f>I256</f>
        <v>187467.30114285718</v>
      </c>
      <c r="F259" s="416">
        <f t="shared" si="111"/>
        <v>462.7700000000001</v>
      </c>
      <c r="G259" s="463">
        <f t="shared" si="121"/>
        <v>86754242.949880034</v>
      </c>
      <c r="N259" s="492" t="s">
        <v>2166</v>
      </c>
      <c r="O259" s="461" t="s">
        <v>2085</v>
      </c>
      <c r="P259" s="519" t="str">
        <f>$D$259</f>
        <v>kg</v>
      </c>
      <c r="Q259" s="518">
        <f>U256</f>
        <v>187467.30114285718</v>
      </c>
      <c r="R259" s="517">
        <f>$F$259</f>
        <v>462.7700000000001</v>
      </c>
      <c r="S259" s="463">
        <f t="shared" si="113"/>
        <v>86754242.949880034</v>
      </c>
      <c r="V259" s="492" t="s">
        <v>2166</v>
      </c>
      <c r="W259" s="461" t="s">
        <v>2085</v>
      </c>
      <c r="X259" s="519" t="str">
        <f>$D$259</f>
        <v>kg</v>
      </c>
      <c r="Y259" s="518">
        <f>AC256</f>
        <v>187467.30114285718</v>
      </c>
      <c r="Z259" s="517">
        <f>$F$259</f>
        <v>462.7700000000001</v>
      </c>
      <c r="AA259" s="463">
        <f t="shared" si="122"/>
        <v>86754242.949880034</v>
      </c>
      <c r="AD259" s="492" t="s">
        <v>2166</v>
      </c>
      <c r="AE259" s="461" t="s">
        <v>2085</v>
      </c>
      <c r="AF259" s="519" t="str">
        <f>$D$259</f>
        <v>kg</v>
      </c>
      <c r="AG259" s="518">
        <f>AK256</f>
        <v>187467.30114285718</v>
      </c>
      <c r="AH259" s="517">
        <f>$F$259</f>
        <v>462.7700000000001</v>
      </c>
      <c r="AI259" s="463">
        <f t="shared" si="123"/>
        <v>86754242.949880034</v>
      </c>
    </row>
    <row r="260" spans="2:35" ht="15" customHeight="1">
      <c r="B260" s="492" t="s">
        <v>2168</v>
      </c>
      <c r="C260" s="461" t="s">
        <v>2249</v>
      </c>
      <c r="D260" s="519" t="s">
        <v>226</v>
      </c>
      <c r="E260" s="518">
        <v>4</v>
      </c>
      <c r="F260" s="416">
        <f t="shared" si="111"/>
        <v>387825</v>
      </c>
      <c r="G260" s="463">
        <f t="shared" si="121"/>
        <v>1551300</v>
      </c>
      <c r="N260" s="492" t="s">
        <v>2168</v>
      </c>
      <c r="O260" s="461" t="s">
        <v>2249</v>
      </c>
      <c r="P260" s="519" t="str">
        <f>$D$260</f>
        <v>bh</v>
      </c>
      <c r="Q260" s="518">
        <v>4</v>
      </c>
      <c r="R260" s="517">
        <f>$F$260</f>
        <v>387825</v>
      </c>
      <c r="S260" s="463">
        <f t="shared" si="113"/>
        <v>1551300</v>
      </c>
      <c r="V260" s="492" t="s">
        <v>2168</v>
      </c>
      <c r="W260" s="461" t="s">
        <v>2249</v>
      </c>
      <c r="X260" s="519" t="str">
        <f>$D$260</f>
        <v>bh</v>
      </c>
      <c r="Y260" s="518">
        <v>4</v>
      </c>
      <c r="Z260" s="517">
        <f>$F$260</f>
        <v>387825</v>
      </c>
      <c r="AA260" s="463">
        <f t="shared" si="122"/>
        <v>1551300</v>
      </c>
      <c r="AD260" s="492" t="s">
        <v>2168</v>
      </c>
      <c r="AE260" s="461" t="s">
        <v>2249</v>
      </c>
      <c r="AF260" s="519" t="str">
        <f>$D$260</f>
        <v>bh</v>
      </c>
      <c r="AG260" s="518">
        <v>4</v>
      </c>
      <c r="AH260" s="517">
        <f>$F$260</f>
        <v>387825</v>
      </c>
      <c r="AI260" s="463">
        <f t="shared" si="123"/>
        <v>1551300</v>
      </c>
    </row>
    <row r="261" spans="2:35" ht="15" customHeight="1">
      <c r="B261" s="492" t="s">
        <v>2170</v>
      </c>
      <c r="C261" s="461" t="s">
        <v>2250</v>
      </c>
      <c r="D261" s="519" t="s">
        <v>1</v>
      </c>
      <c r="E261" s="518">
        <v>150.93599999999998</v>
      </c>
      <c r="F261" s="416">
        <f t="shared" si="111"/>
        <v>3758.6984549742947</v>
      </c>
      <c r="G261" s="463">
        <f t="shared" si="121"/>
        <v>567322.91</v>
      </c>
      <c r="N261" s="492" t="s">
        <v>2170</v>
      </c>
      <c r="O261" s="461" t="s">
        <v>2250</v>
      </c>
      <c r="P261" s="519" t="str">
        <f>$D$261</f>
        <v>kg</v>
      </c>
      <c r="Q261" s="518">
        <v>239.61599999999999</v>
      </c>
      <c r="R261" s="517">
        <f>$F$261</f>
        <v>3758.6984549742947</v>
      </c>
      <c r="S261" s="463">
        <f t="shared" si="113"/>
        <v>900644.2889871205</v>
      </c>
      <c r="V261" s="492" t="s">
        <v>2170</v>
      </c>
      <c r="W261" s="461" t="s">
        <v>2269</v>
      </c>
      <c r="X261" s="519" t="str">
        <f>$D$261</f>
        <v>kg</v>
      </c>
      <c r="Y261" s="518">
        <v>311.47199999999998</v>
      </c>
      <c r="Z261" s="517">
        <f>$F$261</f>
        <v>3758.6984549742947</v>
      </c>
      <c r="AA261" s="463">
        <f t="shared" si="122"/>
        <v>1170729.3251677535</v>
      </c>
      <c r="AD261" s="492" t="s">
        <v>2170</v>
      </c>
      <c r="AE261" s="461" t="s">
        <v>2269</v>
      </c>
      <c r="AF261" s="519" t="str">
        <f>$D$261</f>
        <v>kg</v>
      </c>
      <c r="AG261" s="518">
        <v>403.17599999999999</v>
      </c>
      <c r="AH261" s="517">
        <f>$F$261</f>
        <v>3758.6984549742947</v>
      </c>
      <c r="AI261" s="463">
        <f t="shared" si="123"/>
        <v>1515417.0082827162</v>
      </c>
    </row>
    <row r="262" spans="2:35" ht="15" customHeight="1">
      <c r="B262" s="492" t="s">
        <v>2172</v>
      </c>
      <c r="C262" s="461" t="s">
        <v>2251</v>
      </c>
      <c r="D262" s="519" t="s">
        <v>455</v>
      </c>
      <c r="E262" s="518">
        <v>1</v>
      </c>
      <c r="F262" s="416">
        <f t="shared" si="111"/>
        <v>855127</v>
      </c>
      <c r="G262" s="463">
        <f t="shared" si="121"/>
        <v>855127</v>
      </c>
      <c r="N262" s="492" t="s">
        <v>2172</v>
      </c>
      <c r="O262" s="461" t="s">
        <v>2251</v>
      </c>
      <c r="P262" s="519" t="str">
        <f>$D$262</f>
        <v>set</v>
      </c>
      <c r="Q262" s="518">
        <v>1</v>
      </c>
      <c r="R262" s="517">
        <f>$F$262</f>
        <v>855127</v>
      </c>
      <c r="S262" s="463">
        <f t="shared" si="113"/>
        <v>855127</v>
      </c>
      <c r="V262" s="492" t="s">
        <v>2172</v>
      </c>
      <c r="W262" s="461" t="s">
        <v>2251</v>
      </c>
      <c r="X262" s="519" t="str">
        <f>$D$262</f>
        <v>set</v>
      </c>
      <c r="Y262" s="518">
        <v>1</v>
      </c>
      <c r="Z262" s="517">
        <f>$F$262</f>
        <v>855127</v>
      </c>
      <c r="AA262" s="463">
        <f t="shared" si="122"/>
        <v>855127</v>
      </c>
      <c r="AD262" s="492" t="s">
        <v>2172</v>
      </c>
      <c r="AE262" s="461" t="s">
        <v>2251</v>
      </c>
      <c r="AF262" s="519" t="str">
        <f>$D$262</f>
        <v>set</v>
      </c>
      <c r="AG262" s="518">
        <v>1</v>
      </c>
      <c r="AH262" s="517">
        <f>$F$262</f>
        <v>855127</v>
      </c>
      <c r="AI262" s="463">
        <f t="shared" si="123"/>
        <v>855127</v>
      </c>
    </row>
    <row r="263" spans="2:35" ht="15" customHeight="1">
      <c r="B263" s="492" t="s">
        <v>2174</v>
      </c>
      <c r="C263" s="461" t="s">
        <v>2252</v>
      </c>
      <c r="D263" s="519" t="s">
        <v>455</v>
      </c>
      <c r="E263" s="518">
        <v>1</v>
      </c>
      <c r="F263" s="416">
        <f t="shared" si="111"/>
        <v>674025</v>
      </c>
      <c r="G263" s="463">
        <f t="shared" si="121"/>
        <v>674025</v>
      </c>
      <c r="N263" s="492" t="s">
        <v>2174</v>
      </c>
      <c r="O263" s="461" t="s">
        <v>2252</v>
      </c>
      <c r="P263" s="519" t="str">
        <f>$D$263</f>
        <v>set</v>
      </c>
      <c r="Q263" s="518">
        <v>1</v>
      </c>
      <c r="R263" s="517">
        <f>$F$263</f>
        <v>674025</v>
      </c>
      <c r="S263" s="463">
        <f t="shared" si="113"/>
        <v>674025</v>
      </c>
      <c r="V263" s="492" t="s">
        <v>2174</v>
      </c>
      <c r="W263" s="461" t="s">
        <v>2252</v>
      </c>
      <c r="X263" s="519" t="str">
        <f>$D$263</f>
        <v>set</v>
      </c>
      <c r="Y263" s="518">
        <v>1</v>
      </c>
      <c r="Z263" s="517">
        <f>$F$263</f>
        <v>674025</v>
      </c>
      <c r="AA263" s="463">
        <f t="shared" si="122"/>
        <v>674025</v>
      </c>
      <c r="AD263" s="492" t="s">
        <v>2174</v>
      </c>
      <c r="AE263" s="461" t="s">
        <v>2252</v>
      </c>
      <c r="AF263" s="519" t="str">
        <f>$D$263</f>
        <v>set</v>
      </c>
      <c r="AG263" s="518">
        <v>1</v>
      </c>
      <c r="AH263" s="517">
        <f>$F$263</f>
        <v>674025</v>
      </c>
      <c r="AI263" s="463">
        <f t="shared" si="123"/>
        <v>674025</v>
      </c>
    </row>
    <row r="264" spans="2:35" ht="15" customHeight="1" thickBot="1">
      <c r="B264" s="459"/>
      <c r="C264" s="1194" t="s">
        <v>3239</v>
      </c>
      <c r="D264" s="1195"/>
      <c r="E264" s="1195"/>
      <c r="F264" s="1196"/>
      <c r="G264" s="458">
        <f>SUM(G244:G263)</f>
        <v>347618293.16317636</v>
      </c>
      <c r="N264" s="459"/>
      <c r="O264" s="1194" t="s">
        <v>3239</v>
      </c>
      <c r="P264" s="1195"/>
      <c r="Q264" s="1195"/>
      <c r="R264" s="1196"/>
      <c r="S264" s="458">
        <f>SUM(S243:S263)</f>
        <v>347951614.54216343</v>
      </c>
      <c r="V264" s="459"/>
      <c r="W264" s="1194" t="s">
        <v>3239</v>
      </c>
      <c r="X264" s="1195"/>
      <c r="Y264" s="1195"/>
      <c r="Z264" s="1196"/>
      <c r="AA264" s="458">
        <f>SUM(AA243:AA263)</f>
        <v>348221699.57834411</v>
      </c>
      <c r="AD264" s="459"/>
      <c r="AE264" s="1194" t="s">
        <v>3239</v>
      </c>
      <c r="AF264" s="1195"/>
      <c r="AG264" s="1195"/>
      <c r="AH264" s="1196"/>
      <c r="AI264" s="458">
        <f>SUM(AI243:AI263)</f>
        <v>348566387.26145905</v>
      </c>
    </row>
    <row r="265" spans="2:35" ht="15" customHeight="1" thickBot="1">
      <c r="B265" s="427"/>
      <c r="C265" s="427"/>
      <c r="D265" s="427"/>
      <c r="E265" s="427"/>
      <c r="F265" s="426"/>
      <c r="G265" s="426"/>
      <c r="N265" s="427"/>
      <c r="O265" s="427"/>
      <c r="P265" s="427"/>
      <c r="Q265" s="427"/>
      <c r="R265" s="427"/>
      <c r="S265" s="426"/>
      <c r="V265" s="427"/>
      <c r="W265" s="427"/>
      <c r="X265" s="427"/>
      <c r="Y265" s="427"/>
      <c r="Z265" s="427"/>
      <c r="AA265" s="426"/>
      <c r="AD265" s="427"/>
      <c r="AE265" s="427"/>
      <c r="AF265" s="427"/>
      <c r="AG265" s="427"/>
      <c r="AH265" s="427"/>
      <c r="AI265" s="426"/>
    </row>
    <row r="266" spans="2:35" ht="15" customHeight="1" thickBot="1">
      <c r="B266" s="452" t="s">
        <v>2229</v>
      </c>
      <c r="C266" s="435"/>
      <c r="D266" s="434">
        <v>6</v>
      </c>
      <c r="E266" s="433"/>
      <c r="F266" s="411"/>
      <c r="G266" s="431"/>
      <c r="N266" s="452" t="s">
        <v>2230</v>
      </c>
      <c r="O266" s="435"/>
      <c r="P266" s="434">
        <v>6</v>
      </c>
      <c r="Q266" s="433"/>
      <c r="R266" s="432"/>
      <c r="S266" s="431"/>
      <c r="V266" s="452" t="s">
        <v>2231</v>
      </c>
      <c r="W266" s="435"/>
      <c r="X266" s="434"/>
      <c r="Y266" s="433"/>
      <c r="Z266" s="432"/>
      <c r="AA266" s="431"/>
      <c r="AD266" s="452" t="s">
        <v>2254</v>
      </c>
      <c r="AE266" s="435"/>
      <c r="AF266" s="434"/>
      <c r="AG266" s="433"/>
      <c r="AH266" s="432"/>
      <c r="AI266" s="431"/>
    </row>
    <row r="267" spans="2:35" ht="15" customHeight="1">
      <c r="B267" s="446"/>
      <c r="C267" s="445" t="s">
        <v>3240</v>
      </c>
      <c r="D267" s="444"/>
      <c r="E267" s="443"/>
      <c r="F267" s="413"/>
      <c r="G267" s="441"/>
      <c r="N267" s="446"/>
      <c r="O267" s="445" t="s">
        <v>3240</v>
      </c>
      <c r="P267" s="444"/>
      <c r="Q267" s="443"/>
      <c r="R267" s="442"/>
      <c r="S267" s="441"/>
      <c r="V267" s="446"/>
      <c r="W267" s="445" t="s">
        <v>3241</v>
      </c>
      <c r="X267" s="444"/>
      <c r="Y267" s="443"/>
      <c r="Z267" s="442"/>
      <c r="AA267" s="441"/>
      <c r="AD267" s="446"/>
      <c r="AE267" s="445" t="s">
        <v>3241</v>
      </c>
      <c r="AF267" s="444"/>
      <c r="AG267" s="443"/>
      <c r="AH267" s="442"/>
      <c r="AI267" s="441"/>
    </row>
    <row r="268" spans="2:35" ht="15" customHeight="1">
      <c r="B268" s="468">
        <v>1</v>
      </c>
      <c r="C268" s="467" t="s">
        <v>2234</v>
      </c>
      <c r="D268" s="519"/>
      <c r="E268" s="430"/>
      <c r="F268" s="417"/>
      <c r="G268" s="486"/>
      <c r="N268" s="468">
        <v>1</v>
      </c>
      <c r="O268" s="467" t="s">
        <v>2234</v>
      </c>
      <c r="P268" s="519"/>
      <c r="Q268" s="430"/>
      <c r="R268" s="429"/>
      <c r="S268" s="486"/>
      <c r="V268" s="468">
        <v>1</v>
      </c>
      <c r="W268" s="467" t="s">
        <v>2234</v>
      </c>
      <c r="X268" s="519"/>
      <c r="Y268" s="430"/>
      <c r="Z268" s="429"/>
      <c r="AA268" s="486"/>
      <c r="AD268" s="468">
        <v>1</v>
      </c>
      <c r="AE268" s="467" t="s">
        <v>2234</v>
      </c>
      <c r="AF268" s="519"/>
      <c r="AG268" s="430"/>
      <c r="AH268" s="429"/>
      <c r="AI268" s="486"/>
    </row>
    <row r="269" spans="2:35" ht="15" customHeight="1">
      <c r="B269" s="492" t="s">
        <v>721</v>
      </c>
      <c r="C269" s="464" t="s">
        <v>2235</v>
      </c>
      <c r="D269" s="519" t="str">
        <f>$D$244</f>
        <v>m³</v>
      </c>
      <c r="E269" s="518">
        <v>50.35</v>
      </c>
      <c r="F269" s="416">
        <f>F244</f>
        <v>102390.75000000001</v>
      </c>
      <c r="G269" s="463">
        <f>E269*F269</f>
        <v>5155374.2625000011</v>
      </c>
      <c r="N269" s="492" t="s">
        <v>721</v>
      </c>
      <c r="O269" s="464" t="s">
        <v>2235</v>
      </c>
      <c r="P269" s="519" t="str">
        <f>$D$244</f>
        <v>m³</v>
      </c>
      <c r="Q269" s="518">
        <v>50.35</v>
      </c>
      <c r="R269" s="517">
        <f>$F$244</f>
        <v>102390.75000000001</v>
      </c>
      <c r="S269" s="463">
        <f>Q269*R269</f>
        <v>5155374.2625000011</v>
      </c>
      <c r="V269" s="492" t="s">
        <v>721</v>
      </c>
      <c r="W269" s="464" t="s">
        <v>2235</v>
      </c>
      <c r="X269" s="519" t="str">
        <f>$D$244</f>
        <v>m³</v>
      </c>
      <c r="Y269" s="518">
        <v>50.35</v>
      </c>
      <c r="Z269" s="517">
        <f>$F$244</f>
        <v>102390.75000000001</v>
      </c>
      <c r="AA269" s="463">
        <f>Y269*Z269</f>
        <v>5155374.2625000011</v>
      </c>
      <c r="AD269" s="492" t="s">
        <v>721</v>
      </c>
      <c r="AE269" s="464" t="s">
        <v>2235</v>
      </c>
      <c r="AF269" s="519" t="str">
        <f>$D$244</f>
        <v>m³</v>
      </c>
      <c r="AG269" s="518">
        <v>50.35</v>
      </c>
      <c r="AH269" s="517">
        <f>$F$244</f>
        <v>102390.75000000001</v>
      </c>
      <c r="AI269" s="463">
        <f>AG269*AH269</f>
        <v>5155374.2625000011</v>
      </c>
    </row>
    <row r="270" spans="2:35" ht="15" customHeight="1">
      <c r="B270" s="492" t="s">
        <v>2166</v>
      </c>
      <c r="C270" s="464" t="s">
        <v>2237</v>
      </c>
      <c r="D270" s="519" t="str">
        <f>$D$245</f>
        <v>m³</v>
      </c>
      <c r="E270" s="518">
        <v>12.160000000000002</v>
      </c>
      <c r="F270" s="416">
        <f t="shared" ref="F270:F288" si="124">F245</f>
        <v>62462.950000000012</v>
      </c>
      <c r="G270" s="463">
        <f t="shared" ref="G270:G271" si="125">E270*F270</f>
        <v>759549.4720000003</v>
      </c>
      <c r="N270" s="492" t="s">
        <v>2166</v>
      </c>
      <c r="O270" s="464" t="s">
        <v>2237</v>
      </c>
      <c r="P270" s="519" t="str">
        <f>$D$245</f>
        <v>m³</v>
      </c>
      <c r="Q270" s="518">
        <v>12.160000000000002</v>
      </c>
      <c r="R270" s="517">
        <f>$F$245</f>
        <v>62462.950000000012</v>
      </c>
      <c r="S270" s="463">
        <f t="shared" ref="S270:S288" si="126">Q270*R270</f>
        <v>759549.4720000003</v>
      </c>
      <c r="V270" s="492" t="s">
        <v>2166</v>
      </c>
      <c r="W270" s="464" t="s">
        <v>2237</v>
      </c>
      <c r="X270" s="519" t="str">
        <f>$D$245</f>
        <v>m³</v>
      </c>
      <c r="Y270" s="518">
        <v>12.160000000000002</v>
      </c>
      <c r="Z270" s="517">
        <f>$F$245</f>
        <v>62462.950000000012</v>
      </c>
      <c r="AA270" s="463">
        <f>Y270*Z270</f>
        <v>759549.4720000003</v>
      </c>
      <c r="AD270" s="492" t="s">
        <v>2166</v>
      </c>
      <c r="AE270" s="464" t="s">
        <v>2237</v>
      </c>
      <c r="AF270" s="519" t="str">
        <f>$D$245</f>
        <v>m³</v>
      </c>
      <c r="AG270" s="518">
        <v>12.160000000000002</v>
      </c>
      <c r="AH270" s="517">
        <f>$F$245</f>
        <v>62462.950000000012</v>
      </c>
      <c r="AI270" s="463">
        <f>AG270*AH270</f>
        <v>759549.4720000003</v>
      </c>
    </row>
    <row r="271" spans="2:35" ht="15" customHeight="1">
      <c r="B271" s="492" t="s">
        <v>2168</v>
      </c>
      <c r="C271" s="464" t="s">
        <v>2265</v>
      </c>
      <c r="D271" s="519" t="str">
        <f>$D$246</f>
        <v>m'</v>
      </c>
      <c r="E271" s="518">
        <v>176</v>
      </c>
      <c r="F271" s="416">
        <f t="shared" si="124"/>
        <v>52230.612500000003</v>
      </c>
      <c r="G271" s="463">
        <f t="shared" si="125"/>
        <v>9192587.8000000007</v>
      </c>
      <c r="N271" s="492" t="s">
        <v>2168</v>
      </c>
      <c r="O271" s="464" t="s">
        <v>2265</v>
      </c>
      <c r="P271" s="519" t="str">
        <f>$D$246</f>
        <v>m'</v>
      </c>
      <c r="Q271" s="518">
        <v>176</v>
      </c>
      <c r="R271" s="517">
        <f>$F$246</f>
        <v>52230.612500000003</v>
      </c>
      <c r="S271" s="463">
        <f t="shared" si="126"/>
        <v>9192587.8000000007</v>
      </c>
      <c r="V271" s="492" t="s">
        <v>2168</v>
      </c>
      <c r="W271" s="464" t="s">
        <v>2265</v>
      </c>
      <c r="X271" s="519" t="str">
        <f>$D$246</f>
        <v>m'</v>
      </c>
      <c r="Y271" s="518">
        <v>176</v>
      </c>
      <c r="Z271" s="517">
        <f>$F$246</f>
        <v>52230.612500000003</v>
      </c>
      <c r="AA271" s="463">
        <f>Y271*Z271</f>
        <v>9192587.8000000007</v>
      </c>
      <c r="AD271" s="492" t="s">
        <v>2168</v>
      </c>
      <c r="AE271" s="464" t="s">
        <v>2265</v>
      </c>
      <c r="AF271" s="519" t="str">
        <f>$D$246</f>
        <v>m'</v>
      </c>
      <c r="AG271" s="518">
        <v>176</v>
      </c>
      <c r="AH271" s="517">
        <f>$F$246</f>
        <v>52230.612500000003</v>
      </c>
      <c r="AI271" s="463">
        <f>AG271*AH271</f>
        <v>9192587.8000000007</v>
      </c>
    </row>
    <row r="272" spans="2:35" ht="15" customHeight="1">
      <c r="B272" s="462"/>
      <c r="C272" s="464"/>
      <c r="D272" s="519"/>
      <c r="E272" s="428"/>
      <c r="F272" s="416">
        <f t="shared" si="124"/>
        <v>0</v>
      </c>
      <c r="G272" s="463"/>
      <c r="N272" s="462"/>
      <c r="O272" s="464"/>
      <c r="P272" s="519"/>
      <c r="Q272" s="428"/>
      <c r="R272" s="517"/>
      <c r="S272" s="463">
        <f t="shared" si="126"/>
        <v>0</v>
      </c>
      <c r="V272" s="462"/>
      <c r="W272" s="464"/>
      <c r="X272" s="519"/>
      <c r="Y272" s="428"/>
      <c r="Z272" s="517"/>
      <c r="AA272" s="463"/>
      <c r="AD272" s="462"/>
      <c r="AE272" s="464"/>
      <c r="AF272" s="519"/>
      <c r="AG272" s="428"/>
      <c r="AH272" s="517"/>
      <c r="AI272" s="463"/>
    </row>
    <row r="273" spans="2:37" ht="15" customHeight="1">
      <c r="B273" s="507">
        <v>2</v>
      </c>
      <c r="C273" s="467" t="s">
        <v>2238</v>
      </c>
      <c r="D273" s="519"/>
      <c r="E273" s="428"/>
      <c r="F273" s="416">
        <f t="shared" si="124"/>
        <v>0</v>
      </c>
      <c r="G273" s="463"/>
      <c r="H273" s="516" t="s">
        <v>2239</v>
      </c>
      <c r="N273" s="507">
        <v>2</v>
      </c>
      <c r="O273" s="467" t="s">
        <v>2238</v>
      </c>
      <c r="P273" s="519"/>
      <c r="Q273" s="428"/>
      <c r="R273" s="517"/>
      <c r="S273" s="463">
        <f t="shared" si="126"/>
        <v>0</v>
      </c>
      <c r="T273" s="516" t="s">
        <v>2239</v>
      </c>
      <c r="V273" s="507">
        <v>2</v>
      </c>
      <c r="W273" s="467" t="s">
        <v>2238</v>
      </c>
      <c r="X273" s="519"/>
      <c r="Y273" s="428"/>
      <c r="Z273" s="517"/>
      <c r="AA273" s="463"/>
      <c r="AB273" s="516" t="s">
        <v>2239</v>
      </c>
      <c r="AD273" s="507">
        <v>2</v>
      </c>
      <c r="AE273" s="467" t="s">
        <v>2238</v>
      </c>
      <c r="AF273" s="519"/>
      <c r="AG273" s="428"/>
      <c r="AH273" s="517"/>
      <c r="AI273" s="463"/>
      <c r="AJ273" s="516" t="s">
        <v>2239</v>
      </c>
    </row>
    <row r="274" spans="2:37" ht="15" customHeight="1">
      <c r="B274" s="492" t="s">
        <v>721</v>
      </c>
      <c r="C274" s="464" t="s">
        <v>2240</v>
      </c>
      <c r="D274" s="519" t="str">
        <f>$D$249</f>
        <v>m³</v>
      </c>
      <c r="E274" s="518">
        <v>4.9000000000000004</v>
      </c>
      <c r="F274" s="416">
        <f t="shared" si="124"/>
        <v>404738.95</v>
      </c>
      <c r="G274" s="463">
        <f t="shared" ref="G274:G280" si="127">E274*F274</f>
        <v>1983220.8550000002</v>
      </c>
      <c r="H274" s="516">
        <v>1400</v>
      </c>
      <c r="I274" s="516">
        <f>E274*H274</f>
        <v>6860.0000000000009</v>
      </c>
      <c r="N274" s="492" t="s">
        <v>721</v>
      </c>
      <c r="O274" s="464" t="s">
        <v>2240</v>
      </c>
      <c r="P274" s="519" t="str">
        <f>$D$249</f>
        <v>m³</v>
      </c>
      <c r="Q274" s="518">
        <v>4.9000000000000004</v>
      </c>
      <c r="R274" s="517">
        <f>$F$249</f>
        <v>404738.95</v>
      </c>
      <c r="S274" s="463">
        <f t="shared" si="126"/>
        <v>1983220.8550000002</v>
      </c>
      <c r="T274" s="516">
        <v>1400</v>
      </c>
      <c r="U274" s="516">
        <f>Q274*T274</f>
        <v>6860.0000000000009</v>
      </c>
      <c r="V274" s="492" t="s">
        <v>721</v>
      </c>
      <c r="W274" s="464" t="s">
        <v>2240</v>
      </c>
      <c r="X274" s="519" t="str">
        <f>$D$249</f>
        <v>m³</v>
      </c>
      <c r="Y274" s="518">
        <v>4.9000000000000004</v>
      </c>
      <c r="Z274" s="517">
        <f>$F$249</f>
        <v>404738.95</v>
      </c>
      <c r="AA274" s="463">
        <f t="shared" ref="AA274:AA280" si="128">Y274*Z274</f>
        <v>1983220.8550000002</v>
      </c>
      <c r="AB274" s="516">
        <v>1400</v>
      </c>
      <c r="AC274" s="516">
        <f>Y274*AB274</f>
        <v>6860.0000000000009</v>
      </c>
      <c r="AD274" s="492" t="s">
        <v>721</v>
      </c>
      <c r="AE274" s="464" t="s">
        <v>2240</v>
      </c>
      <c r="AF274" s="519" t="str">
        <f>$D$249</f>
        <v>m³</v>
      </c>
      <c r="AG274" s="518">
        <v>4.9000000000000004</v>
      </c>
      <c r="AH274" s="517">
        <f>$F$249</f>
        <v>404738.95</v>
      </c>
      <c r="AI274" s="463">
        <f t="shared" ref="AI274:AI280" si="129">AG274*AH274</f>
        <v>1983220.8550000002</v>
      </c>
      <c r="AJ274" s="516">
        <v>1400</v>
      </c>
      <c r="AK274" s="516">
        <f>AG274*AJ274</f>
        <v>6860.0000000000009</v>
      </c>
    </row>
    <row r="275" spans="2:37" ht="15" customHeight="1">
      <c r="B275" s="492" t="s">
        <v>2166</v>
      </c>
      <c r="C275" s="461" t="s">
        <v>2241</v>
      </c>
      <c r="D275" s="519" t="str">
        <f>$D$250</f>
        <v>m³</v>
      </c>
      <c r="E275" s="518">
        <v>2.4500000000000002</v>
      </c>
      <c r="F275" s="416">
        <f t="shared" si="124"/>
        <v>710224.707936508</v>
      </c>
      <c r="G275" s="463">
        <f t="shared" si="127"/>
        <v>1740050.5344444448</v>
      </c>
      <c r="H275" s="516">
        <v>2200</v>
      </c>
      <c r="I275" s="516">
        <f t="shared" ref="I275:I280" si="130">E275*H275</f>
        <v>5390</v>
      </c>
      <c r="N275" s="492" t="s">
        <v>2166</v>
      </c>
      <c r="O275" s="461" t="s">
        <v>2241</v>
      </c>
      <c r="P275" s="519" t="str">
        <f>$D$250</f>
        <v>m³</v>
      </c>
      <c r="Q275" s="518">
        <v>2.4500000000000002</v>
      </c>
      <c r="R275" s="517">
        <f>$F$250</f>
        <v>710224.707936508</v>
      </c>
      <c r="S275" s="463">
        <f t="shared" si="126"/>
        <v>1740050.5344444448</v>
      </c>
      <c r="T275" s="516">
        <v>2200</v>
      </c>
      <c r="U275" s="516">
        <f t="shared" ref="U275:U280" si="131">Q275*T275</f>
        <v>5390</v>
      </c>
      <c r="V275" s="492" t="s">
        <v>2166</v>
      </c>
      <c r="W275" s="461" t="s">
        <v>2241</v>
      </c>
      <c r="X275" s="519" t="str">
        <f>$D$250</f>
        <v>m³</v>
      </c>
      <c r="Y275" s="518">
        <v>2.4500000000000002</v>
      </c>
      <c r="Z275" s="517">
        <f>$F$250</f>
        <v>710224.707936508</v>
      </c>
      <c r="AA275" s="463">
        <f t="shared" si="128"/>
        <v>1740050.5344444448</v>
      </c>
      <c r="AB275" s="516">
        <v>2200</v>
      </c>
      <c r="AC275" s="516">
        <f t="shared" ref="AC275:AC280" si="132">Y275*AB275</f>
        <v>5390</v>
      </c>
      <c r="AD275" s="492" t="s">
        <v>2166</v>
      </c>
      <c r="AE275" s="461" t="s">
        <v>2241</v>
      </c>
      <c r="AF275" s="519" t="str">
        <f>$D$250</f>
        <v>m³</v>
      </c>
      <c r="AG275" s="518">
        <v>2.4500000000000002</v>
      </c>
      <c r="AH275" s="517">
        <f>$F$250</f>
        <v>710224.707936508</v>
      </c>
      <c r="AI275" s="463">
        <f t="shared" si="129"/>
        <v>1740050.5344444448</v>
      </c>
      <c r="AJ275" s="516">
        <v>2200</v>
      </c>
      <c r="AK275" s="516">
        <f t="shared" ref="AK275:AK280" si="133">AG275*AJ275</f>
        <v>5390</v>
      </c>
    </row>
    <row r="276" spans="2:37" ht="15" customHeight="1">
      <c r="B276" s="492" t="s">
        <v>2168</v>
      </c>
      <c r="C276" s="461" t="s">
        <v>2266</v>
      </c>
      <c r="D276" s="519" t="str">
        <f>$D$251</f>
        <v>m³</v>
      </c>
      <c r="E276" s="518">
        <v>30.84</v>
      </c>
      <c r="F276" s="416">
        <f t="shared" si="124"/>
        <v>1115864.6138095236</v>
      </c>
      <c r="G276" s="463">
        <f t="shared" si="127"/>
        <v>34413264.689885706</v>
      </c>
      <c r="H276" s="516">
        <v>2400</v>
      </c>
      <c r="I276" s="516">
        <f t="shared" si="130"/>
        <v>74016</v>
      </c>
      <c r="N276" s="492" t="s">
        <v>2168</v>
      </c>
      <c r="O276" s="461" t="s">
        <v>2266</v>
      </c>
      <c r="P276" s="519" t="str">
        <f>$D$251</f>
        <v>m³</v>
      </c>
      <c r="Q276" s="518">
        <v>30.84</v>
      </c>
      <c r="R276" s="517">
        <f>$F$251</f>
        <v>1115864.6138095236</v>
      </c>
      <c r="S276" s="463">
        <f t="shared" si="126"/>
        <v>34413264.689885706</v>
      </c>
      <c r="T276" s="516">
        <v>2400</v>
      </c>
      <c r="U276" s="516">
        <f t="shared" si="131"/>
        <v>74016</v>
      </c>
      <c r="V276" s="492" t="s">
        <v>2168</v>
      </c>
      <c r="W276" s="461" t="str">
        <f>O276</f>
        <v>Beton K 225 (Pad &amp; Chimney)</v>
      </c>
      <c r="X276" s="519" t="str">
        <f>$D$251</f>
        <v>m³</v>
      </c>
      <c r="Y276" s="518">
        <v>30.84</v>
      </c>
      <c r="Z276" s="517">
        <f>$F$251</f>
        <v>1115864.6138095236</v>
      </c>
      <c r="AA276" s="463">
        <f t="shared" si="128"/>
        <v>34413264.689885706</v>
      </c>
      <c r="AB276" s="516">
        <v>2400</v>
      </c>
      <c r="AC276" s="516">
        <f t="shared" si="132"/>
        <v>74016</v>
      </c>
      <c r="AD276" s="492" t="s">
        <v>2168</v>
      </c>
      <c r="AE276" s="461" t="str">
        <f>W276</f>
        <v>Beton K 225 (Pad &amp; Chimney)</v>
      </c>
      <c r="AF276" s="519" t="str">
        <f>$D$251</f>
        <v>m³</v>
      </c>
      <c r="AG276" s="518">
        <v>30.84</v>
      </c>
      <c r="AH276" s="517">
        <f>$F$251</f>
        <v>1115864.6138095236</v>
      </c>
      <c r="AI276" s="463">
        <f t="shared" si="129"/>
        <v>34413264.689885706</v>
      </c>
      <c r="AJ276" s="516">
        <v>2400</v>
      </c>
      <c r="AK276" s="516">
        <f t="shared" si="133"/>
        <v>74016</v>
      </c>
    </row>
    <row r="277" spans="2:37" ht="15" customHeight="1">
      <c r="B277" s="492" t="s">
        <v>2170</v>
      </c>
      <c r="C277" s="461" t="s">
        <v>2267</v>
      </c>
      <c r="D277" s="519" t="str">
        <f>$D$252</f>
        <v>m³</v>
      </c>
      <c r="E277" s="518">
        <v>46.162285714285723</v>
      </c>
      <c r="F277" s="416">
        <f t="shared" si="124"/>
        <v>1057576.2423809525</v>
      </c>
      <c r="G277" s="463">
        <f t="shared" si="127"/>
        <v>48820136.665430218</v>
      </c>
      <c r="H277" s="516">
        <v>2200</v>
      </c>
      <c r="I277" s="516">
        <f t="shared" si="130"/>
        <v>101557.02857142859</v>
      </c>
      <c r="N277" s="492" t="s">
        <v>2170</v>
      </c>
      <c r="O277" s="461" t="s">
        <v>2267</v>
      </c>
      <c r="P277" s="519" t="str">
        <f>$D$252</f>
        <v>m³</v>
      </c>
      <c r="Q277" s="518">
        <v>46.162285714285723</v>
      </c>
      <c r="R277" s="517">
        <f>$F$252</f>
        <v>1057576.2423809525</v>
      </c>
      <c r="S277" s="463">
        <f t="shared" si="126"/>
        <v>48820136.665430218</v>
      </c>
      <c r="T277" s="516">
        <v>2200</v>
      </c>
      <c r="U277" s="516">
        <f t="shared" si="131"/>
        <v>101557.02857142859</v>
      </c>
      <c r="V277" s="492" t="s">
        <v>2170</v>
      </c>
      <c r="W277" s="461" t="s">
        <v>2267</v>
      </c>
      <c r="X277" s="519" t="str">
        <f>$D$252</f>
        <v>m³</v>
      </c>
      <c r="Y277" s="518">
        <v>46.162285714285723</v>
      </c>
      <c r="Z277" s="517">
        <f>$F$252</f>
        <v>1057576.2423809525</v>
      </c>
      <c r="AA277" s="463">
        <f t="shared" si="128"/>
        <v>48820136.665430218</v>
      </c>
      <c r="AB277" s="516">
        <v>2200</v>
      </c>
      <c r="AC277" s="516">
        <f t="shared" si="132"/>
        <v>101557.02857142859</v>
      </c>
      <c r="AD277" s="492" t="s">
        <v>2170</v>
      </c>
      <c r="AE277" s="461" t="s">
        <v>2267</v>
      </c>
      <c r="AF277" s="519" t="str">
        <f>$D$252</f>
        <v>m³</v>
      </c>
      <c r="AG277" s="518">
        <v>46.162285714285723</v>
      </c>
      <c r="AH277" s="517">
        <f>$F$252</f>
        <v>1057576.2423809525</v>
      </c>
      <c r="AI277" s="463">
        <f t="shared" si="129"/>
        <v>48820136.665430218</v>
      </c>
      <c r="AJ277" s="516">
        <v>2200</v>
      </c>
      <c r="AK277" s="516">
        <f t="shared" si="133"/>
        <v>101557.02857142859</v>
      </c>
    </row>
    <row r="278" spans="2:37" ht="15" customHeight="1">
      <c r="B278" s="492" t="s">
        <v>2172</v>
      </c>
      <c r="C278" s="461" t="s">
        <v>2243</v>
      </c>
      <c r="D278" s="519" t="str">
        <f>$D$253</f>
        <v>kg</v>
      </c>
      <c r="E278" s="518">
        <v>8419.0840000000007</v>
      </c>
      <c r="F278" s="416">
        <f t="shared" si="124"/>
        <v>19478.039350000003</v>
      </c>
      <c r="G278" s="463">
        <f t="shared" si="127"/>
        <v>163987249.44295543</v>
      </c>
      <c r="H278" s="516">
        <v>1</v>
      </c>
      <c r="I278" s="516">
        <f t="shared" si="130"/>
        <v>8419.0840000000007</v>
      </c>
      <c r="N278" s="492" t="s">
        <v>2172</v>
      </c>
      <c r="O278" s="461" t="s">
        <v>2243</v>
      </c>
      <c r="P278" s="519" t="str">
        <f>$D$253</f>
        <v>kg</v>
      </c>
      <c r="Q278" s="518">
        <v>8419.0840000000007</v>
      </c>
      <c r="R278" s="517">
        <f>$F$253</f>
        <v>19478.039350000003</v>
      </c>
      <c r="S278" s="463">
        <f t="shared" si="126"/>
        <v>163987249.44295543</v>
      </c>
      <c r="T278" s="516">
        <v>1</v>
      </c>
      <c r="U278" s="516">
        <f t="shared" si="131"/>
        <v>8419.0840000000007</v>
      </c>
      <c r="V278" s="492" t="s">
        <v>2172</v>
      </c>
      <c r="W278" s="461" t="s">
        <v>2243</v>
      </c>
      <c r="X278" s="519" t="str">
        <f>$D$253</f>
        <v>kg</v>
      </c>
      <c r="Y278" s="518">
        <v>8419.0840000000007</v>
      </c>
      <c r="Z278" s="517">
        <f>$F$253</f>
        <v>19478.039350000003</v>
      </c>
      <c r="AA278" s="463">
        <f t="shared" si="128"/>
        <v>163987249.44295543</v>
      </c>
      <c r="AB278" s="516">
        <v>1</v>
      </c>
      <c r="AC278" s="516">
        <f t="shared" si="132"/>
        <v>8419.0840000000007</v>
      </c>
      <c r="AD278" s="492" t="s">
        <v>2172</v>
      </c>
      <c r="AE278" s="461" t="s">
        <v>2243</v>
      </c>
      <c r="AF278" s="519" t="str">
        <f>$D$253</f>
        <v>kg</v>
      </c>
      <c r="AG278" s="518">
        <v>8419.0840000000007</v>
      </c>
      <c r="AH278" s="517">
        <f>$F$253</f>
        <v>19478.039350000003</v>
      </c>
      <c r="AI278" s="463">
        <f t="shared" si="129"/>
        <v>163987249.44295543</v>
      </c>
      <c r="AJ278" s="516">
        <v>1</v>
      </c>
      <c r="AK278" s="516">
        <f t="shared" si="133"/>
        <v>8419.0840000000007</v>
      </c>
    </row>
    <row r="279" spans="2:37" ht="15" customHeight="1">
      <c r="B279" s="492" t="s">
        <v>2268</v>
      </c>
      <c r="C279" s="461" t="s">
        <v>2244</v>
      </c>
      <c r="D279" s="519" t="str">
        <f>$D$254</f>
        <v>m²</v>
      </c>
      <c r="E279" s="518">
        <v>43.2</v>
      </c>
      <c r="F279" s="416">
        <f t="shared" si="124"/>
        <v>145812.67000000001</v>
      </c>
      <c r="G279" s="463">
        <f t="shared" si="127"/>
        <v>6299107.3440000005</v>
      </c>
      <c r="H279" s="516">
        <v>40</v>
      </c>
      <c r="I279" s="516">
        <f t="shared" si="130"/>
        <v>1728</v>
      </c>
      <c r="N279" s="492" t="s">
        <v>2268</v>
      </c>
      <c r="O279" s="461" t="s">
        <v>2244</v>
      </c>
      <c r="P279" s="519" t="str">
        <f>$D$254</f>
        <v>m²</v>
      </c>
      <c r="Q279" s="518">
        <v>43.2</v>
      </c>
      <c r="R279" s="517">
        <f>$F$254</f>
        <v>145812.67000000001</v>
      </c>
      <c r="S279" s="463">
        <f t="shared" si="126"/>
        <v>6299107.3440000005</v>
      </c>
      <c r="T279" s="516">
        <v>40</v>
      </c>
      <c r="U279" s="516">
        <f t="shared" si="131"/>
        <v>1728</v>
      </c>
      <c r="V279" s="492" t="s">
        <v>2268</v>
      </c>
      <c r="W279" s="461" t="s">
        <v>2244</v>
      </c>
      <c r="X279" s="519" t="str">
        <f>$D$254</f>
        <v>m²</v>
      </c>
      <c r="Y279" s="518">
        <v>43.2</v>
      </c>
      <c r="Z279" s="517">
        <f>$F$254</f>
        <v>145812.67000000001</v>
      </c>
      <c r="AA279" s="463">
        <f t="shared" si="128"/>
        <v>6299107.3440000005</v>
      </c>
      <c r="AB279" s="516">
        <v>40</v>
      </c>
      <c r="AC279" s="516">
        <f t="shared" si="132"/>
        <v>1728</v>
      </c>
      <c r="AD279" s="492" t="s">
        <v>2268</v>
      </c>
      <c r="AE279" s="461" t="s">
        <v>2244</v>
      </c>
      <c r="AF279" s="519" t="str">
        <f>$D$254</f>
        <v>m²</v>
      </c>
      <c r="AG279" s="518">
        <v>43.2</v>
      </c>
      <c r="AH279" s="517">
        <f>$F$254</f>
        <v>145812.67000000001</v>
      </c>
      <c r="AI279" s="463">
        <f t="shared" si="129"/>
        <v>6299107.3440000005</v>
      </c>
      <c r="AJ279" s="516">
        <v>40</v>
      </c>
      <c r="AK279" s="516">
        <f t="shared" si="133"/>
        <v>1728</v>
      </c>
    </row>
    <row r="280" spans="2:37" ht="15" customHeight="1">
      <c r="B280" s="492" t="s">
        <v>2176</v>
      </c>
      <c r="C280" s="491" t="s">
        <v>2246</v>
      </c>
      <c r="D280" s="519" t="str">
        <f>$D$255</f>
        <v>bh</v>
      </c>
      <c r="E280" s="518">
        <v>4</v>
      </c>
      <c r="F280" s="416">
        <f t="shared" si="124"/>
        <v>100000</v>
      </c>
      <c r="G280" s="463">
        <f t="shared" si="127"/>
        <v>400000</v>
      </c>
      <c r="H280" s="516">
        <v>2.5</v>
      </c>
      <c r="I280" s="516">
        <f t="shared" si="130"/>
        <v>10</v>
      </c>
      <c r="N280" s="492" t="s">
        <v>2176</v>
      </c>
      <c r="O280" s="491" t="s">
        <v>2246</v>
      </c>
      <c r="P280" s="519" t="str">
        <f>$D$255</f>
        <v>bh</v>
      </c>
      <c r="Q280" s="518">
        <v>4</v>
      </c>
      <c r="R280" s="517">
        <f>$F$255</f>
        <v>100000</v>
      </c>
      <c r="S280" s="463">
        <f t="shared" si="126"/>
        <v>400000</v>
      </c>
      <c r="T280" s="516">
        <v>2.5</v>
      </c>
      <c r="U280" s="516">
        <f t="shared" si="131"/>
        <v>10</v>
      </c>
      <c r="V280" s="492" t="s">
        <v>2176</v>
      </c>
      <c r="W280" s="491" t="s">
        <v>2246</v>
      </c>
      <c r="X280" s="519" t="str">
        <f>$D$255</f>
        <v>bh</v>
      </c>
      <c r="Y280" s="518">
        <v>4</v>
      </c>
      <c r="Z280" s="517">
        <f>$F$255</f>
        <v>100000</v>
      </c>
      <c r="AA280" s="463">
        <f t="shared" si="128"/>
        <v>400000</v>
      </c>
      <c r="AB280" s="516">
        <v>2.5</v>
      </c>
      <c r="AC280" s="516">
        <f t="shared" si="132"/>
        <v>10</v>
      </c>
      <c r="AD280" s="492" t="s">
        <v>2176</v>
      </c>
      <c r="AE280" s="491" t="s">
        <v>2246</v>
      </c>
      <c r="AF280" s="519" t="str">
        <f>$D$255</f>
        <v>bh</v>
      </c>
      <c r="AG280" s="518">
        <v>4</v>
      </c>
      <c r="AH280" s="517">
        <f>$F$255</f>
        <v>100000</v>
      </c>
      <c r="AI280" s="463">
        <f t="shared" si="129"/>
        <v>400000</v>
      </c>
      <c r="AJ280" s="516">
        <v>2.5</v>
      </c>
      <c r="AK280" s="516">
        <f t="shared" si="133"/>
        <v>10</v>
      </c>
    </row>
    <row r="281" spans="2:37" ht="15" customHeight="1">
      <c r="B281" s="492"/>
      <c r="C281" s="461"/>
      <c r="D281" s="519"/>
      <c r="E281" s="428"/>
      <c r="F281" s="416">
        <f t="shared" si="124"/>
        <v>0</v>
      </c>
      <c r="G281" s="463"/>
      <c r="I281" s="516">
        <f>SUM(I274:I279)</f>
        <v>197970.11257142859</v>
      </c>
      <c r="N281" s="492"/>
      <c r="O281" s="461"/>
      <c r="P281" s="519"/>
      <c r="Q281" s="428"/>
      <c r="R281" s="517"/>
      <c r="S281" s="463">
        <f t="shared" si="126"/>
        <v>0</v>
      </c>
      <c r="U281" s="516">
        <f>SUM(U274:U279)</f>
        <v>197970.11257142859</v>
      </c>
      <c r="V281" s="492"/>
      <c r="W281" s="461"/>
      <c r="X281" s="519"/>
      <c r="Y281" s="428"/>
      <c r="Z281" s="517"/>
      <c r="AA281" s="463"/>
      <c r="AC281" s="516">
        <f>SUM(AC274:AC279)</f>
        <v>197970.11257142859</v>
      </c>
      <c r="AD281" s="492"/>
      <c r="AE281" s="461"/>
      <c r="AF281" s="519"/>
      <c r="AG281" s="428"/>
      <c r="AH281" s="517"/>
      <c r="AI281" s="463"/>
      <c r="AK281" s="516">
        <f>SUM(AK274:AK279)</f>
        <v>197970.11257142859</v>
      </c>
    </row>
    <row r="282" spans="2:37" ht="15" customHeight="1">
      <c r="B282" s="507">
        <v>3</v>
      </c>
      <c r="C282" s="460" t="s">
        <v>2086</v>
      </c>
      <c r="D282" s="519"/>
      <c r="E282" s="428"/>
      <c r="F282" s="416">
        <f t="shared" si="124"/>
        <v>0</v>
      </c>
      <c r="G282" s="463"/>
      <c r="N282" s="507">
        <v>3</v>
      </c>
      <c r="O282" s="460" t="s">
        <v>2086</v>
      </c>
      <c r="P282" s="519"/>
      <c r="Q282" s="428"/>
      <c r="R282" s="517"/>
      <c r="S282" s="463">
        <f t="shared" si="126"/>
        <v>0</v>
      </c>
      <c r="V282" s="507">
        <v>3</v>
      </c>
      <c r="W282" s="460" t="s">
        <v>2086</v>
      </c>
      <c r="X282" s="519"/>
      <c r="Y282" s="428"/>
      <c r="Z282" s="517"/>
      <c r="AA282" s="463"/>
      <c r="AD282" s="507">
        <v>3</v>
      </c>
      <c r="AE282" s="460" t="s">
        <v>2086</v>
      </c>
      <c r="AF282" s="519"/>
      <c r="AG282" s="428"/>
      <c r="AH282" s="517"/>
      <c r="AI282" s="463"/>
    </row>
    <row r="283" spans="2:37" ht="15" customHeight="1">
      <c r="B283" s="492" t="s">
        <v>721</v>
      </c>
      <c r="C283" s="461" t="s">
        <v>2247</v>
      </c>
      <c r="D283" s="519" t="str">
        <f>$D$258</f>
        <v>bh</v>
      </c>
      <c r="E283" s="518">
        <v>4</v>
      </c>
      <c r="F283" s="416">
        <f t="shared" si="124"/>
        <v>181849.04</v>
      </c>
      <c r="G283" s="463">
        <f t="shared" ref="G283:G288" si="134">E283*F283</f>
        <v>727396.16</v>
      </c>
      <c r="N283" s="492" t="s">
        <v>721</v>
      </c>
      <c r="O283" s="461" t="s">
        <v>2247</v>
      </c>
      <c r="P283" s="519" t="str">
        <f>$D$258</f>
        <v>bh</v>
      </c>
      <c r="Q283" s="518">
        <v>4</v>
      </c>
      <c r="R283" s="517">
        <f>$F$258</f>
        <v>181849.04</v>
      </c>
      <c r="S283" s="463">
        <f t="shared" si="126"/>
        <v>727396.16</v>
      </c>
      <c r="V283" s="492" t="s">
        <v>721</v>
      </c>
      <c r="W283" s="461" t="s">
        <v>2247</v>
      </c>
      <c r="X283" s="519" t="str">
        <f>$D$258</f>
        <v>bh</v>
      </c>
      <c r="Y283" s="518">
        <v>4</v>
      </c>
      <c r="Z283" s="517">
        <f>$F$258</f>
        <v>181849.04</v>
      </c>
      <c r="AA283" s="463">
        <f t="shared" ref="AA283:AA288" si="135">Y283*Z283</f>
        <v>727396.16</v>
      </c>
      <c r="AD283" s="492" t="s">
        <v>721</v>
      </c>
      <c r="AE283" s="461" t="s">
        <v>2247</v>
      </c>
      <c r="AF283" s="519" t="str">
        <f>$D$258</f>
        <v>bh</v>
      </c>
      <c r="AG283" s="518">
        <v>4</v>
      </c>
      <c r="AH283" s="517">
        <f>$F$258</f>
        <v>181849.04</v>
      </c>
      <c r="AI283" s="463">
        <f t="shared" ref="AI283:AI288" si="136">AG283*AH283</f>
        <v>727396.16</v>
      </c>
    </row>
    <row r="284" spans="2:37" ht="15" customHeight="1">
      <c r="B284" s="492" t="s">
        <v>2166</v>
      </c>
      <c r="C284" s="461" t="s">
        <v>2085</v>
      </c>
      <c r="D284" s="519" t="str">
        <f>$D$259</f>
        <v>kg</v>
      </c>
      <c r="E284" s="518">
        <f>I281</f>
        <v>197970.11257142859</v>
      </c>
      <c r="F284" s="416">
        <f t="shared" si="124"/>
        <v>462.7700000000001</v>
      </c>
      <c r="G284" s="463">
        <f t="shared" si="134"/>
        <v>91614628.994680032</v>
      </c>
      <c r="N284" s="492" t="s">
        <v>2166</v>
      </c>
      <c r="O284" s="461" t="s">
        <v>2085</v>
      </c>
      <c r="P284" s="519" t="str">
        <f>$D$259</f>
        <v>kg</v>
      </c>
      <c r="Q284" s="518">
        <f>U281</f>
        <v>197970.11257142859</v>
      </c>
      <c r="R284" s="517">
        <f>$F$259</f>
        <v>462.7700000000001</v>
      </c>
      <c r="S284" s="463">
        <f t="shared" si="126"/>
        <v>91614628.994680032</v>
      </c>
      <c r="V284" s="492" t="s">
        <v>2166</v>
      </c>
      <c r="W284" s="461" t="s">
        <v>2085</v>
      </c>
      <c r="X284" s="519" t="str">
        <f>$D$259</f>
        <v>kg</v>
      </c>
      <c r="Y284" s="518">
        <f>AC281</f>
        <v>197970.11257142859</v>
      </c>
      <c r="Z284" s="517">
        <f>$F$259</f>
        <v>462.7700000000001</v>
      </c>
      <c r="AA284" s="463">
        <f t="shared" si="135"/>
        <v>91614628.994680032</v>
      </c>
      <c r="AD284" s="492" t="s">
        <v>2166</v>
      </c>
      <c r="AE284" s="461" t="s">
        <v>2085</v>
      </c>
      <c r="AF284" s="519" t="str">
        <f>$D$259</f>
        <v>kg</v>
      </c>
      <c r="AG284" s="518">
        <f>AK281</f>
        <v>197970.11257142859</v>
      </c>
      <c r="AH284" s="517">
        <f>$F$259</f>
        <v>462.7700000000001</v>
      </c>
      <c r="AI284" s="463">
        <f t="shared" si="136"/>
        <v>91614628.994680032</v>
      </c>
    </row>
    <row r="285" spans="2:37" ht="15" customHeight="1">
      <c r="B285" s="492" t="s">
        <v>2168</v>
      </c>
      <c r="C285" s="461" t="s">
        <v>2249</v>
      </c>
      <c r="D285" s="519" t="str">
        <f>$D$260</f>
        <v>bh</v>
      </c>
      <c r="E285" s="518">
        <v>4</v>
      </c>
      <c r="F285" s="416">
        <f t="shared" si="124"/>
        <v>387825</v>
      </c>
      <c r="G285" s="463">
        <f t="shared" si="134"/>
        <v>1551300</v>
      </c>
      <c r="N285" s="492" t="s">
        <v>2168</v>
      </c>
      <c r="O285" s="461" t="s">
        <v>2249</v>
      </c>
      <c r="P285" s="519" t="str">
        <f>$D$260</f>
        <v>bh</v>
      </c>
      <c r="Q285" s="518">
        <v>4</v>
      </c>
      <c r="R285" s="517">
        <f>$F$260</f>
        <v>387825</v>
      </c>
      <c r="S285" s="463">
        <f t="shared" si="126"/>
        <v>1551300</v>
      </c>
      <c r="V285" s="492" t="s">
        <v>2168</v>
      </c>
      <c r="W285" s="461" t="s">
        <v>2249</v>
      </c>
      <c r="X285" s="519" t="str">
        <f>$D$260</f>
        <v>bh</v>
      </c>
      <c r="Y285" s="518">
        <v>4</v>
      </c>
      <c r="Z285" s="517">
        <f>$F$260</f>
        <v>387825</v>
      </c>
      <c r="AA285" s="463">
        <f t="shared" si="135"/>
        <v>1551300</v>
      </c>
      <c r="AD285" s="492" t="s">
        <v>2168</v>
      </c>
      <c r="AE285" s="461" t="s">
        <v>2249</v>
      </c>
      <c r="AF285" s="519" t="str">
        <f>$D$260</f>
        <v>bh</v>
      </c>
      <c r="AG285" s="518">
        <v>4</v>
      </c>
      <c r="AH285" s="517">
        <f>$F$260</f>
        <v>387825</v>
      </c>
      <c r="AI285" s="463">
        <f t="shared" si="136"/>
        <v>1551300</v>
      </c>
    </row>
    <row r="286" spans="2:37" ht="15" customHeight="1">
      <c r="B286" s="492" t="s">
        <v>2170</v>
      </c>
      <c r="C286" s="461" t="s">
        <v>2250</v>
      </c>
      <c r="D286" s="519" t="str">
        <f>$D$261</f>
        <v>kg</v>
      </c>
      <c r="E286" s="518">
        <v>150.93599999999998</v>
      </c>
      <c r="F286" s="416">
        <f t="shared" si="124"/>
        <v>3758.6984549742947</v>
      </c>
      <c r="G286" s="463">
        <f t="shared" si="134"/>
        <v>567322.91</v>
      </c>
      <c r="N286" s="492" t="s">
        <v>2170</v>
      </c>
      <c r="O286" s="461" t="s">
        <v>2250</v>
      </c>
      <c r="P286" s="519" t="str">
        <f>$D$261</f>
        <v>kg</v>
      </c>
      <c r="Q286" s="518">
        <v>239.61599999999999</v>
      </c>
      <c r="R286" s="517">
        <f>$F$261</f>
        <v>3758.6984549742947</v>
      </c>
      <c r="S286" s="463">
        <f t="shared" si="126"/>
        <v>900644.2889871205</v>
      </c>
      <c r="V286" s="492" t="s">
        <v>2170</v>
      </c>
      <c r="W286" s="461" t="s">
        <v>2269</v>
      </c>
      <c r="X286" s="519" t="str">
        <f>$D$261</f>
        <v>kg</v>
      </c>
      <c r="Y286" s="518">
        <v>311.47199999999998</v>
      </c>
      <c r="Z286" s="517">
        <f>$F$261</f>
        <v>3758.6984549742947</v>
      </c>
      <c r="AA286" s="463">
        <f t="shared" si="135"/>
        <v>1170729.3251677535</v>
      </c>
      <c r="AD286" s="492" t="s">
        <v>2170</v>
      </c>
      <c r="AE286" s="461" t="s">
        <v>2269</v>
      </c>
      <c r="AF286" s="519" t="str">
        <f>$D$261</f>
        <v>kg</v>
      </c>
      <c r="AG286" s="518">
        <v>403.17599999999999</v>
      </c>
      <c r="AH286" s="517">
        <f>$F$261</f>
        <v>3758.6984549742947</v>
      </c>
      <c r="AI286" s="463">
        <f t="shared" si="136"/>
        <v>1515417.0082827162</v>
      </c>
    </row>
    <row r="287" spans="2:37" ht="15" customHeight="1">
      <c r="B287" s="492" t="s">
        <v>2172</v>
      </c>
      <c r="C287" s="461" t="s">
        <v>2251</v>
      </c>
      <c r="D287" s="519" t="str">
        <f>$D$262</f>
        <v>set</v>
      </c>
      <c r="E287" s="518">
        <v>1</v>
      </c>
      <c r="F287" s="416">
        <f t="shared" si="124"/>
        <v>855127</v>
      </c>
      <c r="G287" s="463">
        <f t="shared" si="134"/>
        <v>855127</v>
      </c>
      <c r="N287" s="492" t="s">
        <v>2172</v>
      </c>
      <c r="O287" s="461" t="s">
        <v>2251</v>
      </c>
      <c r="P287" s="519" t="str">
        <f>$D$262</f>
        <v>set</v>
      </c>
      <c r="Q287" s="518">
        <v>1</v>
      </c>
      <c r="R287" s="517">
        <f>$F$262</f>
        <v>855127</v>
      </c>
      <c r="S287" s="463">
        <f t="shared" si="126"/>
        <v>855127</v>
      </c>
      <c r="V287" s="492" t="s">
        <v>2172</v>
      </c>
      <c r="W287" s="461" t="s">
        <v>2251</v>
      </c>
      <c r="X287" s="519" t="str">
        <f>$D$262</f>
        <v>set</v>
      </c>
      <c r="Y287" s="518">
        <v>1</v>
      </c>
      <c r="Z287" s="517">
        <f>$F$262</f>
        <v>855127</v>
      </c>
      <c r="AA287" s="463">
        <f t="shared" si="135"/>
        <v>855127</v>
      </c>
      <c r="AD287" s="492" t="s">
        <v>2172</v>
      </c>
      <c r="AE287" s="461" t="s">
        <v>2251</v>
      </c>
      <c r="AF287" s="519" t="str">
        <f>$D$262</f>
        <v>set</v>
      </c>
      <c r="AG287" s="518">
        <v>1</v>
      </c>
      <c r="AH287" s="517">
        <f>$F$262</f>
        <v>855127</v>
      </c>
      <c r="AI287" s="463">
        <f t="shared" si="136"/>
        <v>855127</v>
      </c>
    </row>
    <row r="288" spans="2:37" ht="15" customHeight="1">
      <c r="B288" s="492" t="s">
        <v>2174</v>
      </c>
      <c r="C288" s="461" t="s">
        <v>2252</v>
      </c>
      <c r="D288" s="519" t="str">
        <f>$D$263</f>
        <v>set</v>
      </c>
      <c r="E288" s="518">
        <v>1</v>
      </c>
      <c r="F288" s="416">
        <f t="shared" si="124"/>
        <v>674025</v>
      </c>
      <c r="G288" s="463">
        <f t="shared" si="134"/>
        <v>674025</v>
      </c>
      <c r="N288" s="492" t="s">
        <v>2174</v>
      </c>
      <c r="O288" s="461" t="s">
        <v>2252</v>
      </c>
      <c r="P288" s="519" t="str">
        <f>$D$263</f>
        <v>set</v>
      </c>
      <c r="Q288" s="518">
        <v>1</v>
      </c>
      <c r="R288" s="517">
        <f>$F$263</f>
        <v>674025</v>
      </c>
      <c r="S288" s="463">
        <f t="shared" si="126"/>
        <v>674025</v>
      </c>
      <c r="V288" s="492" t="s">
        <v>2174</v>
      </c>
      <c r="W288" s="461" t="s">
        <v>2252</v>
      </c>
      <c r="X288" s="519" t="str">
        <f>$D$263</f>
        <v>set</v>
      </c>
      <c r="Y288" s="518">
        <v>1</v>
      </c>
      <c r="Z288" s="517">
        <f>$F$263</f>
        <v>674025</v>
      </c>
      <c r="AA288" s="463">
        <f t="shared" si="135"/>
        <v>674025</v>
      </c>
      <c r="AD288" s="492" t="s">
        <v>2174</v>
      </c>
      <c r="AE288" s="461" t="s">
        <v>2252</v>
      </c>
      <c r="AF288" s="519" t="str">
        <f>$D$263</f>
        <v>set</v>
      </c>
      <c r="AG288" s="518">
        <v>1</v>
      </c>
      <c r="AH288" s="517">
        <f>$F$263</f>
        <v>674025</v>
      </c>
      <c r="AI288" s="463">
        <f t="shared" si="136"/>
        <v>674025</v>
      </c>
    </row>
    <row r="289" spans="2:37" ht="15" customHeight="1" thickBot="1">
      <c r="B289" s="459"/>
      <c r="C289" s="1194" t="s">
        <v>3242</v>
      </c>
      <c r="D289" s="1195"/>
      <c r="E289" s="1195"/>
      <c r="F289" s="1196"/>
      <c r="G289" s="458">
        <f>SUM(G269:G288)</f>
        <v>368740341.13089591</v>
      </c>
      <c r="N289" s="459"/>
      <c r="O289" s="1194" t="s">
        <v>3242</v>
      </c>
      <c r="P289" s="1195"/>
      <c r="Q289" s="1195"/>
      <c r="R289" s="1196"/>
      <c r="S289" s="458">
        <f>SUM(S268:S288)</f>
        <v>369073662.50988299</v>
      </c>
      <c r="V289" s="459"/>
      <c r="W289" s="1194" t="s">
        <v>3242</v>
      </c>
      <c r="X289" s="1195"/>
      <c r="Y289" s="1195"/>
      <c r="Z289" s="1196"/>
      <c r="AA289" s="458">
        <f>SUM(AA268:AA288)</f>
        <v>369343747.54606366</v>
      </c>
      <c r="AD289" s="459"/>
      <c r="AE289" s="1194" t="s">
        <v>3242</v>
      </c>
      <c r="AF289" s="1195"/>
      <c r="AG289" s="1195"/>
      <c r="AH289" s="1196"/>
      <c r="AI289" s="458">
        <f>SUM(AI268:AI288)</f>
        <v>369688435.22917861</v>
      </c>
    </row>
    <row r="290" spans="2:37" ht="15" customHeight="1" thickBot="1">
      <c r="B290" s="427"/>
      <c r="C290" s="427"/>
      <c r="D290" s="427"/>
      <c r="E290" s="427"/>
      <c r="F290" s="426"/>
      <c r="G290" s="426"/>
      <c r="N290" s="427"/>
      <c r="O290" s="427"/>
      <c r="P290" s="427"/>
      <c r="Q290" s="427"/>
      <c r="R290" s="427"/>
      <c r="S290" s="426"/>
      <c r="V290" s="427"/>
      <c r="W290" s="427"/>
      <c r="X290" s="427"/>
      <c r="Y290" s="427"/>
      <c r="Z290" s="427"/>
      <c r="AA290" s="426"/>
      <c r="AD290" s="427"/>
      <c r="AE290" s="427"/>
      <c r="AF290" s="427"/>
      <c r="AG290" s="427"/>
      <c r="AH290" s="427"/>
      <c r="AI290" s="426"/>
    </row>
    <row r="291" spans="2:37" ht="15" customHeight="1" thickBot="1">
      <c r="B291" s="452" t="s">
        <v>2229</v>
      </c>
      <c r="C291" s="435"/>
      <c r="D291" s="434">
        <v>6</v>
      </c>
      <c r="E291" s="433"/>
      <c r="F291" s="411"/>
      <c r="G291" s="431"/>
      <c r="N291" s="452" t="s">
        <v>2230</v>
      </c>
      <c r="O291" s="435"/>
      <c r="P291" s="434">
        <v>6</v>
      </c>
      <c r="Q291" s="433"/>
      <c r="R291" s="432"/>
      <c r="S291" s="431"/>
      <c r="V291" s="452" t="s">
        <v>2231</v>
      </c>
      <c r="W291" s="435"/>
      <c r="X291" s="434"/>
      <c r="Y291" s="433"/>
      <c r="Z291" s="432"/>
      <c r="AA291" s="431"/>
      <c r="AD291" s="452" t="s">
        <v>2254</v>
      </c>
      <c r="AE291" s="435"/>
      <c r="AF291" s="434"/>
      <c r="AG291" s="433"/>
      <c r="AH291" s="432"/>
      <c r="AI291" s="431"/>
    </row>
    <row r="292" spans="2:37" ht="15" customHeight="1">
      <c r="B292" s="446"/>
      <c r="C292" s="445" t="s">
        <v>3243</v>
      </c>
      <c r="D292" s="444"/>
      <c r="E292" s="443"/>
      <c r="F292" s="413"/>
      <c r="G292" s="441"/>
      <c r="N292" s="446"/>
      <c r="O292" s="445" t="s">
        <v>3243</v>
      </c>
      <c r="P292" s="444"/>
      <c r="Q292" s="443"/>
      <c r="R292" s="442"/>
      <c r="S292" s="441"/>
      <c r="V292" s="446"/>
      <c r="W292" s="445" t="s">
        <v>3244</v>
      </c>
      <c r="X292" s="444"/>
      <c r="Y292" s="443"/>
      <c r="Z292" s="442"/>
      <c r="AA292" s="441"/>
      <c r="AD292" s="446"/>
      <c r="AE292" s="445" t="s">
        <v>3244</v>
      </c>
      <c r="AF292" s="444"/>
      <c r="AG292" s="443"/>
      <c r="AH292" s="442"/>
      <c r="AI292" s="441"/>
    </row>
    <row r="293" spans="2:37" ht="15" customHeight="1">
      <c r="B293" s="468">
        <v>1</v>
      </c>
      <c r="C293" s="467" t="s">
        <v>2234</v>
      </c>
      <c r="D293" s="519"/>
      <c r="E293" s="430"/>
      <c r="F293" s="417"/>
      <c r="G293" s="486"/>
      <c r="N293" s="468">
        <v>1</v>
      </c>
      <c r="O293" s="467" t="s">
        <v>2234</v>
      </c>
      <c r="P293" s="519"/>
      <c r="Q293" s="430"/>
      <c r="R293" s="429"/>
      <c r="S293" s="486"/>
      <c r="V293" s="468">
        <v>1</v>
      </c>
      <c r="W293" s="467" t="s">
        <v>2234</v>
      </c>
      <c r="X293" s="519"/>
      <c r="Y293" s="430"/>
      <c r="Z293" s="429"/>
      <c r="AA293" s="486"/>
      <c r="AD293" s="468">
        <v>1</v>
      </c>
      <c r="AE293" s="467" t="s">
        <v>2234</v>
      </c>
      <c r="AF293" s="519"/>
      <c r="AG293" s="430"/>
      <c r="AH293" s="429"/>
      <c r="AI293" s="486"/>
    </row>
    <row r="294" spans="2:37" ht="15" customHeight="1">
      <c r="B294" s="492" t="s">
        <v>721</v>
      </c>
      <c r="C294" s="464" t="s">
        <v>2235</v>
      </c>
      <c r="D294" s="519" t="str">
        <f>$D$244</f>
        <v>m³</v>
      </c>
      <c r="E294" s="518">
        <v>50.35</v>
      </c>
      <c r="F294" s="416">
        <f>F269</f>
        <v>102390.75000000001</v>
      </c>
      <c r="G294" s="463">
        <f>E294*F294</f>
        <v>5155374.2625000011</v>
      </c>
      <c r="N294" s="492" t="s">
        <v>721</v>
      </c>
      <c r="O294" s="464" t="s">
        <v>2235</v>
      </c>
      <c r="P294" s="519" t="str">
        <f>$D$244</f>
        <v>m³</v>
      </c>
      <c r="Q294" s="518">
        <v>50.35</v>
      </c>
      <c r="R294" s="517">
        <f>$F$244</f>
        <v>102390.75000000001</v>
      </c>
      <c r="S294" s="463">
        <f>Q294*R294</f>
        <v>5155374.2625000011</v>
      </c>
      <c r="V294" s="492" t="s">
        <v>721</v>
      </c>
      <c r="W294" s="464" t="s">
        <v>2235</v>
      </c>
      <c r="X294" s="519" t="str">
        <f>$D$244</f>
        <v>m³</v>
      </c>
      <c r="Y294" s="518">
        <v>50.35</v>
      </c>
      <c r="Z294" s="517">
        <f>$F$244</f>
        <v>102390.75000000001</v>
      </c>
      <c r="AA294" s="463">
        <f>Y294*Z294</f>
        <v>5155374.2625000011</v>
      </c>
      <c r="AD294" s="492" t="s">
        <v>721</v>
      </c>
      <c r="AE294" s="464" t="s">
        <v>2235</v>
      </c>
      <c r="AF294" s="519" t="str">
        <f>$D$244</f>
        <v>m³</v>
      </c>
      <c r="AG294" s="518">
        <v>50.35</v>
      </c>
      <c r="AH294" s="517">
        <f>$F$244</f>
        <v>102390.75000000001</v>
      </c>
      <c r="AI294" s="463">
        <f>AG294*AH294</f>
        <v>5155374.2625000011</v>
      </c>
    </row>
    <row r="295" spans="2:37" ht="15" customHeight="1">
      <c r="B295" s="492" t="s">
        <v>2166</v>
      </c>
      <c r="C295" s="464" t="s">
        <v>2237</v>
      </c>
      <c r="D295" s="519" t="str">
        <f>$D$245</f>
        <v>m³</v>
      </c>
      <c r="E295" s="518">
        <v>12.160000000000002</v>
      </c>
      <c r="F295" s="416">
        <f t="shared" ref="F295:F313" si="137">F270</f>
        <v>62462.950000000012</v>
      </c>
      <c r="G295" s="463">
        <f t="shared" ref="G295:G296" si="138">E295*F295</f>
        <v>759549.4720000003</v>
      </c>
      <c r="N295" s="492" t="s">
        <v>2166</v>
      </c>
      <c r="O295" s="464" t="s">
        <v>2237</v>
      </c>
      <c r="P295" s="519" t="str">
        <f>$D$245</f>
        <v>m³</v>
      </c>
      <c r="Q295" s="518">
        <v>12.160000000000002</v>
      </c>
      <c r="R295" s="517">
        <f>$F$245</f>
        <v>62462.950000000012</v>
      </c>
      <c r="S295" s="463">
        <f>Q295*R295</f>
        <v>759549.4720000003</v>
      </c>
      <c r="V295" s="492" t="s">
        <v>2166</v>
      </c>
      <c r="W295" s="464" t="s">
        <v>2237</v>
      </c>
      <c r="X295" s="519" t="str">
        <f>$D$245</f>
        <v>m³</v>
      </c>
      <c r="Y295" s="518">
        <v>12.160000000000002</v>
      </c>
      <c r="Z295" s="517">
        <f>$F$245</f>
        <v>62462.950000000012</v>
      </c>
      <c r="AA295" s="463">
        <f>Y295*Z295</f>
        <v>759549.4720000003</v>
      </c>
      <c r="AD295" s="492" t="s">
        <v>2166</v>
      </c>
      <c r="AE295" s="464" t="s">
        <v>2237</v>
      </c>
      <c r="AF295" s="519" t="str">
        <f>$D$245</f>
        <v>m³</v>
      </c>
      <c r="AG295" s="518">
        <v>12.160000000000002</v>
      </c>
      <c r="AH295" s="517">
        <f>$F$245</f>
        <v>62462.950000000012</v>
      </c>
      <c r="AI295" s="463">
        <f>AG295*AH295</f>
        <v>759549.4720000003</v>
      </c>
    </row>
    <row r="296" spans="2:37" ht="15" customHeight="1">
      <c r="B296" s="492" t="s">
        <v>2168</v>
      </c>
      <c r="C296" s="464" t="s">
        <v>2265</v>
      </c>
      <c r="D296" s="519" t="str">
        <f>$D$246</f>
        <v>m'</v>
      </c>
      <c r="E296" s="518">
        <v>192</v>
      </c>
      <c r="F296" s="416">
        <f t="shared" si="137"/>
        <v>52230.612500000003</v>
      </c>
      <c r="G296" s="463">
        <f t="shared" si="138"/>
        <v>10028277.600000001</v>
      </c>
      <c r="N296" s="492" t="s">
        <v>2168</v>
      </c>
      <c r="O296" s="464" t="s">
        <v>2265</v>
      </c>
      <c r="P296" s="519" t="str">
        <f>$D$246</f>
        <v>m'</v>
      </c>
      <c r="Q296" s="518">
        <v>192</v>
      </c>
      <c r="R296" s="517">
        <f>$F$246</f>
        <v>52230.612500000003</v>
      </c>
      <c r="S296" s="463">
        <f>Q296*R296</f>
        <v>10028277.600000001</v>
      </c>
      <c r="V296" s="492" t="s">
        <v>2168</v>
      </c>
      <c r="W296" s="464" t="s">
        <v>2265</v>
      </c>
      <c r="X296" s="519" t="str">
        <f>$D$246</f>
        <v>m'</v>
      </c>
      <c r="Y296" s="518">
        <v>192</v>
      </c>
      <c r="Z296" s="517">
        <f>$F$246</f>
        <v>52230.612500000003</v>
      </c>
      <c r="AA296" s="463">
        <f>Y296*Z296</f>
        <v>10028277.600000001</v>
      </c>
      <c r="AD296" s="492" t="s">
        <v>2168</v>
      </c>
      <c r="AE296" s="464" t="s">
        <v>2265</v>
      </c>
      <c r="AF296" s="519" t="str">
        <f>$D$246</f>
        <v>m'</v>
      </c>
      <c r="AG296" s="518">
        <v>192</v>
      </c>
      <c r="AH296" s="517">
        <f>$F$246</f>
        <v>52230.612500000003</v>
      </c>
      <c r="AI296" s="463">
        <f>AG296*AH296</f>
        <v>10028277.600000001</v>
      </c>
    </row>
    <row r="297" spans="2:37" ht="15" customHeight="1">
      <c r="B297" s="462"/>
      <c r="C297" s="464"/>
      <c r="D297" s="519"/>
      <c r="E297" s="428"/>
      <c r="F297" s="416">
        <f t="shared" si="137"/>
        <v>0</v>
      </c>
      <c r="G297" s="463"/>
      <c r="N297" s="462"/>
      <c r="O297" s="464"/>
      <c r="P297" s="519"/>
      <c r="Q297" s="428"/>
      <c r="R297" s="517"/>
      <c r="S297" s="463"/>
      <c r="V297" s="462"/>
      <c r="W297" s="464"/>
      <c r="X297" s="519"/>
      <c r="Y297" s="428"/>
      <c r="Z297" s="517"/>
      <c r="AA297" s="463"/>
      <c r="AD297" s="462"/>
      <c r="AE297" s="464"/>
      <c r="AF297" s="519"/>
      <c r="AG297" s="428"/>
      <c r="AH297" s="517"/>
      <c r="AI297" s="463"/>
    </row>
    <row r="298" spans="2:37" ht="15" customHeight="1">
      <c r="B298" s="507">
        <v>2</v>
      </c>
      <c r="C298" s="467" t="s">
        <v>2238</v>
      </c>
      <c r="D298" s="519"/>
      <c r="E298" s="428"/>
      <c r="F298" s="416">
        <f t="shared" si="137"/>
        <v>0</v>
      </c>
      <c r="G298" s="463"/>
      <c r="H298" s="516" t="s">
        <v>2239</v>
      </c>
      <c r="N298" s="507">
        <v>2</v>
      </c>
      <c r="O298" s="467" t="s">
        <v>2238</v>
      </c>
      <c r="P298" s="519"/>
      <c r="Q298" s="428"/>
      <c r="R298" s="517"/>
      <c r="S298" s="463"/>
      <c r="T298" s="516" t="s">
        <v>2239</v>
      </c>
      <c r="V298" s="507">
        <v>2</v>
      </c>
      <c r="W298" s="467" t="s">
        <v>2238</v>
      </c>
      <c r="X298" s="519"/>
      <c r="Y298" s="428"/>
      <c r="Z298" s="517"/>
      <c r="AA298" s="463"/>
      <c r="AB298" s="516" t="s">
        <v>2239</v>
      </c>
      <c r="AD298" s="507">
        <v>2</v>
      </c>
      <c r="AE298" s="467" t="s">
        <v>2238</v>
      </c>
      <c r="AF298" s="519"/>
      <c r="AG298" s="428"/>
      <c r="AH298" s="517"/>
      <c r="AI298" s="463"/>
      <c r="AJ298" s="516" t="s">
        <v>2239</v>
      </c>
    </row>
    <row r="299" spans="2:37" ht="15" customHeight="1">
      <c r="B299" s="492" t="s">
        <v>721</v>
      </c>
      <c r="C299" s="464" t="s">
        <v>2240</v>
      </c>
      <c r="D299" s="519" t="str">
        <f>$D$249</f>
        <v>m³</v>
      </c>
      <c r="E299" s="518">
        <v>4.9000000000000004</v>
      </c>
      <c r="F299" s="416">
        <f t="shared" si="137"/>
        <v>404738.95</v>
      </c>
      <c r="G299" s="463">
        <f t="shared" ref="G299:G305" si="139">E299*F299</f>
        <v>1983220.8550000002</v>
      </c>
      <c r="H299" s="516">
        <v>1400</v>
      </c>
      <c r="I299" s="516">
        <f>E299*H299</f>
        <v>6860.0000000000009</v>
      </c>
      <c r="N299" s="492" t="s">
        <v>721</v>
      </c>
      <c r="O299" s="464" t="s">
        <v>2240</v>
      </c>
      <c r="P299" s="519" t="str">
        <f>$D$249</f>
        <v>m³</v>
      </c>
      <c r="Q299" s="518">
        <v>4.9000000000000004</v>
      </c>
      <c r="R299" s="517">
        <f>$F$249</f>
        <v>404738.95</v>
      </c>
      <c r="S299" s="463">
        <f t="shared" ref="S299:S305" si="140">Q299*R299</f>
        <v>1983220.8550000002</v>
      </c>
      <c r="T299" s="516">
        <v>1400</v>
      </c>
      <c r="U299" s="516">
        <f>Q299*T299</f>
        <v>6860.0000000000009</v>
      </c>
      <c r="V299" s="492" t="s">
        <v>721</v>
      </c>
      <c r="W299" s="464" t="s">
        <v>2240</v>
      </c>
      <c r="X299" s="519" t="str">
        <f>$D$249</f>
        <v>m³</v>
      </c>
      <c r="Y299" s="518">
        <v>4.9000000000000004</v>
      </c>
      <c r="Z299" s="517">
        <f>$F$249</f>
        <v>404738.95</v>
      </c>
      <c r="AA299" s="463">
        <f t="shared" ref="AA299:AA305" si="141">Y299*Z299</f>
        <v>1983220.8550000002</v>
      </c>
      <c r="AB299" s="516">
        <v>1400</v>
      </c>
      <c r="AC299" s="516">
        <f>Y299*AB299</f>
        <v>6860.0000000000009</v>
      </c>
      <c r="AD299" s="492" t="s">
        <v>721</v>
      </c>
      <c r="AE299" s="464" t="s">
        <v>2240</v>
      </c>
      <c r="AF299" s="519" t="str">
        <f>$D$249</f>
        <v>m³</v>
      </c>
      <c r="AG299" s="518">
        <v>4.9000000000000004</v>
      </c>
      <c r="AH299" s="517">
        <f>$F$249</f>
        <v>404738.95</v>
      </c>
      <c r="AI299" s="463">
        <f t="shared" ref="AI299:AI305" si="142">AG299*AH299</f>
        <v>1983220.8550000002</v>
      </c>
      <c r="AJ299" s="516">
        <v>1400</v>
      </c>
      <c r="AK299" s="516">
        <f>AG299*AJ299</f>
        <v>6860.0000000000009</v>
      </c>
    </row>
    <row r="300" spans="2:37" ht="15" customHeight="1">
      <c r="B300" s="492" t="s">
        <v>2166</v>
      </c>
      <c r="C300" s="461" t="s">
        <v>2241</v>
      </c>
      <c r="D300" s="519" t="str">
        <f>$D$250</f>
        <v>m³</v>
      </c>
      <c r="E300" s="518">
        <v>2.4500000000000002</v>
      </c>
      <c r="F300" s="416">
        <f t="shared" si="137"/>
        <v>710224.707936508</v>
      </c>
      <c r="G300" s="463">
        <f t="shared" si="139"/>
        <v>1740050.5344444448</v>
      </c>
      <c r="H300" s="516">
        <v>2200</v>
      </c>
      <c r="I300" s="516">
        <f t="shared" ref="I300:I305" si="143">E300*H300</f>
        <v>5390</v>
      </c>
      <c r="N300" s="492" t="s">
        <v>2166</v>
      </c>
      <c r="O300" s="461" t="s">
        <v>2241</v>
      </c>
      <c r="P300" s="519" t="str">
        <f>$D$250</f>
        <v>m³</v>
      </c>
      <c r="Q300" s="518">
        <v>2.4500000000000002</v>
      </c>
      <c r="R300" s="517">
        <f>$F$250</f>
        <v>710224.707936508</v>
      </c>
      <c r="S300" s="463">
        <f t="shared" si="140"/>
        <v>1740050.5344444448</v>
      </c>
      <c r="T300" s="516">
        <v>2200</v>
      </c>
      <c r="U300" s="516">
        <f t="shared" ref="U300:U305" si="144">Q300*T300</f>
        <v>5390</v>
      </c>
      <c r="V300" s="492" t="s">
        <v>2166</v>
      </c>
      <c r="W300" s="461" t="s">
        <v>2241</v>
      </c>
      <c r="X300" s="519" t="str">
        <f>$D$250</f>
        <v>m³</v>
      </c>
      <c r="Y300" s="518">
        <v>2.4500000000000002</v>
      </c>
      <c r="Z300" s="517">
        <f>$F$250</f>
        <v>710224.707936508</v>
      </c>
      <c r="AA300" s="463">
        <f t="shared" si="141"/>
        <v>1740050.5344444448</v>
      </c>
      <c r="AB300" s="516">
        <v>2200</v>
      </c>
      <c r="AC300" s="516">
        <f t="shared" ref="AC300:AC305" si="145">Y300*AB300</f>
        <v>5390</v>
      </c>
      <c r="AD300" s="492" t="s">
        <v>2166</v>
      </c>
      <c r="AE300" s="461" t="s">
        <v>2241</v>
      </c>
      <c r="AF300" s="519" t="str">
        <f>$D$250</f>
        <v>m³</v>
      </c>
      <c r="AG300" s="518">
        <v>2.4500000000000002</v>
      </c>
      <c r="AH300" s="517">
        <f>$F$250</f>
        <v>710224.707936508</v>
      </c>
      <c r="AI300" s="463">
        <f t="shared" si="142"/>
        <v>1740050.5344444448</v>
      </c>
      <c r="AJ300" s="516">
        <v>2200</v>
      </c>
      <c r="AK300" s="516">
        <f t="shared" ref="AK300:AK305" si="146">AG300*AJ300</f>
        <v>5390</v>
      </c>
    </row>
    <row r="301" spans="2:37" ht="15" customHeight="1">
      <c r="B301" s="492" t="s">
        <v>2168</v>
      </c>
      <c r="C301" s="461" t="s">
        <v>2266</v>
      </c>
      <c r="D301" s="519" t="str">
        <f>$D$251</f>
        <v>m³</v>
      </c>
      <c r="E301" s="518">
        <v>30.84</v>
      </c>
      <c r="F301" s="416">
        <f t="shared" si="137"/>
        <v>1115864.6138095236</v>
      </c>
      <c r="G301" s="463">
        <f t="shared" si="139"/>
        <v>34413264.689885706</v>
      </c>
      <c r="H301" s="516">
        <v>2400</v>
      </c>
      <c r="I301" s="516">
        <f t="shared" si="143"/>
        <v>74016</v>
      </c>
      <c r="N301" s="492" t="s">
        <v>2168</v>
      </c>
      <c r="O301" s="461" t="s">
        <v>2266</v>
      </c>
      <c r="P301" s="519" t="str">
        <f>$D$251</f>
        <v>m³</v>
      </c>
      <c r="Q301" s="518">
        <v>30.84</v>
      </c>
      <c r="R301" s="517">
        <f>$F$251</f>
        <v>1115864.6138095236</v>
      </c>
      <c r="S301" s="463">
        <f t="shared" si="140"/>
        <v>34413264.689885706</v>
      </c>
      <c r="T301" s="516">
        <v>2400</v>
      </c>
      <c r="U301" s="516">
        <f t="shared" si="144"/>
        <v>74016</v>
      </c>
      <c r="V301" s="492" t="s">
        <v>2168</v>
      </c>
      <c r="W301" s="461" t="str">
        <f>O301</f>
        <v>Beton K 225 (Pad &amp; Chimney)</v>
      </c>
      <c r="X301" s="519" t="str">
        <f>$D$251</f>
        <v>m³</v>
      </c>
      <c r="Y301" s="518">
        <v>30.84</v>
      </c>
      <c r="Z301" s="517">
        <f>$F$251</f>
        <v>1115864.6138095236</v>
      </c>
      <c r="AA301" s="463">
        <f t="shared" si="141"/>
        <v>34413264.689885706</v>
      </c>
      <c r="AB301" s="516">
        <v>2400</v>
      </c>
      <c r="AC301" s="516">
        <f t="shared" si="145"/>
        <v>74016</v>
      </c>
      <c r="AD301" s="492" t="s">
        <v>2168</v>
      </c>
      <c r="AE301" s="461" t="str">
        <f>W301</f>
        <v>Beton K 225 (Pad &amp; Chimney)</v>
      </c>
      <c r="AF301" s="519" t="str">
        <f>$D$251</f>
        <v>m³</v>
      </c>
      <c r="AG301" s="518">
        <v>30.84</v>
      </c>
      <c r="AH301" s="517">
        <f>$F$251</f>
        <v>1115864.6138095236</v>
      </c>
      <c r="AI301" s="463">
        <f t="shared" si="142"/>
        <v>34413264.689885706</v>
      </c>
      <c r="AJ301" s="516">
        <v>2400</v>
      </c>
      <c r="AK301" s="516">
        <f t="shared" si="146"/>
        <v>74016</v>
      </c>
    </row>
    <row r="302" spans="2:37" ht="15" customHeight="1">
      <c r="B302" s="492" t="s">
        <v>2170</v>
      </c>
      <c r="C302" s="461" t="s">
        <v>2267</v>
      </c>
      <c r="D302" s="519" t="str">
        <f>$D$252</f>
        <v>m³</v>
      </c>
      <c r="E302" s="518">
        <v>50.688000000000002</v>
      </c>
      <c r="F302" s="416">
        <f t="shared" si="137"/>
        <v>1057576.2423809525</v>
      </c>
      <c r="G302" s="463">
        <f t="shared" si="139"/>
        <v>53606424.57380572</v>
      </c>
      <c r="H302" s="516">
        <v>2200</v>
      </c>
      <c r="I302" s="516">
        <f t="shared" si="143"/>
        <v>111513.60000000001</v>
      </c>
      <c r="N302" s="492" t="s">
        <v>2170</v>
      </c>
      <c r="O302" s="461" t="s">
        <v>2267</v>
      </c>
      <c r="P302" s="519" t="str">
        <f>$D$252</f>
        <v>m³</v>
      </c>
      <c r="Q302" s="518">
        <v>50.688000000000002</v>
      </c>
      <c r="R302" s="517">
        <f>$F$252</f>
        <v>1057576.2423809525</v>
      </c>
      <c r="S302" s="463">
        <f t="shared" si="140"/>
        <v>53606424.57380572</v>
      </c>
      <c r="T302" s="516">
        <v>2200</v>
      </c>
      <c r="U302" s="516">
        <f t="shared" si="144"/>
        <v>111513.60000000001</v>
      </c>
      <c r="V302" s="492" t="s">
        <v>2170</v>
      </c>
      <c r="W302" s="461" t="s">
        <v>2267</v>
      </c>
      <c r="X302" s="519" t="str">
        <f>$D$252</f>
        <v>m³</v>
      </c>
      <c r="Y302" s="518">
        <v>50.688000000000002</v>
      </c>
      <c r="Z302" s="517">
        <f>$F$252</f>
        <v>1057576.2423809525</v>
      </c>
      <c r="AA302" s="463">
        <f t="shared" si="141"/>
        <v>53606424.57380572</v>
      </c>
      <c r="AB302" s="516">
        <v>2200</v>
      </c>
      <c r="AC302" s="516">
        <f t="shared" si="145"/>
        <v>111513.60000000001</v>
      </c>
      <c r="AD302" s="492" t="s">
        <v>2170</v>
      </c>
      <c r="AE302" s="461" t="s">
        <v>2267</v>
      </c>
      <c r="AF302" s="519" t="str">
        <f>$D$252</f>
        <v>m³</v>
      </c>
      <c r="AG302" s="518">
        <v>50.688000000000002</v>
      </c>
      <c r="AH302" s="517">
        <f>$F$252</f>
        <v>1057576.2423809525</v>
      </c>
      <c r="AI302" s="463">
        <f t="shared" si="142"/>
        <v>53606424.57380572</v>
      </c>
      <c r="AJ302" s="516">
        <v>2200</v>
      </c>
      <c r="AK302" s="516">
        <f t="shared" si="146"/>
        <v>111513.60000000001</v>
      </c>
    </row>
    <row r="303" spans="2:37" ht="15" customHeight="1">
      <c r="B303" s="492" t="s">
        <v>2172</v>
      </c>
      <c r="C303" s="461" t="s">
        <v>2243</v>
      </c>
      <c r="D303" s="519" t="str">
        <f>$D$253</f>
        <v>kg</v>
      </c>
      <c r="E303" s="518">
        <v>8965.5159999999996</v>
      </c>
      <c r="F303" s="416">
        <f t="shared" si="137"/>
        <v>19478.039350000003</v>
      </c>
      <c r="G303" s="463">
        <f t="shared" si="139"/>
        <v>174630673.44105461</v>
      </c>
      <c r="H303" s="516">
        <v>1</v>
      </c>
      <c r="I303" s="516">
        <f t="shared" si="143"/>
        <v>8965.5159999999996</v>
      </c>
      <c r="N303" s="492" t="s">
        <v>2172</v>
      </c>
      <c r="O303" s="461" t="s">
        <v>2243</v>
      </c>
      <c r="P303" s="519" t="str">
        <f>$D$253</f>
        <v>kg</v>
      </c>
      <c r="Q303" s="518">
        <v>8965.5159999999996</v>
      </c>
      <c r="R303" s="517">
        <f>$F$253</f>
        <v>19478.039350000003</v>
      </c>
      <c r="S303" s="463">
        <f t="shared" si="140"/>
        <v>174630673.44105461</v>
      </c>
      <c r="T303" s="516">
        <v>1</v>
      </c>
      <c r="U303" s="516">
        <f t="shared" si="144"/>
        <v>8965.5159999999996</v>
      </c>
      <c r="V303" s="492" t="s">
        <v>2172</v>
      </c>
      <c r="W303" s="461" t="s">
        <v>2243</v>
      </c>
      <c r="X303" s="519" t="str">
        <f>$D$253</f>
        <v>kg</v>
      </c>
      <c r="Y303" s="518">
        <v>8965.5159999999996</v>
      </c>
      <c r="Z303" s="517">
        <f>$F$253</f>
        <v>19478.039350000003</v>
      </c>
      <c r="AA303" s="463">
        <f t="shared" si="141"/>
        <v>174630673.44105461</v>
      </c>
      <c r="AB303" s="516">
        <v>1</v>
      </c>
      <c r="AC303" s="516">
        <f t="shared" si="145"/>
        <v>8965.5159999999996</v>
      </c>
      <c r="AD303" s="492" t="s">
        <v>2172</v>
      </c>
      <c r="AE303" s="461" t="s">
        <v>2243</v>
      </c>
      <c r="AF303" s="519" t="str">
        <f>$D$253</f>
        <v>kg</v>
      </c>
      <c r="AG303" s="518">
        <v>8965.5159999999996</v>
      </c>
      <c r="AH303" s="517">
        <f>$F$253</f>
        <v>19478.039350000003</v>
      </c>
      <c r="AI303" s="463">
        <f t="shared" si="142"/>
        <v>174630673.44105461</v>
      </c>
      <c r="AJ303" s="516">
        <v>1</v>
      </c>
      <c r="AK303" s="516">
        <f t="shared" si="146"/>
        <v>8965.5159999999996</v>
      </c>
    </row>
    <row r="304" spans="2:37" ht="15" customHeight="1">
      <c r="B304" s="492" t="s">
        <v>2268</v>
      </c>
      <c r="C304" s="461" t="s">
        <v>2244</v>
      </c>
      <c r="D304" s="519" t="str">
        <f>$D$254</f>
        <v>m²</v>
      </c>
      <c r="E304" s="518">
        <v>43.2</v>
      </c>
      <c r="F304" s="416">
        <f t="shared" si="137"/>
        <v>145812.67000000001</v>
      </c>
      <c r="G304" s="463">
        <f t="shared" si="139"/>
        <v>6299107.3440000005</v>
      </c>
      <c r="H304" s="516">
        <v>40</v>
      </c>
      <c r="I304" s="516">
        <f t="shared" si="143"/>
        <v>1728</v>
      </c>
      <c r="N304" s="492" t="s">
        <v>2268</v>
      </c>
      <c r="O304" s="461" t="s">
        <v>2244</v>
      </c>
      <c r="P304" s="519" t="str">
        <f>$D$254</f>
        <v>m²</v>
      </c>
      <c r="Q304" s="518">
        <v>43.2</v>
      </c>
      <c r="R304" s="517">
        <f>$F$254</f>
        <v>145812.67000000001</v>
      </c>
      <c r="S304" s="463">
        <f t="shared" si="140"/>
        <v>6299107.3440000005</v>
      </c>
      <c r="T304" s="516">
        <v>40</v>
      </c>
      <c r="U304" s="516">
        <f t="shared" si="144"/>
        <v>1728</v>
      </c>
      <c r="V304" s="492" t="s">
        <v>2268</v>
      </c>
      <c r="W304" s="461" t="s">
        <v>2244</v>
      </c>
      <c r="X304" s="519" t="str">
        <f>$D$254</f>
        <v>m²</v>
      </c>
      <c r="Y304" s="518">
        <v>43.2</v>
      </c>
      <c r="Z304" s="517">
        <f>$F$254</f>
        <v>145812.67000000001</v>
      </c>
      <c r="AA304" s="463">
        <f t="shared" si="141"/>
        <v>6299107.3440000005</v>
      </c>
      <c r="AB304" s="516">
        <v>40</v>
      </c>
      <c r="AC304" s="516">
        <f t="shared" si="145"/>
        <v>1728</v>
      </c>
      <c r="AD304" s="492" t="s">
        <v>2268</v>
      </c>
      <c r="AE304" s="461" t="s">
        <v>2244</v>
      </c>
      <c r="AF304" s="519" t="str">
        <f>$D$254</f>
        <v>m²</v>
      </c>
      <c r="AG304" s="518">
        <v>43.2</v>
      </c>
      <c r="AH304" s="517">
        <f>$F$254</f>
        <v>145812.67000000001</v>
      </c>
      <c r="AI304" s="463">
        <f t="shared" si="142"/>
        <v>6299107.3440000005</v>
      </c>
      <c r="AJ304" s="516">
        <v>40</v>
      </c>
      <c r="AK304" s="516">
        <f t="shared" si="146"/>
        <v>1728</v>
      </c>
    </row>
    <row r="305" spans="2:37" ht="15" customHeight="1">
      <c r="B305" s="492" t="s">
        <v>2176</v>
      </c>
      <c r="C305" s="491" t="s">
        <v>2246</v>
      </c>
      <c r="D305" s="519" t="str">
        <f>$D$255</f>
        <v>bh</v>
      </c>
      <c r="E305" s="518">
        <v>4</v>
      </c>
      <c r="F305" s="416">
        <f t="shared" si="137"/>
        <v>100000</v>
      </c>
      <c r="G305" s="463">
        <f t="shared" si="139"/>
        <v>400000</v>
      </c>
      <c r="H305" s="516">
        <v>2.5</v>
      </c>
      <c r="I305" s="516">
        <f t="shared" si="143"/>
        <v>10</v>
      </c>
      <c r="N305" s="492" t="s">
        <v>2176</v>
      </c>
      <c r="O305" s="491" t="s">
        <v>2246</v>
      </c>
      <c r="P305" s="519" t="str">
        <f>$D$255</f>
        <v>bh</v>
      </c>
      <c r="Q305" s="518">
        <v>4</v>
      </c>
      <c r="R305" s="517">
        <f>$F$255</f>
        <v>100000</v>
      </c>
      <c r="S305" s="463">
        <f t="shared" si="140"/>
        <v>400000</v>
      </c>
      <c r="T305" s="516">
        <v>2.5</v>
      </c>
      <c r="U305" s="516">
        <f t="shared" si="144"/>
        <v>10</v>
      </c>
      <c r="V305" s="492" t="s">
        <v>2176</v>
      </c>
      <c r="W305" s="491" t="s">
        <v>2246</v>
      </c>
      <c r="X305" s="519" t="str">
        <f>$D$255</f>
        <v>bh</v>
      </c>
      <c r="Y305" s="518">
        <v>4</v>
      </c>
      <c r="Z305" s="517">
        <f>$F$255</f>
        <v>100000</v>
      </c>
      <c r="AA305" s="463">
        <f t="shared" si="141"/>
        <v>400000</v>
      </c>
      <c r="AB305" s="516">
        <v>2.5</v>
      </c>
      <c r="AC305" s="516">
        <f t="shared" si="145"/>
        <v>10</v>
      </c>
      <c r="AD305" s="492" t="s">
        <v>2176</v>
      </c>
      <c r="AE305" s="491" t="s">
        <v>2246</v>
      </c>
      <c r="AF305" s="519" t="str">
        <f>$D$255</f>
        <v>bh</v>
      </c>
      <c r="AG305" s="518">
        <v>4</v>
      </c>
      <c r="AH305" s="517">
        <f>$F$255</f>
        <v>100000</v>
      </c>
      <c r="AI305" s="463">
        <f t="shared" si="142"/>
        <v>400000</v>
      </c>
      <c r="AJ305" s="516">
        <v>2.5</v>
      </c>
      <c r="AK305" s="516">
        <f t="shared" si="146"/>
        <v>10</v>
      </c>
    </row>
    <row r="306" spans="2:37" ht="15" customHeight="1">
      <c r="B306" s="492"/>
      <c r="C306" s="461"/>
      <c r="D306" s="519"/>
      <c r="E306" s="428"/>
      <c r="F306" s="416">
        <f t="shared" si="137"/>
        <v>0</v>
      </c>
      <c r="G306" s="463"/>
      <c r="I306" s="516">
        <f>SUM(I299:I304)</f>
        <v>208473.11600000001</v>
      </c>
      <c r="N306" s="492"/>
      <c r="O306" s="461"/>
      <c r="P306" s="519"/>
      <c r="Q306" s="428"/>
      <c r="R306" s="517"/>
      <c r="S306" s="463"/>
      <c r="U306" s="516">
        <f>SUM(U299:U304)</f>
        <v>208473.11600000001</v>
      </c>
      <c r="V306" s="492"/>
      <c r="W306" s="461"/>
      <c r="X306" s="519"/>
      <c r="Y306" s="428"/>
      <c r="Z306" s="517"/>
      <c r="AA306" s="463"/>
      <c r="AC306" s="516">
        <f>SUM(AC299:AC304)</f>
        <v>208473.11600000001</v>
      </c>
      <c r="AD306" s="492"/>
      <c r="AE306" s="461"/>
      <c r="AF306" s="519"/>
      <c r="AG306" s="428"/>
      <c r="AH306" s="517"/>
      <c r="AI306" s="463"/>
      <c r="AK306" s="516">
        <f>SUM(AK299:AK304)</f>
        <v>208473.11600000001</v>
      </c>
    </row>
    <row r="307" spans="2:37" ht="15" customHeight="1">
      <c r="B307" s="507">
        <v>3</v>
      </c>
      <c r="C307" s="460" t="s">
        <v>2086</v>
      </c>
      <c r="D307" s="519"/>
      <c r="E307" s="428"/>
      <c r="F307" s="416">
        <f t="shared" si="137"/>
        <v>0</v>
      </c>
      <c r="G307" s="463"/>
      <c r="N307" s="507">
        <v>3</v>
      </c>
      <c r="O307" s="460" t="s">
        <v>2086</v>
      </c>
      <c r="P307" s="519"/>
      <c r="Q307" s="428"/>
      <c r="R307" s="517"/>
      <c r="S307" s="463"/>
      <c r="V307" s="507">
        <v>3</v>
      </c>
      <c r="W307" s="460" t="s">
        <v>2086</v>
      </c>
      <c r="X307" s="519"/>
      <c r="Y307" s="428"/>
      <c r="Z307" s="517"/>
      <c r="AA307" s="463"/>
      <c r="AD307" s="507">
        <v>3</v>
      </c>
      <c r="AE307" s="460" t="s">
        <v>2086</v>
      </c>
      <c r="AF307" s="519"/>
      <c r="AG307" s="428"/>
      <c r="AH307" s="517"/>
      <c r="AI307" s="463"/>
    </row>
    <row r="308" spans="2:37" ht="15" customHeight="1">
      <c r="B308" s="492" t="s">
        <v>721</v>
      </c>
      <c r="C308" s="461" t="s">
        <v>2247</v>
      </c>
      <c r="D308" s="519" t="str">
        <f>$D$258</f>
        <v>bh</v>
      </c>
      <c r="E308" s="518">
        <v>4</v>
      </c>
      <c r="F308" s="416">
        <f t="shared" si="137"/>
        <v>181849.04</v>
      </c>
      <c r="G308" s="463">
        <f t="shared" ref="G308:G313" si="147">E308*F308</f>
        <v>727396.16</v>
      </c>
      <c r="N308" s="492" t="s">
        <v>721</v>
      </c>
      <c r="O308" s="461" t="s">
        <v>2247</v>
      </c>
      <c r="P308" s="519" t="str">
        <f>$D$258</f>
        <v>bh</v>
      </c>
      <c r="Q308" s="518">
        <v>4</v>
      </c>
      <c r="R308" s="517">
        <f>$F$258</f>
        <v>181849.04</v>
      </c>
      <c r="S308" s="463">
        <f t="shared" ref="S308:S313" si="148">Q308*R308</f>
        <v>727396.16</v>
      </c>
      <c r="V308" s="492" t="s">
        <v>721</v>
      </c>
      <c r="W308" s="461" t="s">
        <v>2247</v>
      </c>
      <c r="X308" s="519" t="str">
        <f>$D$258</f>
        <v>bh</v>
      </c>
      <c r="Y308" s="518">
        <v>4</v>
      </c>
      <c r="Z308" s="517">
        <f>$F$258</f>
        <v>181849.04</v>
      </c>
      <c r="AA308" s="463">
        <f t="shared" ref="AA308:AA313" si="149">Y308*Z308</f>
        <v>727396.16</v>
      </c>
      <c r="AD308" s="492" t="s">
        <v>721</v>
      </c>
      <c r="AE308" s="461" t="s">
        <v>2247</v>
      </c>
      <c r="AF308" s="519" t="str">
        <f>$D$258</f>
        <v>bh</v>
      </c>
      <c r="AG308" s="518">
        <v>4</v>
      </c>
      <c r="AH308" s="517">
        <f>$F$258</f>
        <v>181849.04</v>
      </c>
      <c r="AI308" s="463">
        <f t="shared" ref="AI308:AI313" si="150">AG308*AH308</f>
        <v>727396.16</v>
      </c>
    </row>
    <row r="309" spans="2:37" ht="15" customHeight="1">
      <c r="B309" s="492" t="s">
        <v>2166</v>
      </c>
      <c r="C309" s="461" t="s">
        <v>2085</v>
      </c>
      <c r="D309" s="519" t="str">
        <f>$D$259</f>
        <v>kg</v>
      </c>
      <c r="E309" s="518">
        <f>I306</f>
        <v>208473.11600000001</v>
      </c>
      <c r="F309" s="416">
        <f t="shared" si="137"/>
        <v>462.7700000000001</v>
      </c>
      <c r="G309" s="463">
        <f t="shared" si="147"/>
        <v>96475103.89132002</v>
      </c>
      <c r="N309" s="492" t="s">
        <v>2166</v>
      </c>
      <c r="O309" s="461" t="s">
        <v>2085</v>
      </c>
      <c r="P309" s="519" t="str">
        <f>$D$259</f>
        <v>kg</v>
      </c>
      <c r="Q309" s="518">
        <f>U306</f>
        <v>208473.11600000001</v>
      </c>
      <c r="R309" s="517">
        <f>$F$259</f>
        <v>462.7700000000001</v>
      </c>
      <c r="S309" s="463">
        <f t="shared" si="148"/>
        <v>96475103.89132002</v>
      </c>
      <c r="V309" s="492" t="s">
        <v>2166</v>
      </c>
      <c r="W309" s="461" t="s">
        <v>2085</v>
      </c>
      <c r="X309" s="519" t="str">
        <f>$D$259</f>
        <v>kg</v>
      </c>
      <c r="Y309" s="518">
        <f>AC306</f>
        <v>208473.11600000001</v>
      </c>
      <c r="Z309" s="517">
        <f>$F$259</f>
        <v>462.7700000000001</v>
      </c>
      <c r="AA309" s="463">
        <f t="shared" si="149"/>
        <v>96475103.89132002</v>
      </c>
      <c r="AD309" s="492" t="s">
        <v>2166</v>
      </c>
      <c r="AE309" s="461" t="s">
        <v>2085</v>
      </c>
      <c r="AF309" s="519" t="str">
        <f>$D$259</f>
        <v>kg</v>
      </c>
      <c r="AG309" s="518">
        <f>AK306</f>
        <v>208473.11600000001</v>
      </c>
      <c r="AH309" s="517">
        <f>$F$259</f>
        <v>462.7700000000001</v>
      </c>
      <c r="AI309" s="463">
        <f t="shared" si="150"/>
        <v>96475103.89132002</v>
      </c>
    </row>
    <row r="310" spans="2:37" ht="15" customHeight="1">
      <c r="B310" s="492" t="s">
        <v>2168</v>
      </c>
      <c r="C310" s="461" t="s">
        <v>2249</v>
      </c>
      <c r="D310" s="519" t="str">
        <f>$D$260</f>
        <v>bh</v>
      </c>
      <c r="E310" s="518">
        <v>4</v>
      </c>
      <c r="F310" s="416">
        <f t="shared" si="137"/>
        <v>387825</v>
      </c>
      <c r="G310" s="463">
        <f t="shared" si="147"/>
        <v>1551300</v>
      </c>
      <c r="N310" s="492" t="s">
        <v>2168</v>
      </c>
      <c r="O310" s="461" t="s">
        <v>2249</v>
      </c>
      <c r="P310" s="519" t="str">
        <f>$D$260</f>
        <v>bh</v>
      </c>
      <c r="Q310" s="518">
        <v>4</v>
      </c>
      <c r="R310" s="517">
        <f>$F$260</f>
        <v>387825</v>
      </c>
      <c r="S310" s="463">
        <f t="shared" si="148"/>
        <v>1551300</v>
      </c>
      <c r="V310" s="492" t="s">
        <v>2168</v>
      </c>
      <c r="W310" s="461" t="s">
        <v>2249</v>
      </c>
      <c r="X310" s="519" t="str">
        <f>$D$260</f>
        <v>bh</v>
      </c>
      <c r="Y310" s="518">
        <v>4</v>
      </c>
      <c r="Z310" s="517">
        <f>$F$260</f>
        <v>387825</v>
      </c>
      <c r="AA310" s="463">
        <f t="shared" si="149"/>
        <v>1551300</v>
      </c>
      <c r="AD310" s="492" t="s">
        <v>2168</v>
      </c>
      <c r="AE310" s="461" t="s">
        <v>2249</v>
      </c>
      <c r="AF310" s="519" t="str">
        <f>$D$260</f>
        <v>bh</v>
      </c>
      <c r="AG310" s="518">
        <v>4</v>
      </c>
      <c r="AH310" s="517">
        <f>$F$260</f>
        <v>387825</v>
      </c>
      <c r="AI310" s="463">
        <f t="shared" si="150"/>
        <v>1551300</v>
      </c>
    </row>
    <row r="311" spans="2:37" ht="15" customHeight="1">
      <c r="B311" s="492" t="s">
        <v>2170</v>
      </c>
      <c r="C311" s="461" t="s">
        <v>2250</v>
      </c>
      <c r="D311" s="519" t="str">
        <f>$D$261</f>
        <v>kg</v>
      </c>
      <c r="E311" s="518">
        <v>150.93599999999998</v>
      </c>
      <c r="F311" s="416">
        <f t="shared" si="137"/>
        <v>3758.6984549742947</v>
      </c>
      <c r="G311" s="463">
        <f t="shared" si="147"/>
        <v>567322.91</v>
      </c>
      <c r="N311" s="492" t="s">
        <v>2170</v>
      </c>
      <c r="O311" s="461" t="s">
        <v>2250</v>
      </c>
      <c r="P311" s="519" t="str">
        <f>$D$261</f>
        <v>kg</v>
      </c>
      <c r="Q311" s="518">
        <v>239.61599999999999</v>
      </c>
      <c r="R311" s="517">
        <f>$F$261</f>
        <v>3758.6984549742947</v>
      </c>
      <c r="S311" s="463">
        <f t="shared" si="148"/>
        <v>900644.2889871205</v>
      </c>
      <c r="V311" s="492" t="s">
        <v>2170</v>
      </c>
      <c r="W311" s="461" t="s">
        <v>2269</v>
      </c>
      <c r="X311" s="519" t="str">
        <f>$D$261</f>
        <v>kg</v>
      </c>
      <c r="Y311" s="518">
        <v>311.47199999999998</v>
      </c>
      <c r="Z311" s="517">
        <f>$F$261</f>
        <v>3758.6984549742947</v>
      </c>
      <c r="AA311" s="463">
        <f t="shared" si="149"/>
        <v>1170729.3251677535</v>
      </c>
      <c r="AD311" s="492" t="s">
        <v>2170</v>
      </c>
      <c r="AE311" s="461" t="s">
        <v>2269</v>
      </c>
      <c r="AF311" s="519" t="str">
        <f>$D$261</f>
        <v>kg</v>
      </c>
      <c r="AG311" s="518">
        <v>403.17599999999999</v>
      </c>
      <c r="AH311" s="517">
        <f>$F$261</f>
        <v>3758.6984549742947</v>
      </c>
      <c r="AI311" s="463">
        <f t="shared" si="150"/>
        <v>1515417.0082827162</v>
      </c>
    </row>
    <row r="312" spans="2:37" ht="15" customHeight="1">
      <c r="B312" s="492" t="s">
        <v>2172</v>
      </c>
      <c r="C312" s="461" t="s">
        <v>2251</v>
      </c>
      <c r="D312" s="519" t="str">
        <f>$D$262</f>
        <v>set</v>
      </c>
      <c r="E312" s="518">
        <v>1</v>
      </c>
      <c r="F312" s="416">
        <f t="shared" si="137"/>
        <v>855127</v>
      </c>
      <c r="G312" s="463">
        <f t="shared" si="147"/>
        <v>855127</v>
      </c>
      <c r="N312" s="492" t="s">
        <v>2172</v>
      </c>
      <c r="O312" s="461" t="s">
        <v>2251</v>
      </c>
      <c r="P312" s="519" t="str">
        <f>$D$262</f>
        <v>set</v>
      </c>
      <c r="Q312" s="518">
        <v>1</v>
      </c>
      <c r="R312" s="517">
        <f>$F$262</f>
        <v>855127</v>
      </c>
      <c r="S312" s="463">
        <f t="shared" si="148"/>
        <v>855127</v>
      </c>
      <c r="V312" s="492" t="s">
        <v>2172</v>
      </c>
      <c r="W312" s="461" t="s">
        <v>2251</v>
      </c>
      <c r="X312" s="519" t="str">
        <f>$D$262</f>
        <v>set</v>
      </c>
      <c r="Y312" s="518">
        <v>1</v>
      </c>
      <c r="Z312" s="517">
        <f>$F$262</f>
        <v>855127</v>
      </c>
      <c r="AA312" s="463">
        <f t="shared" si="149"/>
        <v>855127</v>
      </c>
      <c r="AD312" s="492" t="s">
        <v>2172</v>
      </c>
      <c r="AE312" s="461" t="s">
        <v>2251</v>
      </c>
      <c r="AF312" s="519" t="str">
        <f>$D$262</f>
        <v>set</v>
      </c>
      <c r="AG312" s="518">
        <v>1</v>
      </c>
      <c r="AH312" s="517">
        <f>$F$262</f>
        <v>855127</v>
      </c>
      <c r="AI312" s="463">
        <f t="shared" si="150"/>
        <v>855127</v>
      </c>
    </row>
    <row r="313" spans="2:37" ht="15" customHeight="1">
      <c r="B313" s="492" t="s">
        <v>2174</v>
      </c>
      <c r="C313" s="461" t="s">
        <v>2252</v>
      </c>
      <c r="D313" s="519" t="str">
        <f>$D$263</f>
        <v>set</v>
      </c>
      <c r="E313" s="518">
        <v>1</v>
      </c>
      <c r="F313" s="416">
        <f t="shared" si="137"/>
        <v>674025</v>
      </c>
      <c r="G313" s="463">
        <f t="shared" si="147"/>
        <v>674025</v>
      </c>
      <c r="N313" s="492" t="s">
        <v>2174</v>
      </c>
      <c r="O313" s="461" t="s">
        <v>2252</v>
      </c>
      <c r="P313" s="519" t="str">
        <f>$D$263</f>
        <v>set</v>
      </c>
      <c r="Q313" s="518">
        <v>1</v>
      </c>
      <c r="R313" s="517">
        <f>$F$263</f>
        <v>674025</v>
      </c>
      <c r="S313" s="463">
        <f t="shared" si="148"/>
        <v>674025</v>
      </c>
      <c r="V313" s="492" t="s">
        <v>2174</v>
      </c>
      <c r="W313" s="461" t="s">
        <v>2252</v>
      </c>
      <c r="X313" s="519" t="str">
        <f>$D$263</f>
        <v>set</v>
      </c>
      <c r="Y313" s="518">
        <v>1</v>
      </c>
      <c r="Z313" s="517">
        <f>$F$263</f>
        <v>674025</v>
      </c>
      <c r="AA313" s="463">
        <f t="shared" si="149"/>
        <v>674025</v>
      </c>
      <c r="AD313" s="492" t="s">
        <v>2174</v>
      </c>
      <c r="AE313" s="461" t="s">
        <v>2252</v>
      </c>
      <c r="AF313" s="519" t="str">
        <f>$D$263</f>
        <v>set</v>
      </c>
      <c r="AG313" s="518">
        <v>1</v>
      </c>
      <c r="AH313" s="517">
        <f>$F$263</f>
        <v>674025</v>
      </c>
      <c r="AI313" s="463">
        <f t="shared" si="150"/>
        <v>674025</v>
      </c>
    </row>
    <row r="314" spans="2:37" ht="15" customHeight="1" thickBot="1">
      <c r="B314" s="459"/>
      <c r="C314" s="1194" t="s">
        <v>3245</v>
      </c>
      <c r="D314" s="1195"/>
      <c r="E314" s="1195"/>
      <c r="F314" s="1196"/>
      <c r="G314" s="458">
        <f>SUM(G294:G313)</f>
        <v>389866217.73401052</v>
      </c>
      <c r="N314" s="459"/>
      <c r="O314" s="1194" t="s">
        <v>3245</v>
      </c>
      <c r="P314" s="1195"/>
      <c r="Q314" s="1195"/>
      <c r="R314" s="1196"/>
      <c r="S314" s="458">
        <f>SUM(S293:S313)</f>
        <v>390199539.11299759</v>
      </c>
      <c r="V314" s="459"/>
      <c r="W314" s="1194" t="s">
        <v>3245</v>
      </c>
      <c r="X314" s="1195"/>
      <c r="Y314" s="1195"/>
      <c r="Z314" s="1196"/>
      <c r="AA314" s="458">
        <f>SUM(AA293:AA313)</f>
        <v>390469624.14917827</v>
      </c>
      <c r="AD314" s="459"/>
      <c r="AE314" s="1194" t="s">
        <v>3245</v>
      </c>
      <c r="AF314" s="1195"/>
      <c r="AG314" s="1195"/>
      <c r="AH314" s="1196"/>
      <c r="AI314" s="458">
        <f>SUM(AI293:AI313)</f>
        <v>390814311.83229321</v>
      </c>
    </row>
    <row r="315" spans="2:37" ht="15" customHeight="1" thickBot="1">
      <c r="B315" s="427"/>
      <c r="C315" s="427"/>
      <c r="D315" s="427"/>
      <c r="E315" s="427"/>
      <c r="F315" s="426"/>
      <c r="G315" s="426"/>
      <c r="N315" s="427"/>
      <c r="O315" s="427"/>
      <c r="P315" s="427"/>
      <c r="Q315" s="427"/>
      <c r="R315" s="427"/>
      <c r="S315" s="426"/>
      <c r="V315" s="427"/>
      <c r="W315" s="427"/>
      <c r="X315" s="427"/>
      <c r="Y315" s="427"/>
      <c r="Z315" s="427"/>
      <c r="AA315" s="426"/>
      <c r="AD315" s="427"/>
      <c r="AE315" s="427"/>
      <c r="AF315" s="427"/>
      <c r="AG315" s="427"/>
      <c r="AH315" s="427"/>
      <c r="AI315" s="426"/>
    </row>
    <row r="316" spans="2:37" ht="15" customHeight="1" thickBot="1">
      <c r="B316" s="452" t="s">
        <v>2229</v>
      </c>
      <c r="C316" s="435"/>
      <c r="D316" s="434">
        <v>6</v>
      </c>
      <c r="E316" s="433"/>
      <c r="F316" s="411"/>
      <c r="G316" s="431"/>
      <c r="N316" s="452" t="s">
        <v>2230</v>
      </c>
      <c r="O316" s="435"/>
      <c r="P316" s="434">
        <v>6</v>
      </c>
      <c r="Q316" s="433"/>
      <c r="R316" s="432"/>
      <c r="S316" s="431"/>
      <c r="V316" s="452" t="s">
        <v>2231</v>
      </c>
      <c r="W316" s="435"/>
      <c r="X316" s="434"/>
      <c r="Y316" s="433"/>
      <c r="Z316" s="432"/>
      <c r="AA316" s="431"/>
      <c r="AD316" s="452" t="s">
        <v>2254</v>
      </c>
      <c r="AE316" s="435"/>
      <c r="AF316" s="434"/>
      <c r="AG316" s="433"/>
      <c r="AH316" s="432"/>
      <c r="AI316" s="431"/>
    </row>
    <row r="317" spans="2:37" ht="15" customHeight="1">
      <c r="B317" s="446"/>
      <c r="C317" s="445" t="s">
        <v>3246</v>
      </c>
      <c r="D317" s="444"/>
      <c r="E317" s="443"/>
      <c r="F317" s="413"/>
      <c r="G317" s="441"/>
      <c r="N317" s="446"/>
      <c r="O317" s="445" t="s">
        <v>3246</v>
      </c>
      <c r="P317" s="444"/>
      <c r="Q317" s="443"/>
      <c r="R317" s="442"/>
      <c r="S317" s="441"/>
      <c r="V317" s="446"/>
      <c r="W317" s="445" t="s">
        <v>3247</v>
      </c>
      <c r="X317" s="444"/>
      <c r="Y317" s="443"/>
      <c r="Z317" s="442"/>
      <c r="AA317" s="441"/>
      <c r="AD317" s="446"/>
      <c r="AE317" s="445" t="s">
        <v>3247</v>
      </c>
      <c r="AF317" s="444"/>
      <c r="AG317" s="443"/>
      <c r="AH317" s="442"/>
      <c r="AI317" s="441"/>
    </row>
    <row r="318" spans="2:37" ht="15" customHeight="1">
      <c r="B318" s="468">
        <v>1</v>
      </c>
      <c r="C318" s="467" t="s">
        <v>2234</v>
      </c>
      <c r="D318" s="519"/>
      <c r="E318" s="430"/>
      <c r="F318" s="417"/>
      <c r="G318" s="486"/>
      <c r="N318" s="468">
        <v>1</v>
      </c>
      <c r="O318" s="467" t="s">
        <v>2234</v>
      </c>
      <c r="P318" s="519"/>
      <c r="Q318" s="430"/>
      <c r="R318" s="429"/>
      <c r="S318" s="486"/>
      <c r="V318" s="468">
        <v>1</v>
      </c>
      <c r="W318" s="467" t="s">
        <v>2234</v>
      </c>
      <c r="X318" s="519"/>
      <c r="Y318" s="430"/>
      <c r="Z318" s="429"/>
      <c r="AA318" s="486"/>
      <c r="AD318" s="468">
        <v>1</v>
      </c>
      <c r="AE318" s="467" t="s">
        <v>2234</v>
      </c>
      <c r="AF318" s="519"/>
      <c r="AG318" s="430"/>
      <c r="AH318" s="429"/>
      <c r="AI318" s="486"/>
    </row>
    <row r="319" spans="2:37" ht="15" customHeight="1">
      <c r="B319" s="492" t="s">
        <v>721</v>
      </c>
      <c r="C319" s="464" t="s">
        <v>2235</v>
      </c>
      <c r="D319" s="519" t="str">
        <f>$D$244</f>
        <v>m³</v>
      </c>
      <c r="E319" s="518">
        <v>50.35</v>
      </c>
      <c r="F319" s="416">
        <f>$F$244</f>
        <v>102390.75000000001</v>
      </c>
      <c r="G319" s="463">
        <f>E319*F319</f>
        <v>5155374.2625000011</v>
      </c>
      <c r="N319" s="492" t="s">
        <v>721</v>
      </c>
      <c r="O319" s="464" t="s">
        <v>2235</v>
      </c>
      <c r="P319" s="519" t="str">
        <f>$D$244</f>
        <v>m³</v>
      </c>
      <c r="Q319" s="518">
        <v>50.35</v>
      </c>
      <c r="R319" s="517">
        <f>$F$244</f>
        <v>102390.75000000001</v>
      </c>
      <c r="S319" s="463">
        <f>Q319*R319</f>
        <v>5155374.2625000011</v>
      </c>
      <c r="V319" s="492" t="s">
        <v>721</v>
      </c>
      <c r="W319" s="464" t="s">
        <v>2235</v>
      </c>
      <c r="X319" s="519" t="str">
        <f>$D$244</f>
        <v>m³</v>
      </c>
      <c r="Y319" s="518">
        <v>50.35</v>
      </c>
      <c r="Z319" s="517">
        <f>$F$244</f>
        <v>102390.75000000001</v>
      </c>
      <c r="AA319" s="463">
        <f>Y319*Z319</f>
        <v>5155374.2625000011</v>
      </c>
      <c r="AD319" s="492" t="s">
        <v>721</v>
      </c>
      <c r="AE319" s="464" t="s">
        <v>2235</v>
      </c>
      <c r="AF319" s="519" t="str">
        <f>$D$244</f>
        <v>m³</v>
      </c>
      <c r="AG319" s="518">
        <v>50.35</v>
      </c>
      <c r="AH319" s="517">
        <f>$F$244</f>
        <v>102390.75000000001</v>
      </c>
      <c r="AI319" s="463">
        <f>AG319*AH319</f>
        <v>5155374.2625000011</v>
      </c>
    </row>
    <row r="320" spans="2:37" ht="15" customHeight="1">
      <c r="B320" s="492" t="s">
        <v>2166</v>
      </c>
      <c r="C320" s="464" t="s">
        <v>2237</v>
      </c>
      <c r="D320" s="519" t="str">
        <f>$D$245</f>
        <v>m³</v>
      </c>
      <c r="E320" s="518">
        <v>12.160000000000002</v>
      </c>
      <c r="F320" s="416">
        <f>$F$245</f>
        <v>62462.950000000012</v>
      </c>
      <c r="G320" s="463">
        <f>E320*F320</f>
        <v>759549.4720000003</v>
      </c>
      <c r="N320" s="492" t="s">
        <v>2166</v>
      </c>
      <c r="O320" s="464" t="s">
        <v>2237</v>
      </c>
      <c r="P320" s="519" t="str">
        <f>$D$245</f>
        <v>m³</v>
      </c>
      <c r="Q320" s="518">
        <v>12.160000000000002</v>
      </c>
      <c r="R320" s="517">
        <f>$F$245</f>
        <v>62462.950000000012</v>
      </c>
      <c r="S320" s="463">
        <f>Q320*R320</f>
        <v>759549.4720000003</v>
      </c>
      <c r="V320" s="492" t="s">
        <v>2166</v>
      </c>
      <c r="W320" s="464" t="s">
        <v>2237</v>
      </c>
      <c r="X320" s="519" t="str">
        <f>$D$245</f>
        <v>m³</v>
      </c>
      <c r="Y320" s="518">
        <v>12.160000000000002</v>
      </c>
      <c r="Z320" s="517">
        <f>$F$245</f>
        <v>62462.950000000012</v>
      </c>
      <c r="AA320" s="463">
        <f>Y320*Z320</f>
        <v>759549.4720000003</v>
      </c>
      <c r="AD320" s="492" t="s">
        <v>2166</v>
      </c>
      <c r="AE320" s="464" t="s">
        <v>2237</v>
      </c>
      <c r="AF320" s="519" t="str">
        <f>$D$245</f>
        <v>m³</v>
      </c>
      <c r="AG320" s="518">
        <v>12.160000000000002</v>
      </c>
      <c r="AH320" s="517">
        <f>$F$245</f>
        <v>62462.950000000012</v>
      </c>
      <c r="AI320" s="463">
        <f>AG320*AH320</f>
        <v>759549.4720000003</v>
      </c>
    </row>
    <row r="321" spans="2:37" ht="15" customHeight="1">
      <c r="B321" s="492" t="s">
        <v>2168</v>
      </c>
      <c r="C321" s="464" t="s">
        <v>2265</v>
      </c>
      <c r="D321" s="519" t="str">
        <f>$D$246</f>
        <v>m'</v>
      </c>
      <c r="E321" s="518">
        <v>208</v>
      </c>
      <c r="F321" s="416">
        <f>$F$246</f>
        <v>52230.612500000003</v>
      </c>
      <c r="G321" s="463">
        <f>E321*F321</f>
        <v>10863967.4</v>
      </c>
      <c r="N321" s="492" t="s">
        <v>2168</v>
      </c>
      <c r="O321" s="464" t="s">
        <v>2265</v>
      </c>
      <c r="P321" s="519" t="str">
        <f>$D$246</f>
        <v>m'</v>
      </c>
      <c r="Q321" s="518">
        <v>208</v>
      </c>
      <c r="R321" s="517">
        <f>$F$246</f>
        <v>52230.612500000003</v>
      </c>
      <c r="S321" s="463">
        <f>Q321*R321</f>
        <v>10863967.4</v>
      </c>
      <c r="V321" s="492" t="s">
        <v>2168</v>
      </c>
      <c r="W321" s="464" t="s">
        <v>2265</v>
      </c>
      <c r="X321" s="519" t="str">
        <f>$D$246</f>
        <v>m'</v>
      </c>
      <c r="Y321" s="518">
        <v>208</v>
      </c>
      <c r="Z321" s="517">
        <f>$F$246</f>
        <v>52230.612500000003</v>
      </c>
      <c r="AA321" s="463">
        <f>Y321*Z321</f>
        <v>10863967.4</v>
      </c>
      <c r="AD321" s="492" t="s">
        <v>2168</v>
      </c>
      <c r="AE321" s="464" t="s">
        <v>2265</v>
      </c>
      <c r="AF321" s="519" t="str">
        <f>$D$246</f>
        <v>m'</v>
      </c>
      <c r="AG321" s="518">
        <v>208</v>
      </c>
      <c r="AH321" s="517">
        <f>$F$246</f>
        <v>52230.612500000003</v>
      </c>
      <c r="AI321" s="463">
        <f>AG321*AH321</f>
        <v>10863967.4</v>
      </c>
    </row>
    <row r="322" spans="2:37" ht="15" customHeight="1">
      <c r="B322" s="462"/>
      <c r="C322" s="464"/>
      <c r="D322" s="519"/>
      <c r="E322" s="428"/>
      <c r="F322" s="416"/>
      <c r="G322" s="463"/>
      <c r="N322" s="462"/>
      <c r="O322" s="464"/>
      <c r="P322" s="519"/>
      <c r="Q322" s="428"/>
      <c r="R322" s="517"/>
      <c r="S322" s="463"/>
      <c r="V322" s="462"/>
      <c r="W322" s="464"/>
      <c r="X322" s="519"/>
      <c r="Y322" s="428"/>
      <c r="Z322" s="517"/>
      <c r="AA322" s="463"/>
      <c r="AD322" s="462"/>
      <c r="AE322" s="464"/>
      <c r="AF322" s="519"/>
      <c r="AG322" s="428"/>
      <c r="AH322" s="517"/>
      <c r="AI322" s="463"/>
    </row>
    <row r="323" spans="2:37" ht="15" customHeight="1">
      <c r="B323" s="507">
        <v>2</v>
      </c>
      <c r="C323" s="467" t="s">
        <v>2238</v>
      </c>
      <c r="D323" s="519"/>
      <c r="E323" s="428"/>
      <c r="F323" s="416"/>
      <c r="G323" s="463"/>
      <c r="H323" s="516" t="s">
        <v>2239</v>
      </c>
      <c r="N323" s="507">
        <v>2</v>
      </c>
      <c r="O323" s="467" t="s">
        <v>2238</v>
      </c>
      <c r="P323" s="519"/>
      <c r="Q323" s="428"/>
      <c r="R323" s="517"/>
      <c r="S323" s="463"/>
      <c r="T323" s="516" t="s">
        <v>2239</v>
      </c>
      <c r="V323" s="507">
        <v>2</v>
      </c>
      <c r="W323" s="467" t="s">
        <v>2238</v>
      </c>
      <c r="X323" s="519"/>
      <c r="Y323" s="428"/>
      <c r="Z323" s="517"/>
      <c r="AA323" s="463"/>
      <c r="AB323" s="516" t="s">
        <v>2239</v>
      </c>
      <c r="AD323" s="507">
        <v>2</v>
      </c>
      <c r="AE323" s="467" t="s">
        <v>2238</v>
      </c>
      <c r="AF323" s="519"/>
      <c r="AG323" s="428"/>
      <c r="AH323" s="517"/>
      <c r="AI323" s="463"/>
      <c r="AJ323" s="516" t="s">
        <v>2239</v>
      </c>
    </row>
    <row r="324" spans="2:37" ht="15" customHeight="1">
      <c r="B324" s="492" t="s">
        <v>721</v>
      </c>
      <c r="C324" s="464" t="s">
        <v>2240</v>
      </c>
      <c r="D324" s="519" t="str">
        <f>$D$249</f>
        <v>m³</v>
      </c>
      <c r="E324" s="518">
        <v>4.9000000000000004</v>
      </c>
      <c r="F324" s="416">
        <f>$F$249</f>
        <v>404738.95</v>
      </c>
      <c r="G324" s="463">
        <f t="shared" ref="G324:G330" si="151">E324*F324</f>
        <v>1983220.8550000002</v>
      </c>
      <c r="H324" s="516">
        <v>1400</v>
      </c>
      <c r="I324" s="516">
        <f>E324*H324</f>
        <v>6860.0000000000009</v>
      </c>
      <c r="N324" s="492" t="s">
        <v>721</v>
      </c>
      <c r="O324" s="464" t="s">
        <v>2240</v>
      </c>
      <c r="P324" s="519" t="str">
        <f>$D$249</f>
        <v>m³</v>
      </c>
      <c r="Q324" s="518">
        <v>4.9000000000000004</v>
      </c>
      <c r="R324" s="517">
        <f>$F$249</f>
        <v>404738.95</v>
      </c>
      <c r="S324" s="463">
        <f t="shared" ref="S324:S330" si="152">Q324*R324</f>
        <v>1983220.8550000002</v>
      </c>
      <c r="T324" s="516">
        <v>1400</v>
      </c>
      <c r="U324" s="516">
        <f>Q324*T324</f>
        <v>6860.0000000000009</v>
      </c>
      <c r="V324" s="492" t="s">
        <v>721</v>
      </c>
      <c r="W324" s="464" t="s">
        <v>2240</v>
      </c>
      <c r="X324" s="519" t="str">
        <f>$D$249</f>
        <v>m³</v>
      </c>
      <c r="Y324" s="518">
        <v>4.9000000000000004</v>
      </c>
      <c r="Z324" s="517">
        <f>$F$249</f>
        <v>404738.95</v>
      </c>
      <c r="AA324" s="463">
        <f t="shared" ref="AA324:AA330" si="153">Y324*Z324</f>
        <v>1983220.8550000002</v>
      </c>
      <c r="AB324" s="516">
        <v>1400</v>
      </c>
      <c r="AC324" s="516">
        <f>Y324*AB324</f>
        <v>6860.0000000000009</v>
      </c>
      <c r="AD324" s="492" t="s">
        <v>721</v>
      </c>
      <c r="AE324" s="464" t="s">
        <v>2240</v>
      </c>
      <c r="AF324" s="519" t="str">
        <f>$D$249</f>
        <v>m³</v>
      </c>
      <c r="AG324" s="518">
        <v>4.9000000000000004</v>
      </c>
      <c r="AH324" s="517">
        <f>$F$249</f>
        <v>404738.95</v>
      </c>
      <c r="AI324" s="463">
        <f t="shared" ref="AI324:AI330" si="154">AG324*AH324</f>
        <v>1983220.8550000002</v>
      </c>
      <c r="AJ324" s="516">
        <v>1400</v>
      </c>
      <c r="AK324" s="516">
        <f>AG324*AJ324</f>
        <v>6860.0000000000009</v>
      </c>
    </row>
    <row r="325" spans="2:37" ht="15" customHeight="1">
      <c r="B325" s="492" t="s">
        <v>2166</v>
      </c>
      <c r="C325" s="461" t="s">
        <v>2241</v>
      </c>
      <c r="D325" s="519" t="str">
        <f>$D$250</f>
        <v>m³</v>
      </c>
      <c r="E325" s="518">
        <v>2.4500000000000002</v>
      </c>
      <c r="F325" s="416">
        <f>$F$250</f>
        <v>710224.707936508</v>
      </c>
      <c r="G325" s="463">
        <f t="shared" si="151"/>
        <v>1740050.5344444448</v>
      </c>
      <c r="H325" s="516">
        <v>2200</v>
      </c>
      <c r="I325" s="516">
        <f t="shared" ref="I325:I330" si="155">E325*H325</f>
        <v>5390</v>
      </c>
      <c r="N325" s="492" t="s">
        <v>2166</v>
      </c>
      <c r="O325" s="461" t="s">
        <v>2241</v>
      </c>
      <c r="P325" s="519" t="str">
        <f>$D$250</f>
        <v>m³</v>
      </c>
      <c r="Q325" s="518">
        <v>2.4500000000000002</v>
      </c>
      <c r="R325" s="517">
        <f>$F$250</f>
        <v>710224.707936508</v>
      </c>
      <c r="S325" s="463">
        <f t="shared" si="152"/>
        <v>1740050.5344444448</v>
      </c>
      <c r="T325" s="516">
        <v>2200</v>
      </c>
      <c r="U325" s="516">
        <f t="shared" ref="U325:U330" si="156">Q325*T325</f>
        <v>5390</v>
      </c>
      <c r="V325" s="492" t="s">
        <v>2166</v>
      </c>
      <c r="W325" s="461" t="s">
        <v>2241</v>
      </c>
      <c r="X325" s="519" t="str">
        <f>$D$250</f>
        <v>m³</v>
      </c>
      <c r="Y325" s="518">
        <v>2.4500000000000002</v>
      </c>
      <c r="Z325" s="517">
        <f>$F$250</f>
        <v>710224.707936508</v>
      </c>
      <c r="AA325" s="463">
        <f t="shared" si="153"/>
        <v>1740050.5344444448</v>
      </c>
      <c r="AB325" s="516">
        <v>2200</v>
      </c>
      <c r="AC325" s="516">
        <f t="shared" ref="AC325:AC330" si="157">Y325*AB325</f>
        <v>5390</v>
      </c>
      <c r="AD325" s="492" t="s">
        <v>2166</v>
      </c>
      <c r="AE325" s="461" t="s">
        <v>2241</v>
      </c>
      <c r="AF325" s="519" t="str">
        <f>$D$250</f>
        <v>m³</v>
      </c>
      <c r="AG325" s="518">
        <v>2.4500000000000002</v>
      </c>
      <c r="AH325" s="517">
        <f>$F$250</f>
        <v>710224.707936508</v>
      </c>
      <c r="AI325" s="463">
        <f t="shared" si="154"/>
        <v>1740050.5344444448</v>
      </c>
      <c r="AJ325" s="516">
        <v>2200</v>
      </c>
      <c r="AK325" s="516">
        <f t="shared" ref="AK325:AK330" si="158">AG325*AJ325</f>
        <v>5390</v>
      </c>
    </row>
    <row r="326" spans="2:37" ht="15" customHeight="1">
      <c r="B326" s="492" t="s">
        <v>2168</v>
      </c>
      <c r="C326" s="461" t="s">
        <v>2266</v>
      </c>
      <c r="D326" s="519" t="str">
        <f>$D$251</f>
        <v>m³</v>
      </c>
      <c r="E326" s="518">
        <v>30.84</v>
      </c>
      <c r="F326" s="416">
        <f>$F$251</f>
        <v>1115864.6138095236</v>
      </c>
      <c r="G326" s="463">
        <f t="shared" si="151"/>
        <v>34413264.689885706</v>
      </c>
      <c r="H326" s="516">
        <v>2400</v>
      </c>
      <c r="I326" s="516">
        <f t="shared" si="155"/>
        <v>74016</v>
      </c>
      <c r="N326" s="492" t="s">
        <v>2168</v>
      </c>
      <c r="O326" s="461" t="s">
        <v>2266</v>
      </c>
      <c r="P326" s="519" t="str">
        <f>$D$251</f>
        <v>m³</v>
      </c>
      <c r="Q326" s="518">
        <v>30.84</v>
      </c>
      <c r="R326" s="517">
        <f>$F$251</f>
        <v>1115864.6138095236</v>
      </c>
      <c r="S326" s="463">
        <f t="shared" si="152"/>
        <v>34413264.689885706</v>
      </c>
      <c r="T326" s="516">
        <v>2400</v>
      </c>
      <c r="U326" s="516">
        <f t="shared" si="156"/>
        <v>74016</v>
      </c>
      <c r="V326" s="492" t="s">
        <v>2168</v>
      </c>
      <c r="W326" s="461" t="str">
        <f>O326</f>
        <v>Beton K 225 (Pad &amp; Chimney)</v>
      </c>
      <c r="X326" s="519" t="str">
        <f>$D$251</f>
        <v>m³</v>
      </c>
      <c r="Y326" s="518">
        <v>30.84</v>
      </c>
      <c r="Z326" s="517">
        <f>$F$251</f>
        <v>1115864.6138095236</v>
      </c>
      <c r="AA326" s="463">
        <f t="shared" si="153"/>
        <v>34413264.689885706</v>
      </c>
      <c r="AB326" s="516">
        <v>2400</v>
      </c>
      <c r="AC326" s="516">
        <f t="shared" si="157"/>
        <v>74016</v>
      </c>
      <c r="AD326" s="492" t="s">
        <v>2168</v>
      </c>
      <c r="AE326" s="461" t="str">
        <f>W326</f>
        <v>Beton K 225 (Pad &amp; Chimney)</v>
      </c>
      <c r="AF326" s="519" t="str">
        <f>$D$251</f>
        <v>m³</v>
      </c>
      <c r="AG326" s="518">
        <v>30.84</v>
      </c>
      <c r="AH326" s="517">
        <f>$F$251</f>
        <v>1115864.6138095236</v>
      </c>
      <c r="AI326" s="463">
        <f t="shared" si="154"/>
        <v>34413264.689885706</v>
      </c>
      <c r="AJ326" s="516">
        <v>2400</v>
      </c>
      <c r="AK326" s="516">
        <f t="shared" si="158"/>
        <v>74016</v>
      </c>
    </row>
    <row r="327" spans="2:37" ht="15" customHeight="1">
      <c r="B327" s="492" t="s">
        <v>2170</v>
      </c>
      <c r="C327" s="461" t="s">
        <v>2267</v>
      </c>
      <c r="D327" s="519" t="str">
        <f>$D$252</f>
        <v>m³</v>
      </c>
      <c r="E327" s="518">
        <v>55.213714285714289</v>
      </c>
      <c r="F327" s="416">
        <f>$F$252</f>
        <v>1057576.2423809525</v>
      </c>
      <c r="G327" s="463">
        <f t="shared" si="151"/>
        <v>58392712.482181236</v>
      </c>
      <c r="H327" s="516">
        <v>2200</v>
      </c>
      <c r="I327" s="516">
        <f t="shared" si="155"/>
        <v>121470.17142857144</v>
      </c>
      <c r="N327" s="492" t="s">
        <v>2170</v>
      </c>
      <c r="O327" s="461" t="s">
        <v>2267</v>
      </c>
      <c r="P327" s="519" t="str">
        <f>$D$252</f>
        <v>m³</v>
      </c>
      <c r="Q327" s="518">
        <v>55.213714285714289</v>
      </c>
      <c r="R327" s="517">
        <f>$F$252</f>
        <v>1057576.2423809525</v>
      </c>
      <c r="S327" s="463">
        <f t="shared" si="152"/>
        <v>58392712.482181236</v>
      </c>
      <c r="T327" s="516">
        <v>2200</v>
      </c>
      <c r="U327" s="516">
        <f t="shared" si="156"/>
        <v>121470.17142857144</v>
      </c>
      <c r="V327" s="492" t="s">
        <v>2170</v>
      </c>
      <c r="W327" s="461" t="s">
        <v>2267</v>
      </c>
      <c r="X327" s="519" t="str">
        <f>$D$252</f>
        <v>m³</v>
      </c>
      <c r="Y327" s="518">
        <v>55.213714285714289</v>
      </c>
      <c r="Z327" s="517">
        <f>$F$252</f>
        <v>1057576.2423809525</v>
      </c>
      <c r="AA327" s="463">
        <f t="shared" si="153"/>
        <v>58392712.482181236</v>
      </c>
      <c r="AB327" s="516">
        <v>2200</v>
      </c>
      <c r="AC327" s="516">
        <f t="shared" si="157"/>
        <v>121470.17142857144</v>
      </c>
      <c r="AD327" s="492" t="s">
        <v>2170</v>
      </c>
      <c r="AE327" s="461" t="s">
        <v>2267</v>
      </c>
      <c r="AF327" s="519" t="str">
        <f>$D$252</f>
        <v>m³</v>
      </c>
      <c r="AG327" s="518">
        <v>55.213714285714289</v>
      </c>
      <c r="AH327" s="517">
        <f>$F$252</f>
        <v>1057576.2423809525</v>
      </c>
      <c r="AI327" s="463">
        <f t="shared" si="154"/>
        <v>58392712.482181236</v>
      </c>
      <c r="AJ327" s="516">
        <v>2200</v>
      </c>
      <c r="AK327" s="516">
        <f t="shared" si="158"/>
        <v>121470.17142857144</v>
      </c>
    </row>
    <row r="328" spans="2:37" ht="15" customHeight="1">
      <c r="B328" s="492" t="s">
        <v>2172</v>
      </c>
      <c r="C328" s="461" t="s">
        <v>2243</v>
      </c>
      <c r="D328" s="519" t="str">
        <f>$D$253</f>
        <v>kg</v>
      </c>
      <c r="E328" s="518">
        <v>9511.9480000000003</v>
      </c>
      <c r="F328" s="416">
        <f>$F$253</f>
        <v>19478.039350000003</v>
      </c>
      <c r="G328" s="463">
        <f t="shared" si="151"/>
        <v>185274097.43915382</v>
      </c>
      <c r="H328" s="516">
        <v>1</v>
      </c>
      <c r="I328" s="516">
        <f t="shared" si="155"/>
        <v>9511.9480000000003</v>
      </c>
      <c r="N328" s="492" t="s">
        <v>2172</v>
      </c>
      <c r="O328" s="461" t="s">
        <v>2243</v>
      </c>
      <c r="P328" s="519" t="str">
        <f>$D$253</f>
        <v>kg</v>
      </c>
      <c r="Q328" s="518">
        <v>9511.9480000000003</v>
      </c>
      <c r="R328" s="517">
        <f>$F$253</f>
        <v>19478.039350000003</v>
      </c>
      <c r="S328" s="463">
        <f t="shared" si="152"/>
        <v>185274097.43915382</v>
      </c>
      <c r="T328" s="516">
        <v>1</v>
      </c>
      <c r="U328" s="516">
        <f t="shared" si="156"/>
        <v>9511.9480000000003</v>
      </c>
      <c r="V328" s="492" t="s">
        <v>2172</v>
      </c>
      <c r="W328" s="461" t="s">
        <v>2243</v>
      </c>
      <c r="X328" s="519" t="str">
        <f>$D$253</f>
        <v>kg</v>
      </c>
      <c r="Y328" s="518">
        <v>9511.9480000000003</v>
      </c>
      <c r="Z328" s="517">
        <f>$F$253</f>
        <v>19478.039350000003</v>
      </c>
      <c r="AA328" s="463">
        <f t="shared" si="153"/>
        <v>185274097.43915382</v>
      </c>
      <c r="AB328" s="516">
        <v>1</v>
      </c>
      <c r="AC328" s="516">
        <f t="shared" si="157"/>
        <v>9511.9480000000003</v>
      </c>
      <c r="AD328" s="492" t="s">
        <v>2172</v>
      </c>
      <c r="AE328" s="461" t="s">
        <v>2243</v>
      </c>
      <c r="AF328" s="519" t="str">
        <f>$D$253</f>
        <v>kg</v>
      </c>
      <c r="AG328" s="518">
        <v>9511.9480000000003</v>
      </c>
      <c r="AH328" s="517">
        <f>$F$253</f>
        <v>19478.039350000003</v>
      </c>
      <c r="AI328" s="463">
        <f t="shared" si="154"/>
        <v>185274097.43915382</v>
      </c>
      <c r="AJ328" s="516">
        <v>1</v>
      </c>
      <c r="AK328" s="516">
        <f t="shared" si="158"/>
        <v>9511.9480000000003</v>
      </c>
    </row>
    <row r="329" spans="2:37" ht="15" customHeight="1">
      <c r="B329" s="492" t="s">
        <v>2268</v>
      </c>
      <c r="C329" s="461" t="s">
        <v>2244</v>
      </c>
      <c r="D329" s="519" t="str">
        <f>$D$254</f>
        <v>m²</v>
      </c>
      <c r="E329" s="518">
        <v>43.2</v>
      </c>
      <c r="F329" s="416">
        <f>$F$254</f>
        <v>145812.67000000001</v>
      </c>
      <c r="G329" s="463">
        <f t="shared" si="151"/>
        <v>6299107.3440000005</v>
      </c>
      <c r="H329" s="516">
        <v>40</v>
      </c>
      <c r="I329" s="516">
        <f t="shared" si="155"/>
        <v>1728</v>
      </c>
      <c r="N329" s="492" t="s">
        <v>2268</v>
      </c>
      <c r="O329" s="461" t="s">
        <v>2244</v>
      </c>
      <c r="P329" s="519" t="str">
        <f>$D$254</f>
        <v>m²</v>
      </c>
      <c r="Q329" s="518">
        <v>43.2</v>
      </c>
      <c r="R329" s="517">
        <f>$F$254</f>
        <v>145812.67000000001</v>
      </c>
      <c r="S329" s="463">
        <f t="shared" si="152"/>
        <v>6299107.3440000005</v>
      </c>
      <c r="T329" s="516">
        <v>40</v>
      </c>
      <c r="U329" s="516">
        <f t="shared" si="156"/>
        <v>1728</v>
      </c>
      <c r="V329" s="492" t="s">
        <v>2268</v>
      </c>
      <c r="W329" s="461" t="s">
        <v>2244</v>
      </c>
      <c r="X329" s="519" t="str">
        <f>$D$254</f>
        <v>m²</v>
      </c>
      <c r="Y329" s="518">
        <v>43.2</v>
      </c>
      <c r="Z329" s="517">
        <f>$F$254</f>
        <v>145812.67000000001</v>
      </c>
      <c r="AA329" s="463">
        <f t="shared" si="153"/>
        <v>6299107.3440000005</v>
      </c>
      <c r="AB329" s="516">
        <v>40</v>
      </c>
      <c r="AC329" s="516">
        <f t="shared" si="157"/>
        <v>1728</v>
      </c>
      <c r="AD329" s="492" t="s">
        <v>2268</v>
      </c>
      <c r="AE329" s="461" t="s">
        <v>2244</v>
      </c>
      <c r="AF329" s="519" t="str">
        <f>$D$254</f>
        <v>m²</v>
      </c>
      <c r="AG329" s="518">
        <v>43.2</v>
      </c>
      <c r="AH329" s="517">
        <f>$F$254</f>
        <v>145812.67000000001</v>
      </c>
      <c r="AI329" s="463">
        <f t="shared" si="154"/>
        <v>6299107.3440000005</v>
      </c>
      <c r="AJ329" s="516">
        <v>40</v>
      </c>
      <c r="AK329" s="516">
        <f t="shared" si="158"/>
        <v>1728</v>
      </c>
    </row>
    <row r="330" spans="2:37" ht="15" customHeight="1">
      <c r="B330" s="492" t="s">
        <v>2176</v>
      </c>
      <c r="C330" s="491" t="s">
        <v>2246</v>
      </c>
      <c r="D330" s="519" t="str">
        <f>$D$255</f>
        <v>bh</v>
      </c>
      <c r="E330" s="518">
        <v>4</v>
      </c>
      <c r="F330" s="416">
        <f>$F$255</f>
        <v>100000</v>
      </c>
      <c r="G330" s="463">
        <f t="shared" si="151"/>
        <v>400000</v>
      </c>
      <c r="H330" s="516">
        <v>2.5</v>
      </c>
      <c r="I330" s="516">
        <f t="shared" si="155"/>
        <v>10</v>
      </c>
      <c r="N330" s="492" t="s">
        <v>2176</v>
      </c>
      <c r="O330" s="491" t="s">
        <v>2246</v>
      </c>
      <c r="P330" s="519" t="str">
        <f>$D$255</f>
        <v>bh</v>
      </c>
      <c r="Q330" s="518">
        <v>4</v>
      </c>
      <c r="R330" s="517">
        <f>$F$255</f>
        <v>100000</v>
      </c>
      <c r="S330" s="463">
        <f t="shared" si="152"/>
        <v>400000</v>
      </c>
      <c r="T330" s="516">
        <v>2.5</v>
      </c>
      <c r="U330" s="516">
        <f t="shared" si="156"/>
        <v>10</v>
      </c>
      <c r="V330" s="492" t="s">
        <v>2176</v>
      </c>
      <c r="W330" s="491" t="s">
        <v>2246</v>
      </c>
      <c r="X330" s="519" t="str">
        <f>$D$255</f>
        <v>bh</v>
      </c>
      <c r="Y330" s="518">
        <v>4</v>
      </c>
      <c r="Z330" s="517">
        <f>$F$255</f>
        <v>100000</v>
      </c>
      <c r="AA330" s="463">
        <f t="shared" si="153"/>
        <v>400000</v>
      </c>
      <c r="AB330" s="516">
        <v>2.5</v>
      </c>
      <c r="AC330" s="516">
        <f t="shared" si="157"/>
        <v>10</v>
      </c>
      <c r="AD330" s="492" t="s">
        <v>2176</v>
      </c>
      <c r="AE330" s="491" t="s">
        <v>2246</v>
      </c>
      <c r="AF330" s="519" t="str">
        <f>$D$255</f>
        <v>bh</v>
      </c>
      <c r="AG330" s="518">
        <v>4</v>
      </c>
      <c r="AH330" s="517">
        <f>$F$255</f>
        <v>100000</v>
      </c>
      <c r="AI330" s="463">
        <f t="shared" si="154"/>
        <v>400000</v>
      </c>
      <c r="AJ330" s="516">
        <v>2.5</v>
      </c>
      <c r="AK330" s="516">
        <f t="shared" si="158"/>
        <v>10</v>
      </c>
    </row>
    <row r="331" spans="2:37" ht="15" customHeight="1">
      <c r="B331" s="492"/>
      <c r="C331" s="461"/>
      <c r="D331" s="519"/>
      <c r="E331" s="428"/>
      <c r="F331" s="416"/>
      <c r="G331" s="463"/>
      <c r="I331" s="516">
        <f>SUM(I324:I329)</f>
        <v>218976.11942857146</v>
      </c>
      <c r="N331" s="492"/>
      <c r="O331" s="461"/>
      <c r="P331" s="519"/>
      <c r="Q331" s="428"/>
      <c r="R331" s="517"/>
      <c r="S331" s="463"/>
      <c r="U331" s="516">
        <f>SUM(U324:U329)</f>
        <v>218976.11942857146</v>
      </c>
      <c r="V331" s="492"/>
      <c r="W331" s="461"/>
      <c r="X331" s="519"/>
      <c r="Y331" s="428"/>
      <c r="Z331" s="517"/>
      <c r="AA331" s="463"/>
      <c r="AC331" s="516">
        <f>SUM(AC324:AC329)</f>
        <v>218976.11942857146</v>
      </c>
      <c r="AD331" s="492"/>
      <c r="AE331" s="461"/>
      <c r="AF331" s="519"/>
      <c r="AG331" s="428"/>
      <c r="AH331" s="517"/>
      <c r="AI331" s="463"/>
      <c r="AK331" s="516">
        <f>SUM(AK324:AK329)</f>
        <v>218976.11942857146</v>
      </c>
    </row>
    <row r="332" spans="2:37" ht="15" customHeight="1">
      <c r="B332" s="507">
        <v>3</v>
      </c>
      <c r="C332" s="460" t="s">
        <v>2086</v>
      </c>
      <c r="D332" s="519"/>
      <c r="E332" s="428"/>
      <c r="F332" s="416"/>
      <c r="G332" s="463"/>
      <c r="N332" s="507">
        <v>3</v>
      </c>
      <c r="O332" s="460" t="s">
        <v>2086</v>
      </c>
      <c r="P332" s="519"/>
      <c r="Q332" s="428"/>
      <c r="R332" s="517"/>
      <c r="S332" s="463"/>
      <c r="V332" s="507">
        <v>3</v>
      </c>
      <c r="W332" s="460" t="s">
        <v>2086</v>
      </c>
      <c r="X332" s="519"/>
      <c r="Y332" s="428"/>
      <c r="Z332" s="517"/>
      <c r="AA332" s="463"/>
      <c r="AD332" s="507">
        <v>3</v>
      </c>
      <c r="AE332" s="460" t="s">
        <v>2086</v>
      </c>
      <c r="AF332" s="519"/>
      <c r="AG332" s="428"/>
      <c r="AH332" s="517"/>
      <c r="AI332" s="463"/>
    </row>
    <row r="333" spans="2:37" ht="15" customHeight="1">
      <c r="B333" s="492" t="s">
        <v>721</v>
      </c>
      <c r="C333" s="461" t="s">
        <v>2247</v>
      </c>
      <c r="D333" s="519" t="str">
        <f>$D$258</f>
        <v>bh</v>
      </c>
      <c r="E333" s="518">
        <v>4</v>
      </c>
      <c r="F333" s="416">
        <f>$F$258</f>
        <v>181849.04</v>
      </c>
      <c r="G333" s="463">
        <f t="shared" ref="G333:G338" si="159">E333*F333</f>
        <v>727396.16</v>
      </c>
      <c r="N333" s="492" t="s">
        <v>721</v>
      </c>
      <c r="O333" s="461" t="s">
        <v>2247</v>
      </c>
      <c r="P333" s="519" t="str">
        <f>$D$258</f>
        <v>bh</v>
      </c>
      <c r="Q333" s="518">
        <v>4</v>
      </c>
      <c r="R333" s="517">
        <f>$F$258</f>
        <v>181849.04</v>
      </c>
      <c r="S333" s="463">
        <f t="shared" ref="S333:S338" si="160">Q333*R333</f>
        <v>727396.16</v>
      </c>
      <c r="V333" s="492" t="s">
        <v>721</v>
      </c>
      <c r="W333" s="461" t="s">
        <v>2247</v>
      </c>
      <c r="X333" s="519" t="str">
        <f>$D$258</f>
        <v>bh</v>
      </c>
      <c r="Y333" s="518">
        <v>4</v>
      </c>
      <c r="Z333" s="517">
        <f>$F$258</f>
        <v>181849.04</v>
      </c>
      <c r="AA333" s="463">
        <f t="shared" ref="AA333:AA338" si="161">Y333*Z333</f>
        <v>727396.16</v>
      </c>
      <c r="AD333" s="492" t="s">
        <v>721</v>
      </c>
      <c r="AE333" s="461" t="s">
        <v>2247</v>
      </c>
      <c r="AF333" s="519" t="str">
        <f>$D$258</f>
        <v>bh</v>
      </c>
      <c r="AG333" s="518">
        <v>4</v>
      </c>
      <c r="AH333" s="517">
        <f>$F$258</f>
        <v>181849.04</v>
      </c>
      <c r="AI333" s="463">
        <f t="shared" ref="AI333:AI338" si="162">AG333*AH333</f>
        <v>727396.16</v>
      </c>
    </row>
    <row r="334" spans="2:37" ht="15" customHeight="1">
      <c r="B334" s="492" t="s">
        <v>2166</v>
      </c>
      <c r="C334" s="461" t="s">
        <v>2085</v>
      </c>
      <c r="D334" s="519" t="str">
        <f>$D$259</f>
        <v>kg</v>
      </c>
      <c r="E334" s="518">
        <f>I331</f>
        <v>218976.11942857146</v>
      </c>
      <c r="F334" s="416">
        <f>$F$259</f>
        <v>462.7700000000001</v>
      </c>
      <c r="G334" s="463">
        <f t="shared" si="159"/>
        <v>101335578.78796004</v>
      </c>
      <c r="N334" s="492" t="s">
        <v>2166</v>
      </c>
      <c r="O334" s="461" t="s">
        <v>2085</v>
      </c>
      <c r="P334" s="519" t="str">
        <f>$D$259</f>
        <v>kg</v>
      </c>
      <c r="Q334" s="518">
        <f>U331</f>
        <v>218976.11942857146</v>
      </c>
      <c r="R334" s="517">
        <f>$F$259</f>
        <v>462.7700000000001</v>
      </c>
      <c r="S334" s="463">
        <f t="shared" si="160"/>
        <v>101335578.78796004</v>
      </c>
      <c r="V334" s="492" t="s">
        <v>2166</v>
      </c>
      <c r="W334" s="461" t="s">
        <v>2085</v>
      </c>
      <c r="X334" s="519" t="str">
        <f>$D$259</f>
        <v>kg</v>
      </c>
      <c r="Y334" s="518">
        <f>AC331</f>
        <v>218976.11942857146</v>
      </c>
      <c r="Z334" s="517">
        <f>$F$259</f>
        <v>462.7700000000001</v>
      </c>
      <c r="AA334" s="463">
        <f t="shared" si="161"/>
        <v>101335578.78796004</v>
      </c>
      <c r="AD334" s="492" t="s">
        <v>2166</v>
      </c>
      <c r="AE334" s="461" t="s">
        <v>2085</v>
      </c>
      <c r="AF334" s="519" t="str">
        <f>$D$259</f>
        <v>kg</v>
      </c>
      <c r="AG334" s="518">
        <f>AK331</f>
        <v>218976.11942857146</v>
      </c>
      <c r="AH334" s="517">
        <f>$F$259</f>
        <v>462.7700000000001</v>
      </c>
      <c r="AI334" s="463">
        <f t="shared" si="162"/>
        <v>101335578.78796004</v>
      </c>
    </row>
    <row r="335" spans="2:37" ht="15" customHeight="1">
      <c r="B335" s="492" t="s">
        <v>2168</v>
      </c>
      <c r="C335" s="461" t="s">
        <v>2249</v>
      </c>
      <c r="D335" s="519" t="str">
        <f>$D$260</f>
        <v>bh</v>
      </c>
      <c r="E335" s="518">
        <v>4</v>
      </c>
      <c r="F335" s="416">
        <f>$F$260</f>
        <v>387825</v>
      </c>
      <c r="G335" s="463">
        <f t="shared" si="159"/>
        <v>1551300</v>
      </c>
      <c r="N335" s="492" t="s">
        <v>2168</v>
      </c>
      <c r="O335" s="461" t="s">
        <v>2249</v>
      </c>
      <c r="P335" s="519" t="str">
        <f>$D$260</f>
        <v>bh</v>
      </c>
      <c r="Q335" s="518">
        <v>4</v>
      </c>
      <c r="R335" s="517">
        <f>$F$260</f>
        <v>387825</v>
      </c>
      <c r="S335" s="463">
        <f t="shared" si="160"/>
        <v>1551300</v>
      </c>
      <c r="V335" s="492" t="s">
        <v>2168</v>
      </c>
      <c r="W335" s="461" t="s">
        <v>2249</v>
      </c>
      <c r="X335" s="519" t="str">
        <f>$D$260</f>
        <v>bh</v>
      </c>
      <c r="Y335" s="518">
        <v>4</v>
      </c>
      <c r="Z335" s="517">
        <f>$F$260</f>
        <v>387825</v>
      </c>
      <c r="AA335" s="463">
        <f t="shared" si="161"/>
        <v>1551300</v>
      </c>
      <c r="AD335" s="492" t="s">
        <v>2168</v>
      </c>
      <c r="AE335" s="461" t="s">
        <v>2249</v>
      </c>
      <c r="AF335" s="519" t="str">
        <f>$D$260</f>
        <v>bh</v>
      </c>
      <c r="AG335" s="518">
        <v>4</v>
      </c>
      <c r="AH335" s="517">
        <f>$F$260</f>
        <v>387825</v>
      </c>
      <c r="AI335" s="463">
        <f t="shared" si="162"/>
        <v>1551300</v>
      </c>
    </row>
    <row r="336" spans="2:37" ht="15" customHeight="1">
      <c r="B336" s="492" t="s">
        <v>2170</v>
      </c>
      <c r="C336" s="461" t="s">
        <v>2250</v>
      </c>
      <c r="D336" s="519" t="str">
        <f>$D$261</f>
        <v>kg</v>
      </c>
      <c r="E336" s="518">
        <v>150.93599999999998</v>
      </c>
      <c r="F336" s="416">
        <f>$F$261</f>
        <v>3758.6984549742947</v>
      </c>
      <c r="G336" s="463">
        <f t="shared" si="159"/>
        <v>567322.91</v>
      </c>
      <c r="N336" s="492" t="s">
        <v>2170</v>
      </c>
      <c r="O336" s="461" t="s">
        <v>2250</v>
      </c>
      <c r="P336" s="519" t="str">
        <f>$D$261</f>
        <v>kg</v>
      </c>
      <c r="Q336" s="518">
        <v>239.61599999999999</v>
      </c>
      <c r="R336" s="517">
        <f>$F$261</f>
        <v>3758.6984549742947</v>
      </c>
      <c r="S336" s="463">
        <f t="shared" si="160"/>
        <v>900644.2889871205</v>
      </c>
      <c r="V336" s="492" t="s">
        <v>2170</v>
      </c>
      <c r="W336" s="461" t="s">
        <v>2269</v>
      </c>
      <c r="X336" s="519" t="str">
        <f>$D$261</f>
        <v>kg</v>
      </c>
      <c r="Y336" s="518">
        <v>311.47199999999998</v>
      </c>
      <c r="Z336" s="517">
        <f>$F$261</f>
        <v>3758.6984549742947</v>
      </c>
      <c r="AA336" s="463">
        <f t="shared" si="161"/>
        <v>1170729.3251677535</v>
      </c>
      <c r="AD336" s="492" t="s">
        <v>2170</v>
      </c>
      <c r="AE336" s="461" t="s">
        <v>2269</v>
      </c>
      <c r="AF336" s="519" t="str">
        <f>$D$261</f>
        <v>kg</v>
      </c>
      <c r="AG336" s="518">
        <v>403.17599999999999</v>
      </c>
      <c r="AH336" s="517">
        <f>$F$261</f>
        <v>3758.6984549742947</v>
      </c>
      <c r="AI336" s="463">
        <f t="shared" si="162"/>
        <v>1515417.0082827162</v>
      </c>
    </row>
    <row r="337" spans="2:37" ht="15" customHeight="1">
      <c r="B337" s="492" t="s">
        <v>2172</v>
      </c>
      <c r="C337" s="461" t="s">
        <v>2251</v>
      </c>
      <c r="D337" s="519" t="str">
        <f>$D$262</f>
        <v>set</v>
      </c>
      <c r="E337" s="518">
        <v>1</v>
      </c>
      <c r="F337" s="416">
        <f>$F$262</f>
        <v>855127</v>
      </c>
      <c r="G337" s="463">
        <f t="shared" si="159"/>
        <v>855127</v>
      </c>
      <c r="N337" s="492" t="s">
        <v>2172</v>
      </c>
      <c r="O337" s="461" t="s">
        <v>2251</v>
      </c>
      <c r="P337" s="519" t="str">
        <f>$D$262</f>
        <v>set</v>
      </c>
      <c r="Q337" s="518">
        <v>1</v>
      </c>
      <c r="R337" s="517">
        <f>$F$262</f>
        <v>855127</v>
      </c>
      <c r="S337" s="463">
        <f t="shared" si="160"/>
        <v>855127</v>
      </c>
      <c r="V337" s="492" t="s">
        <v>2172</v>
      </c>
      <c r="W337" s="461" t="s">
        <v>2251</v>
      </c>
      <c r="X337" s="519" t="str">
        <f>$D$262</f>
        <v>set</v>
      </c>
      <c r="Y337" s="518">
        <v>1</v>
      </c>
      <c r="Z337" s="517">
        <f>$F$262</f>
        <v>855127</v>
      </c>
      <c r="AA337" s="463">
        <f t="shared" si="161"/>
        <v>855127</v>
      </c>
      <c r="AD337" s="492" t="s">
        <v>2172</v>
      </c>
      <c r="AE337" s="461" t="s">
        <v>2251</v>
      </c>
      <c r="AF337" s="519" t="str">
        <f>$D$262</f>
        <v>set</v>
      </c>
      <c r="AG337" s="518">
        <v>1</v>
      </c>
      <c r="AH337" s="517">
        <f>$F$262</f>
        <v>855127</v>
      </c>
      <c r="AI337" s="463">
        <f t="shared" si="162"/>
        <v>855127</v>
      </c>
    </row>
    <row r="338" spans="2:37" ht="15" customHeight="1">
      <c r="B338" s="492" t="s">
        <v>2174</v>
      </c>
      <c r="C338" s="461" t="s">
        <v>2252</v>
      </c>
      <c r="D338" s="519" t="str">
        <f>$D$263</f>
        <v>set</v>
      </c>
      <c r="E338" s="518">
        <v>1</v>
      </c>
      <c r="F338" s="416">
        <f>$F$263</f>
        <v>674025</v>
      </c>
      <c r="G338" s="463">
        <f t="shared" si="159"/>
        <v>674025</v>
      </c>
      <c r="N338" s="492" t="s">
        <v>2174</v>
      </c>
      <c r="O338" s="461" t="s">
        <v>2252</v>
      </c>
      <c r="P338" s="519" t="str">
        <f>$D$263</f>
        <v>set</v>
      </c>
      <c r="Q338" s="518">
        <v>1</v>
      </c>
      <c r="R338" s="517">
        <f>$F$263</f>
        <v>674025</v>
      </c>
      <c r="S338" s="463">
        <f t="shared" si="160"/>
        <v>674025</v>
      </c>
      <c r="V338" s="492" t="s">
        <v>2174</v>
      </c>
      <c r="W338" s="461" t="s">
        <v>2252</v>
      </c>
      <c r="X338" s="519" t="str">
        <f>$D$263</f>
        <v>set</v>
      </c>
      <c r="Y338" s="518">
        <v>1</v>
      </c>
      <c r="Z338" s="517">
        <f>$F$263</f>
        <v>674025</v>
      </c>
      <c r="AA338" s="463">
        <f t="shared" si="161"/>
        <v>674025</v>
      </c>
      <c r="AD338" s="492" t="s">
        <v>2174</v>
      </c>
      <c r="AE338" s="461" t="s">
        <v>2252</v>
      </c>
      <c r="AF338" s="519" t="str">
        <f>$D$263</f>
        <v>set</v>
      </c>
      <c r="AG338" s="518">
        <v>1</v>
      </c>
      <c r="AH338" s="517">
        <f>$F$263</f>
        <v>674025</v>
      </c>
      <c r="AI338" s="463">
        <f t="shared" si="162"/>
        <v>674025</v>
      </c>
    </row>
    <row r="339" spans="2:37" ht="15" customHeight="1" thickBot="1">
      <c r="B339" s="459"/>
      <c r="C339" s="1194" t="s">
        <v>3248</v>
      </c>
      <c r="D339" s="1195"/>
      <c r="E339" s="1195"/>
      <c r="F339" s="1196"/>
      <c r="G339" s="458">
        <f>SUM(G318:G338)</f>
        <v>410992094.3371253</v>
      </c>
      <c r="N339" s="459"/>
      <c r="O339" s="1194" t="s">
        <v>3248</v>
      </c>
      <c r="P339" s="1195"/>
      <c r="Q339" s="1195"/>
      <c r="R339" s="1196"/>
      <c r="S339" s="458">
        <f>SUM(S318:S338)</f>
        <v>411325415.71611238</v>
      </c>
      <c r="V339" s="459"/>
      <c r="W339" s="1194" t="s">
        <v>3248</v>
      </c>
      <c r="X339" s="1195"/>
      <c r="Y339" s="1195"/>
      <c r="Z339" s="1196"/>
      <c r="AA339" s="458">
        <f>SUM(AA318:AA338)</f>
        <v>411595500.75229305</v>
      </c>
      <c r="AD339" s="459"/>
      <c r="AE339" s="1194" t="s">
        <v>3248</v>
      </c>
      <c r="AF339" s="1195"/>
      <c r="AG339" s="1195"/>
      <c r="AH339" s="1196"/>
      <c r="AI339" s="458">
        <f>SUM(AI318:AI338)</f>
        <v>411940188.435408</v>
      </c>
    </row>
    <row r="340" spans="2:37" ht="15" customHeight="1" thickBot="1">
      <c r="B340" s="427"/>
      <c r="C340" s="427"/>
      <c r="D340" s="427"/>
      <c r="E340" s="427"/>
      <c r="F340" s="426"/>
      <c r="G340" s="426"/>
      <c r="N340" s="427"/>
      <c r="O340" s="427"/>
      <c r="P340" s="427"/>
      <c r="Q340" s="427"/>
      <c r="R340" s="427"/>
      <c r="S340" s="426"/>
      <c r="V340" s="427"/>
      <c r="W340" s="427"/>
      <c r="X340" s="427"/>
      <c r="Y340" s="427"/>
      <c r="Z340" s="427"/>
      <c r="AA340" s="426"/>
      <c r="AD340" s="427"/>
      <c r="AE340" s="427"/>
      <c r="AF340" s="427"/>
      <c r="AG340" s="427"/>
      <c r="AH340" s="427"/>
      <c r="AI340" s="426"/>
    </row>
    <row r="341" spans="2:37" ht="15" customHeight="1" thickBot="1">
      <c r="B341" s="452" t="s">
        <v>2229</v>
      </c>
      <c r="C341" s="435"/>
      <c r="D341" s="434">
        <v>6</v>
      </c>
      <c r="E341" s="433"/>
      <c r="F341" s="411"/>
      <c r="G341" s="431"/>
      <c r="N341" s="452" t="s">
        <v>2230</v>
      </c>
      <c r="O341" s="435"/>
      <c r="P341" s="434">
        <v>6</v>
      </c>
      <c r="Q341" s="433"/>
      <c r="R341" s="432"/>
      <c r="S341" s="431"/>
      <c r="V341" s="452" t="s">
        <v>2231</v>
      </c>
      <c r="W341" s="435"/>
      <c r="X341" s="434"/>
      <c r="Y341" s="433"/>
      <c r="Z341" s="432"/>
      <c r="AA341" s="431"/>
      <c r="AD341" s="452" t="s">
        <v>2254</v>
      </c>
      <c r="AE341" s="435"/>
      <c r="AF341" s="434"/>
      <c r="AG341" s="433"/>
      <c r="AH341" s="432"/>
      <c r="AI341" s="431"/>
    </row>
    <row r="342" spans="2:37" ht="15" customHeight="1">
      <c r="B342" s="446"/>
      <c r="C342" s="445" t="s">
        <v>3249</v>
      </c>
      <c r="D342" s="444"/>
      <c r="E342" s="443"/>
      <c r="F342" s="413"/>
      <c r="G342" s="441"/>
      <c r="N342" s="446"/>
      <c r="O342" s="445" t="s">
        <v>3249</v>
      </c>
      <c r="P342" s="444"/>
      <c r="Q342" s="443"/>
      <c r="R342" s="442"/>
      <c r="S342" s="441"/>
      <c r="V342" s="446"/>
      <c r="W342" s="445" t="s">
        <v>3250</v>
      </c>
      <c r="X342" s="444"/>
      <c r="Y342" s="443"/>
      <c r="Z342" s="442"/>
      <c r="AA342" s="441"/>
      <c r="AD342" s="446"/>
      <c r="AE342" s="445" t="s">
        <v>3250</v>
      </c>
      <c r="AF342" s="444"/>
      <c r="AG342" s="443"/>
      <c r="AH342" s="442"/>
      <c r="AI342" s="441"/>
    </row>
    <row r="343" spans="2:37" ht="15" customHeight="1">
      <c r="B343" s="468">
        <v>1</v>
      </c>
      <c r="C343" s="467" t="s">
        <v>2234</v>
      </c>
      <c r="D343" s="519"/>
      <c r="E343" s="430"/>
      <c r="F343" s="417"/>
      <c r="G343" s="486"/>
      <c r="N343" s="468">
        <v>1</v>
      </c>
      <c r="O343" s="467" t="s">
        <v>2234</v>
      </c>
      <c r="P343" s="519"/>
      <c r="Q343" s="430"/>
      <c r="R343" s="429"/>
      <c r="S343" s="486"/>
      <c r="V343" s="468">
        <v>1</v>
      </c>
      <c r="W343" s="467" t="s">
        <v>2234</v>
      </c>
      <c r="X343" s="519"/>
      <c r="Y343" s="430"/>
      <c r="Z343" s="429"/>
      <c r="AA343" s="486"/>
      <c r="AD343" s="468">
        <v>1</v>
      </c>
      <c r="AE343" s="467" t="s">
        <v>2234</v>
      </c>
      <c r="AF343" s="519"/>
      <c r="AG343" s="430"/>
      <c r="AH343" s="429"/>
      <c r="AI343" s="486"/>
    </row>
    <row r="344" spans="2:37" ht="15" customHeight="1">
      <c r="B344" s="492" t="s">
        <v>721</v>
      </c>
      <c r="C344" s="464" t="s">
        <v>2235</v>
      </c>
      <c r="D344" s="519" t="str">
        <f>$D$244</f>
        <v>m³</v>
      </c>
      <c r="E344" s="518">
        <v>50.35</v>
      </c>
      <c r="F344" s="416">
        <f>$F$244</f>
        <v>102390.75000000001</v>
      </c>
      <c r="G344" s="463">
        <f>E344*F344</f>
        <v>5155374.2625000011</v>
      </c>
      <c r="N344" s="492" t="s">
        <v>721</v>
      </c>
      <c r="O344" s="464" t="s">
        <v>2235</v>
      </c>
      <c r="P344" s="519" t="str">
        <f>$D$244</f>
        <v>m³</v>
      </c>
      <c r="Q344" s="518">
        <v>50.35</v>
      </c>
      <c r="R344" s="517">
        <f>$F$244</f>
        <v>102390.75000000001</v>
      </c>
      <c r="S344" s="463">
        <f>Q344*R344</f>
        <v>5155374.2625000011</v>
      </c>
      <c r="V344" s="492" t="s">
        <v>721</v>
      </c>
      <c r="W344" s="464" t="s">
        <v>2235</v>
      </c>
      <c r="X344" s="519" t="str">
        <f>$D$244</f>
        <v>m³</v>
      </c>
      <c r="Y344" s="518">
        <v>50.35</v>
      </c>
      <c r="Z344" s="517">
        <f>$F$244</f>
        <v>102390.75000000001</v>
      </c>
      <c r="AA344" s="463">
        <f>Y344*Z344</f>
        <v>5155374.2625000011</v>
      </c>
      <c r="AD344" s="492" t="s">
        <v>721</v>
      </c>
      <c r="AE344" s="464" t="s">
        <v>2235</v>
      </c>
      <c r="AF344" s="519" t="str">
        <f>$D$244</f>
        <v>m³</v>
      </c>
      <c r="AG344" s="518">
        <v>50.35</v>
      </c>
      <c r="AH344" s="517">
        <f>$F$244</f>
        <v>102390.75000000001</v>
      </c>
      <c r="AI344" s="463">
        <f>AG344*AH344</f>
        <v>5155374.2625000011</v>
      </c>
    </row>
    <row r="345" spans="2:37" ht="15" customHeight="1">
      <c r="B345" s="492" t="s">
        <v>2166</v>
      </c>
      <c r="C345" s="464" t="s">
        <v>2237</v>
      </c>
      <c r="D345" s="519" t="str">
        <f>$D$245</f>
        <v>m³</v>
      </c>
      <c r="E345" s="518">
        <v>12.160000000000002</v>
      </c>
      <c r="F345" s="416">
        <f>$F$245</f>
        <v>62462.950000000012</v>
      </c>
      <c r="G345" s="463">
        <f t="shared" ref="G345:G363" si="163">E345*F345</f>
        <v>759549.4720000003</v>
      </c>
      <c r="N345" s="492" t="s">
        <v>2166</v>
      </c>
      <c r="O345" s="464" t="s">
        <v>2237</v>
      </c>
      <c r="P345" s="519" t="str">
        <f>$D$245</f>
        <v>m³</v>
      </c>
      <c r="Q345" s="518">
        <v>12.160000000000002</v>
      </c>
      <c r="R345" s="517">
        <f>$F$245</f>
        <v>62462.950000000012</v>
      </c>
      <c r="S345" s="463">
        <f>Q345*R345</f>
        <v>759549.4720000003</v>
      </c>
      <c r="V345" s="492" t="s">
        <v>2166</v>
      </c>
      <c r="W345" s="464" t="s">
        <v>2237</v>
      </c>
      <c r="X345" s="519" t="str">
        <f>$D$245</f>
        <v>m³</v>
      </c>
      <c r="Y345" s="518">
        <v>12.160000000000002</v>
      </c>
      <c r="Z345" s="517">
        <f>$F$245</f>
        <v>62462.950000000012</v>
      </c>
      <c r="AA345" s="463">
        <f>Y345*Z345</f>
        <v>759549.4720000003</v>
      </c>
      <c r="AD345" s="492" t="s">
        <v>2166</v>
      </c>
      <c r="AE345" s="464" t="s">
        <v>2237</v>
      </c>
      <c r="AF345" s="519" t="str">
        <f>$D$245</f>
        <v>m³</v>
      </c>
      <c r="AG345" s="518">
        <v>12.160000000000002</v>
      </c>
      <c r="AH345" s="517">
        <f>$F$245</f>
        <v>62462.950000000012</v>
      </c>
      <c r="AI345" s="463">
        <f>AG345*AH345</f>
        <v>759549.4720000003</v>
      </c>
    </row>
    <row r="346" spans="2:37" ht="15" customHeight="1">
      <c r="B346" s="492" t="s">
        <v>2168</v>
      </c>
      <c r="C346" s="464" t="s">
        <v>2265</v>
      </c>
      <c r="D346" s="519" t="str">
        <f>$D$246</f>
        <v>m'</v>
      </c>
      <c r="E346" s="518">
        <v>224</v>
      </c>
      <c r="F346" s="416">
        <f>$F$246</f>
        <v>52230.612500000003</v>
      </c>
      <c r="G346" s="463">
        <f t="shared" si="163"/>
        <v>11699657.200000001</v>
      </c>
      <c r="N346" s="492" t="s">
        <v>2168</v>
      </c>
      <c r="O346" s="464" t="s">
        <v>2265</v>
      </c>
      <c r="P346" s="519" t="str">
        <f>$D$246</f>
        <v>m'</v>
      </c>
      <c r="Q346" s="518">
        <v>224</v>
      </c>
      <c r="R346" s="517">
        <f>$F$246</f>
        <v>52230.612500000003</v>
      </c>
      <c r="S346" s="463">
        <f>Q346*R346</f>
        <v>11699657.200000001</v>
      </c>
      <c r="V346" s="492" t="s">
        <v>2168</v>
      </c>
      <c r="W346" s="464" t="s">
        <v>2265</v>
      </c>
      <c r="X346" s="519" t="str">
        <f>$D$246</f>
        <v>m'</v>
      </c>
      <c r="Y346" s="518">
        <v>224</v>
      </c>
      <c r="Z346" s="517">
        <f>$F$246</f>
        <v>52230.612500000003</v>
      </c>
      <c r="AA346" s="463">
        <f>Y346*Z346</f>
        <v>11699657.200000001</v>
      </c>
      <c r="AD346" s="492" t="s">
        <v>2168</v>
      </c>
      <c r="AE346" s="464" t="s">
        <v>2265</v>
      </c>
      <c r="AF346" s="519" t="str">
        <f>$D$246</f>
        <v>m'</v>
      </c>
      <c r="AG346" s="518">
        <v>224</v>
      </c>
      <c r="AH346" s="517">
        <f>$F$246</f>
        <v>52230.612500000003</v>
      </c>
      <c r="AI346" s="463">
        <f>AG346*AH346</f>
        <v>11699657.200000001</v>
      </c>
    </row>
    <row r="347" spans="2:37" ht="15" customHeight="1">
      <c r="B347" s="462"/>
      <c r="C347" s="464"/>
      <c r="D347" s="519"/>
      <c r="E347" s="428"/>
      <c r="F347" s="416"/>
      <c r="G347" s="463">
        <f t="shared" si="163"/>
        <v>0</v>
      </c>
      <c r="N347" s="462"/>
      <c r="O347" s="464"/>
      <c r="P347" s="519"/>
      <c r="Q347" s="428"/>
      <c r="R347" s="517"/>
      <c r="S347" s="463"/>
      <c r="V347" s="462"/>
      <c r="W347" s="464"/>
      <c r="X347" s="519"/>
      <c r="Y347" s="428"/>
      <c r="Z347" s="517"/>
      <c r="AA347" s="463"/>
      <c r="AD347" s="462"/>
      <c r="AE347" s="464"/>
      <c r="AF347" s="519"/>
      <c r="AG347" s="428"/>
      <c r="AH347" s="517"/>
      <c r="AI347" s="463"/>
    </row>
    <row r="348" spans="2:37" ht="15" customHeight="1">
      <c r="B348" s="507">
        <v>2</v>
      </c>
      <c r="C348" s="467" t="s">
        <v>2238</v>
      </c>
      <c r="D348" s="519"/>
      <c r="E348" s="428"/>
      <c r="F348" s="416"/>
      <c r="G348" s="463">
        <f t="shared" si="163"/>
        <v>0</v>
      </c>
      <c r="H348" s="516" t="s">
        <v>2239</v>
      </c>
      <c r="N348" s="507">
        <v>2</v>
      </c>
      <c r="O348" s="467" t="s">
        <v>2238</v>
      </c>
      <c r="P348" s="519"/>
      <c r="Q348" s="428"/>
      <c r="R348" s="517"/>
      <c r="S348" s="463"/>
      <c r="T348" s="516" t="s">
        <v>2239</v>
      </c>
      <c r="V348" s="507">
        <v>2</v>
      </c>
      <c r="W348" s="467" t="s">
        <v>2238</v>
      </c>
      <c r="X348" s="519"/>
      <c r="Y348" s="428"/>
      <c r="Z348" s="517"/>
      <c r="AA348" s="463"/>
      <c r="AB348" s="516" t="s">
        <v>2239</v>
      </c>
      <c r="AD348" s="507">
        <v>2</v>
      </c>
      <c r="AE348" s="467" t="s">
        <v>2238</v>
      </c>
      <c r="AF348" s="519"/>
      <c r="AG348" s="428"/>
      <c r="AH348" s="517"/>
      <c r="AI348" s="463"/>
      <c r="AJ348" s="516" t="s">
        <v>2239</v>
      </c>
    </row>
    <row r="349" spans="2:37" ht="15" customHeight="1">
      <c r="B349" s="492" t="s">
        <v>721</v>
      </c>
      <c r="C349" s="464" t="s">
        <v>2240</v>
      </c>
      <c r="D349" s="519" t="str">
        <f>$D$249</f>
        <v>m³</v>
      </c>
      <c r="E349" s="518">
        <v>4.9000000000000004</v>
      </c>
      <c r="F349" s="416">
        <f>$F$249</f>
        <v>404738.95</v>
      </c>
      <c r="G349" s="463">
        <f t="shared" si="163"/>
        <v>1983220.8550000002</v>
      </c>
      <c r="H349" s="516">
        <v>1400</v>
      </c>
      <c r="I349" s="516">
        <f>E349*H349</f>
        <v>6860.0000000000009</v>
      </c>
      <c r="N349" s="492" t="s">
        <v>721</v>
      </c>
      <c r="O349" s="464" t="s">
        <v>2240</v>
      </c>
      <c r="P349" s="519" t="str">
        <f>$D$249</f>
        <v>m³</v>
      </c>
      <c r="Q349" s="518">
        <v>4.9000000000000004</v>
      </c>
      <c r="R349" s="517">
        <f>$F$249</f>
        <v>404738.95</v>
      </c>
      <c r="S349" s="463">
        <f t="shared" ref="S349:S355" si="164">Q349*R349</f>
        <v>1983220.8550000002</v>
      </c>
      <c r="T349" s="516">
        <v>1400</v>
      </c>
      <c r="U349" s="516">
        <f>Q349*T349</f>
        <v>6860.0000000000009</v>
      </c>
      <c r="V349" s="492" t="s">
        <v>721</v>
      </c>
      <c r="W349" s="464" t="s">
        <v>2240</v>
      </c>
      <c r="X349" s="519" t="str">
        <f>$D$249</f>
        <v>m³</v>
      </c>
      <c r="Y349" s="518">
        <v>4.9000000000000004</v>
      </c>
      <c r="Z349" s="517">
        <f>$F$249</f>
        <v>404738.95</v>
      </c>
      <c r="AA349" s="463">
        <f t="shared" ref="AA349:AA355" si="165">Y349*Z349</f>
        <v>1983220.8550000002</v>
      </c>
      <c r="AB349" s="516">
        <v>1400</v>
      </c>
      <c r="AC349" s="516">
        <f>Y349*AB349</f>
        <v>6860.0000000000009</v>
      </c>
      <c r="AD349" s="492" t="s">
        <v>721</v>
      </c>
      <c r="AE349" s="464" t="s">
        <v>2240</v>
      </c>
      <c r="AF349" s="519" t="str">
        <f>$D$249</f>
        <v>m³</v>
      </c>
      <c r="AG349" s="518">
        <v>4.9000000000000004</v>
      </c>
      <c r="AH349" s="517">
        <f>$F$249</f>
        <v>404738.95</v>
      </c>
      <c r="AI349" s="463">
        <f t="shared" ref="AI349:AI355" si="166">AG349*AH349</f>
        <v>1983220.8550000002</v>
      </c>
      <c r="AJ349" s="516">
        <v>1400</v>
      </c>
      <c r="AK349" s="516">
        <f>AG349*AJ349</f>
        <v>6860.0000000000009</v>
      </c>
    </row>
    <row r="350" spans="2:37" ht="15" customHeight="1">
      <c r="B350" s="492" t="s">
        <v>2166</v>
      </c>
      <c r="C350" s="461" t="s">
        <v>2241</v>
      </c>
      <c r="D350" s="519" t="str">
        <f>$D$250</f>
        <v>m³</v>
      </c>
      <c r="E350" s="518">
        <v>2.4500000000000002</v>
      </c>
      <c r="F350" s="416">
        <f>$F$250</f>
        <v>710224.707936508</v>
      </c>
      <c r="G350" s="463">
        <f t="shared" si="163"/>
        <v>1740050.5344444448</v>
      </c>
      <c r="H350" s="516">
        <v>2200</v>
      </c>
      <c r="I350" s="516">
        <f t="shared" ref="I350:I355" si="167">E350*H350</f>
        <v>5390</v>
      </c>
      <c r="N350" s="492" t="s">
        <v>2166</v>
      </c>
      <c r="O350" s="461" t="s">
        <v>2241</v>
      </c>
      <c r="P350" s="519" t="str">
        <f>$D$250</f>
        <v>m³</v>
      </c>
      <c r="Q350" s="518">
        <v>2.4500000000000002</v>
      </c>
      <c r="R350" s="517">
        <f>$F$250</f>
        <v>710224.707936508</v>
      </c>
      <c r="S350" s="463">
        <f t="shared" si="164"/>
        <v>1740050.5344444448</v>
      </c>
      <c r="T350" s="516">
        <v>2200</v>
      </c>
      <c r="U350" s="516">
        <f t="shared" ref="U350:U355" si="168">Q350*T350</f>
        <v>5390</v>
      </c>
      <c r="V350" s="492" t="s">
        <v>2166</v>
      </c>
      <c r="W350" s="461" t="s">
        <v>2241</v>
      </c>
      <c r="X350" s="519" t="str">
        <f>$D$250</f>
        <v>m³</v>
      </c>
      <c r="Y350" s="518">
        <v>2.4500000000000002</v>
      </c>
      <c r="Z350" s="517">
        <f>$F$250</f>
        <v>710224.707936508</v>
      </c>
      <c r="AA350" s="463">
        <f t="shared" si="165"/>
        <v>1740050.5344444448</v>
      </c>
      <c r="AB350" s="516">
        <v>2200</v>
      </c>
      <c r="AC350" s="516">
        <f t="shared" ref="AC350:AC355" si="169">Y350*AB350</f>
        <v>5390</v>
      </c>
      <c r="AD350" s="492" t="s">
        <v>2166</v>
      </c>
      <c r="AE350" s="461" t="s">
        <v>2241</v>
      </c>
      <c r="AF350" s="519" t="str">
        <f>$D$250</f>
        <v>m³</v>
      </c>
      <c r="AG350" s="518">
        <v>2.4500000000000002</v>
      </c>
      <c r="AH350" s="517">
        <f>$F$250</f>
        <v>710224.707936508</v>
      </c>
      <c r="AI350" s="463">
        <f t="shared" si="166"/>
        <v>1740050.5344444448</v>
      </c>
      <c r="AJ350" s="516">
        <v>2200</v>
      </c>
      <c r="AK350" s="516">
        <f t="shared" ref="AK350:AK355" si="170">AG350*AJ350</f>
        <v>5390</v>
      </c>
    </row>
    <row r="351" spans="2:37" ht="15" customHeight="1">
      <c r="B351" s="492" t="s">
        <v>2168</v>
      </c>
      <c r="C351" s="461" t="s">
        <v>2266</v>
      </c>
      <c r="D351" s="519" t="str">
        <f>$D$251</f>
        <v>m³</v>
      </c>
      <c r="E351" s="518">
        <v>30.84</v>
      </c>
      <c r="F351" s="416">
        <f>$F$251</f>
        <v>1115864.6138095236</v>
      </c>
      <c r="G351" s="463">
        <f t="shared" si="163"/>
        <v>34413264.689885706</v>
      </c>
      <c r="H351" s="516">
        <v>2400</v>
      </c>
      <c r="I351" s="516">
        <f t="shared" si="167"/>
        <v>74016</v>
      </c>
      <c r="N351" s="492" t="s">
        <v>2168</v>
      </c>
      <c r="O351" s="461" t="s">
        <v>2266</v>
      </c>
      <c r="P351" s="519" t="str">
        <f>$D$251</f>
        <v>m³</v>
      </c>
      <c r="Q351" s="518">
        <v>30.84</v>
      </c>
      <c r="R351" s="517">
        <f>$F$251</f>
        <v>1115864.6138095236</v>
      </c>
      <c r="S351" s="463">
        <f t="shared" si="164"/>
        <v>34413264.689885706</v>
      </c>
      <c r="T351" s="516">
        <v>2400</v>
      </c>
      <c r="U351" s="516">
        <f t="shared" si="168"/>
        <v>74016</v>
      </c>
      <c r="V351" s="492" t="s">
        <v>2168</v>
      </c>
      <c r="W351" s="461" t="str">
        <f>O351</f>
        <v>Beton K 225 (Pad &amp; Chimney)</v>
      </c>
      <c r="X351" s="519" t="str">
        <f>$D$251</f>
        <v>m³</v>
      </c>
      <c r="Y351" s="518">
        <v>30.84</v>
      </c>
      <c r="Z351" s="517">
        <f>$F$251</f>
        <v>1115864.6138095236</v>
      </c>
      <c r="AA351" s="463">
        <f t="shared" si="165"/>
        <v>34413264.689885706</v>
      </c>
      <c r="AB351" s="516">
        <v>2400</v>
      </c>
      <c r="AC351" s="516">
        <f t="shared" si="169"/>
        <v>74016</v>
      </c>
      <c r="AD351" s="492" t="s">
        <v>2168</v>
      </c>
      <c r="AE351" s="461" t="str">
        <f>W351</f>
        <v>Beton K 225 (Pad &amp; Chimney)</v>
      </c>
      <c r="AF351" s="519" t="str">
        <f>$D$251</f>
        <v>m³</v>
      </c>
      <c r="AG351" s="518">
        <v>30.84</v>
      </c>
      <c r="AH351" s="517">
        <f>$F$251</f>
        <v>1115864.6138095236</v>
      </c>
      <c r="AI351" s="463">
        <f t="shared" si="166"/>
        <v>34413264.689885706</v>
      </c>
      <c r="AJ351" s="516">
        <v>2400</v>
      </c>
      <c r="AK351" s="516">
        <f t="shared" si="170"/>
        <v>74016</v>
      </c>
    </row>
    <row r="352" spans="2:37" ht="15" customHeight="1">
      <c r="B352" s="492" t="s">
        <v>2170</v>
      </c>
      <c r="C352" s="461" t="s">
        <v>2267</v>
      </c>
      <c r="D352" s="519" t="str">
        <f>$D$252</f>
        <v>m³</v>
      </c>
      <c r="E352" s="518">
        <v>59.739428571428576</v>
      </c>
      <c r="F352" s="416">
        <f>$F$252</f>
        <v>1057576.2423809525</v>
      </c>
      <c r="G352" s="463">
        <f t="shared" si="163"/>
        <v>63179000.390556745</v>
      </c>
      <c r="H352" s="516">
        <v>2200</v>
      </c>
      <c r="I352" s="516">
        <f t="shared" si="167"/>
        <v>131426.74285714288</v>
      </c>
      <c r="N352" s="492" t="s">
        <v>2170</v>
      </c>
      <c r="O352" s="461" t="s">
        <v>2267</v>
      </c>
      <c r="P352" s="519" t="str">
        <f>$D$252</f>
        <v>m³</v>
      </c>
      <c r="Q352" s="518">
        <v>59.739428571428576</v>
      </c>
      <c r="R352" s="517">
        <f>$F$252</f>
        <v>1057576.2423809525</v>
      </c>
      <c r="S352" s="463">
        <f t="shared" si="164"/>
        <v>63179000.390556745</v>
      </c>
      <c r="T352" s="516">
        <v>2200</v>
      </c>
      <c r="U352" s="516">
        <f t="shared" si="168"/>
        <v>131426.74285714288</v>
      </c>
      <c r="V352" s="492" t="s">
        <v>2170</v>
      </c>
      <c r="W352" s="461" t="s">
        <v>2267</v>
      </c>
      <c r="X352" s="519" t="str">
        <f>$D$252</f>
        <v>m³</v>
      </c>
      <c r="Y352" s="518">
        <v>59.739428571428576</v>
      </c>
      <c r="Z352" s="517">
        <f>$F$252</f>
        <v>1057576.2423809525</v>
      </c>
      <c r="AA352" s="463">
        <f t="shared" si="165"/>
        <v>63179000.390556745</v>
      </c>
      <c r="AB352" s="516">
        <v>2200</v>
      </c>
      <c r="AC352" s="516">
        <f t="shared" si="169"/>
        <v>131426.74285714288</v>
      </c>
      <c r="AD352" s="492" t="s">
        <v>2170</v>
      </c>
      <c r="AE352" s="461" t="s">
        <v>2267</v>
      </c>
      <c r="AF352" s="519" t="str">
        <f>$D$252</f>
        <v>m³</v>
      </c>
      <c r="AG352" s="518">
        <v>59.739428571428576</v>
      </c>
      <c r="AH352" s="517">
        <f>$F$252</f>
        <v>1057576.2423809525</v>
      </c>
      <c r="AI352" s="463">
        <f t="shared" si="166"/>
        <v>63179000.390556745</v>
      </c>
      <c r="AJ352" s="516">
        <v>2200</v>
      </c>
      <c r="AK352" s="516">
        <f t="shared" si="170"/>
        <v>131426.74285714288</v>
      </c>
    </row>
    <row r="353" spans="2:37" ht="15" customHeight="1">
      <c r="B353" s="492" t="s">
        <v>2172</v>
      </c>
      <c r="C353" s="461" t="s">
        <v>2243</v>
      </c>
      <c r="D353" s="519" t="str">
        <f>$D$253</f>
        <v>kg</v>
      </c>
      <c r="E353" s="518">
        <v>10058.380000000001</v>
      </c>
      <c r="F353" s="416">
        <f>$F$253</f>
        <v>19478.039350000003</v>
      </c>
      <c r="G353" s="463">
        <f t="shared" si="163"/>
        <v>195917521.43725306</v>
      </c>
      <c r="H353" s="516">
        <v>1</v>
      </c>
      <c r="I353" s="516">
        <f t="shared" si="167"/>
        <v>10058.380000000001</v>
      </c>
      <c r="N353" s="492" t="s">
        <v>2172</v>
      </c>
      <c r="O353" s="461" t="s">
        <v>2243</v>
      </c>
      <c r="P353" s="519" t="str">
        <f>$D$253</f>
        <v>kg</v>
      </c>
      <c r="Q353" s="518">
        <v>10058.380000000001</v>
      </c>
      <c r="R353" s="517">
        <f>$F$253</f>
        <v>19478.039350000003</v>
      </c>
      <c r="S353" s="463">
        <f t="shared" si="164"/>
        <v>195917521.43725306</v>
      </c>
      <c r="T353" s="516">
        <v>1</v>
      </c>
      <c r="U353" s="516">
        <f t="shared" si="168"/>
        <v>10058.380000000001</v>
      </c>
      <c r="V353" s="492" t="s">
        <v>2172</v>
      </c>
      <c r="W353" s="461" t="s">
        <v>2243</v>
      </c>
      <c r="X353" s="519" t="str">
        <f>$D$253</f>
        <v>kg</v>
      </c>
      <c r="Y353" s="518">
        <v>10058.380000000001</v>
      </c>
      <c r="Z353" s="517">
        <f>$F$253</f>
        <v>19478.039350000003</v>
      </c>
      <c r="AA353" s="463">
        <f t="shared" si="165"/>
        <v>195917521.43725306</v>
      </c>
      <c r="AB353" s="516">
        <v>1</v>
      </c>
      <c r="AC353" s="516">
        <f t="shared" si="169"/>
        <v>10058.380000000001</v>
      </c>
      <c r="AD353" s="492" t="s">
        <v>2172</v>
      </c>
      <c r="AE353" s="461" t="s">
        <v>2243</v>
      </c>
      <c r="AF353" s="519" t="str">
        <f>$D$253</f>
        <v>kg</v>
      </c>
      <c r="AG353" s="518">
        <v>10058.380000000001</v>
      </c>
      <c r="AH353" s="517">
        <f>$F$253</f>
        <v>19478.039350000003</v>
      </c>
      <c r="AI353" s="463">
        <f t="shared" si="166"/>
        <v>195917521.43725306</v>
      </c>
      <c r="AJ353" s="516">
        <v>1</v>
      </c>
      <c r="AK353" s="516">
        <f t="shared" si="170"/>
        <v>10058.380000000001</v>
      </c>
    </row>
    <row r="354" spans="2:37" ht="15" customHeight="1">
      <c r="B354" s="492" t="s">
        <v>2268</v>
      </c>
      <c r="C354" s="461" t="s">
        <v>2244</v>
      </c>
      <c r="D354" s="519" t="str">
        <f>$D$254</f>
        <v>m²</v>
      </c>
      <c r="E354" s="518">
        <v>43.2</v>
      </c>
      <c r="F354" s="416">
        <f>$F$254</f>
        <v>145812.67000000001</v>
      </c>
      <c r="G354" s="463">
        <f t="shared" si="163"/>
        <v>6299107.3440000005</v>
      </c>
      <c r="H354" s="516">
        <v>40</v>
      </c>
      <c r="I354" s="516">
        <f t="shared" si="167"/>
        <v>1728</v>
      </c>
      <c r="N354" s="492" t="s">
        <v>2268</v>
      </c>
      <c r="O354" s="461" t="s">
        <v>2244</v>
      </c>
      <c r="P354" s="519" t="str">
        <f>$D$254</f>
        <v>m²</v>
      </c>
      <c r="Q354" s="518">
        <v>43.2</v>
      </c>
      <c r="R354" s="517">
        <f>$F$254</f>
        <v>145812.67000000001</v>
      </c>
      <c r="S354" s="463">
        <f t="shared" si="164"/>
        <v>6299107.3440000005</v>
      </c>
      <c r="T354" s="516">
        <v>40</v>
      </c>
      <c r="U354" s="516">
        <f t="shared" si="168"/>
        <v>1728</v>
      </c>
      <c r="V354" s="492" t="s">
        <v>2268</v>
      </c>
      <c r="W354" s="461" t="s">
        <v>2244</v>
      </c>
      <c r="X354" s="519" t="str">
        <f>$D$254</f>
        <v>m²</v>
      </c>
      <c r="Y354" s="518">
        <v>43.2</v>
      </c>
      <c r="Z354" s="517">
        <f>$F$254</f>
        <v>145812.67000000001</v>
      </c>
      <c r="AA354" s="463">
        <f t="shared" si="165"/>
        <v>6299107.3440000005</v>
      </c>
      <c r="AB354" s="516">
        <v>40</v>
      </c>
      <c r="AC354" s="516">
        <f t="shared" si="169"/>
        <v>1728</v>
      </c>
      <c r="AD354" s="492" t="s">
        <v>2268</v>
      </c>
      <c r="AE354" s="461" t="s">
        <v>2244</v>
      </c>
      <c r="AF354" s="519" t="str">
        <f>$D$254</f>
        <v>m²</v>
      </c>
      <c r="AG354" s="518">
        <v>43.2</v>
      </c>
      <c r="AH354" s="517">
        <f>$F$254</f>
        <v>145812.67000000001</v>
      </c>
      <c r="AI354" s="463">
        <f t="shared" si="166"/>
        <v>6299107.3440000005</v>
      </c>
      <c r="AJ354" s="516">
        <v>40</v>
      </c>
      <c r="AK354" s="516">
        <f t="shared" si="170"/>
        <v>1728</v>
      </c>
    </row>
    <row r="355" spans="2:37" ht="15" customHeight="1">
      <c r="B355" s="492" t="s">
        <v>2176</v>
      </c>
      <c r="C355" s="491" t="s">
        <v>2246</v>
      </c>
      <c r="D355" s="519" t="str">
        <f>$D$255</f>
        <v>bh</v>
      </c>
      <c r="E355" s="518">
        <v>4</v>
      </c>
      <c r="F355" s="416">
        <f>$F$255</f>
        <v>100000</v>
      </c>
      <c r="G355" s="463">
        <f t="shared" si="163"/>
        <v>400000</v>
      </c>
      <c r="H355" s="516">
        <v>2.5</v>
      </c>
      <c r="I355" s="516">
        <f t="shared" si="167"/>
        <v>10</v>
      </c>
      <c r="N355" s="492" t="s">
        <v>2176</v>
      </c>
      <c r="O355" s="491" t="s">
        <v>2246</v>
      </c>
      <c r="P355" s="519" t="str">
        <f>$D$255</f>
        <v>bh</v>
      </c>
      <c r="Q355" s="518">
        <v>4</v>
      </c>
      <c r="R355" s="517">
        <f>$F$255</f>
        <v>100000</v>
      </c>
      <c r="S355" s="463">
        <f t="shared" si="164"/>
        <v>400000</v>
      </c>
      <c r="T355" s="516">
        <v>2.5</v>
      </c>
      <c r="U355" s="516">
        <f t="shared" si="168"/>
        <v>10</v>
      </c>
      <c r="V355" s="492" t="s">
        <v>2176</v>
      </c>
      <c r="W355" s="491" t="s">
        <v>2246</v>
      </c>
      <c r="X355" s="519" t="str">
        <f>$D$255</f>
        <v>bh</v>
      </c>
      <c r="Y355" s="518">
        <v>4</v>
      </c>
      <c r="Z355" s="517">
        <f>$F$255</f>
        <v>100000</v>
      </c>
      <c r="AA355" s="463">
        <f t="shared" si="165"/>
        <v>400000</v>
      </c>
      <c r="AB355" s="516">
        <v>2.5</v>
      </c>
      <c r="AC355" s="516">
        <f t="shared" si="169"/>
        <v>10</v>
      </c>
      <c r="AD355" s="492" t="s">
        <v>2176</v>
      </c>
      <c r="AE355" s="491" t="s">
        <v>2246</v>
      </c>
      <c r="AF355" s="519" t="str">
        <f>$D$255</f>
        <v>bh</v>
      </c>
      <c r="AG355" s="518">
        <v>4</v>
      </c>
      <c r="AH355" s="517">
        <f>$F$255</f>
        <v>100000</v>
      </c>
      <c r="AI355" s="463">
        <f t="shared" si="166"/>
        <v>400000</v>
      </c>
      <c r="AJ355" s="516">
        <v>2.5</v>
      </c>
      <c r="AK355" s="516">
        <f t="shared" si="170"/>
        <v>10</v>
      </c>
    </row>
    <row r="356" spans="2:37" ht="15" customHeight="1">
      <c r="B356" s="492"/>
      <c r="C356" s="461"/>
      <c r="D356" s="519"/>
      <c r="E356" s="428"/>
      <c r="F356" s="416"/>
      <c r="G356" s="463">
        <f t="shared" si="163"/>
        <v>0</v>
      </c>
      <c r="I356" s="516">
        <f>SUM(I349:I354)</f>
        <v>229479.12285714288</v>
      </c>
      <c r="N356" s="492"/>
      <c r="O356" s="461"/>
      <c r="P356" s="519"/>
      <c r="Q356" s="428"/>
      <c r="R356" s="517"/>
      <c r="S356" s="463"/>
      <c r="U356" s="516">
        <f>SUM(U349:U354)</f>
        <v>229479.12285714288</v>
      </c>
      <c r="V356" s="492"/>
      <c r="W356" s="461"/>
      <c r="X356" s="519"/>
      <c r="Y356" s="428"/>
      <c r="Z356" s="517"/>
      <c r="AA356" s="463"/>
      <c r="AC356" s="516">
        <f>SUM(AC349:AC354)</f>
        <v>229479.12285714288</v>
      </c>
      <c r="AD356" s="492"/>
      <c r="AE356" s="461"/>
      <c r="AF356" s="519"/>
      <c r="AG356" s="428"/>
      <c r="AH356" s="517"/>
      <c r="AI356" s="463"/>
      <c r="AK356" s="516">
        <f>SUM(AK349:AK354)</f>
        <v>229479.12285714288</v>
      </c>
    </row>
    <row r="357" spans="2:37" ht="15" customHeight="1">
      <c r="B357" s="507">
        <v>3</v>
      </c>
      <c r="C357" s="460" t="s">
        <v>2086</v>
      </c>
      <c r="D357" s="519"/>
      <c r="E357" s="428"/>
      <c r="F357" s="416"/>
      <c r="G357" s="463">
        <f t="shared" si="163"/>
        <v>0</v>
      </c>
      <c r="N357" s="507">
        <v>3</v>
      </c>
      <c r="O357" s="460" t="s">
        <v>2086</v>
      </c>
      <c r="P357" s="519"/>
      <c r="Q357" s="428"/>
      <c r="R357" s="517"/>
      <c r="S357" s="463"/>
      <c r="V357" s="507">
        <v>3</v>
      </c>
      <c r="W357" s="460" t="s">
        <v>2086</v>
      </c>
      <c r="X357" s="519"/>
      <c r="Y357" s="428"/>
      <c r="Z357" s="517"/>
      <c r="AA357" s="463"/>
      <c r="AD357" s="507">
        <v>3</v>
      </c>
      <c r="AE357" s="460" t="s">
        <v>2086</v>
      </c>
      <c r="AF357" s="519"/>
      <c r="AG357" s="428"/>
      <c r="AH357" s="517"/>
      <c r="AI357" s="463"/>
    </row>
    <row r="358" spans="2:37" ht="15" customHeight="1">
      <c r="B358" s="492" t="s">
        <v>721</v>
      </c>
      <c r="C358" s="461" t="s">
        <v>2247</v>
      </c>
      <c r="D358" s="519" t="str">
        <f>$D$258</f>
        <v>bh</v>
      </c>
      <c r="E358" s="518">
        <v>4</v>
      </c>
      <c r="F358" s="416">
        <f>$F$258</f>
        <v>181849.04</v>
      </c>
      <c r="G358" s="463">
        <f t="shared" si="163"/>
        <v>727396.16</v>
      </c>
      <c r="N358" s="492" t="s">
        <v>721</v>
      </c>
      <c r="O358" s="461" t="s">
        <v>2247</v>
      </c>
      <c r="P358" s="519" t="str">
        <f>$D$258</f>
        <v>bh</v>
      </c>
      <c r="Q358" s="518">
        <v>4</v>
      </c>
      <c r="R358" s="517">
        <f>$F$258</f>
        <v>181849.04</v>
      </c>
      <c r="S358" s="463">
        <f t="shared" ref="S358:S363" si="171">Q358*R358</f>
        <v>727396.16</v>
      </c>
      <c r="V358" s="492" t="s">
        <v>721</v>
      </c>
      <c r="W358" s="461" t="s">
        <v>2247</v>
      </c>
      <c r="X358" s="519" t="str">
        <f>$D$258</f>
        <v>bh</v>
      </c>
      <c r="Y358" s="518">
        <v>4</v>
      </c>
      <c r="Z358" s="517">
        <f>$F$258</f>
        <v>181849.04</v>
      </c>
      <c r="AA358" s="463">
        <f t="shared" ref="AA358:AA363" si="172">Y358*Z358</f>
        <v>727396.16</v>
      </c>
      <c r="AD358" s="492" t="s">
        <v>721</v>
      </c>
      <c r="AE358" s="461" t="s">
        <v>2247</v>
      </c>
      <c r="AF358" s="519" t="str">
        <f>$D$258</f>
        <v>bh</v>
      </c>
      <c r="AG358" s="518">
        <v>4</v>
      </c>
      <c r="AH358" s="517">
        <f>$F$258</f>
        <v>181849.04</v>
      </c>
      <c r="AI358" s="463">
        <f t="shared" ref="AI358:AI363" si="173">AG358*AH358</f>
        <v>727396.16</v>
      </c>
    </row>
    <row r="359" spans="2:37" ht="15" customHeight="1">
      <c r="B359" s="492" t="s">
        <v>2166</v>
      </c>
      <c r="C359" s="461" t="s">
        <v>2085</v>
      </c>
      <c r="D359" s="519" t="str">
        <f>$D$259</f>
        <v>kg</v>
      </c>
      <c r="E359" s="518">
        <f>I356</f>
        <v>229479.12285714288</v>
      </c>
      <c r="F359" s="416">
        <f>$F$259</f>
        <v>462.7700000000001</v>
      </c>
      <c r="G359" s="463">
        <f t="shared" si="163"/>
        <v>106196053.68460003</v>
      </c>
      <c r="N359" s="492" t="s">
        <v>2166</v>
      </c>
      <c r="O359" s="461" t="s">
        <v>2085</v>
      </c>
      <c r="P359" s="519" t="str">
        <f>$D$259</f>
        <v>kg</v>
      </c>
      <c r="Q359" s="518">
        <f>U356</f>
        <v>229479.12285714288</v>
      </c>
      <c r="R359" s="517">
        <f>$F$259</f>
        <v>462.7700000000001</v>
      </c>
      <c r="S359" s="463">
        <f t="shared" si="171"/>
        <v>106196053.68460003</v>
      </c>
      <c r="V359" s="492" t="s">
        <v>2166</v>
      </c>
      <c r="W359" s="461" t="s">
        <v>2085</v>
      </c>
      <c r="X359" s="519" t="str">
        <f>$D$259</f>
        <v>kg</v>
      </c>
      <c r="Y359" s="518">
        <f>AC356</f>
        <v>229479.12285714288</v>
      </c>
      <c r="Z359" s="517">
        <f>$F$259</f>
        <v>462.7700000000001</v>
      </c>
      <c r="AA359" s="463">
        <f t="shared" si="172"/>
        <v>106196053.68460003</v>
      </c>
      <c r="AD359" s="492" t="s">
        <v>2166</v>
      </c>
      <c r="AE359" s="461" t="s">
        <v>2085</v>
      </c>
      <c r="AF359" s="519" t="str">
        <f>$D$259</f>
        <v>kg</v>
      </c>
      <c r="AG359" s="518">
        <f>AK356</f>
        <v>229479.12285714288</v>
      </c>
      <c r="AH359" s="517">
        <f>$F$259</f>
        <v>462.7700000000001</v>
      </c>
      <c r="AI359" s="463">
        <f t="shared" si="173"/>
        <v>106196053.68460003</v>
      </c>
    </row>
    <row r="360" spans="2:37" ht="15" customHeight="1">
      <c r="B360" s="492" t="s">
        <v>2168</v>
      </c>
      <c r="C360" s="461" t="s">
        <v>2249</v>
      </c>
      <c r="D360" s="519" t="str">
        <f>$D$260</f>
        <v>bh</v>
      </c>
      <c r="E360" s="518">
        <v>4</v>
      </c>
      <c r="F360" s="416">
        <f>$F$260</f>
        <v>387825</v>
      </c>
      <c r="G360" s="463">
        <f t="shared" si="163"/>
        <v>1551300</v>
      </c>
      <c r="N360" s="492" t="s">
        <v>2168</v>
      </c>
      <c r="O360" s="461" t="s">
        <v>2249</v>
      </c>
      <c r="P360" s="519" t="str">
        <f>$D$260</f>
        <v>bh</v>
      </c>
      <c r="Q360" s="518">
        <v>4</v>
      </c>
      <c r="R360" s="517">
        <f>$F$260</f>
        <v>387825</v>
      </c>
      <c r="S360" s="463">
        <f t="shared" si="171"/>
        <v>1551300</v>
      </c>
      <c r="V360" s="492" t="s">
        <v>2168</v>
      </c>
      <c r="W360" s="461" t="s">
        <v>2249</v>
      </c>
      <c r="X360" s="519" t="str">
        <f>$D$260</f>
        <v>bh</v>
      </c>
      <c r="Y360" s="518">
        <v>4</v>
      </c>
      <c r="Z360" s="517">
        <f>$F$260</f>
        <v>387825</v>
      </c>
      <c r="AA360" s="463">
        <f t="shared" si="172"/>
        <v>1551300</v>
      </c>
      <c r="AD360" s="492" t="s">
        <v>2168</v>
      </c>
      <c r="AE360" s="461" t="s">
        <v>2249</v>
      </c>
      <c r="AF360" s="519" t="str">
        <f>$D$260</f>
        <v>bh</v>
      </c>
      <c r="AG360" s="518">
        <v>4</v>
      </c>
      <c r="AH360" s="517">
        <f>$F$260</f>
        <v>387825</v>
      </c>
      <c r="AI360" s="463">
        <f t="shared" si="173"/>
        <v>1551300</v>
      </c>
    </row>
    <row r="361" spans="2:37" ht="15" customHeight="1">
      <c r="B361" s="492" t="s">
        <v>2170</v>
      </c>
      <c r="C361" s="461" t="s">
        <v>2250</v>
      </c>
      <c r="D361" s="519" t="str">
        <f>$D$261</f>
        <v>kg</v>
      </c>
      <c r="E361" s="518">
        <v>150.93599999999998</v>
      </c>
      <c r="F361" s="416">
        <f>$F$261</f>
        <v>3758.6984549742947</v>
      </c>
      <c r="G361" s="463">
        <f t="shared" si="163"/>
        <v>567322.91</v>
      </c>
      <c r="N361" s="492" t="s">
        <v>2170</v>
      </c>
      <c r="O361" s="461" t="s">
        <v>2250</v>
      </c>
      <c r="P361" s="519" t="str">
        <f>$D$261</f>
        <v>kg</v>
      </c>
      <c r="Q361" s="518">
        <v>239.61599999999999</v>
      </c>
      <c r="R361" s="517">
        <f>$F$261</f>
        <v>3758.6984549742947</v>
      </c>
      <c r="S361" s="463">
        <f t="shared" si="171"/>
        <v>900644.2889871205</v>
      </c>
      <c r="V361" s="492" t="s">
        <v>2170</v>
      </c>
      <c r="W361" s="461" t="s">
        <v>2269</v>
      </c>
      <c r="X361" s="519" t="str">
        <f>$D$261</f>
        <v>kg</v>
      </c>
      <c r="Y361" s="518">
        <v>311.47199999999998</v>
      </c>
      <c r="Z361" s="517">
        <f>$F$261</f>
        <v>3758.6984549742947</v>
      </c>
      <c r="AA361" s="463">
        <f t="shared" si="172"/>
        <v>1170729.3251677535</v>
      </c>
      <c r="AD361" s="492" t="s">
        <v>2170</v>
      </c>
      <c r="AE361" s="461" t="s">
        <v>2269</v>
      </c>
      <c r="AF361" s="519" t="str">
        <f>$D$261</f>
        <v>kg</v>
      </c>
      <c r="AG361" s="518">
        <v>403.17599999999999</v>
      </c>
      <c r="AH361" s="517">
        <f>$F$261</f>
        <v>3758.6984549742947</v>
      </c>
      <c r="AI361" s="463">
        <f t="shared" si="173"/>
        <v>1515417.0082827162</v>
      </c>
    </row>
    <row r="362" spans="2:37" ht="15" customHeight="1">
      <c r="B362" s="492" t="s">
        <v>2172</v>
      </c>
      <c r="C362" s="461" t="s">
        <v>2251</v>
      </c>
      <c r="D362" s="519" t="str">
        <f>$D$262</f>
        <v>set</v>
      </c>
      <c r="E362" s="518">
        <v>1</v>
      </c>
      <c r="F362" s="416">
        <f>$F$262</f>
        <v>855127</v>
      </c>
      <c r="G362" s="463">
        <f t="shared" si="163"/>
        <v>855127</v>
      </c>
      <c r="N362" s="492" t="s">
        <v>2172</v>
      </c>
      <c r="O362" s="461" t="s">
        <v>2251</v>
      </c>
      <c r="P362" s="519" t="str">
        <f>$D$262</f>
        <v>set</v>
      </c>
      <c r="Q362" s="518">
        <v>1</v>
      </c>
      <c r="R362" s="517">
        <f>$F$262</f>
        <v>855127</v>
      </c>
      <c r="S362" s="463">
        <f t="shared" si="171"/>
        <v>855127</v>
      </c>
      <c r="V362" s="492" t="s">
        <v>2172</v>
      </c>
      <c r="W362" s="461" t="s">
        <v>2251</v>
      </c>
      <c r="X362" s="519" t="str">
        <f>$D$262</f>
        <v>set</v>
      </c>
      <c r="Y362" s="518">
        <v>1</v>
      </c>
      <c r="Z362" s="517">
        <f>$F$262</f>
        <v>855127</v>
      </c>
      <c r="AA362" s="463">
        <f t="shared" si="172"/>
        <v>855127</v>
      </c>
      <c r="AD362" s="492" t="s">
        <v>2172</v>
      </c>
      <c r="AE362" s="461" t="s">
        <v>2251</v>
      </c>
      <c r="AF362" s="519" t="str">
        <f>$D$262</f>
        <v>set</v>
      </c>
      <c r="AG362" s="518">
        <v>1</v>
      </c>
      <c r="AH362" s="517">
        <f>$F$262</f>
        <v>855127</v>
      </c>
      <c r="AI362" s="463">
        <f t="shared" si="173"/>
        <v>855127</v>
      </c>
    </row>
    <row r="363" spans="2:37" ht="15" customHeight="1">
      <c r="B363" s="492" t="s">
        <v>2174</v>
      </c>
      <c r="C363" s="461" t="s">
        <v>2252</v>
      </c>
      <c r="D363" s="519" t="str">
        <f>$D$263</f>
        <v>set</v>
      </c>
      <c r="E363" s="518">
        <v>1</v>
      </c>
      <c r="F363" s="416">
        <f>$F$263</f>
        <v>674025</v>
      </c>
      <c r="G363" s="463">
        <f t="shared" si="163"/>
        <v>674025</v>
      </c>
      <c r="N363" s="492" t="s">
        <v>2174</v>
      </c>
      <c r="O363" s="461" t="s">
        <v>2252</v>
      </c>
      <c r="P363" s="519" t="str">
        <f>$D$263</f>
        <v>set</v>
      </c>
      <c r="Q363" s="518">
        <v>1</v>
      </c>
      <c r="R363" s="517">
        <f>$F$263</f>
        <v>674025</v>
      </c>
      <c r="S363" s="463">
        <f t="shared" si="171"/>
        <v>674025</v>
      </c>
      <c r="V363" s="492" t="s">
        <v>2174</v>
      </c>
      <c r="W363" s="461" t="s">
        <v>2252</v>
      </c>
      <c r="X363" s="519" t="str">
        <f>$D$263</f>
        <v>set</v>
      </c>
      <c r="Y363" s="518">
        <v>1</v>
      </c>
      <c r="Z363" s="517">
        <f>$F$263</f>
        <v>674025</v>
      </c>
      <c r="AA363" s="463">
        <f t="shared" si="172"/>
        <v>674025</v>
      </c>
      <c r="AD363" s="492" t="s">
        <v>2174</v>
      </c>
      <c r="AE363" s="461" t="s">
        <v>2252</v>
      </c>
      <c r="AF363" s="519" t="str">
        <f>$D$263</f>
        <v>set</v>
      </c>
      <c r="AG363" s="518">
        <v>1</v>
      </c>
      <c r="AH363" s="517">
        <f>$F$263</f>
        <v>674025</v>
      </c>
      <c r="AI363" s="463">
        <f t="shared" si="173"/>
        <v>674025</v>
      </c>
    </row>
    <row r="364" spans="2:37" ht="15" customHeight="1" thickBot="1">
      <c r="B364" s="459"/>
      <c r="C364" s="1194" t="s">
        <v>3251</v>
      </c>
      <c r="D364" s="1195"/>
      <c r="E364" s="1195"/>
      <c r="F364" s="1196"/>
      <c r="G364" s="458">
        <f>SUM(G343:G363)</f>
        <v>432117970.94024009</v>
      </c>
      <c r="N364" s="459"/>
      <c r="O364" s="1194" t="s">
        <v>3251</v>
      </c>
      <c r="P364" s="1195"/>
      <c r="Q364" s="1195"/>
      <c r="R364" s="1196"/>
      <c r="S364" s="458">
        <f>SUM(S343:S363)</f>
        <v>432451292.31922716</v>
      </c>
      <c r="V364" s="459"/>
      <c r="W364" s="1194" t="s">
        <v>3251</v>
      </c>
      <c r="X364" s="1195"/>
      <c r="Y364" s="1195"/>
      <c r="Z364" s="1196"/>
      <c r="AA364" s="458">
        <f>SUM(AA343:AA363)</f>
        <v>432721377.35540783</v>
      </c>
      <c r="AD364" s="459"/>
      <c r="AE364" s="1194" t="s">
        <v>3251</v>
      </c>
      <c r="AF364" s="1195"/>
      <c r="AG364" s="1195"/>
      <c r="AH364" s="1196"/>
      <c r="AI364" s="458">
        <f>SUM(AI343:AI363)</f>
        <v>433066065.03852278</v>
      </c>
    </row>
    <row r="365" spans="2:37" ht="15" customHeight="1" thickBot="1">
      <c r="B365" s="427"/>
      <c r="C365" s="427"/>
      <c r="D365" s="427"/>
      <c r="E365" s="427"/>
      <c r="F365" s="426"/>
      <c r="G365" s="426"/>
      <c r="N365" s="427"/>
      <c r="O365" s="427"/>
      <c r="P365" s="427"/>
      <c r="Q365" s="427"/>
      <c r="R365" s="427"/>
      <c r="S365" s="426"/>
      <c r="V365" s="427"/>
      <c r="W365" s="427"/>
      <c r="X365" s="427"/>
      <c r="Y365" s="427"/>
      <c r="Z365" s="427"/>
      <c r="AA365" s="426"/>
      <c r="AD365" s="427"/>
      <c r="AE365" s="427"/>
      <c r="AF365" s="427"/>
      <c r="AG365" s="427"/>
      <c r="AH365" s="427"/>
      <c r="AI365" s="426"/>
    </row>
    <row r="366" spans="2:37" ht="15" customHeight="1" thickBot="1">
      <c r="B366" s="452" t="s">
        <v>2229</v>
      </c>
      <c r="C366" s="435"/>
      <c r="D366" s="434">
        <v>6</v>
      </c>
      <c r="E366" s="433"/>
      <c r="F366" s="411"/>
      <c r="G366" s="431"/>
      <c r="N366" s="452" t="s">
        <v>2230</v>
      </c>
      <c r="O366" s="435"/>
      <c r="P366" s="434">
        <v>6</v>
      </c>
      <c r="Q366" s="433"/>
      <c r="R366" s="432"/>
      <c r="S366" s="431"/>
      <c r="V366" s="452" t="s">
        <v>2231</v>
      </c>
      <c r="W366" s="435"/>
      <c r="X366" s="434"/>
      <c r="Y366" s="433"/>
      <c r="Z366" s="432"/>
      <c r="AA366" s="431"/>
      <c r="AD366" s="452" t="s">
        <v>2254</v>
      </c>
      <c r="AE366" s="435"/>
      <c r="AF366" s="434"/>
      <c r="AG366" s="433"/>
      <c r="AH366" s="432"/>
      <c r="AI366" s="431"/>
    </row>
    <row r="367" spans="2:37" ht="15" customHeight="1">
      <c r="B367" s="446"/>
      <c r="C367" s="445" t="s">
        <v>3252</v>
      </c>
      <c r="D367" s="444"/>
      <c r="E367" s="443"/>
      <c r="F367" s="413"/>
      <c r="G367" s="441"/>
      <c r="N367" s="446"/>
      <c r="O367" s="445" t="s">
        <v>3252</v>
      </c>
      <c r="P367" s="444"/>
      <c r="Q367" s="443"/>
      <c r="R367" s="442"/>
      <c r="S367" s="441"/>
      <c r="V367" s="446"/>
      <c r="W367" s="445" t="s">
        <v>3253</v>
      </c>
      <c r="X367" s="444"/>
      <c r="Y367" s="443"/>
      <c r="Z367" s="442"/>
      <c r="AA367" s="441"/>
      <c r="AD367" s="446"/>
      <c r="AE367" s="445" t="s">
        <v>3253</v>
      </c>
      <c r="AF367" s="444"/>
      <c r="AG367" s="443"/>
      <c r="AH367" s="442"/>
      <c r="AI367" s="441"/>
    </row>
    <row r="368" spans="2:37" ht="15" customHeight="1">
      <c r="B368" s="468">
        <v>1</v>
      </c>
      <c r="C368" s="467" t="s">
        <v>2234</v>
      </c>
      <c r="D368" s="519"/>
      <c r="E368" s="430"/>
      <c r="F368" s="417"/>
      <c r="G368" s="486"/>
      <c r="N368" s="468">
        <v>1</v>
      </c>
      <c r="O368" s="467" t="s">
        <v>2234</v>
      </c>
      <c r="P368" s="519"/>
      <c r="Q368" s="430"/>
      <c r="R368" s="429"/>
      <c r="S368" s="486"/>
      <c r="V368" s="468">
        <v>1</v>
      </c>
      <c r="W368" s="467" t="s">
        <v>2234</v>
      </c>
      <c r="X368" s="519"/>
      <c r="Y368" s="430"/>
      <c r="Z368" s="429"/>
      <c r="AA368" s="486"/>
      <c r="AD368" s="468">
        <v>1</v>
      </c>
      <c r="AE368" s="467" t="s">
        <v>2234</v>
      </c>
      <c r="AF368" s="519"/>
      <c r="AG368" s="430"/>
      <c r="AH368" s="429"/>
      <c r="AI368" s="486"/>
    </row>
    <row r="369" spans="2:37" ht="15" customHeight="1">
      <c r="B369" s="492" t="s">
        <v>721</v>
      </c>
      <c r="C369" s="464" t="s">
        <v>2235</v>
      </c>
      <c r="D369" s="519" t="str">
        <f>$D$244</f>
        <v>m³</v>
      </c>
      <c r="E369" s="518">
        <v>50.35</v>
      </c>
      <c r="F369" s="416">
        <f>$F$244</f>
        <v>102390.75000000001</v>
      </c>
      <c r="G369" s="463">
        <f>E369*F369</f>
        <v>5155374.2625000011</v>
      </c>
      <c r="N369" s="492" t="s">
        <v>721</v>
      </c>
      <c r="O369" s="464" t="s">
        <v>2235</v>
      </c>
      <c r="P369" s="519" t="str">
        <f>$D$244</f>
        <v>m³</v>
      </c>
      <c r="Q369" s="518">
        <v>50.35</v>
      </c>
      <c r="R369" s="517">
        <f>$F$244</f>
        <v>102390.75000000001</v>
      </c>
      <c r="S369" s="463">
        <f>Q369*R369</f>
        <v>5155374.2625000011</v>
      </c>
      <c r="V369" s="492" t="s">
        <v>721</v>
      </c>
      <c r="W369" s="464" t="s">
        <v>2235</v>
      </c>
      <c r="X369" s="519" t="str">
        <f>$D$244</f>
        <v>m³</v>
      </c>
      <c r="Y369" s="518">
        <v>50.35</v>
      </c>
      <c r="Z369" s="517">
        <f>$F$244</f>
        <v>102390.75000000001</v>
      </c>
      <c r="AA369" s="463">
        <f>Y369*Z369</f>
        <v>5155374.2625000011</v>
      </c>
      <c r="AD369" s="492" t="s">
        <v>721</v>
      </c>
      <c r="AE369" s="464" t="s">
        <v>2235</v>
      </c>
      <c r="AF369" s="519" t="str">
        <f>$D$244</f>
        <v>m³</v>
      </c>
      <c r="AG369" s="518">
        <v>50.35</v>
      </c>
      <c r="AH369" s="517">
        <f>$F$244</f>
        <v>102390.75000000001</v>
      </c>
      <c r="AI369" s="463">
        <f>AG369*AH369</f>
        <v>5155374.2625000011</v>
      </c>
    </row>
    <row r="370" spans="2:37" ht="15" customHeight="1">
      <c r="B370" s="492" t="s">
        <v>2166</v>
      </c>
      <c r="C370" s="464" t="s">
        <v>2237</v>
      </c>
      <c r="D370" s="519" t="str">
        <f>$D$245</f>
        <v>m³</v>
      </c>
      <c r="E370" s="518">
        <v>12.160000000000002</v>
      </c>
      <c r="F370" s="416">
        <f>$F$245</f>
        <v>62462.950000000012</v>
      </c>
      <c r="G370" s="463">
        <f t="shared" ref="G370:G388" si="174">E370*F370</f>
        <v>759549.4720000003</v>
      </c>
      <c r="N370" s="492" t="s">
        <v>2166</v>
      </c>
      <c r="O370" s="464" t="s">
        <v>2237</v>
      </c>
      <c r="P370" s="519" t="str">
        <f>$D$245</f>
        <v>m³</v>
      </c>
      <c r="Q370" s="518">
        <v>12.160000000000002</v>
      </c>
      <c r="R370" s="517">
        <f>$F$245</f>
        <v>62462.950000000012</v>
      </c>
      <c r="S370" s="463">
        <f>Q370*R370</f>
        <v>759549.4720000003</v>
      </c>
      <c r="V370" s="492" t="s">
        <v>2166</v>
      </c>
      <c r="W370" s="464" t="s">
        <v>2237</v>
      </c>
      <c r="X370" s="519" t="str">
        <f>$D$245</f>
        <v>m³</v>
      </c>
      <c r="Y370" s="518">
        <v>12.160000000000002</v>
      </c>
      <c r="Z370" s="517">
        <f>$F$245</f>
        <v>62462.950000000012</v>
      </c>
      <c r="AA370" s="463">
        <f>Y370*Z370</f>
        <v>759549.4720000003</v>
      </c>
      <c r="AD370" s="492" t="s">
        <v>2166</v>
      </c>
      <c r="AE370" s="464" t="s">
        <v>2237</v>
      </c>
      <c r="AF370" s="519" t="str">
        <f>$D$245</f>
        <v>m³</v>
      </c>
      <c r="AG370" s="518">
        <v>12.160000000000002</v>
      </c>
      <c r="AH370" s="517">
        <f>$F$245</f>
        <v>62462.950000000012</v>
      </c>
      <c r="AI370" s="463">
        <f>AG370*AH370</f>
        <v>759549.4720000003</v>
      </c>
    </row>
    <row r="371" spans="2:37" ht="15" customHeight="1">
      <c r="B371" s="492" t="s">
        <v>2168</v>
      </c>
      <c r="C371" s="464" t="s">
        <v>2265</v>
      </c>
      <c r="D371" s="519" t="str">
        <f>$D$246</f>
        <v>m'</v>
      </c>
      <c r="E371" s="518">
        <v>240</v>
      </c>
      <c r="F371" s="416">
        <f>$F$246</f>
        <v>52230.612500000003</v>
      </c>
      <c r="G371" s="463">
        <f t="shared" si="174"/>
        <v>12535347</v>
      </c>
      <c r="N371" s="492" t="s">
        <v>2168</v>
      </c>
      <c r="O371" s="464" t="s">
        <v>2265</v>
      </c>
      <c r="P371" s="519" t="str">
        <f>$D$246</f>
        <v>m'</v>
      </c>
      <c r="Q371" s="518">
        <v>240</v>
      </c>
      <c r="R371" s="517">
        <f>$F$246</f>
        <v>52230.612500000003</v>
      </c>
      <c r="S371" s="463">
        <f>Q371*R371</f>
        <v>12535347</v>
      </c>
      <c r="V371" s="492" t="s">
        <v>2168</v>
      </c>
      <c r="W371" s="464" t="s">
        <v>2265</v>
      </c>
      <c r="X371" s="519" t="str">
        <f>$D$246</f>
        <v>m'</v>
      </c>
      <c r="Y371" s="518">
        <v>240</v>
      </c>
      <c r="Z371" s="517">
        <f>$F$246</f>
        <v>52230.612500000003</v>
      </c>
      <c r="AA371" s="463">
        <f>Y371*Z371</f>
        <v>12535347</v>
      </c>
      <c r="AD371" s="492" t="s">
        <v>2168</v>
      </c>
      <c r="AE371" s="464" t="s">
        <v>2265</v>
      </c>
      <c r="AF371" s="519" t="str">
        <f>$D$246</f>
        <v>m'</v>
      </c>
      <c r="AG371" s="518">
        <v>240</v>
      </c>
      <c r="AH371" s="517">
        <f>$F$246</f>
        <v>52230.612500000003</v>
      </c>
      <c r="AI371" s="463">
        <f>AG371*AH371</f>
        <v>12535347</v>
      </c>
    </row>
    <row r="372" spans="2:37" ht="15" customHeight="1">
      <c r="B372" s="462"/>
      <c r="C372" s="464"/>
      <c r="D372" s="519"/>
      <c r="E372" s="428"/>
      <c r="F372" s="416"/>
      <c r="G372" s="463">
        <f t="shared" si="174"/>
        <v>0</v>
      </c>
      <c r="N372" s="462"/>
      <c r="O372" s="464"/>
      <c r="P372" s="519"/>
      <c r="Q372" s="428"/>
      <c r="R372" s="517"/>
      <c r="S372" s="463"/>
      <c r="V372" s="462"/>
      <c r="W372" s="464"/>
      <c r="X372" s="519"/>
      <c r="Y372" s="428"/>
      <c r="Z372" s="517"/>
      <c r="AA372" s="463"/>
      <c r="AD372" s="462"/>
      <c r="AE372" s="464"/>
      <c r="AF372" s="519"/>
      <c r="AG372" s="428"/>
      <c r="AH372" s="517"/>
      <c r="AI372" s="463"/>
    </row>
    <row r="373" spans="2:37" ht="15" customHeight="1">
      <c r="B373" s="507">
        <v>2</v>
      </c>
      <c r="C373" s="467" t="s">
        <v>2238</v>
      </c>
      <c r="D373" s="519"/>
      <c r="E373" s="428"/>
      <c r="F373" s="416"/>
      <c r="G373" s="463">
        <f t="shared" si="174"/>
        <v>0</v>
      </c>
      <c r="H373" s="516" t="s">
        <v>2239</v>
      </c>
      <c r="N373" s="507">
        <v>2</v>
      </c>
      <c r="O373" s="467" t="s">
        <v>2238</v>
      </c>
      <c r="P373" s="519"/>
      <c r="Q373" s="428"/>
      <c r="R373" s="517"/>
      <c r="S373" s="463"/>
      <c r="T373" s="516" t="s">
        <v>2239</v>
      </c>
      <c r="V373" s="507">
        <v>2</v>
      </c>
      <c r="W373" s="467" t="s">
        <v>2238</v>
      </c>
      <c r="X373" s="519"/>
      <c r="Y373" s="428"/>
      <c r="Z373" s="517"/>
      <c r="AA373" s="463"/>
      <c r="AB373" s="516" t="s">
        <v>2239</v>
      </c>
      <c r="AD373" s="507">
        <v>2</v>
      </c>
      <c r="AE373" s="467" t="s">
        <v>2238</v>
      </c>
      <c r="AF373" s="519"/>
      <c r="AG373" s="428"/>
      <c r="AH373" s="517"/>
      <c r="AI373" s="463"/>
      <c r="AJ373" s="516" t="s">
        <v>2239</v>
      </c>
    </row>
    <row r="374" spans="2:37" ht="15" customHeight="1">
      <c r="B374" s="492" t="s">
        <v>721</v>
      </c>
      <c r="C374" s="464" t="s">
        <v>2240</v>
      </c>
      <c r="D374" s="519" t="str">
        <f>$D$249</f>
        <v>m³</v>
      </c>
      <c r="E374" s="518">
        <v>4.9000000000000004</v>
      </c>
      <c r="F374" s="416">
        <f>$F$249</f>
        <v>404738.95</v>
      </c>
      <c r="G374" s="463">
        <f t="shared" si="174"/>
        <v>1983220.8550000002</v>
      </c>
      <c r="H374" s="516">
        <v>1400</v>
      </c>
      <c r="I374" s="516">
        <f>E374*H374</f>
        <v>6860.0000000000009</v>
      </c>
      <c r="N374" s="492" t="s">
        <v>721</v>
      </c>
      <c r="O374" s="464" t="s">
        <v>2240</v>
      </c>
      <c r="P374" s="519" t="str">
        <f>$D$249</f>
        <v>m³</v>
      </c>
      <c r="Q374" s="518">
        <v>4.9000000000000004</v>
      </c>
      <c r="R374" s="517">
        <f>$F$249</f>
        <v>404738.95</v>
      </c>
      <c r="S374" s="463">
        <f t="shared" ref="S374:S380" si="175">Q374*R374</f>
        <v>1983220.8550000002</v>
      </c>
      <c r="T374" s="516">
        <v>1400</v>
      </c>
      <c r="U374" s="516">
        <f>Q374*T374</f>
        <v>6860.0000000000009</v>
      </c>
      <c r="V374" s="492" t="s">
        <v>721</v>
      </c>
      <c r="W374" s="464" t="s">
        <v>2240</v>
      </c>
      <c r="X374" s="519" t="str">
        <f>$D$249</f>
        <v>m³</v>
      </c>
      <c r="Y374" s="518">
        <v>4.9000000000000004</v>
      </c>
      <c r="Z374" s="517">
        <f>$F$249</f>
        <v>404738.95</v>
      </c>
      <c r="AA374" s="463">
        <f t="shared" ref="AA374:AA380" si="176">Y374*Z374</f>
        <v>1983220.8550000002</v>
      </c>
      <c r="AB374" s="516">
        <v>1400</v>
      </c>
      <c r="AC374" s="516">
        <f>Y374*AB374</f>
        <v>6860.0000000000009</v>
      </c>
      <c r="AD374" s="492" t="s">
        <v>721</v>
      </c>
      <c r="AE374" s="464" t="s">
        <v>2240</v>
      </c>
      <c r="AF374" s="519" t="str">
        <f>$D$249</f>
        <v>m³</v>
      </c>
      <c r="AG374" s="518">
        <v>4.9000000000000004</v>
      </c>
      <c r="AH374" s="517">
        <f>$F$249</f>
        <v>404738.95</v>
      </c>
      <c r="AI374" s="463">
        <f t="shared" ref="AI374:AI380" si="177">AG374*AH374</f>
        <v>1983220.8550000002</v>
      </c>
      <c r="AJ374" s="516">
        <v>1400</v>
      </c>
      <c r="AK374" s="516">
        <f>AG374*AJ374</f>
        <v>6860.0000000000009</v>
      </c>
    </row>
    <row r="375" spans="2:37" ht="15" customHeight="1">
      <c r="B375" s="492" t="s">
        <v>2166</v>
      </c>
      <c r="C375" s="461" t="s">
        <v>2241</v>
      </c>
      <c r="D375" s="519" t="str">
        <f>$D$250</f>
        <v>m³</v>
      </c>
      <c r="E375" s="518">
        <v>2.4500000000000002</v>
      </c>
      <c r="F375" s="416">
        <f>$F$250</f>
        <v>710224.707936508</v>
      </c>
      <c r="G375" s="463">
        <f t="shared" si="174"/>
        <v>1740050.5344444448</v>
      </c>
      <c r="H375" s="516">
        <v>2200</v>
      </c>
      <c r="I375" s="516">
        <f t="shared" ref="I375:I380" si="178">E375*H375</f>
        <v>5390</v>
      </c>
      <c r="N375" s="492" t="s">
        <v>2166</v>
      </c>
      <c r="O375" s="461" t="s">
        <v>2241</v>
      </c>
      <c r="P375" s="519" t="str">
        <f>$D$250</f>
        <v>m³</v>
      </c>
      <c r="Q375" s="518">
        <v>2.4500000000000002</v>
      </c>
      <c r="R375" s="517">
        <f>$F$250</f>
        <v>710224.707936508</v>
      </c>
      <c r="S375" s="463">
        <f t="shared" si="175"/>
        <v>1740050.5344444448</v>
      </c>
      <c r="T375" s="516">
        <v>2200</v>
      </c>
      <c r="U375" s="516">
        <f t="shared" ref="U375:U380" si="179">Q375*T375</f>
        <v>5390</v>
      </c>
      <c r="V375" s="492" t="s">
        <v>2166</v>
      </c>
      <c r="W375" s="461" t="s">
        <v>2241</v>
      </c>
      <c r="X375" s="519" t="str">
        <f>$D$250</f>
        <v>m³</v>
      </c>
      <c r="Y375" s="518">
        <v>2.4500000000000002</v>
      </c>
      <c r="Z375" s="517">
        <f>$F$250</f>
        <v>710224.707936508</v>
      </c>
      <c r="AA375" s="463">
        <f t="shared" si="176"/>
        <v>1740050.5344444448</v>
      </c>
      <c r="AB375" s="516">
        <v>2200</v>
      </c>
      <c r="AC375" s="516">
        <f t="shared" ref="AC375:AC380" si="180">Y375*AB375</f>
        <v>5390</v>
      </c>
      <c r="AD375" s="492" t="s">
        <v>2166</v>
      </c>
      <c r="AE375" s="461" t="s">
        <v>2241</v>
      </c>
      <c r="AF375" s="519" t="str">
        <f>$D$250</f>
        <v>m³</v>
      </c>
      <c r="AG375" s="518">
        <v>2.4500000000000002</v>
      </c>
      <c r="AH375" s="517">
        <f>$F$250</f>
        <v>710224.707936508</v>
      </c>
      <c r="AI375" s="463">
        <f t="shared" si="177"/>
        <v>1740050.5344444448</v>
      </c>
      <c r="AJ375" s="516">
        <v>2200</v>
      </c>
      <c r="AK375" s="516">
        <f t="shared" ref="AK375:AK380" si="181">AG375*AJ375</f>
        <v>5390</v>
      </c>
    </row>
    <row r="376" spans="2:37" ht="15" customHeight="1">
      <c r="B376" s="492" t="s">
        <v>2168</v>
      </c>
      <c r="C376" s="461" t="s">
        <v>2266</v>
      </c>
      <c r="D376" s="519" t="str">
        <f>$D$251</f>
        <v>m³</v>
      </c>
      <c r="E376" s="518">
        <v>30.84</v>
      </c>
      <c r="F376" s="416">
        <f>$F$251</f>
        <v>1115864.6138095236</v>
      </c>
      <c r="G376" s="463">
        <f t="shared" si="174"/>
        <v>34413264.689885706</v>
      </c>
      <c r="H376" s="516">
        <v>2400</v>
      </c>
      <c r="I376" s="516">
        <f t="shared" si="178"/>
        <v>74016</v>
      </c>
      <c r="N376" s="492" t="s">
        <v>2168</v>
      </c>
      <c r="O376" s="461" t="s">
        <v>2266</v>
      </c>
      <c r="P376" s="519" t="str">
        <f>$D$251</f>
        <v>m³</v>
      </c>
      <c r="Q376" s="518">
        <v>30.84</v>
      </c>
      <c r="R376" s="517">
        <f>$F$251</f>
        <v>1115864.6138095236</v>
      </c>
      <c r="S376" s="463">
        <f t="shared" si="175"/>
        <v>34413264.689885706</v>
      </c>
      <c r="T376" s="516">
        <v>2400</v>
      </c>
      <c r="U376" s="516">
        <f t="shared" si="179"/>
        <v>74016</v>
      </c>
      <c r="V376" s="492" t="s">
        <v>2168</v>
      </c>
      <c r="W376" s="461" t="str">
        <f>O376</f>
        <v>Beton K 225 (Pad &amp; Chimney)</v>
      </c>
      <c r="X376" s="519" t="str">
        <f>$D$251</f>
        <v>m³</v>
      </c>
      <c r="Y376" s="518">
        <v>30.84</v>
      </c>
      <c r="Z376" s="517">
        <f>$F$251</f>
        <v>1115864.6138095236</v>
      </c>
      <c r="AA376" s="463">
        <f t="shared" si="176"/>
        <v>34413264.689885706</v>
      </c>
      <c r="AB376" s="516">
        <v>2400</v>
      </c>
      <c r="AC376" s="516">
        <f t="shared" si="180"/>
        <v>74016</v>
      </c>
      <c r="AD376" s="492" t="s">
        <v>2168</v>
      </c>
      <c r="AE376" s="461" t="str">
        <f>W376</f>
        <v>Beton K 225 (Pad &amp; Chimney)</v>
      </c>
      <c r="AF376" s="519" t="str">
        <f>$D$251</f>
        <v>m³</v>
      </c>
      <c r="AG376" s="518">
        <v>30.84</v>
      </c>
      <c r="AH376" s="517">
        <f>$F$251</f>
        <v>1115864.6138095236</v>
      </c>
      <c r="AI376" s="463">
        <f t="shared" si="177"/>
        <v>34413264.689885706</v>
      </c>
      <c r="AJ376" s="516">
        <v>2400</v>
      </c>
      <c r="AK376" s="516">
        <f t="shared" si="181"/>
        <v>74016</v>
      </c>
    </row>
    <row r="377" spans="2:37" ht="15" customHeight="1">
      <c r="B377" s="492" t="s">
        <v>2170</v>
      </c>
      <c r="C377" s="461" t="s">
        <v>2267</v>
      </c>
      <c r="D377" s="519" t="str">
        <f>$D$252</f>
        <v>m³</v>
      </c>
      <c r="E377" s="518">
        <v>64.265142857142862</v>
      </c>
      <c r="F377" s="416">
        <f>$F$252</f>
        <v>1057576.2423809525</v>
      </c>
      <c r="G377" s="463">
        <f t="shared" si="174"/>
        <v>67965288.298932254</v>
      </c>
      <c r="H377" s="516">
        <v>2200</v>
      </c>
      <c r="I377" s="516">
        <f t="shared" si="178"/>
        <v>141383.3142857143</v>
      </c>
      <c r="N377" s="492" t="s">
        <v>2170</v>
      </c>
      <c r="O377" s="461" t="s">
        <v>2267</v>
      </c>
      <c r="P377" s="519" t="str">
        <f>$D$252</f>
        <v>m³</v>
      </c>
      <c r="Q377" s="518">
        <v>64.265142857142862</v>
      </c>
      <c r="R377" s="517">
        <f>$F$252</f>
        <v>1057576.2423809525</v>
      </c>
      <c r="S377" s="463">
        <f t="shared" si="175"/>
        <v>67965288.298932254</v>
      </c>
      <c r="T377" s="516">
        <v>2200</v>
      </c>
      <c r="U377" s="516">
        <f t="shared" si="179"/>
        <v>141383.3142857143</v>
      </c>
      <c r="V377" s="492" t="s">
        <v>2170</v>
      </c>
      <c r="W377" s="461" t="s">
        <v>2267</v>
      </c>
      <c r="X377" s="519" t="str">
        <f>$D$252</f>
        <v>m³</v>
      </c>
      <c r="Y377" s="518">
        <v>64.265142857142862</v>
      </c>
      <c r="Z377" s="517">
        <f>$F$252</f>
        <v>1057576.2423809525</v>
      </c>
      <c r="AA377" s="463">
        <f t="shared" si="176"/>
        <v>67965288.298932254</v>
      </c>
      <c r="AB377" s="516">
        <v>2200</v>
      </c>
      <c r="AC377" s="516">
        <f t="shared" si="180"/>
        <v>141383.3142857143</v>
      </c>
      <c r="AD377" s="492" t="s">
        <v>2170</v>
      </c>
      <c r="AE377" s="461" t="s">
        <v>2267</v>
      </c>
      <c r="AF377" s="519" t="str">
        <f>$D$252</f>
        <v>m³</v>
      </c>
      <c r="AG377" s="518">
        <v>64.265142857142862</v>
      </c>
      <c r="AH377" s="517">
        <f>$F$252</f>
        <v>1057576.2423809525</v>
      </c>
      <c r="AI377" s="463">
        <f t="shared" si="177"/>
        <v>67965288.298932254</v>
      </c>
      <c r="AJ377" s="516">
        <v>2200</v>
      </c>
      <c r="AK377" s="516">
        <f t="shared" si="181"/>
        <v>141383.3142857143</v>
      </c>
    </row>
    <row r="378" spans="2:37" ht="15" customHeight="1">
      <c r="B378" s="492" t="s">
        <v>2172</v>
      </c>
      <c r="C378" s="461" t="s">
        <v>2243</v>
      </c>
      <c r="D378" s="519" t="str">
        <f>$D$253</f>
        <v>kg</v>
      </c>
      <c r="E378" s="518">
        <v>10604.619999999999</v>
      </c>
      <c r="F378" s="416">
        <f>$F$253</f>
        <v>19478.039350000003</v>
      </c>
      <c r="G378" s="463">
        <f t="shared" si="174"/>
        <v>206557205.651797</v>
      </c>
      <c r="H378" s="516">
        <v>1</v>
      </c>
      <c r="I378" s="516">
        <f t="shared" si="178"/>
        <v>10604.619999999999</v>
      </c>
      <c r="N378" s="492" t="s">
        <v>2172</v>
      </c>
      <c r="O378" s="461" t="s">
        <v>2243</v>
      </c>
      <c r="P378" s="519" t="str">
        <f>$D$253</f>
        <v>kg</v>
      </c>
      <c r="Q378" s="518">
        <v>10604.619999999999</v>
      </c>
      <c r="R378" s="517">
        <f>$F$253</f>
        <v>19478.039350000003</v>
      </c>
      <c r="S378" s="463">
        <f t="shared" si="175"/>
        <v>206557205.651797</v>
      </c>
      <c r="T378" s="516">
        <v>1</v>
      </c>
      <c r="U378" s="516">
        <f t="shared" si="179"/>
        <v>10604.619999999999</v>
      </c>
      <c r="V378" s="492" t="s">
        <v>2172</v>
      </c>
      <c r="W378" s="461" t="s">
        <v>2243</v>
      </c>
      <c r="X378" s="519" t="str">
        <f>$D$253</f>
        <v>kg</v>
      </c>
      <c r="Y378" s="518">
        <v>10604.619999999999</v>
      </c>
      <c r="Z378" s="517">
        <f>$F$253</f>
        <v>19478.039350000003</v>
      </c>
      <c r="AA378" s="463">
        <f t="shared" si="176"/>
        <v>206557205.651797</v>
      </c>
      <c r="AB378" s="516">
        <v>1</v>
      </c>
      <c r="AC378" s="516">
        <f t="shared" si="180"/>
        <v>10604.619999999999</v>
      </c>
      <c r="AD378" s="492" t="s">
        <v>2172</v>
      </c>
      <c r="AE378" s="461" t="s">
        <v>2243</v>
      </c>
      <c r="AF378" s="519" t="str">
        <f>$D$253</f>
        <v>kg</v>
      </c>
      <c r="AG378" s="518">
        <v>10604.619999999999</v>
      </c>
      <c r="AH378" s="517">
        <f>$F$253</f>
        <v>19478.039350000003</v>
      </c>
      <c r="AI378" s="463">
        <f t="shared" si="177"/>
        <v>206557205.651797</v>
      </c>
      <c r="AJ378" s="516">
        <v>1</v>
      </c>
      <c r="AK378" s="516">
        <f t="shared" si="181"/>
        <v>10604.619999999999</v>
      </c>
    </row>
    <row r="379" spans="2:37" ht="15" customHeight="1">
      <c r="B379" s="492" t="s">
        <v>2268</v>
      </c>
      <c r="C379" s="461" t="s">
        <v>2244</v>
      </c>
      <c r="D379" s="519" t="str">
        <f>$D$254</f>
        <v>m²</v>
      </c>
      <c r="E379" s="518">
        <v>43.2</v>
      </c>
      <c r="F379" s="416">
        <f>$F$254</f>
        <v>145812.67000000001</v>
      </c>
      <c r="G379" s="463">
        <f t="shared" si="174"/>
        <v>6299107.3440000005</v>
      </c>
      <c r="H379" s="516">
        <v>40</v>
      </c>
      <c r="I379" s="516">
        <f t="shared" si="178"/>
        <v>1728</v>
      </c>
      <c r="N379" s="492" t="s">
        <v>2268</v>
      </c>
      <c r="O379" s="461" t="s">
        <v>2244</v>
      </c>
      <c r="P379" s="519" t="str">
        <f>$D$254</f>
        <v>m²</v>
      </c>
      <c r="Q379" s="518">
        <v>43.2</v>
      </c>
      <c r="R379" s="517">
        <f>$F$254</f>
        <v>145812.67000000001</v>
      </c>
      <c r="S379" s="463">
        <f t="shared" si="175"/>
        <v>6299107.3440000005</v>
      </c>
      <c r="T379" s="516">
        <v>40</v>
      </c>
      <c r="U379" s="516">
        <f t="shared" si="179"/>
        <v>1728</v>
      </c>
      <c r="V379" s="492" t="s">
        <v>2268</v>
      </c>
      <c r="W379" s="461" t="s">
        <v>2244</v>
      </c>
      <c r="X379" s="519" t="str">
        <f>$D$254</f>
        <v>m²</v>
      </c>
      <c r="Y379" s="518">
        <v>43.2</v>
      </c>
      <c r="Z379" s="517">
        <f>$F$254</f>
        <v>145812.67000000001</v>
      </c>
      <c r="AA379" s="463">
        <f t="shared" si="176"/>
        <v>6299107.3440000005</v>
      </c>
      <c r="AB379" s="516">
        <v>40</v>
      </c>
      <c r="AC379" s="516">
        <f t="shared" si="180"/>
        <v>1728</v>
      </c>
      <c r="AD379" s="492" t="s">
        <v>2268</v>
      </c>
      <c r="AE379" s="461" t="s">
        <v>2244</v>
      </c>
      <c r="AF379" s="519" t="str">
        <f>$D$254</f>
        <v>m²</v>
      </c>
      <c r="AG379" s="518">
        <v>43.2</v>
      </c>
      <c r="AH379" s="517">
        <f>$F$254</f>
        <v>145812.67000000001</v>
      </c>
      <c r="AI379" s="463">
        <f t="shared" si="177"/>
        <v>6299107.3440000005</v>
      </c>
      <c r="AJ379" s="516">
        <v>40</v>
      </c>
      <c r="AK379" s="516">
        <f t="shared" si="181"/>
        <v>1728</v>
      </c>
    </row>
    <row r="380" spans="2:37" ht="15" customHeight="1">
      <c r="B380" s="492" t="s">
        <v>2176</v>
      </c>
      <c r="C380" s="491" t="s">
        <v>2246</v>
      </c>
      <c r="D380" s="519" t="str">
        <f>$D$255</f>
        <v>bh</v>
      </c>
      <c r="E380" s="518">
        <v>4</v>
      </c>
      <c r="F380" s="416">
        <f>$F$255</f>
        <v>100000</v>
      </c>
      <c r="G380" s="463">
        <f t="shared" si="174"/>
        <v>400000</v>
      </c>
      <c r="H380" s="516">
        <v>2.5</v>
      </c>
      <c r="I380" s="516">
        <f t="shared" si="178"/>
        <v>10</v>
      </c>
      <c r="N380" s="492" t="s">
        <v>2176</v>
      </c>
      <c r="O380" s="491" t="s">
        <v>2246</v>
      </c>
      <c r="P380" s="519" t="str">
        <f>$D$255</f>
        <v>bh</v>
      </c>
      <c r="Q380" s="518">
        <v>4</v>
      </c>
      <c r="R380" s="517">
        <f>$F$255</f>
        <v>100000</v>
      </c>
      <c r="S380" s="463">
        <f t="shared" si="175"/>
        <v>400000</v>
      </c>
      <c r="T380" s="516">
        <v>2.5</v>
      </c>
      <c r="U380" s="516">
        <f t="shared" si="179"/>
        <v>10</v>
      </c>
      <c r="V380" s="492" t="s">
        <v>2176</v>
      </c>
      <c r="W380" s="491" t="s">
        <v>2246</v>
      </c>
      <c r="X380" s="519" t="str">
        <f>$D$255</f>
        <v>bh</v>
      </c>
      <c r="Y380" s="518">
        <v>4</v>
      </c>
      <c r="Z380" s="517">
        <f>$F$255</f>
        <v>100000</v>
      </c>
      <c r="AA380" s="463">
        <f t="shared" si="176"/>
        <v>400000</v>
      </c>
      <c r="AB380" s="516">
        <v>2.5</v>
      </c>
      <c r="AC380" s="516">
        <f t="shared" si="180"/>
        <v>10</v>
      </c>
      <c r="AD380" s="492" t="s">
        <v>2176</v>
      </c>
      <c r="AE380" s="491" t="s">
        <v>2246</v>
      </c>
      <c r="AF380" s="519" t="str">
        <f>$D$255</f>
        <v>bh</v>
      </c>
      <c r="AG380" s="518">
        <v>4</v>
      </c>
      <c r="AH380" s="517">
        <f>$F$255</f>
        <v>100000</v>
      </c>
      <c r="AI380" s="463">
        <f t="shared" si="177"/>
        <v>400000</v>
      </c>
      <c r="AJ380" s="516">
        <v>2.5</v>
      </c>
      <c r="AK380" s="516">
        <f t="shared" si="181"/>
        <v>10</v>
      </c>
    </row>
    <row r="381" spans="2:37" ht="15" customHeight="1">
      <c r="B381" s="492"/>
      <c r="C381" s="461"/>
      <c r="D381" s="519"/>
      <c r="E381" s="428"/>
      <c r="F381" s="416"/>
      <c r="G381" s="463">
        <f t="shared" si="174"/>
        <v>0</v>
      </c>
      <c r="I381" s="516">
        <f>SUM(I374:I379)</f>
        <v>239981.93428571429</v>
      </c>
      <c r="N381" s="492"/>
      <c r="O381" s="461"/>
      <c r="P381" s="519"/>
      <c r="Q381" s="428"/>
      <c r="R381" s="517"/>
      <c r="S381" s="463"/>
      <c r="U381" s="516">
        <f>SUM(U374:U379)</f>
        <v>239981.93428571429</v>
      </c>
      <c r="V381" s="492"/>
      <c r="W381" s="461"/>
      <c r="X381" s="519"/>
      <c r="Y381" s="428"/>
      <c r="Z381" s="517"/>
      <c r="AA381" s="463"/>
      <c r="AC381" s="516">
        <f>SUM(AC374:AC379)</f>
        <v>239981.93428571429</v>
      </c>
      <c r="AD381" s="492"/>
      <c r="AE381" s="461"/>
      <c r="AF381" s="519"/>
      <c r="AG381" s="428"/>
      <c r="AH381" s="517"/>
      <c r="AI381" s="463"/>
      <c r="AK381" s="516">
        <f>SUM(AK374:AK379)</f>
        <v>239981.93428571429</v>
      </c>
    </row>
    <row r="382" spans="2:37" ht="15" customHeight="1">
      <c r="B382" s="507">
        <v>3</v>
      </c>
      <c r="C382" s="460" t="s">
        <v>2086</v>
      </c>
      <c r="D382" s="519"/>
      <c r="E382" s="428"/>
      <c r="F382" s="416"/>
      <c r="G382" s="463">
        <f t="shared" si="174"/>
        <v>0</v>
      </c>
      <c r="N382" s="507">
        <v>3</v>
      </c>
      <c r="O382" s="460" t="s">
        <v>2086</v>
      </c>
      <c r="P382" s="519"/>
      <c r="Q382" s="428"/>
      <c r="R382" s="517"/>
      <c r="S382" s="463"/>
      <c r="V382" s="507">
        <v>3</v>
      </c>
      <c r="W382" s="460" t="s">
        <v>2086</v>
      </c>
      <c r="X382" s="519"/>
      <c r="Y382" s="428"/>
      <c r="Z382" s="517"/>
      <c r="AA382" s="463"/>
      <c r="AD382" s="507">
        <v>3</v>
      </c>
      <c r="AE382" s="460" t="s">
        <v>2086</v>
      </c>
      <c r="AF382" s="519"/>
      <c r="AG382" s="428"/>
      <c r="AH382" s="517"/>
      <c r="AI382" s="463"/>
    </row>
    <row r="383" spans="2:37" ht="15" customHeight="1">
      <c r="B383" s="492" t="s">
        <v>721</v>
      </c>
      <c r="C383" s="461" t="s">
        <v>2247</v>
      </c>
      <c r="D383" s="519" t="str">
        <f>$D$258</f>
        <v>bh</v>
      </c>
      <c r="E383" s="518">
        <v>4</v>
      </c>
      <c r="F383" s="416">
        <f>$F$258</f>
        <v>181849.04</v>
      </c>
      <c r="G383" s="463">
        <f t="shared" si="174"/>
        <v>727396.16</v>
      </c>
      <c r="N383" s="492" t="s">
        <v>721</v>
      </c>
      <c r="O383" s="461" t="s">
        <v>2247</v>
      </c>
      <c r="P383" s="519" t="str">
        <f>$D$258</f>
        <v>bh</v>
      </c>
      <c r="Q383" s="518">
        <v>4</v>
      </c>
      <c r="R383" s="517">
        <f>$F$258</f>
        <v>181849.04</v>
      </c>
      <c r="S383" s="463">
        <f t="shared" ref="S383:S388" si="182">Q383*R383</f>
        <v>727396.16</v>
      </c>
      <c r="V383" s="492" t="s">
        <v>721</v>
      </c>
      <c r="W383" s="461" t="s">
        <v>2247</v>
      </c>
      <c r="X383" s="519" t="str">
        <f>$D$258</f>
        <v>bh</v>
      </c>
      <c r="Y383" s="518">
        <v>4</v>
      </c>
      <c r="Z383" s="517">
        <f>$F$258</f>
        <v>181849.04</v>
      </c>
      <c r="AA383" s="463">
        <f t="shared" ref="AA383:AA388" si="183">Y383*Z383</f>
        <v>727396.16</v>
      </c>
      <c r="AD383" s="492" t="s">
        <v>721</v>
      </c>
      <c r="AE383" s="461" t="s">
        <v>2247</v>
      </c>
      <c r="AF383" s="519" t="str">
        <f>$D$258</f>
        <v>bh</v>
      </c>
      <c r="AG383" s="518">
        <v>4</v>
      </c>
      <c r="AH383" s="517">
        <f>$F$258</f>
        <v>181849.04</v>
      </c>
      <c r="AI383" s="463">
        <f t="shared" ref="AI383:AI388" si="184">AG383*AH383</f>
        <v>727396.16</v>
      </c>
    </row>
    <row r="384" spans="2:37" ht="15" customHeight="1">
      <c r="B384" s="492" t="s">
        <v>2166</v>
      </c>
      <c r="C384" s="461" t="s">
        <v>2085</v>
      </c>
      <c r="D384" s="519" t="str">
        <f>$D$259</f>
        <v>kg</v>
      </c>
      <c r="E384" s="518">
        <f>I381</f>
        <v>239981.93428571429</v>
      </c>
      <c r="F384" s="416">
        <f>$F$259</f>
        <v>462.7700000000001</v>
      </c>
      <c r="G384" s="463">
        <f t="shared" si="174"/>
        <v>111056439.72940002</v>
      </c>
      <c r="N384" s="492" t="s">
        <v>2166</v>
      </c>
      <c r="O384" s="461" t="s">
        <v>2085</v>
      </c>
      <c r="P384" s="519" t="str">
        <f>$D$259</f>
        <v>kg</v>
      </c>
      <c r="Q384" s="518">
        <f>U381</f>
        <v>239981.93428571429</v>
      </c>
      <c r="R384" s="517">
        <f>$F$259</f>
        <v>462.7700000000001</v>
      </c>
      <c r="S384" s="463">
        <f t="shared" si="182"/>
        <v>111056439.72940002</v>
      </c>
      <c r="V384" s="492" t="s">
        <v>2166</v>
      </c>
      <c r="W384" s="461" t="s">
        <v>2085</v>
      </c>
      <c r="X384" s="519" t="str">
        <f>$D$259</f>
        <v>kg</v>
      </c>
      <c r="Y384" s="518">
        <f>AC381</f>
        <v>239981.93428571429</v>
      </c>
      <c r="Z384" s="517">
        <f>$F$259</f>
        <v>462.7700000000001</v>
      </c>
      <c r="AA384" s="463">
        <f t="shared" si="183"/>
        <v>111056439.72940002</v>
      </c>
      <c r="AD384" s="492" t="s">
        <v>2166</v>
      </c>
      <c r="AE384" s="461" t="s">
        <v>2085</v>
      </c>
      <c r="AF384" s="519" t="str">
        <f>$D$259</f>
        <v>kg</v>
      </c>
      <c r="AG384" s="518">
        <f>AK381</f>
        <v>239981.93428571429</v>
      </c>
      <c r="AH384" s="517">
        <f>$F$259</f>
        <v>462.7700000000001</v>
      </c>
      <c r="AI384" s="463">
        <f t="shared" si="184"/>
        <v>111056439.72940002</v>
      </c>
    </row>
    <row r="385" spans="2:37" ht="15" customHeight="1">
      <c r="B385" s="492" t="s">
        <v>2168</v>
      </c>
      <c r="C385" s="461" t="s">
        <v>2249</v>
      </c>
      <c r="D385" s="519" t="str">
        <f>$D$260</f>
        <v>bh</v>
      </c>
      <c r="E385" s="518">
        <v>4</v>
      </c>
      <c r="F385" s="416">
        <f>$F$260</f>
        <v>387825</v>
      </c>
      <c r="G385" s="463">
        <f t="shared" si="174"/>
        <v>1551300</v>
      </c>
      <c r="N385" s="492" t="s">
        <v>2168</v>
      </c>
      <c r="O385" s="461" t="s">
        <v>2249</v>
      </c>
      <c r="P385" s="519" t="str">
        <f>$D$260</f>
        <v>bh</v>
      </c>
      <c r="Q385" s="518">
        <v>4</v>
      </c>
      <c r="R385" s="517">
        <f>$F$260</f>
        <v>387825</v>
      </c>
      <c r="S385" s="463">
        <f t="shared" si="182"/>
        <v>1551300</v>
      </c>
      <c r="V385" s="492" t="s">
        <v>2168</v>
      </c>
      <c r="W385" s="461" t="s">
        <v>2249</v>
      </c>
      <c r="X385" s="519" t="str">
        <f>$D$260</f>
        <v>bh</v>
      </c>
      <c r="Y385" s="518">
        <v>4</v>
      </c>
      <c r="Z385" s="517">
        <f>$F$260</f>
        <v>387825</v>
      </c>
      <c r="AA385" s="463">
        <f t="shared" si="183"/>
        <v>1551300</v>
      </c>
      <c r="AD385" s="492" t="s">
        <v>2168</v>
      </c>
      <c r="AE385" s="461" t="s">
        <v>2249</v>
      </c>
      <c r="AF385" s="519" t="str">
        <f>$D$260</f>
        <v>bh</v>
      </c>
      <c r="AG385" s="518">
        <v>4</v>
      </c>
      <c r="AH385" s="517">
        <f>$F$260</f>
        <v>387825</v>
      </c>
      <c r="AI385" s="463">
        <f t="shared" si="184"/>
        <v>1551300</v>
      </c>
    </row>
    <row r="386" spans="2:37" ht="15" customHeight="1">
      <c r="B386" s="492" t="s">
        <v>2170</v>
      </c>
      <c r="C386" s="461" t="s">
        <v>2250</v>
      </c>
      <c r="D386" s="519" t="str">
        <f>$D$261</f>
        <v>kg</v>
      </c>
      <c r="E386" s="518">
        <v>150.93599999999998</v>
      </c>
      <c r="F386" s="416">
        <f>$F$261</f>
        <v>3758.6984549742947</v>
      </c>
      <c r="G386" s="463">
        <f t="shared" si="174"/>
        <v>567322.91</v>
      </c>
      <c r="N386" s="492" t="s">
        <v>2170</v>
      </c>
      <c r="O386" s="461" t="s">
        <v>2250</v>
      </c>
      <c r="P386" s="519" t="str">
        <f>$D$261</f>
        <v>kg</v>
      </c>
      <c r="Q386" s="518">
        <v>239.61599999999999</v>
      </c>
      <c r="R386" s="517">
        <f>$F$261</f>
        <v>3758.6984549742947</v>
      </c>
      <c r="S386" s="463">
        <f t="shared" si="182"/>
        <v>900644.2889871205</v>
      </c>
      <c r="V386" s="492" t="s">
        <v>2170</v>
      </c>
      <c r="W386" s="461" t="s">
        <v>2269</v>
      </c>
      <c r="X386" s="519" t="str">
        <f>$D$261</f>
        <v>kg</v>
      </c>
      <c r="Y386" s="518">
        <v>311.47199999999998</v>
      </c>
      <c r="Z386" s="517">
        <f>$F$261</f>
        <v>3758.6984549742947</v>
      </c>
      <c r="AA386" s="463">
        <f t="shared" si="183"/>
        <v>1170729.3251677535</v>
      </c>
      <c r="AD386" s="492" t="s">
        <v>2170</v>
      </c>
      <c r="AE386" s="461" t="s">
        <v>2269</v>
      </c>
      <c r="AF386" s="519" t="str">
        <f>$D$261</f>
        <v>kg</v>
      </c>
      <c r="AG386" s="518">
        <v>403.17599999999999</v>
      </c>
      <c r="AH386" s="517">
        <f>$F$261</f>
        <v>3758.6984549742947</v>
      </c>
      <c r="AI386" s="463">
        <f t="shared" si="184"/>
        <v>1515417.0082827162</v>
      </c>
    </row>
    <row r="387" spans="2:37" ht="15" customHeight="1">
      <c r="B387" s="492" t="s">
        <v>2172</v>
      </c>
      <c r="C387" s="461" t="s">
        <v>2251</v>
      </c>
      <c r="D387" s="519" t="str">
        <f>$D$262</f>
        <v>set</v>
      </c>
      <c r="E387" s="518">
        <v>1</v>
      </c>
      <c r="F387" s="416">
        <f>$F$262</f>
        <v>855127</v>
      </c>
      <c r="G387" s="463">
        <f t="shared" si="174"/>
        <v>855127</v>
      </c>
      <c r="N387" s="492" t="s">
        <v>2172</v>
      </c>
      <c r="O387" s="461" t="s">
        <v>2251</v>
      </c>
      <c r="P387" s="519" t="str">
        <f>$D$262</f>
        <v>set</v>
      </c>
      <c r="Q387" s="518">
        <v>1</v>
      </c>
      <c r="R387" s="517">
        <f>$F$262</f>
        <v>855127</v>
      </c>
      <c r="S387" s="463">
        <f t="shared" si="182"/>
        <v>855127</v>
      </c>
      <c r="V387" s="492" t="s">
        <v>2172</v>
      </c>
      <c r="W387" s="461" t="s">
        <v>2251</v>
      </c>
      <c r="X387" s="519" t="str">
        <f>$D$262</f>
        <v>set</v>
      </c>
      <c r="Y387" s="518">
        <v>1</v>
      </c>
      <c r="Z387" s="517">
        <f>$F$262</f>
        <v>855127</v>
      </c>
      <c r="AA387" s="463">
        <f t="shared" si="183"/>
        <v>855127</v>
      </c>
      <c r="AD387" s="492" t="s">
        <v>2172</v>
      </c>
      <c r="AE387" s="461" t="s">
        <v>2251</v>
      </c>
      <c r="AF387" s="519" t="str">
        <f>$D$262</f>
        <v>set</v>
      </c>
      <c r="AG387" s="518">
        <v>1</v>
      </c>
      <c r="AH387" s="517">
        <f>$F$262</f>
        <v>855127</v>
      </c>
      <c r="AI387" s="463">
        <f t="shared" si="184"/>
        <v>855127</v>
      </c>
    </row>
    <row r="388" spans="2:37" ht="15" customHeight="1">
      <c r="B388" s="492" t="s">
        <v>2174</v>
      </c>
      <c r="C388" s="461" t="s">
        <v>2252</v>
      </c>
      <c r="D388" s="519" t="str">
        <f>$D$263</f>
        <v>set</v>
      </c>
      <c r="E388" s="518">
        <v>1</v>
      </c>
      <c r="F388" s="416">
        <f>$F$263</f>
        <v>674025</v>
      </c>
      <c r="G388" s="463">
        <f t="shared" si="174"/>
        <v>674025</v>
      </c>
      <c r="N388" s="492" t="s">
        <v>2174</v>
      </c>
      <c r="O388" s="461" t="s">
        <v>2252</v>
      </c>
      <c r="P388" s="519" t="str">
        <f>$D$263</f>
        <v>set</v>
      </c>
      <c r="Q388" s="518">
        <v>1</v>
      </c>
      <c r="R388" s="517">
        <f>$F$263</f>
        <v>674025</v>
      </c>
      <c r="S388" s="463">
        <f t="shared" si="182"/>
        <v>674025</v>
      </c>
      <c r="V388" s="492" t="s">
        <v>2174</v>
      </c>
      <c r="W388" s="461" t="s">
        <v>2252</v>
      </c>
      <c r="X388" s="519" t="str">
        <f>$D$263</f>
        <v>set</v>
      </c>
      <c r="Y388" s="518">
        <v>1</v>
      </c>
      <c r="Z388" s="517">
        <f>$F$263</f>
        <v>674025</v>
      </c>
      <c r="AA388" s="463">
        <f t="shared" si="183"/>
        <v>674025</v>
      </c>
      <c r="AD388" s="492" t="s">
        <v>2174</v>
      </c>
      <c r="AE388" s="461" t="s">
        <v>2252</v>
      </c>
      <c r="AF388" s="519" t="str">
        <f>$D$263</f>
        <v>set</v>
      </c>
      <c r="AG388" s="518">
        <v>1</v>
      </c>
      <c r="AH388" s="517">
        <f>$F$263</f>
        <v>674025</v>
      </c>
      <c r="AI388" s="463">
        <f t="shared" si="184"/>
        <v>674025</v>
      </c>
    </row>
    <row r="389" spans="2:37" ht="15" customHeight="1" thickBot="1">
      <c r="B389" s="459"/>
      <c r="C389" s="1194" t="s">
        <v>3254</v>
      </c>
      <c r="D389" s="1195"/>
      <c r="E389" s="1195"/>
      <c r="F389" s="1196"/>
      <c r="G389" s="458">
        <f>SUM(G368:G388)</f>
        <v>453240018.90795946</v>
      </c>
      <c r="N389" s="459"/>
      <c r="O389" s="1194" t="s">
        <v>3254</v>
      </c>
      <c r="P389" s="1195"/>
      <c r="Q389" s="1195"/>
      <c r="R389" s="1196"/>
      <c r="S389" s="458">
        <f>SUM(S368:S388)</f>
        <v>453573340.28694654</v>
      </c>
      <c r="V389" s="459"/>
      <c r="W389" s="1194" t="s">
        <v>3254</v>
      </c>
      <c r="X389" s="1195"/>
      <c r="Y389" s="1195"/>
      <c r="Z389" s="1196"/>
      <c r="AA389" s="458">
        <f>SUM(AA368:AA388)</f>
        <v>453843425.32312721</v>
      </c>
      <c r="AD389" s="459"/>
      <c r="AE389" s="1194" t="s">
        <v>3254</v>
      </c>
      <c r="AF389" s="1195"/>
      <c r="AG389" s="1195"/>
      <c r="AH389" s="1196"/>
      <c r="AI389" s="458">
        <f>SUM(AI368:AI388)</f>
        <v>454188113.00624216</v>
      </c>
    </row>
    <row r="390" spans="2:37" ht="15" customHeight="1" thickBot="1">
      <c r="B390" s="427"/>
      <c r="C390" s="427"/>
      <c r="D390" s="427"/>
      <c r="E390" s="427"/>
      <c r="F390" s="426"/>
      <c r="G390" s="426"/>
      <c r="N390" s="427"/>
      <c r="O390" s="427"/>
      <c r="P390" s="427"/>
      <c r="Q390" s="427"/>
      <c r="R390" s="427"/>
      <c r="S390" s="426"/>
      <c r="V390" s="427"/>
      <c r="W390" s="427"/>
      <c r="X390" s="427"/>
      <c r="Y390" s="427"/>
      <c r="Z390" s="427"/>
      <c r="AA390" s="426"/>
      <c r="AD390" s="427"/>
      <c r="AE390" s="427"/>
      <c r="AF390" s="427"/>
      <c r="AG390" s="427"/>
      <c r="AH390" s="427"/>
      <c r="AI390" s="426"/>
    </row>
    <row r="391" spans="2:37" ht="15" customHeight="1" thickBot="1">
      <c r="B391" s="452" t="s">
        <v>2229</v>
      </c>
      <c r="C391" s="435"/>
      <c r="D391" s="434">
        <v>6</v>
      </c>
      <c r="E391" s="433"/>
      <c r="F391" s="411"/>
      <c r="G391" s="431"/>
      <c r="N391" s="452" t="s">
        <v>2230</v>
      </c>
      <c r="O391" s="435"/>
      <c r="P391" s="434">
        <v>6</v>
      </c>
      <c r="Q391" s="433"/>
      <c r="R391" s="432"/>
      <c r="S391" s="431"/>
      <c r="V391" s="452" t="s">
        <v>2231</v>
      </c>
      <c r="W391" s="435"/>
      <c r="X391" s="434"/>
      <c r="Y391" s="433"/>
      <c r="Z391" s="432"/>
      <c r="AA391" s="431"/>
      <c r="AD391" s="452" t="s">
        <v>2254</v>
      </c>
      <c r="AE391" s="435"/>
      <c r="AF391" s="434"/>
      <c r="AG391" s="433"/>
      <c r="AH391" s="432"/>
      <c r="AI391" s="431"/>
    </row>
    <row r="392" spans="2:37" ht="15" customHeight="1">
      <c r="B392" s="446"/>
      <c r="C392" s="445" t="s">
        <v>3255</v>
      </c>
      <c r="D392" s="444"/>
      <c r="E392" s="443"/>
      <c r="F392" s="413"/>
      <c r="G392" s="441"/>
      <c r="N392" s="446"/>
      <c r="O392" s="445" t="s">
        <v>3255</v>
      </c>
      <c r="P392" s="444"/>
      <c r="Q392" s="443"/>
      <c r="R392" s="442"/>
      <c r="S392" s="441"/>
      <c r="V392" s="446"/>
      <c r="W392" s="445" t="s">
        <v>3256</v>
      </c>
      <c r="X392" s="444"/>
      <c r="Y392" s="443"/>
      <c r="Z392" s="442"/>
      <c r="AA392" s="441"/>
      <c r="AD392" s="446"/>
      <c r="AE392" s="445" t="s">
        <v>3256</v>
      </c>
      <c r="AF392" s="444"/>
      <c r="AG392" s="443"/>
      <c r="AH392" s="442"/>
      <c r="AI392" s="441"/>
    </row>
    <row r="393" spans="2:37" ht="15" customHeight="1">
      <c r="B393" s="468">
        <v>1</v>
      </c>
      <c r="C393" s="467" t="s">
        <v>2234</v>
      </c>
      <c r="D393" s="519"/>
      <c r="E393" s="430"/>
      <c r="F393" s="417"/>
      <c r="G393" s="486"/>
      <c r="N393" s="468">
        <v>1</v>
      </c>
      <c r="O393" s="467" t="s">
        <v>2234</v>
      </c>
      <c r="P393" s="519"/>
      <c r="Q393" s="430"/>
      <c r="R393" s="429"/>
      <c r="S393" s="486"/>
      <c r="V393" s="468">
        <v>1</v>
      </c>
      <c r="W393" s="467" t="s">
        <v>2234</v>
      </c>
      <c r="X393" s="519"/>
      <c r="Y393" s="430"/>
      <c r="Z393" s="429"/>
      <c r="AA393" s="486"/>
      <c r="AD393" s="468">
        <v>1</v>
      </c>
      <c r="AE393" s="467" t="s">
        <v>2234</v>
      </c>
      <c r="AF393" s="519"/>
      <c r="AG393" s="430"/>
      <c r="AH393" s="429"/>
      <c r="AI393" s="486"/>
    </row>
    <row r="394" spans="2:37" ht="15" customHeight="1">
      <c r="B394" s="492" t="s">
        <v>721</v>
      </c>
      <c r="C394" s="464" t="s">
        <v>2235</v>
      </c>
      <c r="D394" s="519" t="str">
        <f>$D$244</f>
        <v>m³</v>
      </c>
      <c r="E394" s="518">
        <v>50.35</v>
      </c>
      <c r="F394" s="416">
        <f>$F$244</f>
        <v>102390.75000000001</v>
      </c>
      <c r="G394" s="463">
        <f>E394*F394</f>
        <v>5155374.2625000011</v>
      </c>
      <c r="N394" s="492" t="s">
        <v>721</v>
      </c>
      <c r="O394" s="464" t="s">
        <v>2235</v>
      </c>
      <c r="P394" s="519" t="str">
        <f>$D$244</f>
        <v>m³</v>
      </c>
      <c r="Q394" s="518">
        <v>50.35</v>
      </c>
      <c r="R394" s="517">
        <f>$F$244</f>
        <v>102390.75000000001</v>
      </c>
      <c r="S394" s="463">
        <f>Q394*R394</f>
        <v>5155374.2625000011</v>
      </c>
      <c r="V394" s="492" t="s">
        <v>721</v>
      </c>
      <c r="W394" s="464" t="s">
        <v>2235</v>
      </c>
      <c r="X394" s="519" t="str">
        <f>$D$244</f>
        <v>m³</v>
      </c>
      <c r="Y394" s="518">
        <v>50.35</v>
      </c>
      <c r="Z394" s="517">
        <f>$F$244</f>
        <v>102390.75000000001</v>
      </c>
      <c r="AA394" s="463">
        <f>Y394*Z394</f>
        <v>5155374.2625000011</v>
      </c>
      <c r="AD394" s="492" t="s">
        <v>721</v>
      </c>
      <c r="AE394" s="464" t="s">
        <v>2235</v>
      </c>
      <c r="AF394" s="519" t="str">
        <f>$D$244</f>
        <v>m³</v>
      </c>
      <c r="AG394" s="518">
        <v>50.35</v>
      </c>
      <c r="AH394" s="517">
        <f>$F$244</f>
        <v>102390.75000000001</v>
      </c>
      <c r="AI394" s="463">
        <f>AG394*AH394</f>
        <v>5155374.2625000011</v>
      </c>
    </row>
    <row r="395" spans="2:37" ht="15" customHeight="1">
      <c r="B395" s="492" t="s">
        <v>2166</v>
      </c>
      <c r="C395" s="464" t="s">
        <v>2237</v>
      </c>
      <c r="D395" s="519" t="str">
        <f>$D$245</f>
        <v>m³</v>
      </c>
      <c r="E395" s="518">
        <v>12.160000000000002</v>
      </c>
      <c r="F395" s="416">
        <f>$F$245</f>
        <v>62462.950000000012</v>
      </c>
      <c r="G395" s="463">
        <f t="shared" ref="G395:G413" si="185">E395*F395</f>
        <v>759549.4720000003</v>
      </c>
      <c r="N395" s="492" t="s">
        <v>2166</v>
      </c>
      <c r="O395" s="464" t="s">
        <v>2237</v>
      </c>
      <c r="P395" s="519" t="str">
        <f>$D$245</f>
        <v>m³</v>
      </c>
      <c r="Q395" s="518">
        <v>12.160000000000002</v>
      </c>
      <c r="R395" s="517">
        <f>$F$245</f>
        <v>62462.950000000012</v>
      </c>
      <c r="S395" s="463">
        <f>Q395*R395</f>
        <v>759549.4720000003</v>
      </c>
      <c r="V395" s="492" t="s">
        <v>2166</v>
      </c>
      <c r="W395" s="464" t="s">
        <v>2237</v>
      </c>
      <c r="X395" s="519" t="str">
        <f>$D$245</f>
        <v>m³</v>
      </c>
      <c r="Y395" s="518">
        <v>12.160000000000002</v>
      </c>
      <c r="Z395" s="517">
        <f>$F$245</f>
        <v>62462.950000000012</v>
      </c>
      <c r="AA395" s="463">
        <f>Y395*Z395</f>
        <v>759549.4720000003</v>
      </c>
      <c r="AD395" s="492" t="s">
        <v>2166</v>
      </c>
      <c r="AE395" s="464" t="s">
        <v>2237</v>
      </c>
      <c r="AF395" s="519" t="str">
        <f>$D$245</f>
        <v>m³</v>
      </c>
      <c r="AG395" s="518">
        <v>12.160000000000002</v>
      </c>
      <c r="AH395" s="517">
        <f>$F$245</f>
        <v>62462.950000000012</v>
      </c>
      <c r="AI395" s="463">
        <f>AG395*AH395</f>
        <v>759549.4720000003</v>
      </c>
    </row>
    <row r="396" spans="2:37" ht="15" customHeight="1">
      <c r="B396" s="492" t="s">
        <v>2168</v>
      </c>
      <c r="C396" s="464" t="s">
        <v>2265</v>
      </c>
      <c r="D396" s="519" t="str">
        <f>$D$246</f>
        <v>m'</v>
      </c>
      <c r="E396" s="518">
        <v>256</v>
      </c>
      <c r="F396" s="416">
        <f>$F$246</f>
        <v>52230.612500000003</v>
      </c>
      <c r="G396" s="463">
        <f t="shared" si="185"/>
        <v>13371036.800000001</v>
      </c>
      <c r="N396" s="492" t="s">
        <v>2168</v>
      </c>
      <c r="O396" s="464" t="s">
        <v>2265</v>
      </c>
      <c r="P396" s="519" t="str">
        <f>$D$246</f>
        <v>m'</v>
      </c>
      <c r="Q396" s="518">
        <v>256</v>
      </c>
      <c r="R396" s="517">
        <f>$F$246</f>
        <v>52230.612500000003</v>
      </c>
      <c r="S396" s="463">
        <f>Q396*R396</f>
        <v>13371036.800000001</v>
      </c>
      <c r="V396" s="492" t="s">
        <v>2168</v>
      </c>
      <c r="W396" s="464" t="s">
        <v>2265</v>
      </c>
      <c r="X396" s="519" t="str">
        <f>$D$246</f>
        <v>m'</v>
      </c>
      <c r="Y396" s="518">
        <v>256</v>
      </c>
      <c r="Z396" s="517">
        <f>$F$246</f>
        <v>52230.612500000003</v>
      </c>
      <c r="AA396" s="463">
        <f>Y396*Z396</f>
        <v>13371036.800000001</v>
      </c>
      <c r="AD396" s="492" t="s">
        <v>2168</v>
      </c>
      <c r="AE396" s="464" t="s">
        <v>2265</v>
      </c>
      <c r="AF396" s="519" t="str">
        <f>$D$246</f>
        <v>m'</v>
      </c>
      <c r="AG396" s="518">
        <v>256</v>
      </c>
      <c r="AH396" s="517">
        <f>$F$246</f>
        <v>52230.612500000003</v>
      </c>
      <c r="AI396" s="463">
        <f>AG396*AH396</f>
        <v>13371036.800000001</v>
      </c>
    </row>
    <row r="397" spans="2:37" ht="15" customHeight="1">
      <c r="B397" s="462"/>
      <c r="C397" s="464"/>
      <c r="D397" s="519"/>
      <c r="E397" s="428"/>
      <c r="F397" s="416"/>
      <c r="G397" s="463">
        <f t="shared" si="185"/>
        <v>0</v>
      </c>
      <c r="N397" s="462"/>
      <c r="O397" s="464"/>
      <c r="P397" s="519"/>
      <c r="Q397" s="428"/>
      <c r="R397" s="517"/>
      <c r="S397" s="463"/>
      <c r="V397" s="462"/>
      <c r="W397" s="464"/>
      <c r="X397" s="519"/>
      <c r="Y397" s="428"/>
      <c r="Z397" s="517"/>
      <c r="AA397" s="463"/>
      <c r="AD397" s="462"/>
      <c r="AE397" s="464"/>
      <c r="AF397" s="519"/>
      <c r="AG397" s="428"/>
      <c r="AH397" s="517"/>
      <c r="AI397" s="463"/>
    </row>
    <row r="398" spans="2:37" ht="15" customHeight="1">
      <c r="B398" s="507">
        <v>2</v>
      </c>
      <c r="C398" s="467" t="s">
        <v>2238</v>
      </c>
      <c r="D398" s="519"/>
      <c r="E398" s="428"/>
      <c r="F398" s="416"/>
      <c r="G398" s="463">
        <f t="shared" si="185"/>
        <v>0</v>
      </c>
      <c r="H398" s="516" t="s">
        <v>2239</v>
      </c>
      <c r="N398" s="507">
        <v>2</v>
      </c>
      <c r="O398" s="467" t="s">
        <v>2238</v>
      </c>
      <c r="P398" s="519"/>
      <c r="Q398" s="428"/>
      <c r="R398" s="517"/>
      <c r="S398" s="463"/>
      <c r="T398" s="516" t="s">
        <v>2239</v>
      </c>
      <c r="V398" s="507">
        <v>2</v>
      </c>
      <c r="W398" s="467" t="s">
        <v>2238</v>
      </c>
      <c r="X398" s="519"/>
      <c r="Y398" s="428"/>
      <c r="Z398" s="517"/>
      <c r="AA398" s="463"/>
      <c r="AB398" s="516" t="s">
        <v>2239</v>
      </c>
      <c r="AD398" s="507">
        <v>2</v>
      </c>
      <c r="AE398" s="467" t="s">
        <v>2238</v>
      </c>
      <c r="AF398" s="519"/>
      <c r="AG398" s="428"/>
      <c r="AH398" s="517"/>
      <c r="AI398" s="463"/>
      <c r="AJ398" s="516" t="s">
        <v>2239</v>
      </c>
    </row>
    <row r="399" spans="2:37" ht="15" customHeight="1">
      <c r="B399" s="492" t="s">
        <v>721</v>
      </c>
      <c r="C399" s="464" t="s">
        <v>2240</v>
      </c>
      <c r="D399" s="519" t="str">
        <f>$D$249</f>
        <v>m³</v>
      </c>
      <c r="E399" s="518">
        <v>4.9000000000000004</v>
      </c>
      <c r="F399" s="416">
        <f>$F$249</f>
        <v>404738.95</v>
      </c>
      <c r="G399" s="463">
        <f t="shared" si="185"/>
        <v>1983220.8550000002</v>
      </c>
      <c r="H399" s="516">
        <v>1400</v>
      </c>
      <c r="I399" s="516">
        <f>E399*H399</f>
        <v>6860.0000000000009</v>
      </c>
      <c r="N399" s="492" t="s">
        <v>721</v>
      </c>
      <c r="O399" s="464" t="s">
        <v>2240</v>
      </c>
      <c r="P399" s="519" t="str">
        <f>$D$249</f>
        <v>m³</v>
      </c>
      <c r="Q399" s="518">
        <v>4.9000000000000004</v>
      </c>
      <c r="R399" s="517">
        <f>$F$249</f>
        <v>404738.95</v>
      </c>
      <c r="S399" s="463">
        <f t="shared" ref="S399:S405" si="186">Q399*R399</f>
        <v>1983220.8550000002</v>
      </c>
      <c r="T399" s="516">
        <v>1400</v>
      </c>
      <c r="U399" s="516">
        <f>Q399*T399</f>
        <v>6860.0000000000009</v>
      </c>
      <c r="V399" s="492" t="s">
        <v>721</v>
      </c>
      <c r="W399" s="464" t="s">
        <v>2240</v>
      </c>
      <c r="X399" s="519" t="str">
        <f>$D$249</f>
        <v>m³</v>
      </c>
      <c r="Y399" s="518">
        <v>4.9000000000000004</v>
      </c>
      <c r="Z399" s="517">
        <f>$F$249</f>
        <v>404738.95</v>
      </c>
      <c r="AA399" s="463">
        <f t="shared" ref="AA399:AA405" si="187">Y399*Z399</f>
        <v>1983220.8550000002</v>
      </c>
      <c r="AB399" s="516">
        <v>1400</v>
      </c>
      <c r="AC399" s="516">
        <f>Y399*AB399</f>
        <v>6860.0000000000009</v>
      </c>
      <c r="AD399" s="492" t="s">
        <v>721</v>
      </c>
      <c r="AE399" s="464" t="s">
        <v>2240</v>
      </c>
      <c r="AF399" s="519" t="str">
        <f>$D$249</f>
        <v>m³</v>
      </c>
      <c r="AG399" s="518">
        <v>4.9000000000000004</v>
      </c>
      <c r="AH399" s="517">
        <f>$F$249</f>
        <v>404738.95</v>
      </c>
      <c r="AI399" s="463">
        <f t="shared" ref="AI399:AI405" si="188">AG399*AH399</f>
        <v>1983220.8550000002</v>
      </c>
      <c r="AJ399" s="516">
        <v>1400</v>
      </c>
      <c r="AK399" s="516">
        <f>AG399*AJ399</f>
        <v>6860.0000000000009</v>
      </c>
    </row>
    <row r="400" spans="2:37" ht="15" customHeight="1">
      <c r="B400" s="492" t="s">
        <v>2166</v>
      </c>
      <c r="C400" s="461" t="s">
        <v>2241</v>
      </c>
      <c r="D400" s="519" t="str">
        <f>$D$250</f>
        <v>m³</v>
      </c>
      <c r="E400" s="518">
        <v>2.4500000000000002</v>
      </c>
      <c r="F400" s="416">
        <f>$F$250</f>
        <v>710224.707936508</v>
      </c>
      <c r="G400" s="463">
        <f t="shared" si="185"/>
        <v>1740050.5344444448</v>
      </c>
      <c r="H400" s="516">
        <v>2200</v>
      </c>
      <c r="I400" s="516">
        <f t="shared" ref="I400:I405" si="189">E400*H400</f>
        <v>5390</v>
      </c>
      <c r="N400" s="492" t="s">
        <v>2166</v>
      </c>
      <c r="O400" s="461" t="s">
        <v>2241</v>
      </c>
      <c r="P400" s="519" t="str">
        <f>$D$250</f>
        <v>m³</v>
      </c>
      <c r="Q400" s="518">
        <v>2.4500000000000002</v>
      </c>
      <c r="R400" s="517">
        <f>$F$250</f>
        <v>710224.707936508</v>
      </c>
      <c r="S400" s="463">
        <f t="shared" si="186"/>
        <v>1740050.5344444448</v>
      </c>
      <c r="T400" s="516">
        <v>2200</v>
      </c>
      <c r="U400" s="516">
        <f t="shared" ref="U400:U405" si="190">Q400*T400</f>
        <v>5390</v>
      </c>
      <c r="V400" s="492" t="s">
        <v>2166</v>
      </c>
      <c r="W400" s="461" t="s">
        <v>2241</v>
      </c>
      <c r="X400" s="519" t="str">
        <f>$D$250</f>
        <v>m³</v>
      </c>
      <c r="Y400" s="518">
        <v>2.4500000000000002</v>
      </c>
      <c r="Z400" s="517">
        <f>$F$250</f>
        <v>710224.707936508</v>
      </c>
      <c r="AA400" s="463">
        <f t="shared" si="187"/>
        <v>1740050.5344444448</v>
      </c>
      <c r="AB400" s="516">
        <v>2200</v>
      </c>
      <c r="AC400" s="516">
        <f t="shared" ref="AC400:AC405" si="191">Y400*AB400</f>
        <v>5390</v>
      </c>
      <c r="AD400" s="492" t="s">
        <v>2166</v>
      </c>
      <c r="AE400" s="461" t="s">
        <v>2241</v>
      </c>
      <c r="AF400" s="519" t="str">
        <f>$D$250</f>
        <v>m³</v>
      </c>
      <c r="AG400" s="518">
        <v>2.4500000000000002</v>
      </c>
      <c r="AH400" s="517">
        <f>$F$250</f>
        <v>710224.707936508</v>
      </c>
      <c r="AI400" s="463">
        <f t="shared" si="188"/>
        <v>1740050.5344444448</v>
      </c>
      <c r="AJ400" s="516">
        <v>2200</v>
      </c>
      <c r="AK400" s="516">
        <f t="shared" ref="AK400:AK405" si="192">AG400*AJ400</f>
        <v>5390</v>
      </c>
    </row>
    <row r="401" spans="2:37" ht="15" customHeight="1">
      <c r="B401" s="492" t="s">
        <v>2168</v>
      </c>
      <c r="C401" s="461" t="s">
        <v>2266</v>
      </c>
      <c r="D401" s="519" t="str">
        <f>$D$251</f>
        <v>m³</v>
      </c>
      <c r="E401" s="518">
        <v>30.84</v>
      </c>
      <c r="F401" s="416">
        <f>$F$251</f>
        <v>1115864.6138095236</v>
      </c>
      <c r="G401" s="463">
        <f t="shared" si="185"/>
        <v>34413264.689885706</v>
      </c>
      <c r="H401" s="516">
        <v>2400</v>
      </c>
      <c r="I401" s="516">
        <f t="shared" si="189"/>
        <v>74016</v>
      </c>
      <c r="N401" s="492" t="s">
        <v>2168</v>
      </c>
      <c r="O401" s="461" t="s">
        <v>2266</v>
      </c>
      <c r="P401" s="519" t="str">
        <f>$D$251</f>
        <v>m³</v>
      </c>
      <c r="Q401" s="518">
        <v>30.84</v>
      </c>
      <c r="R401" s="517">
        <f>$F$251</f>
        <v>1115864.6138095236</v>
      </c>
      <c r="S401" s="463">
        <f t="shared" si="186"/>
        <v>34413264.689885706</v>
      </c>
      <c r="T401" s="516">
        <v>2400</v>
      </c>
      <c r="U401" s="516">
        <f t="shared" si="190"/>
        <v>74016</v>
      </c>
      <c r="V401" s="492" t="s">
        <v>2168</v>
      </c>
      <c r="W401" s="461" t="str">
        <f>O401</f>
        <v>Beton K 225 (Pad &amp; Chimney)</v>
      </c>
      <c r="X401" s="519" t="str">
        <f>$D$251</f>
        <v>m³</v>
      </c>
      <c r="Y401" s="518">
        <v>30.84</v>
      </c>
      <c r="Z401" s="517">
        <f>$F$251</f>
        <v>1115864.6138095236</v>
      </c>
      <c r="AA401" s="463">
        <f t="shared" si="187"/>
        <v>34413264.689885706</v>
      </c>
      <c r="AB401" s="516">
        <v>2400</v>
      </c>
      <c r="AC401" s="516">
        <f t="shared" si="191"/>
        <v>74016</v>
      </c>
      <c r="AD401" s="492" t="s">
        <v>2168</v>
      </c>
      <c r="AE401" s="461" t="str">
        <f>W401</f>
        <v>Beton K 225 (Pad &amp; Chimney)</v>
      </c>
      <c r="AF401" s="519" t="str">
        <f>$D$251</f>
        <v>m³</v>
      </c>
      <c r="AG401" s="518">
        <v>30.84</v>
      </c>
      <c r="AH401" s="517">
        <f>$F$251</f>
        <v>1115864.6138095236</v>
      </c>
      <c r="AI401" s="463">
        <f t="shared" si="188"/>
        <v>34413264.689885706</v>
      </c>
      <c r="AJ401" s="516">
        <v>2400</v>
      </c>
      <c r="AK401" s="516">
        <f t="shared" si="192"/>
        <v>74016</v>
      </c>
    </row>
    <row r="402" spans="2:37" ht="15" customHeight="1">
      <c r="B402" s="492" t="s">
        <v>2170</v>
      </c>
      <c r="C402" s="461" t="s">
        <v>2267</v>
      </c>
      <c r="D402" s="519" t="str">
        <f>$D$252</f>
        <v>m³</v>
      </c>
      <c r="E402" s="518">
        <v>68.790857142857149</v>
      </c>
      <c r="F402" s="416">
        <f>$F$252</f>
        <v>1057576.2423809525</v>
      </c>
      <c r="G402" s="463">
        <f t="shared" si="185"/>
        <v>72751576.207307771</v>
      </c>
      <c r="H402" s="516">
        <v>2200</v>
      </c>
      <c r="I402" s="516">
        <f t="shared" si="189"/>
        <v>151339.88571428572</v>
      </c>
      <c r="N402" s="492" t="s">
        <v>2170</v>
      </c>
      <c r="O402" s="461" t="s">
        <v>2267</v>
      </c>
      <c r="P402" s="519" t="str">
        <f>$D$252</f>
        <v>m³</v>
      </c>
      <c r="Q402" s="518">
        <v>68.790857142857149</v>
      </c>
      <c r="R402" s="517">
        <f>$F$252</f>
        <v>1057576.2423809525</v>
      </c>
      <c r="S402" s="463">
        <f t="shared" si="186"/>
        <v>72751576.207307771</v>
      </c>
      <c r="T402" s="516">
        <v>2200</v>
      </c>
      <c r="U402" s="516">
        <f t="shared" si="190"/>
        <v>151339.88571428572</v>
      </c>
      <c r="V402" s="492" t="s">
        <v>2170</v>
      </c>
      <c r="W402" s="461" t="s">
        <v>2267</v>
      </c>
      <c r="X402" s="519" t="str">
        <f>$D$252</f>
        <v>m³</v>
      </c>
      <c r="Y402" s="518">
        <v>68.790857142857149</v>
      </c>
      <c r="Z402" s="517">
        <f>$F$252</f>
        <v>1057576.2423809525</v>
      </c>
      <c r="AA402" s="463">
        <f t="shared" si="187"/>
        <v>72751576.207307771</v>
      </c>
      <c r="AB402" s="516">
        <v>2200</v>
      </c>
      <c r="AC402" s="516">
        <f t="shared" si="191"/>
        <v>151339.88571428572</v>
      </c>
      <c r="AD402" s="492" t="s">
        <v>2170</v>
      </c>
      <c r="AE402" s="461" t="s">
        <v>2267</v>
      </c>
      <c r="AF402" s="519" t="str">
        <f>$D$252</f>
        <v>m³</v>
      </c>
      <c r="AG402" s="518">
        <v>68.790857142857149</v>
      </c>
      <c r="AH402" s="517">
        <f>$F$252</f>
        <v>1057576.2423809525</v>
      </c>
      <c r="AI402" s="463">
        <f t="shared" si="188"/>
        <v>72751576.207307771</v>
      </c>
      <c r="AJ402" s="516">
        <v>2200</v>
      </c>
      <c r="AK402" s="516">
        <f t="shared" si="192"/>
        <v>151339.88571428572</v>
      </c>
    </row>
    <row r="403" spans="2:37" ht="15" customHeight="1">
      <c r="B403" s="492" t="s">
        <v>2172</v>
      </c>
      <c r="C403" s="461" t="s">
        <v>2243</v>
      </c>
      <c r="D403" s="519" t="str">
        <f>$D$253</f>
        <v>kg</v>
      </c>
      <c r="E403" s="518">
        <v>11151.052000000001</v>
      </c>
      <c r="F403" s="416">
        <f>$F$253</f>
        <v>19478.039350000003</v>
      </c>
      <c r="G403" s="463">
        <f t="shared" si="185"/>
        <v>217200629.64989626</v>
      </c>
      <c r="H403" s="516">
        <v>1</v>
      </c>
      <c r="I403" s="516">
        <f t="shared" si="189"/>
        <v>11151.052000000001</v>
      </c>
      <c r="N403" s="492" t="s">
        <v>2172</v>
      </c>
      <c r="O403" s="461" t="s">
        <v>2243</v>
      </c>
      <c r="P403" s="519" t="str">
        <f>$D$253</f>
        <v>kg</v>
      </c>
      <c r="Q403" s="518">
        <v>11151.052000000001</v>
      </c>
      <c r="R403" s="517">
        <f>$F$253</f>
        <v>19478.039350000003</v>
      </c>
      <c r="S403" s="463">
        <f t="shared" si="186"/>
        <v>217200629.64989626</v>
      </c>
      <c r="T403" s="516">
        <v>1</v>
      </c>
      <c r="U403" s="516">
        <f t="shared" si="190"/>
        <v>11151.052000000001</v>
      </c>
      <c r="V403" s="492" t="s">
        <v>2172</v>
      </c>
      <c r="W403" s="461" t="s">
        <v>2243</v>
      </c>
      <c r="X403" s="519" t="str">
        <f>$D$253</f>
        <v>kg</v>
      </c>
      <c r="Y403" s="518">
        <v>11151.052000000001</v>
      </c>
      <c r="Z403" s="517">
        <f>$F$253</f>
        <v>19478.039350000003</v>
      </c>
      <c r="AA403" s="463">
        <f t="shared" si="187"/>
        <v>217200629.64989626</v>
      </c>
      <c r="AB403" s="516">
        <v>1</v>
      </c>
      <c r="AC403" s="516">
        <f t="shared" si="191"/>
        <v>11151.052000000001</v>
      </c>
      <c r="AD403" s="492" t="s">
        <v>2172</v>
      </c>
      <c r="AE403" s="461" t="s">
        <v>2243</v>
      </c>
      <c r="AF403" s="519" t="str">
        <f>$D$253</f>
        <v>kg</v>
      </c>
      <c r="AG403" s="518">
        <v>11151.052000000001</v>
      </c>
      <c r="AH403" s="517">
        <f>$F$253</f>
        <v>19478.039350000003</v>
      </c>
      <c r="AI403" s="463">
        <f t="shared" si="188"/>
        <v>217200629.64989626</v>
      </c>
      <c r="AJ403" s="516">
        <v>1</v>
      </c>
      <c r="AK403" s="516">
        <f t="shared" si="192"/>
        <v>11151.052000000001</v>
      </c>
    </row>
    <row r="404" spans="2:37" ht="15" customHeight="1">
      <c r="B404" s="492" t="s">
        <v>2268</v>
      </c>
      <c r="C404" s="461" t="s">
        <v>2244</v>
      </c>
      <c r="D404" s="519" t="str">
        <f>$D$254</f>
        <v>m²</v>
      </c>
      <c r="E404" s="518">
        <v>43.2</v>
      </c>
      <c r="F404" s="416">
        <f>$F$254</f>
        <v>145812.67000000001</v>
      </c>
      <c r="G404" s="463">
        <f t="shared" si="185"/>
        <v>6299107.3440000005</v>
      </c>
      <c r="H404" s="516">
        <v>40</v>
      </c>
      <c r="I404" s="516">
        <f t="shared" si="189"/>
        <v>1728</v>
      </c>
      <c r="N404" s="492" t="s">
        <v>2268</v>
      </c>
      <c r="O404" s="461" t="s">
        <v>2244</v>
      </c>
      <c r="P404" s="519" t="str">
        <f>$D$254</f>
        <v>m²</v>
      </c>
      <c r="Q404" s="518">
        <v>43.2</v>
      </c>
      <c r="R404" s="517">
        <f>$F$254</f>
        <v>145812.67000000001</v>
      </c>
      <c r="S404" s="463">
        <f t="shared" si="186"/>
        <v>6299107.3440000005</v>
      </c>
      <c r="T404" s="516">
        <v>40</v>
      </c>
      <c r="U404" s="516">
        <f t="shared" si="190"/>
        <v>1728</v>
      </c>
      <c r="V404" s="492" t="s">
        <v>2268</v>
      </c>
      <c r="W404" s="461" t="s">
        <v>2244</v>
      </c>
      <c r="X404" s="519" t="str">
        <f>$D$254</f>
        <v>m²</v>
      </c>
      <c r="Y404" s="518">
        <v>43.2</v>
      </c>
      <c r="Z404" s="517">
        <f>$F$254</f>
        <v>145812.67000000001</v>
      </c>
      <c r="AA404" s="463">
        <f t="shared" si="187"/>
        <v>6299107.3440000005</v>
      </c>
      <c r="AB404" s="516">
        <v>40</v>
      </c>
      <c r="AC404" s="516">
        <f t="shared" si="191"/>
        <v>1728</v>
      </c>
      <c r="AD404" s="492" t="s">
        <v>2268</v>
      </c>
      <c r="AE404" s="461" t="s">
        <v>2244</v>
      </c>
      <c r="AF404" s="519" t="str">
        <f>$D$254</f>
        <v>m²</v>
      </c>
      <c r="AG404" s="518">
        <v>43.2</v>
      </c>
      <c r="AH404" s="517">
        <f>$F$254</f>
        <v>145812.67000000001</v>
      </c>
      <c r="AI404" s="463">
        <f t="shared" si="188"/>
        <v>6299107.3440000005</v>
      </c>
      <c r="AJ404" s="516">
        <v>40</v>
      </c>
      <c r="AK404" s="516">
        <f t="shared" si="192"/>
        <v>1728</v>
      </c>
    </row>
    <row r="405" spans="2:37" ht="15" customHeight="1">
      <c r="B405" s="492" t="s">
        <v>2176</v>
      </c>
      <c r="C405" s="491" t="s">
        <v>2246</v>
      </c>
      <c r="D405" s="519" t="str">
        <f>$D$255</f>
        <v>bh</v>
      </c>
      <c r="E405" s="518">
        <v>4</v>
      </c>
      <c r="F405" s="416">
        <f>$F$255</f>
        <v>100000</v>
      </c>
      <c r="G405" s="463">
        <f t="shared" si="185"/>
        <v>400000</v>
      </c>
      <c r="H405" s="516">
        <v>2.5</v>
      </c>
      <c r="I405" s="516">
        <f t="shared" si="189"/>
        <v>10</v>
      </c>
      <c r="N405" s="492" t="s">
        <v>2176</v>
      </c>
      <c r="O405" s="491" t="s">
        <v>2246</v>
      </c>
      <c r="P405" s="519" t="str">
        <f>$D$255</f>
        <v>bh</v>
      </c>
      <c r="Q405" s="518">
        <v>4</v>
      </c>
      <c r="R405" s="517">
        <f>$F$255</f>
        <v>100000</v>
      </c>
      <c r="S405" s="463">
        <f t="shared" si="186"/>
        <v>400000</v>
      </c>
      <c r="T405" s="516">
        <v>2.5</v>
      </c>
      <c r="U405" s="516">
        <f t="shared" si="190"/>
        <v>10</v>
      </c>
      <c r="V405" s="492" t="s">
        <v>2176</v>
      </c>
      <c r="W405" s="491" t="s">
        <v>2246</v>
      </c>
      <c r="X405" s="519" t="str">
        <f>$D$255</f>
        <v>bh</v>
      </c>
      <c r="Y405" s="518">
        <v>4</v>
      </c>
      <c r="Z405" s="517">
        <f>$F$255</f>
        <v>100000</v>
      </c>
      <c r="AA405" s="463">
        <f t="shared" si="187"/>
        <v>400000</v>
      </c>
      <c r="AB405" s="516">
        <v>2.5</v>
      </c>
      <c r="AC405" s="516">
        <f t="shared" si="191"/>
        <v>10</v>
      </c>
      <c r="AD405" s="492" t="s">
        <v>2176</v>
      </c>
      <c r="AE405" s="491" t="s">
        <v>2246</v>
      </c>
      <c r="AF405" s="519" t="str">
        <f>$D$255</f>
        <v>bh</v>
      </c>
      <c r="AG405" s="518">
        <v>4</v>
      </c>
      <c r="AH405" s="517">
        <f>$F$255</f>
        <v>100000</v>
      </c>
      <c r="AI405" s="463">
        <f t="shared" si="188"/>
        <v>400000</v>
      </c>
      <c r="AJ405" s="516">
        <v>2.5</v>
      </c>
      <c r="AK405" s="516">
        <f t="shared" si="192"/>
        <v>10</v>
      </c>
    </row>
    <row r="406" spans="2:37" ht="15" customHeight="1">
      <c r="B406" s="492"/>
      <c r="C406" s="461"/>
      <c r="D406" s="519"/>
      <c r="E406" s="428"/>
      <c r="F406" s="416"/>
      <c r="G406" s="463">
        <f t="shared" si="185"/>
        <v>0</v>
      </c>
      <c r="I406" s="516">
        <f>SUM(I399:I404)</f>
        <v>250484.93771428571</v>
      </c>
      <c r="N406" s="492"/>
      <c r="O406" s="461"/>
      <c r="P406" s="519"/>
      <c r="Q406" s="428"/>
      <c r="R406" s="517"/>
      <c r="S406" s="463"/>
      <c r="U406" s="516">
        <f>SUM(U399:U404)</f>
        <v>250484.93771428571</v>
      </c>
      <c r="V406" s="492"/>
      <c r="W406" s="461"/>
      <c r="X406" s="519"/>
      <c r="Y406" s="428"/>
      <c r="Z406" s="517"/>
      <c r="AA406" s="463"/>
      <c r="AC406" s="516">
        <f>SUM(AC399:AC404)</f>
        <v>250484.93771428571</v>
      </c>
      <c r="AD406" s="492"/>
      <c r="AE406" s="461"/>
      <c r="AF406" s="519"/>
      <c r="AG406" s="428"/>
      <c r="AH406" s="517"/>
      <c r="AI406" s="463"/>
      <c r="AK406" s="516">
        <f>SUM(AK399:AK404)</f>
        <v>250484.93771428571</v>
      </c>
    </row>
    <row r="407" spans="2:37" ht="15" customHeight="1">
      <c r="B407" s="507">
        <v>3</v>
      </c>
      <c r="C407" s="460" t="s">
        <v>2086</v>
      </c>
      <c r="D407" s="519"/>
      <c r="E407" s="428"/>
      <c r="F407" s="416"/>
      <c r="G407" s="463">
        <f t="shared" si="185"/>
        <v>0</v>
      </c>
      <c r="N407" s="507">
        <v>3</v>
      </c>
      <c r="O407" s="460" t="s">
        <v>2086</v>
      </c>
      <c r="P407" s="519"/>
      <c r="Q407" s="428"/>
      <c r="R407" s="517"/>
      <c r="S407" s="463"/>
      <c r="V407" s="507">
        <v>3</v>
      </c>
      <c r="W407" s="460" t="s">
        <v>2086</v>
      </c>
      <c r="X407" s="519"/>
      <c r="Y407" s="428"/>
      <c r="Z407" s="517"/>
      <c r="AA407" s="463"/>
      <c r="AD407" s="507">
        <v>3</v>
      </c>
      <c r="AE407" s="460" t="s">
        <v>2086</v>
      </c>
      <c r="AF407" s="519"/>
      <c r="AG407" s="428"/>
      <c r="AH407" s="517"/>
      <c r="AI407" s="463"/>
    </row>
    <row r="408" spans="2:37" ht="15" customHeight="1">
      <c r="B408" s="492" t="s">
        <v>721</v>
      </c>
      <c r="C408" s="461" t="s">
        <v>2247</v>
      </c>
      <c r="D408" s="519" t="str">
        <f>$D$258</f>
        <v>bh</v>
      </c>
      <c r="E408" s="518">
        <v>4</v>
      </c>
      <c r="F408" s="416">
        <f>$F$258</f>
        <v>181849.04</v>
      </c>
      <c r="G408" s="463">
        <f t="shared" si="185"/>
        <v>727396.16</v>
      </c>
      <c r="N408" s="492" t="s">
        <v>721</v>
      </c>
      <c r="O408" s="461" t="s">
        <v>2247</v>
      </c>
      <c r="P408" s="519" t="str">
        <f>$D$258</f>
        <v>bh</v>
      </c>
      <c r="Q408" s="518">
        <v>4</v>
      </c>
      <c r="R408" s="517">
        <f>$F$258</f>
        <v>181849.04</v>
      </c>
      <c r="S408" s="463">
        <f t="shared" ref="S408:S413" si="193">Q408*R408</f>
        <v>727396.16</v>
      </c>
      <c r="V408" s="492" t="s">
        <v>721</v>
      </c>
      <c r="W408" s="461" t="s">
        <v>2247</v>
      </c>
      <c r="X408" s="519" t="str">
        <f>$D$258</f>
        <v>bh</v>
      </c>
      <c r="Y408" s="518">
        <v>4</v>
      </c>
      <c r="Z408" s="517">
        <f>$F$258</f>
        <v>181849.04</v>
      </c>
      <c r="AA408" s="463">
        <f t="shared" ref="AA408:AA413" si="194">Y408*Z408</f>
        <v>727396.16</v>
      </c>
      <c r="AD408" s="492" t="s">
        <v>721</v>
      </c>
      <c r="AE408" s="461" t="s">
        <v>2247</v>
      </c>
      <c r="AF408" s="519" t="str">
        <f>$D$258</f>
        <v>bh</v>
      </c>
      <c r="AG408" s="518">
        <v>4</v>
      </c>
      <c r="AH408" s="517">
        <f>$F$258</f>
        <v>181849.04</v>
      </c>
      <c r="AI408" s="463">
        <f t="shared" ref="AI408:AI413" si="195">AG408*AH408</f>
        <v>727396.16</v>
      </c>
    </row>
    <row r="409" spans="2:37" ht="15" customHeight="1">
      <c r="B409" s="492" t="s">
        <v>2166</v>
      </c>
      <c r="C409" s="461" t="s">
        <v>2085</v>
      </c>
      <c r="D409" s="519" t="str">
        <f>$D$259</f>
        <v>kg</v>
      </c>
      <c r="E409" s="518">
        <f>I406</f>
        <v>250484.93771428571</v>
      </c>
      <c r="F409" s="416">
        <f>$F$259</f>
        <v>462.7700000000001</v>
      </c>
      <c r="G409" s="463">
        <f t="shared" si="185"/>
        <v>115916914.62604003</v>
      </c>
      <c r="N409" s="492" t="s">
        <v>2166</v>
      </c>
      <c r="O409" s="461" t="s">
        <v>2085</v>
      </c>
      <c r="P409" s="519" t="str">
        <f>$D$259</f>
        <v>kg</v>
      </c>
      <c r="Q409" s="518">
        <f>U406</f>
        <v>250484.93771428571</v>
      </c>
      <c r="R409" s="517">
        <f>$F$259</f>
        <v>462.7700000000001</v>
      </c>
      <c r="S409" s="463">
        <f t="shared" si="193"/>
        <v>115916914.62604003</v>
      </c>
      <c r="V409" s="492" t="s">
        <v>2166</v>
      </c>
      <c r="W409" s="461" t="s">
        <v>2085</v>
      </c>
      <c r="X409" s="519" t="str">
        <f>$D$259</f>
        <v>kg</v>
      </c>
      <c r="Y409" s="518">
        <f>AC406</f>
        <v>250484.93771428571</v>
      </c>
      <c r="Z409" s="517">
        <f>$F$259</f>
        <v>462.7700000000001</v>
      </c>
      <c r="AA409" s="463">
        <f t="shared" si="194"/>
        <v>115916914.62604003</v>
      </c>
      <c r="AD409" s="492" t="s">
        <v>2166</v>
      </c>
      <c r="AE409" s="461" t="s">
        <v>2085</v>
      </c>
      <c r="AF409" s="519" t="str">
        <f>$D$259</f>
        <v>kg</v>
      </c>
      <c r="AG409" s="518">
        <f>AK406</f>
        <v>250484.93771428571</v>
      </c>
      <c r="AH409" s="517">
        <f>$F$259</f>
        <v>462.7700000000001</v>
      </c>
      <c r="AI409" s="463">
        <f t="shared" si="195"/>
        <v>115916914.62604003</v>
      </c>
    </row>
    <row r="410" spans="2:37" ht="15" customHeight="1">
      <c r="B410" s="492" t="s">
        <v>2168</v>
      </c>
      <c r="C410" s="461" t="s">
        <v>2249</v>
      </c>
      <c r="D410" s="519" t="str">
        <f>$D$260</f>
        <v>bh</v>
      </c>
      <c r="E410" s="518">
        <v>4</v>
      </c>
      <c r="F410" s="416">
        <f>$F$260</f>
        <v>387825</v>
      </c>
      <c r="G410" s="463">
        <f t="shared" si="185"/>
        <v>1551300</v>
      </c>
      <c r="N410" s="492" t="s">
        <v>2168</v>
      </c>
      <c r="O410" s="461" t="s">
        <v>2249</v>
      </c>
      <c r="P410" s="519" t="str">
        <f>$D$260</f>
        <v>bh</v>
      </c>
      <c r="Q410" s="518">
        <v>4</v>
      </c>
      <c r="R410" s="517">
        <f>$F$260</f>
        <v>387825</v>
      </c>
      <c r="S410" s="463">
        <f t="shared" si="193"/>
        <v>1551300</v>
      </c>
      <c r="V410" s="492" t="s">
        <v>2168</v>
      </c>
      <c r="W410" s="461" t="s">
        <v>2249</v>
      </c>
      <c r="X410" s="519" t="str">
        <f>$D$260</f>
        <v>bh</v>
      </c>
      <c r="Y410" s="518">
        <v>4</v>
      </c>
      <c r="Z410" s="517">
        <f>$F$260</f>
        <v>387825</v>
      </c>
      <c r="AA410" s="463">
        <f t="shared" si="194"/>
        <v>1551300</v>
      </c>
      <c r="AD410" s="492" t="s">
        <v>2168</v>
      </c>
      <c r="AE410" s="461" t="s">
        <v>2249</v>
      </c>
      <c r="AF410" s="519" t="str">
        <f>$D$260</f>
        <v>bh</v>
      </c>
      <c r="AG410" s="518">
        <v>4</v>
      </c>
      <c r="AH410" s="517">
        <f>$F$260</f>
        <v>387825</v>
      </c>
      <c r="AI410" s="463">
        <f t="shared" si="195"/>
        <v>1551300</v>
      </c>
    </row>
    <row r="411" spans="2:37" ht="15" customHeight="1">
      <c r="B411" s="492" t="s">
        <v>2170</v>
      </c>
      <c r="C411" s="461" t="s">
        <v>2250</v>
      </c>
      <c r="D411" s="519" t="str">
        <f>$D$261</f>
        <v>kg</v>
      </c>
      <c r="E411" s="518">
        <v>150.93599999999998</v>
      </c>
      <c r="F411" s="416">
        <f>$F$261</f>
        <v>3758.6984549742947</v>
      </c>
      <c r="G411" s="463">
        <f t="shared" si="185"/>
        <v>567322.91</v>
      </c>
      <c r="N411" s="492" t="s">
        <v>2170</v>
      </c>
      <c r="O411" s="461" t="s">
        <v>2250</v>
      </c>
      <c r="P411" s="519" t="str">
        <f>$D$261</f>
        <v>kg</v>
      </c>
      <c r="Q411" s="518">
        <v>239.61599999999999</v>
      </c>
      <c r="R411" s="517">
        <f>$F$261</f>
        <v>3758.6984549742947</v>
      </c>
      <c r="S411" s="463">
        <f t="shared" si="193"/>
        <v>900644.2889871205</v>
      </c>
      <c r="V411" s="492" t="s">
        <v>2170</v>
      </c>
      <c r="W411" s="461" t="s">
        <v>2269</v>
      </c>
      <c r="X411" s="519" t="str">
        <f>$D$261</f>
        <v>kg</v>
      </c>
      <c r="Y411" s="518">
        <v>311.47199999999998</v>
      </c>
      <c r="Z411" s="517">
        <f>$F$261</f>
        <v>3758.6984549742947</v>
      </c>
      <c r="AA411" s="463">
        <f t="shared" si="194"/>
        <v>1170729.3251677535</v>
      </c>
      <c r="AD411" s="492" t="s">
        <v>2170</v>
      </c>
      <c r="AE411" s="461" t="s">
        <v>2269</v>
      </c>
      <c r="AF411" s="519" t="str">
        <f>$D$261</f>
        <v>kg</v>
      </c>
      <c r="AG411" s="518">
        <v>403.17599999999999</v>
      </c>
      <c r="AH411" s="517">
        <f>$F$261</f>
        <v>3758.6984549742947</v>
      </c>
      <c r="AI411" s="463">
        <f t="shared" si="195"/>
        <v>1515417.0082827162</v>
      </c>
    </row>
    <row r="412" spans="2:37" ht="15" customHeight="1">
      <c r="B412" s="492" t="s">
        <v>2172</v>
      </c>
      <c r="C412" s="461" t="s">
        <v>2251</v>
      </c>
      <c r="D412" s="519" t="str">
        <f>$D$262</f>
        <v>set</v>
      </c>
      <c r="E412" s="518">
        <v>1</v>
      </c>
      <c r="F412" s="416">
        <f>$F$262</f>
        <v>855127</v>
      </c>
      <c r="G412" s="463">
        <f t="shared" si="185"/>
        <v>855127</v>
      </c>
      <c r="N412" s="492" t="s">
        <v>2172</v>
      </c>
      <c r="O412" s="461" t="s">
        <v>2251</v>
      </c>
      <c r="P412" s="519" t="str">
        <f>$D$262</f>
        <v>set</v>
      </c>
      <c r="Q412" s="518">
        <v>1</v>
      </c>
      <c r="R412" s="517">
        <f>$F$262</f>
        <v>855127</v>
      </c>
      <c r="S412" s="463">
        <f t="shared" si="193"/>
        <v>855127</v>
      </c>
      <c r="V412" s="492" t="s">
        <v>2172</v>
      </c>
      <c r="W412" s="461" t="s">
        <v>2251</v>
      </c>
      <c r="X412" s="519" t="str">
        <f>$D$262</f>
        <v>set</v>
      </c>
      <c r="Y412" s="518">
        <v>1</v>
      </c>
      <c r="Z412" s="517">
        <f>$F$262</f>
        <v>855127</v>
      </c>
      <c r="AA412" s="463">
        <f t="shared" si="194"/>
        <v>855127</v>
      </c>
      <c r="AD412" s="492" t="s">
        <v>2172</v>
      </c>
      <c r="AE412" s="461" t="s">
        <v>2251</v>
      </c>
      <c r="AF412" s="519" t="str">
        <f>$D$262</f>
        <v>set</v>
      </c>
      <c r="AG412" s="518">
        <v>1</v>
      </c>
      <c r="AH412" s="517">
        <f>$F$262</f>
        <v>855127</v>
      </c>
      <c r="AI412" s="463">
        <f t="shared" si="195"/>
        <v>855127</v>
      </c>
    </row>
    <row r="413" spans="2:37" ht="15" customHeight="1">
      <c r="B413" s="492" t="s">
        <v>2174</v>
      </c>
      <c r="C413" s="461" t="s">
        <v>2252</v>
      </c>
      <c r="D413" s="519" t="str">
        <f>$D$263</f>
        <v>set</v>
      </c>
      <c r="E413" s="518">
        <v>1</v>
      </c>
      <c r="F413" s="416">
        <f>$F$263</f>
        <v>674025</v>
      </c>
      <c r="G413" s="463">
        <f t="shared" si="185"/>
        <v>674025</v>
      </c>
      <c r="N413" s="492" t="s">
        <v>2174</v>
      </c>
      <c r="O413" s="461" t="s">
        <v>2252</v>
      </c>
      <c r="P413" s="519" t="str">
        <f>$D$263</f>
        <v>set</v>
      </c>
      <c r="Q413" s="518">
        <v>1</v>
      </c>
      <c r="R413" s="517">
        <f>$F$263</f>
        <v>674025</v>
      </c>
      <c r="S413" s="463">
        <f t="shared" si="193"/>
        <v>674025</v>
      </c>
      <c r="V413" s="492" t="s">
        <v>2174</v>
      </c>
      <c r="W413" s="461" t="s">
        <v>2252</v>
      </c>
      <c r="X413" s="519" t="str">
        <f>$D$263</f>
        <v>set</v>
      </c>
      <c r="Y413" s="518">
        <v>1</v>
      </c>
      <c r="Z413" s="517">
        <f>$F$263</f>
        <v>674025</v>
      </c>
      <c r="AA413" s="463">
        <f t="shared" si="194"/>
        <v>674025</v>
      </c>
      <c r="AD413" s="492" t="s">
        <v>2174</v>
      </c>
      <c r="AE413" s="461" t="s">
        <v>2252</v>
      </c>
      <c r="AF413" s="519" t="str">
        <f>$D$263</f>
        <v>set</v>
      </c>
      <c r="AG413" s="518">
        <v>1</v>
      </c>
      <c r="AH413" s="517">
        <f>$F$263</f>
        <v>674025</v>
      </c>
      <c r="AI413" s="463">
        <f t="shared" si="195"/>
        <v>674025</v>
      </c>
    </row>
    <row r="414" spans="2:37" ht="15" customHeight="1" thickBot="1">
      <c r="B414" s="459"/>
      <c r="C414" s="1194" t="s">
        <v>3257</v>
      </c>
      <c r="D414" s="1195"/>
      <c r="E414" s="1195"/>
      <c r="F414" s="1196"/>
      <c r="G414" s="458">
        <f>SUM(G393:G413)</f>
        <v>474365895.51107424</v>
      </c>
      <c r="N414" s="459"/>
      <c r="O414" s="1194" t="s">
        <v>3257</v>
      </c>
      <c r="P414" s="1195"/>
      <c r="Q414" s="1195"/>
      <c r="R414" s="1196"/>
      <c r="S414" s="458">
        <f>SUM(S393:S413)</f>
        <v>474699216.89006132</v>
      </c>
      <c r="V414" s="459"/>
      <c r="W414" s="1194" t="s">
        <v>3257</v>
      </c>
      <c r="X414" s="1195"/>
      <c r="Y414" s="1195"/>
      <c r="Z414" s="1196"/>
      <c r="AA414" s="458">
        <f>SUM(AA393:AA413)</f>
        <v>474969301.92624199</v>
      </c>
      <c r="AD414" s="459"/>
      <c r="AE414" s="1194" t="s">
        <v>3257</v>
      </c>
      <c r="AF414" s="1195"/>
      <c r="AG414" s="1195"/>
      <c r="AH414" s="1196"/>
      <c r="AI414" s="458">
        <f>SUM(AI393:AI413)</f>
        <v>475313989.60935694</v>
      </c>
    </row>
    <row r="415" spans="2:37" ht="15" customHeight="1" thickBot="1">
      <c r="B415" s="427"/>
      <c r="C415" s="427"/>
      <c r="D415" s="427"/>
      <c r="E415" s="427"/>
      <c r="F415" s="426"/>
      <c r="G415" s="426"/>
      <c r="N415" s="427"/>
      <c r="O415" s="427"/>
      <c r="P415" s="427"/>
      <c r="Q415" s="427"/>
      <c r="R415" s="427"/>
      <c r="S415" s="426"/>
      <c r="V415" s="427"/>
      <c r="W415" s="427"/>
      <c r="X415" s="427"/>
      <c r="Y415" s="427"/>
      <c r="Z415" s="427"/>
      <c r="AA415" s="426"/>
      <c r="AD415" s="427"/>
      <c r="AE415" s="427"/>
      <c r="AF415" s="427"/>
      <c r="AG415" s="427"/>
      <c r="AH415" s="427"/>
      <c r="AI415" s="426"/>
    </row>
    <row r="416" spans="2:37" ht="15" customHeight="1" thickBot="1">
      <c r="B416" s="452" t="s">
        <v>2229</v>
      </c>
      <c r="C416" s="435"/>
      <c r="D416" s="434">
        <v>6</v>
      </c>
      <c r="E416" s="433"/>
      <c r="F416" s="411"/>
      <c r="G416" s="431"/>
      <c r="N416" s="452" t="s">
        <v>2230</v>
      </c>
      <c r="O416" s="435"/>
      <c r="P416" s="434">
        <v>6</v>
      </c>
      <c r="Q416" s="433"/>
      <c r="R416" s="432"/>
      <c r="S416" s="431"/>
      <c r="V416" s="452" t="s">
        <v>2231</v>
      </c>
      <c r="W416" s="435"/>
      <c r="X416" s="434"/>
      <c r="Y416" s="433"/>
      <c r="Z416" s="432"/>
      <c r="AA416" s="431"/>
      <c r="AD416" s="452" t="s">
        <v>2254</v>
      </c>
      <c r="AE416" s="435"/>
      <c r="AF416" s="434"/>
      <c r="AG416" s="433"/>
      <c r="AH416" s="432"/>
      <c r="AI416" s="431"/>
    </row>
    <row r="417" spans="2:37" ht="15" customHeight="1">
      <c r="B417" s="446"/>
      <c r="C417" s="445" t="s">
        <v>3258</v>
      </c>
      <c r="D417" s="444"/>
      <c r="E417" s="443"/>
      <c r="F417" s="413"/>
      <c r="G417" s="441"/>
      <c r="N417" s="446"/>
      <c r="O417" s="445" t="s">
        <v>3258</v>
      </c>
      <c r="P417" s="444"/>
      <c r="Q417" s="443"/>
      <c r="R417" s="442"/>
      <c r="S417" s="441"/>
      <c r="V417" s="446"/>
      <c r="W417" s="445" t="s">
        <v>3259</v>
      </c>
      <c r="X417" s="444"/>
      <c r="Y417" s="443"/>
      <c r="Z417" s="442"/>
      <c r="AA417" s="441"/>
      <c r="AD417" s="446"/>
      <c r="AE417" s="445" t="s">
        <v>3259</v>
      </c>
      <c r="AF417" s="444"/>
      <c r="AG417" s="443"/>
      <c r="AH417" s="442"/>
      <c r="AI417" s="441"/>
    </row>
    <row r="418" spans="2:37" ht="15" customHeight="1">
      <c r="B418" s="468">
        <v>1</v>
      </c>
      <c r="C418" s="467" t="s">
        <v>2234</v>
      </c>
      <c r="D418" s="519"/>
      <c r="E418" s="430"/>
      <c r="F418" s="417"/>
      <c r="G418" s="486"/>
      <c r="N418" s="468">
        <v>1</v>
      </c>
      <c r="O418" s="467" t="s">
        <v>2234</v>
      </c>
      <c r="P418" s="519"/>
      <c r="Q418" s="430"/>
      <c r="R418" s="429"/>
      <c r="S418" s="486"/>
      <c r="V418" s="468">
        <v>1</v>
      </c>
      <c r="W418" s="467" t="s">
        <v>2234</v>
      </c>
      <c r="X418" s="519"/>
      <c r="Y418" s="430"/>
      <c r="Z418" s="429"/>
      <c r="AA418" s="486"/>
      <c r="AD418" s="468">
        <v>1</v>
      </c>
      <c r="AE418" s="467" t="s">
        <v>2234</v>
      </c>
      <c r="AF418" s="519"/>
      <c r="AG418" s="430"/>
      <c r="AH418" s="429"/>
      <c r="AI418" s="486"/>
    </row>
    <row r="419" spans="2:37" ht="15" customHeight="1">
      <c r="B419" s="492" t="s">
        <v>721</v>
      </c>
      <c r="C419" s="464" t="s">
        <v>2235</v>
      </c>
      <c r="D419" s="519" t="str">
        <f>$D$244</f>
        <v>m³</v>
      </c>
      <c r="E419" s="518">
        <v>50.35</v>
      </c>
      <c r="F419" s="416">
        <f>$F$244</f>
        <v>102390.75000000001</v>
      </c>
      <c r="G419" s="463">
        <f>E419*F419</f>
        <v>5155374.2625000011</v>
      </c>
      <c r="N419" s="492" t="s">
        <v>721</v>
      </c>
      <c r="O419" s="464" t="s">
        <v>2235</v>
      </c>
      <c r="P419" s="519" t="str">
        <f>$D$244</f>
        <v>m³</v>
      </c>
      <c r="Q419" s="518">
        <v>50.35</v>
      </c>
      <c r="R419" s="517">
        <f>$F$244</f>
        <v>102390.75000000001</v>
      </c>
      <c r="S419" s="463">
        <f>Q419*R419</f>
        <v>5155374.2625000011</v>
      </c>
      <c r="V419" s="492" t="s">
        <v>721</v>
      </c>
      <c r="W419" s="464" t="s">
        <v>2235</v>
      </c>
      <c r="X419" s="519" t="str">
        <f>$D$244</f>
        <v>m³</v>
      </c>
      <c r="Y419" s="518">
        <v>50.35</v>
      </c>
      <c r="Z419" s="517">
        <f>$F$244</f>
        <v>102390.75000000001</v>
      </c>
      <c r="AA419" s="463">
        <f>Y419*Z419</f>
        <v>5155374.2625000011</v>
      </c>
      <c r="AD419" s="492" t="s">
        <v>721</v>
      </c>
      <c r="AE419" s="464" t="s">
        <v>2235</v>
      </c>
      <c r="AF419" s="519" t="str">
        <f>$D$244</f>
        <v>m³</v>
      </c>
      <c r="AG419" s="518">
        <v>50.35</v>
      </c>
      <c r="AH419" s="517">
        <f>$F$244</f>
        <v>102390.75000000001</v>
      </c>
      <c r="AI419" s="463">
        <f>AG419*AH419</f>
        <v>5155374.2625000011</v>
      </c>
    </row>
    <row r="420" spans="2:37" ht="15" customHeight="1">
      <c r="B420" s="492" t="s">
        <v>2166</v>
      </c>
      <c r="C420" s="464" t="s">
        <v>2237</v>
      </c>
      <c r="D420" s="519" t="str">
        <f>$D$245</f>
        <v>m³</v>
      </c>
      <c r="E420" s="518">
        <v>12.160000000000002</v>
      </c>
      <c r="F420" s="416">
        <f>$F$245</f>
        <v>62462.950000000012</v>
      </c>
      <c r="G420" s="463">
        <f t="shared" ref="G420:G438" si="196">E420*F420</f>
        <v>759549.4720000003</v>
      </c>
      <c r="N420" s="492" t="s">
        <v>2166</v>
      </c>
      <c r="O420" s="464" t="s">
        <v>2237</v>
      </c>
      <c r="P420" s="519" t="str">
        <f>$D$245</f>
        <v>m³</v>
      </c>
      <c r="Q420" s="518">
        <v>12.160000000000002</v>
      </c>
      <c r="R420" s="517">
        <f>$F$245</f>
        <v>62462.950000000012</v>
      </c>
      <c r="S420" s="463">
        <f>Q420*R420</f>
        <v>759549.4720000003</v>
      </c>
      <c r="V420" s="492" t="s">
        <v>2166</v>
      </c>
      <c r="W420" s="464" t="s">
        <v>2237</v>
      </c>
      <c r="X420" s="519" t="str">
        <f>$D$245</f>
        <v>m³</v>
      </c>
      <c r="Y420" s="518">
        <v>12.160000000000002</v>
      </c>
      <c r="Z420" s="517">
        <f>$F$245</f>
        <v>62462.950000000012</v>
      </c>
      <c r="AA420" s="463">
        <f>Y420*Z420</f>
        <v>759549.4720000003</v>
      </c>
      <c r="AD420" s="492" t="s">
        <v>2166</v>
      </c>
      <c r="AE420" s="464" t="s">
        <v>2237</v>
      </c>
      <c r="AF420" s="519" t="str">
        <f>$D$245</f>
        <v>m³</v>
      </c>
      <c r="AG420" s="518">
        <v>12.160000000000002</v>
      </c>
      <c r="AH420" s="517">
        <f>$F$245</f>
        <v>62462.950000000012</v>
      </c>
      <c r="AI420" s="463">
        <f>AG420*AH420</f>
        <v>759549.4720000003</v>
      </c>
    </row>
    <row r="421" spans="2:37" ht="15" customHeight="1">
      <c r="B421" s="492" t="s">
        <v>2168</v>
      </c>
      <c r="C421" s="464" t="s">
        <v>2265</v>
      </c>
      <c r="D421" s="519" t="str">
        <f>$D$246</f>
        <v>m'</v>
      </c>
      <c r="E421" s="518">
        <v>272</v>
      </c>
      <c r="F421" s="416">
        <f>$F$246</f>
        <v>52230.612500000003</v>
      </c>
      <c r="G421" s="463">
        <f t="shared" si="196"/>
        <v>14206726.600000001</v>
      </c>
      <c r="N421" s="492" t="s">
        <v>2168</v>
      </c>
      <c r="O421" s="464" t="s">
        <v>2265</v>
      </c>
      <c r="P421" s="519" t="str">
        <f>$D$246</f>
        <v>m'</v>
      </c>
      <c r="Q421" s="518">
        <v>272</v>
      </c>
      <c r="R421" s="517">
        <f>$F$246</f>
        <v>52230.612500000003</v>
      </c>
      <c r="S421" s="463">
        <f>Q421*R421</f>
        <v>14206726.600000001</v>
      </c>
      <c r="V421" s="492" t="s">
        <v>2168</v>
      </c>
      <c r="W421" s="464" t="s">
        <v>2265</v>
      </c>
      <c r="X421" s="519" t="str">
        <f>$D$246</f>
        <v>m'</v>
      </c>
      <c r="Y421" s="518">
        <v>272</v>
      </c>
      <c r="Z421" s="517">
        <f>$F$246</f>
        <v>52230.612500000003</v>
      </c>
      <c r="AA421" s="463">
        <f>Y421*Z421</f>
        <v>14206726.600000001</v>
      </c>
      <c r="AD421" s="492" t="s">
        <v>2168</v>
      </c>
      <c r="AE421" s="464" t="s">
        <v>2265</v>
      </c>
      <c r="AF421" s="519" t="str">
        <f>$D$246</f>
        <v>m'</v>
      </c>
      <c r="AG421" s="518">
        <v>272</v>
      </c>
      <c r="AH421" s="517">
        <f>$F$246</f>
        <v>52230.612500000003</v>
      </c>
      <c r="AI421" s="463">
        <f>AG421*AH421</f>
        <v>14206726.600000001</v>
      </c>
    </row>
    <row r="422" spans="2:37" ht="15" customHeight="1">
      <c r="B422" s="462"/>
      <c r="C422" s="464"/>
      <c r="D422" s="519"/>
      <c r="E422" s="428"/>
      <c r="F422" s="416"/>
      <c r="G422" s="463">
        <f t="shared" si="196"/>
        <v>0</v>
      </c>
      <c r="N422" s="462"/>
      <c r="O422" s="464"/>
      <c r="P422" s="519"/>
      <c r="Q422" s="428"/>
      <c r="R422" s="517"/>
      <c r="S422" s="463"/>
      <c r="V422" s="462"/>
      <c r="W422" s="464"/>
      <c r="X422" s="519"/>
      <c r="Y422" s="428"/>
      <c r="Z422" s="517"/>
      <c r="AA422" s="463"/>
      <c r="AD422" s="462"/>
      <c r="AE422" s="464"/>
      <c r="AF422" s="519"/>
      <c r="AG422" s="428"/>
      <c r="AH422" s="517"/>
      <c r="AI422" s="463"/>
    </row>
    <row r="423" spans="2:37" ht="15" customHeight="1">
      <c r="B423" s="507">
        <v>2</v>
      </c>
      <c r="C423" s="467" t="s">
        <v>2238</v>
      </c>
      <c r="D423" s="519"/>
      <c r="E423" s="428"/>
      <c r="F423" s="416"/>
      <c r="G423" s="463">
        <f t="shared" si="196"/>
        <v>0</v>
      </c>
      <c r="H423" s="516" t="s">
        <v>2239</v>
      </c>
      <c r="N423" s="507">
        <v>2</v>
      </c>
      <c r="O423" s="467" t="s">
        <v>2238</v>
      </c>
      <c r="P423" s="519"/>
      <c r="Q423" s="428"/>
      <c r="R423" s="517"/>
      <c r="S423" s="463"/>
      <c r="T423" s="516" t="s">
        <v>2239</v>
      </c>
      <c r="V423" s="507">
        <v>2</v>
      </c>
      <c r="W423" s="467" t="s">
        <v>2238</v>
      </c>
      <c r="X423" s="519"/>
      <c r="Y423" s="428"/>
      <c r="Z423" s="517"/>
      <c r="AA423" s="463"/>
      <c r="AB423" s="516" t="s">
        <v>2239</v>
      </c>
      <c r="AD423" s="507">
        <v>2</v>
      </c>
      <c r="AE423" s="467" t="s">
        <v>2238</v>
      </c>
      <c r="AF423" s="519"/>
      <c r="AG423" s="428"/>
      <c r="AH423" s="517"/>
      <c r="AI423" s="463"/>
      <c r="AJ423" s="516" t="s">
        <v>2239</v>
      </c>
    </row>
    <row r="424" spans="2:37" ht="15" customHeight="1">
      <c r="B424" s="492" t="s">
        <v>721</v>
      </c>
      <c r="C424" s="464" t="s">
        <v>2240</v>
      </c>
      <c r="D424" s="519" t="str">
        <f>$D$249</f>
        <v>m³</v>
      </c>
      <c r="E424" s="518">
        <v>4.9000000000000004</v>
      </c>
      <c r="F424" s="416">
        <f>$F$249</f>
        <v>404738.95</v>
      </c>
      <c r="G424" s="463">
        <f t="shared" si="196"/>
        <v>1983220.8550000002</v>
      </c>
      <c r="H424" s="516">
        <v>1400</v>
      </c>
      <c r="I424" s="516">
        <f>E424*H424</f>
        <v>6860.0000000000009</v>
      </c>
      <c r="N424" s="492" t="s">
        <v>721</v>
      </c>
      <c r="O424" s="464" t="s">
        <v>2240</v>
      </c>
      <c r="P424" s="519" t="str">
        <f>$D$249</f>
        <v>m³</v>
      </c>
      <c r="Q424" s="518">
        <v>4.9000000000000004</v>
      </c>
      <c r="R424" s="517">
        <f>$F$249</f>
        <v>404738.95</v>
      </c>
      <c r="S424" s="463">
        <f t="shared" ref="S424:S430" si="197">Q424*R424</f>
        <v>1983220.8550000002</v>
      </c>
      <c r="T424" s="516">
        <v>1400</v>
      </c>
      <c r="U424" s="516">
        <f>Q424*T424</f>
        <v>6860.0000000000009</v>
      </c>
      <c r="V424" s="492" t="s">
        <v>721</v>
      </c>
      <c r="W424" s="464" t="s">
        <v>2240</v>
      </c>
      <c r="X424" s="519" t="str">
        <f>$D$249</f>
        <v>m³</v>
      </c>
      <c r="Y424" s="518">
        <v>4.9000000000000004</v>
      </c>
      <c r="Z424" s="517">
        <f>$F$249</f>
        <v>404738.95</v>
      </c>
      <c r="AA424" s="463">
        <f t="shared" ref="AA424:AA430" si="198">Y424*Z424</f>
        <v>1983220.8550000002</v>
      </c>
      <c r="AB424" s="516">
        <v>1400</v>
      </c>
      <c r="AC424" s="516">
        <f>Y424*AB424</f>
        <v>6860.0000000000009</v>
      </c>
      <c r="AD424" s="492" t="s">
        <v>721</v>
      </c>
      <c r="AE424" s="464" t="s">
        <v>2240</v>
      </c>
      <c r="AF424" s="519" t="str">
        <f>$D$249</f>
        <v>m³</v>
      </c>
      <c r="AG424" s="518">
        <v>4.9000000000000004</v>
      </c>
      <c r="AH424" s="517">
        <f>$F$249</f>
        <v>404738.95</v>
      </c>
      <c r="AI424" s="463">
        <f t="shared" ref="AI424:AI430" si="199">AG424*AH424</f>
        <v>1983220.8550000002</v>
      </c>
      <c r="AJ424" s="516">
        <v>1400</v>
      </c>
      <c r="AK424" s="516">
        <f>AG424*AJ424</f>
        <v>6860.0000000000009</v>
      </c>
    </row>
    <row r="425" spans="2:37" ht="15" customHeight="1">
      <c r="B425" s="492" t="s">
        <v>2166</v>
      </c>
      <c r="C425" s="461" t="s">
        <v>2241</v>
      </c>
      <c r="D425" s="519" t="str">
        <f>$D$250</f>
        <v>m³</v>
      </c>
      <c r="E425" s="518">
        <v>2.4500000000000002</v>
      </c>
      <c r="F425" s="416">
        <f>$F$250</f>
        <v>710224.707936508</v>
      </c>
      <c r="G425" s="463">
        <f t="shared" si="196"/>
        <v>1740050.5344444448</v>
      </c>
      <c r="H425" s="516">
        <v>2200</v>
      </c>
      <c r="I425" s="516">
        <f t="shared" ref="I425:I430" si="200">E425*H425</f>
        <v>5390</v>
      </c>
      <c r="N425" s="492" t="s">
        <v>2166</v>
      </c>
      <c r="O425" s="461" t="s">
        <v>2241</v>
      </c>
      <c r="P425" s="519" t="str">
        <f>$D$250</f>
        <v>m³</v>
      </c>
      <c r="Q425" s="518">
        <v>2.4500000000000002</v>
      </c>
      <c r="R425" s="517">
        <f>$F$250</f>
        <v>710224.707936508</v>
      </c>
      <c r="S425" s="463">
        <f t="shared" si="197"/>
        <v>1740050.5344444448</v>
      </c>
      <c r="T425" s="516">
        <v>2200</v>
      </c>
      <c r="U425" s="516">
        <f t="shared" ref="U425:U430" si="201">Q425*T425</f>
        <v>5390</v>
      </c>
      <c r="V425" s="492" t="s">
        <v>2166</v>
      </c>
      <c r="W425" s="461" t="s">
        <v>2241</v>
      </c>
      <c r="X425" s="519" t="str">
        <f>$D$250</f>
        <v>m³</v>
      </c>
      <c r="Y425" s="518">
        <v>2.4500000000000002</v>
      </c>
      <c r="Z425" s="517">
        <f>$F$250</f>
        <v>710224.707936508</v>
      </c>
      <c r="AA425" s="463">
        <f t="shared" si="198"/>
        <v>1740050.5344444448</v>
      </c>
      <c r="AB425" s="516">
        <v>2200</v>
      </c>
      <c r="AC425" s="516">
        <f t="shared" ref="AC425:AC430" si="202">Y425*AB425</f>
        <v>5390</v>
      </c>
      <c r="AD425" s="492" t="s">
        <v>2166</v>
      </c>
      <c r="AE425" s="461" t="s">
        <v>2241</v>
      </c>
      <c r="AF425" s="519" t="str">
        <f>$D$250</f>
        <v>m³</v>
      </c>
      <c r="AG425" s="518">
        <v>2.4500000000000002</v>
      </c>
      <c r="AH425" s="517">
        <f>$F$250</f>
        <v>710224.707936508</v>
      </c>
      <c r="AI425" s="463">
        <f t="shared" si="199"/>
        <v>1740050.5344444448</v>
      </c>
      <c r="AJ425" s="516">
        <v>2200</v>
      </c>
      <c r="AK425" s="516">
        <f t="shared" ref="AK425:AK430" si="203">AG425*AJ425</f>
        <v>5390</v>
      </c>
    </row>
    <row r="426" spans="2:37" ht="15" customHeight="1">
      <c r="B426" s="492" t="s">
        <v>2168</v>
      </c>
      <c r="C426" s="461" t="s">
        <v>2266</v>
      </c>
      <c r="D426" s="519" t="str">
        <f>$D$251</f>
        <v>m³</v>
      </c>
      <c r="E426" s="518">
        <v>30.84</v>
      </c>
      <c r="F426" s="416">
        <f>$F$251</f>
        <v>1115864.6138095236</v>
      </c>
      <c r="G426" s="463">
        <f t="shared" si="196"/>
        <v>34413264.689885706</v>
      </c>
      <c r="H426" s="516">
        <v>2400</v>
      </c>
      <c r="I426" s="516">
        <f t="shared" si="200"/>
        <v>74016</v>
      </c>
      <c r="N426" s="492" t="s">
        <v>2168</v>
      </c>
      <c r="O426" s="461" t="s">
        <v>2266</v>
      </c>
      <c r="P426" s="519" t="str">
        <f>$D$251</f>
        <v>m³</v>
      </c>
      <c r="Q426" s="518">
        <v>30.84</v>
      </c>
      <c r="R426" s="517">
        <f>$F$251</f>
        <v>1115864.6138095236</v>
      </c>
      <c r="S426" s="463">
        <f t="shared" si="197"/>
        <v>34413264.689885706</v>
      </c>
      <c r="T426" s="516">
        <v>2400</v>
      </c>
      <c r="U426" s="516">
        <f t="shared" si="201"/>
        <v>74016</v>
      </c>
      <c r="V426" s="492" t="s">
        <v>2168</v>
      </c>
      <c r="W426" s="461" t="str">
        <f>O426</f>
        <v>Beton K 225 (Pad &amp; Chimney)</v>
      </c>
      <c r="X426" s="519" t="str">
        <f>$D$251</f>
        <v>m³</v>
      </c>
      <c r="Y426" s="518">
        <v>30.84</v>
      </c>
      <c r="Z426" s="517">
        <f>$F$251</f>
        <v>1115864.6138095236</v>
      </c>
      <c r="AA426" s="463">
        <f t="shared" si="198"/>
        <v>34413264.689885706</v>
      </c>
      <c r="AB426" s="516">
        <v>2400</v>
      </c>
      <c r="AC426" s="516">
        <f t="shared" si="202"/>
        <v>74016</v>
      </c>
      <c r="AD426" s="492" t="s">
        <v>2168</v>
      </c>
      <c r="AE426" s="461" t="str">
        <f>W426</f>
        <v>Beton K 225 (Pad &amp; Chimney)</v>
      </c>
      <c r="AF426" s="519" t="str">
        <f>$D$251</f>
        <v>m³</v>
      </c>
      <c r="AG426" s="518">
        <v>30.84</v>
      </c>
      <c r="AH426" s="517">
        <f>$F$251</f>
        <v>1115864.6138095236</v>
      </c>
      <c r="AI426" s="463">
        <f t="shared" si="199"/>
        <v>34413264.689885706</v>
      </c>
      <c r="AJ426" s="516">
        <v>2400</v>
      </c>
      <c r="AK426" s="516">
        <f t="shared" si="203"/>
        <v>74016</v>
      </c>
    </row>
    <row r="427" spans="2:37" ht="15" customHeight="1">
      <c r="B427" s="492" t="s">
        <v>2170</v>
      </c>
      <c r="C427" s="461" t="s">
        <v>2267</v>
      </c>
      <c r="D427" s="519" t="str">
        <f>$D$252</f>
        <v>m³</v>
      </c>
      <c r="E427" s="518">
        <v>73.316571428571422</v>
      </c>
      <c r="F427" s="416">
        <f>$F$252</f>
        <v>1057576.2423809525</v>
      </c>
      <c r="G427" s="463">
        <f t="shared" si="196"/>
        <v>77537864.115683258</v>
      </c>
      <c r="H427" s="516">
        <v>2200</v>
      </c>
      <c r="I427" s="516">
        <f t="shared" si="200"/>
        <v>161296.45714285714</v>
      </c>
      <c r="N427" s="492" t="s">
        <v>2170</v>
      </c>
      <c r="O427" s="461" t="s">
        <v>2267</v>
      </c>
      <c r="P427" s="519" t="str">
        <f>$D$252</f>
        <v>m³</v>
      </c>
      <c r="Q427" s="518">
        <v>73.316571428571422</v>
      </c>
      <c r="R427" s="517">
        <f>$F$252</f>
        <v>1057576.2423809525</v>
      </c>
      <c r="S427" s="463">
        <f t="shared" si="197"/>
        <v>77537864.115683258</v>
      </c>
      <c r="T427" s="516">
        <v>2200</v>
      </c>
      <c r="U427" s="516">
        <f t="shared" si="201"/>
        <v>161296.45714285714</v>
      </c>
      <c r="V427" s="492" t="s">
        <v>2170</v>
      </c>
      <c r="W427" s="461" t="s">
        <v>2267</v>
      </c>
      <c r="X427" s="519" t="str">
        <f>$D$252</f>
        <v>m³</v>
      </c>
      <c r="Y427" s="518">
        <v>73.316571428571422</v>
      </c>
      <c r="Z427" s="517">
        <f>$F$252</f>
        <v>1057576.2423809525</v>
      </c>
      <c r="AA427" s="463">
        <f t="shared" si="198"/>
        <v>77537864.115683258</v>
      </c>
      <c r="AB427" s="516">
        <v>2200</v>
      </c>
      <c r="AC427" s="516">
        <f t="shared" si="202"/>
        <v>161296.45714285714</v>
      </c>
      <c r="AD427" s="492" t="s">
        <v>2170</v>
      </c>
      <c r="AE427" s="461" t="s">
        <v>2267</v>
      </c>
      <c r="AF427" s="519" t="str">
        <f>$D$252</f>
        <v>m³</v>
      </c>
      <c r="AG427" s="518">
        <v>73.316571428571422</v>
      </c>
      <c r="AH427" s="517">
        <f>$F$252</f>
        <v>1057576.2423809525</v>
      </c>
      <c r="AI427" s="463">
        <f t="shared" si="199"/>
        <v>77537864.115683258</v>
      </c>
      <c r="AJ427" s="516">
        <v>2200</v>
      </c>
      <c r="AK427" s="516">
        <f t="shared" si="203"/>
        <v>161296.45714285714</v>
      </c>
    </row>
    <row r="428" spans="2:37" ht="15" customHeight="1">
      <c r="B428" s="492" t="s">
        <v>2172</v>
      </c>
      <c r="C428" s="461" t="s">
        <v>2243</v>
      </c>
      <c r="D428" s="519" t="str">
        <f>$D$253</f>
        <v>kg</v>
      </c>
      <c r="E428" s="518">
        <v>11697.484000000002</v>
      </c>
      <c r="F428" s="416">
        <f>$F$253</f>
        <v>19478.039350000003</v>
      </c>
      <c r="G428" s="463">
        <f t="shared" si="196"/>
        <v>227844053.64799547</v>
      </c>
      <c r="H428" s="516">
        <v>1</v>
      </c>
      <c r="I428" s="516">
        <f t="shared" si="200"/>
        <v>11697.484000000002</v>
      </c>
      <c r="N428" s="492" t="s">
        <v>2172</v>
      </c>
      <c r="O428" s="461" t="s">
        <v>2243</v>
      </c>
      <c r="P428" s="519" t="str">
        <f>$D$253</f>
        <v>kg</v>
      </c>
      <c r="Q428" s="518">
        <v>11697.484000000002</v>
      </c>
      <c r="R428" s="517">
        <f>$F$253</f>
        <v>19478.039350000003</v>
      </c>
      <c r="S428" s="463">
        <f t="shared" si="197"/>
        <v>227844053.64799547</v>
      </c>
      <c r="T428" s="516">
        <v>1</v>
      </c>
      <c r="U428" s="516">
        <f t="shared" si="201"/>
        <v>11697.484000000002</v>
      </c>
      <c r="V428" s="492" t="s">
        <v>2172</v>
      </c>
      <c r="W428" s="461" t="s">
        <v>2243</v>
      </c>
      <c r="X428" s="519" t="str">
        <f>$D$253</f>
        <v>kg</v>
      </c>
      <c r="Y428" s="518">
        <v>11697.484000000002</v>
      </c>
      <c r="Z428" s="517">
        <f>$F$253</f>
        <v>19478.039350000003</v>
      </c>
      <c r="AA428" s="463">
        <f t="shared" si="198"/>
        <v>227844053.64799547</v>
      </c>
      <c r="AB428" s="516">
        <v>1</v>
      </c>
      <c r="AC428" s="516">
        <f t="shared" si="202"/>
        <v>11697.484000000002</v>
      </c>
      <c r="AD428" s="492" t="s">
        <v>2172</v>
      </c>
      <c r="AE428" s="461" t="s">
        <v>2243</v>
      </c>
      <c r="AF428" s="519" t="str">
        <f>$D$253</f>
        <v>kg</v>
      </c>
      <c r="AG428" s="518">
        <v>11697.484000000002</v>
      </c>
      <c r="AH428" s="517">
        <f>$F$253</f>
        <v>19478.039350000003</v>
      </c>
      <c r="AI428" s="463">
        <f t="shared" si="199"/>
        <v>227844053.64799547</v>
      </c>
      <c r="AJ428" s="516">
        <v>1</v>
      </c>
      <c r="AK428" s="516">
        <f t="shared" si="203"/>
        <v>11697.484000000002</v>
      </c>
    </row>
    <row r="429" spans="2:37" ht="15" customHeight="1">
      <c r="B429" s="492" t="s">
        <v>2268</v>
      </c>
      <c r="C429" s="461" t="s">
        <v>2244</v>
      </c>
      <c r="D429" s="519" t="str">
        <f>$D$254</f>
        <v>m²</v>
      </c>
      <c r="E429" s="518">
        <v>43.2</v>
      </c>
      <c r="F429" s="416">
        <f>$F$254</f>
        <v>145812.67000000001</v>
      </c>
      <c r="G429" s="463">
        <f t="shared" si="196"/>
        <v>6299107.3440000005</v>
      </c>
      <c r="H429" s="516">
        <v>40</v>
      </c>
      <c r="I429" s="516">
        <f t="shared" si="200"/>
        <v>1728</v>
      </c>
      <c r="N429" s="492" t="s">
        <v>2268</v>
      </c>
      <c r="O429" s="461" t="s">
        <v>2244</v>
      </c>
      <c r="P429" s="519" t="str">
        <f>$D$254</f>
        <v>m²</v>
      </c>
      <c r="Q429" s="518">
        <v>43.2</v>
      </c>
      <c r="R429" s="517">
        <f>$F$254</f>
        <v>145812.67000000001</v>
      </c>
      <c r="S429" s="463">
        <f t="shared" si="197"/>
        <v>6299107.3440000005</v>
      </c>
      <c r="T429" s="516">
        <v>40</v>
      </c>
      <c r="U429" s="516">
        <f t="shared" si="201"/>
        <v>1728</v>
      </c>
      <c r="V429" s="492" t="s">
        <v>2268</v>
      </c>
      <c r="W429" s="461" t="s">
        <v>2244</v>
      </c>
      <c r="X429" s="519" t="str">
        <f>$D$254</f>
        <v>m²</v>
      </c>
      <c r="Y429" s="518">
        <v>43.2</v>
      </c>
      <c r="Z429" s="517">
        <f>$F$254</f>
        <v>145812.67000000001</v>
      </c>
      <c r="AA429" s="463">
        <f t="shared" si="198"/>
        <v>6299107.3440000005</v>
      </c>
      <c r="AB429" s="516">
        <v>40</v>
      </c>
      <c r="AC429" s="516">
        <f t="shared" si="202"/>
        <v>1728</v>
      </c>
      <c r="AD429" s="492" t="s">
        <v>2268</v>
      </c>
      <c r="AE429" s="461" t="s">
        <v>2244</v>
      </c>
      <c r="AF429" s="519" t="str">
        <f>$D$254</f>
        <v>m²</v>
      </c>
      <c r="AG429" s="518">
        <v>43.2</v>
      </c>
      <c r="AH429" s="517">
        <f>$F$254</f>
        <v>145812.67000000001</v>
      </c>
      <c r="AI429" s="463">
        <f t="shared" si="199"/>
        <v>6299107.3440000005</v>
      </c>
      <c r="AJ429" s="516">
        <v>40</v>
      </c>
      <c r="AK429" s="516">
        <f t="shared" si="203"/>
        <v>1728</v>
      </c>
    </row>
    <row r="430" spans="2:37" ht="15" customHeight="1">
      <c r="B430" s="492" t="s">
        <v>2176</v>
      </c>
      <c r="C430" s="491" t="s">
        <v>2246</v>
      </c>
      <c r="D430" s="519" t="str">
        <f>$D$255</f>
        <v>bh</v>
      </c>
      <c r="E430" s="518">
        <v>4</v>
      </c>
      <c r="F430" s="416">
        <f>$F$255</f>
        <v>100000</v>
      </c>
      <c r="G430" s="463">
        <f t="shared" si="196"/>
        <v>400000</v>
      </c>
      <c r="H430" s="516">
        <v>2.5</v>
      </c>
      <c r="I430" s="516">
        <f t="shared" si="200"/>
        <v>10</v>
      </c>
      <c r="N430" s="492" t="s">
        <v>2176</v>
      </c>
      <c r="O430" s="491" t="s">
        <v>2246</v>
      </c>
      <c r="P430" s="519" t="str">
        <f>$D$255</f>
        <v>bh</v>
      </c>
      <c r="Q430" s="518">
        <v>4</v>
      </c>
      <c r="R430" s="517">
        <f>$F$255</f>
        <v>100000</v>
      </c>
      <c r="S430" s="463">
        <f t="shared" si="197"/>
        <v>400000</v>
      </c>
      <c r="T430" s="516">
        <v>2.5</v>
      </c>
      <c r="U430" s="516">
        <f t="shared" si="201"/>
        <v>10</v>
      </c>
      <c r="V430" s="492" t="s">
        <v>2176</v>
      </c>
      <c r="W430" s="491" t="s">
        <v>2246</v>
      </c>
      <c r="X430" s="519" t="str">
        <f>$D$255</f>
        <v>bh</v>
      </c>
      <c r="Y430" s="518">
        <v>4</v>
      </c>
      <c r="Z430" s="517">
        <f>$F$255</f>
        <v>100000</v>
      </c>
      <c r="AA430" s="463">
        <f t="shared" si="198"/>
        <v>400000</v>
      </c>
      <c r="AB430" s="516">
        <v>2.5</v>
      </c>
      <c r="AC430" s="516">
        <f t="shared" si="202"/>
        <v>10</v>
      </c>
      <c r="AD430" s="492" t="s">
        <v>2176</v>
      </c>
      <c r="AE430" s="491" t="s">
        <v>2246</v>
      </c>
      <c r="AF430" s="519" t="str">
        <f>$D$255</f>
        <v>bh</v>
      </c>
      <c r="AG430" s="518">
        <v>4</v>
      </c>
      <c r="AH430" s="517">
        <f>$F$255</f>
        <v>100000</v>
      </c>
      <c r="AI430" s="463">
        <f t="shared" si="199"/>
        <v>400000</v>
      </c>
      <c r="AJ430" s="516">
        <v>2.5</v>
      </c>
      <c r="AK430" s="516">
        <f t="shared" si="203"/>
        <v>10</v>
      </c>
    </row>
    <row r="431" spans="2:37" ht="15" customHeight="1">
      <c r="B431" s="492"/>
      <c r="C431" s="461"/>
      <c r="D431" s="519"/>
      <c r="E431" s="428"/>
      <c r="F431" s="416"/>
      <c r="G431" s="463">
        <f t="shared" si="196"/>
        <v>0</v>
      </c>
      <c r="I431" s="516">
        <f>SUM(I424:I429)</f>
        <v>260987.94114285713</v>
      </c>
      <c r="N431" s="492"/>
      <c r="O431" s="461"/>
      <c r="P431" s="519"/>
      <c r="Q431" s="428"/>
      <c r="R431" s="517"/>
      <c r="S431" s="463"/>
      <c r="U431" s="516">
        <f>SUM(U424:U429)</f>
        <v>260987.94114285713</v>
      </c>
      <c r="V431" s="492"/>
      <c r="W431" s="461"/>
      <c r="X431" s="519"/>
      <c r="Y431" s="428"/>
      <c r="Z431" s="517"/>
      <c r="AA431" s="463"/>
      <c r="AC431" s="516">
        <f>SUM(AC424:AC429)</f>
        <v>260987.94114285713</v>
      </c>
      <c r="AD431" s="492"/>
      <c r="AE431" s="461"/>
      <c r="AF431" s="519"/>
      <c r="AG431" s="428"/>
      <c r="AH431" s="517"/>
      <c r="AI431" s="463"/>
      <c r="AK431" s="516">
        <f>SUM(AK424:AK429)</f>
        <v>260987.94114285713</v>
      </c>
    </row>
    <row r="432" spans="2:37" ht="15" customHeight="1">
      <c r="B432" s="507">
        <v>3</v>
      </c>
      <c r="C432" s="460" t="s">
        <v>2086</v>
      </c>
      <c r="D432" s="519"/>
      <c r="E432" s="428"/>
      <c r="F432" s="416"/>
      <c r="G432" s="463">
        <f t="shared" si="196"/>
        <v>0</v>
      </c>
      <c r="N432" s="507">
        <v>3</v>
      </c>
      <c r="O432" s="460" t="s">
        <v>2086</v>
      </c>
      <c r="P432" s="519"/>
      <c r="Q432" s="428"/>
      <c r="R432" s="517"/>
      <c r="S432" s="463"/>
      <c r="V432" s="507">
        <v>3</v>
      </c>
      <c r="W432" s="460" t="s">
        <v>2086</v>
      </c>
      <c r="X432" s="519"/>
      <c r="Y432" s="428"/>
      <c r="Z432" s="517"/>
      <c r="AA432" s="463"/>
      <c r="AD432" s="507">
        <v>3</v>
      </c>
      <c r="AE432" s="460" t="s">
        <v>2086</v>
      </c>
      <c r="AF432" s="519"/>
      <c r="AG432" s="428"/>
      <c r="AH432" s="517"/>
      <c r="AI432" s="463"/>
    </row>
    <row r="433" spans="2:36" ht="15" customHeight="1">
      <c r="B433" s="492" t="s">
        <v>721</v>
      </c>
      <c r="C433" s="461" t="s">
        <v>2247</v>
      </c>
      <c r="D433" s="519" t="str">
        <f>$D$258</f>
        <v>bh</v>
      </c>
      <c r="E433" s="518">
        <v>4</v>
      </c>
      <c r="F433" s="416">
        <f>$F$258</f>
        <v>181849.04</v>
      </c>
      <c r="G433" s="463">
        <f t="shared" si="196"/>
        <v>727396.16</v>
      </c>
      <c r="N433" s="492" t="s">
        <v>721</v>
      </c>
      <c r="O433" s="461" t="s">
        <v>2247</v>
      </c>
      <c r="P433" s="519" t="str">
        <f>$D$258</f>
        <v>bh</v>
      </c>
      <c r="Q433" s="518">
        <v>4</v>
      </c>
      <c r="R433" s="517">
        <f>$F$258</f>
        <v>181849.04</v>
      </c>
      <c r="S433" s="463">
        <f t="shared" ref="S433:S438" si="204">Q433*R433</f>
        <v>727396.16</v>
      </c>
      <c r="V433" s="492" t="s">
        <v>721</v>
      </c>
      <c r="W433" s="461" t="s">
        <v>2247</v>
      </c>
      <c r="X433" s="519" t="str">
        <f>$D$258</f>
        <v>bh</v>
      </c>
      <c r="Y433" s="518">
        <v>4</v>
      </c>
      <c r="Z433" s="517">
        <f>$F$258</f>
        <v>181849.04</v>
      </c>
      <c r="AA433" s="463">
        <f t="shared" ref="AA433:AA438" si="205">Y433*Z433</f>
        <v>727396.16</v>
      </c>
      <c r="AD433" s="492" t="s">
        <v>721</v>
      </c>
      <c r="AE433" s="461" t="s">
        <v>2247</v>
      </c>
      <c r="AF433" s="519" t="str">
        <f>$D$258</f>
        <v>bh</v>
      </c>
      <c r="AG433" s="518">
        <v>4</v>
      </c>
      <c r="AH433" s="517">
        <f>$F$258</f>
        <v>181849.04</v>
      </c>
      <c r="AI433" s="463">
        <f t="shared" ref="AI433:AI438" si="206">AG433*AH433</f>
        <v>727396.16</v>
      </c>
    </row>
    <row r="434" spans="2:36" ht="15" customHeight="1">
      <c r="B434" s="492" t="s">
        <v>2166</v>
      </c>
      <c r="C434" s="461" t="s">
        <v>2085</v>
      </c>
      <c r="D434" s="519" t="str">
        <f>$D$259</f>
        <v>kg</v>
      </c>
      <c r="E434" s="518">
        <f>I431</f>
        <v>260987.94114285713</v>
      </c>
      <c r="F434" s="416">
        <f>$F$259</f>
        <v>462.7700000000001</v>
      </c>
      <c r="G434" s="463">
        <f t="shared" si="196"/>
        <v>120777389.52268001</v>
      </c>
      <c r="N434" s="492" t="s">
        <v>2166</v>
      </c>
      <c r="O434" s="461" t="s">
        <v>2085</v>
      </c>
      <c r="P434" s="519" t="str">
        <f>$D$259</f>
        <v>kg</v>
      </c>
      <c r="Q434" s="518">
        <f>U431</f>
        <v>260987.94114285713</v>
      </c>
      <c r="R434" s="517">
        <f>$F$259</f>
        <v>462.7700000000001</v>
      </c>
      <c r="S434" s="463">
        <f t="shared" si="204"/>
        <v>120777389.52268001</v>
      </c>
      <c r="V434" s="492" t="s">
        <v>2166</v>
      </c>
      <c r="W434" s="461" t="s">
        <v>2085</v>
      </c>
      <c r="X434" s="519" t="str">
        <f>$D$259</f>
        <v>kg</v>
      </c>
      <c r="Y434" s="518">
        <f>AC431</f>
        <v>260987.94114285713</v>
      </c>
      <c r="Z434" s="517">
        <f>$F$259</f>
        <v>462.7700000000001</v>
      </c>
      <c r="AA434" s="463">
        <f t="shared" si="205"/>
        <v>120777389.52268001</v>
      </c>
      <c r="AD434" s="492" t="s">
        <v>2166</v>
      </c>
      <c r="AE434" s="461" t="s">
        <v>2085</v>
      </c>
      <c r="AF434" s="519" t="str">
        <f>$D$259</f>
        <v>kg</v>
      </c>
      <c r="AG434" s="518">
        <f>AK431</f>
        <v>260987.94114285713</v>
      </c>
      <c r="AH434" s="517">
        <f>$F$259</f>
        <v>462.7700000000001</v>
      </c>
      <c r="AI434" s="463">
        <f t="shared" si="206"/>
        <v>120777389.52268001</v>
      </c>
    </row>
    <row r="435" spans="2:36" ht="15" customHeight="1">
      <c r="B435" s="492" t="s">
        <v>2168</v>
      </c>
      <c r="C435" s="461" t="s">
        <v>2249</v>
      </c>
      <c r="D435" s="519" t="str">
        <f>$D$260</f>
        <v>bh</v>
      </c>
      <c r="E435" s="518">
        <v>4</v>
      </c>
      <c r="F435" s="416">
        <f>$F$260</f>
        <v>387825</v>
      </c>
      <c r="G435" s="463">
        <f t="shared" si="196"/>
        <v>1551300</v>
      </c>
      <c r="N435" s="492" t="s">
        <v>2168</v>
      </c>
      <c r="O435" s="461" t="s">
        <v>2249</v>
      </c>
      <c r="P435" s="519" t="str">
        <f>$D$260</f>
        <v>bh</v>
      </c>
      <c r="Q435" s="518">
        <v>4</v>
      </c>
      <c r="R435" s="517">
        <f>$F$260</f>
        <v>387825</v>
      </c>
      <c r="S435" s="463">
        <f t="shared" si="204"/>
        <v>1551300</v>
      </c>
      <c r="V435" s="492" t="s">
        <v>2168</v>
      </c>
      <c r="W435" s="461" t="s">
        <v>2249</v>
      </c>
      <c r="X435" s="519" t="str">
        <f>$D$260</f>
        <v>bh</v>
      </c>
      <c r="Y435" s="518">
        <v>4</v>
      </c>
      <c r="Z435" s="517">
        <f>$F$260</f>
        <v>387825</v>
      </c>
      <c r="AA435" s="463">
        <f t="shared" si="205"/>
        <v>1551300</v>
      </c>
      <c r="AD435" s="492" t="s">
        <v>2168</v>
      </c>
      <c r="AE435" s="461" t="s">
        <v>2249</v>
      </c>
      <c r="AF435" s="519" t="str">
        <f>$D$260</f>
        <v>bh</v>
      </c>
      <c r="AG435" s="518">
        <v>4</v>
      </c>
      <c r="AH435" s="517">
        <f>$F$260</f>
        <v>387825</v>
      </c>
      <c r="AI435" s="463">
        <f t="shared" si="206"/>
        <v>1551300</v>
      </c>
    </row>
    <row r="436" spans="2:36" ht="15" customHeight="1">
      <c r="B436" s="492" t="s">
        <v>2170</v>
      </c>
      <c r="C436" s="461" t="s">
        <v>2250</v>
      </c>
      <c r="D436" s="519" t="str">
        <f>$D$261</f>
        <v>kg</v>
      </c>
      <c r="E436" s="518">
        <v>150.93599999999998</v>
      </c>
      <c r="F436" s="416">
        <f>$F$261</f>
        <v>3758.6984549742947</v>
      </c>
      <c r="G436" s="463">
        <f t="shared" si="196"/>
        <v>567322.91</v>
      </c>
      <c r="N436" s="492" t="s">
        <v>2170</v>
      </c>
      <c r="O436" s="461" t="s">
        <v>2250</v>
      </c>
      <c r="P436" s="519" t="str">
        <f>$D$261</f>
        <v>kg</v>
      </c>
      <c r="Q436" s="518">
        <v>239.61599999999999</v>
      </c>
      <c r="R436" s="517">
        <f>$F$261</f>
        <v>3758.6984549742947</v>
      </c>
      <c r="S436" s="463">
        <f t="shared" si="204"/>
        <v>900644.2889871205</v>
      </c>
      <c r="V436" s="492" t="s">
        <v>2170</v>
      </c>
      <c r="W436" s="461" t="s">
        <v>2269</v>
      </c>
      <c r="X436" s="519" t="str">
        <f>$D$261</f>
        <v>kg</v>
      </c>
      <c r="Y436" s="518">
        <v>311.47199999999998</v>
      </c>
      <c r="Z436" s="517">
        <f>$F$261</f>
        <v>3758.6984549742947</v>
      </c>
      <c r="AA436" s="463">
        <f t="shared" si="205"/>
        <v>1170729.3251677535</v>
      </c>
      <c r="AD436" s="492" t="s">
        <v>2170</v>
      </c>
      <c r="AE436" s="461" t="s">
        <v>2269</v>
      </c>
      <c r="AF436" s="519" t="str">
        <f>$D$261</f>
        <v>kg</v>
      </c>
      <c r="AG436" s="518">
        <v>403.17599999999999</v>
      </c>
      <c r="AH436" s="517">
        <f>$F$261</f>
        <v>3758.6984549742947</v>
      </c>
      <c r="AI436" s="463">
        <f t="shared" si="206"/>
        <v>1515417.0082827162</v>
      </c>
    </row>
    <row r="437" spans="2:36" ht="15" customHeight="1">
      <c r="B437" s="492" t="s">
        <v>2172</v>
      </c>
      <c r="C437" s="461" t="s">
        <v>2251</v>
      </c>
      <c r="D437" s="519" t="str">
        <f>$D$262</f>
        <v>set</v>
      </c>
      <c r="E437" s="518">
        <v>1</v>
      </c>
      <c r="F437" s="416">
        <f>$F$262</f>
        <v>855127</v>
      </c>
      <c r="G437" s="463">
        <f t="shared" si="196"/>
        <v>855127</v>
      </c>
      <c r="N437" s="492" t="s">
        <v>2172</v>
      </c>
      <c r="O437" s="461" t="s">
        <v>2251</v>
      </c>
      <c r="P437" s="519" t="str">
        <f>$D$262</f>
        <v>set</v>
      </c>
      <c r="Q437" s="518">
        <v>1</v>
      </c>
      <c r="R437" s="517">
        <f>$F$262</f>
        <v>855127</v>
      </c>
      <c r="S437" s="463">
        <f t="shared" si="204"/>
        <v>855127</v>
      </c>
      <c r="V437" s="492" t="s">
        <v>2172</v>
      </c>
      <c r="W437" s="461" t="s">
        <v>2251</v>
      </c>
      <c r="X437" s="519" t="str">
        <f>$D$262</f>
        <v>set</v>
      </c>
      <c r="Y437" s="518">
        <v>1</v>
      </c>
      <c r="Z437" s="517">
        <f>$F$262</f>
        <v>855127</v>
      </c>
      <c r="AA437" s="463">
        <f t="shared" si="205"/>
        <v>855127</v>
      </c>
      <c r="AD437" s="492" t="s">
        <v>2172</v>
      </c>
      <c r="AE437" s="461" t="s">
        <v>2251</v>
      </c>
      <c r="AF437" s="519" t="str">
        <f>$D$262</f>
        <v>set</v>
      </c>
      <c r="AG437" s="518">
        <v>1</v>
      </c>
      <c r="AH437" s="517">
        <f>$F$262</f>
        <v>855127</v>
      </c>
      <c r="AI437" s="463">
        <f t="shared" si="206"/>
        <v>855127</v>
      </c>
    </row>
    <row r="438" spans="2:36" ht="15" customHeight="1">
      <c r="B438" s="492" t="s">
        <v>2174</v>
      </c>
      <c r="C438" s="461" t="s">
        <v>2252</v>
      </c>
      <c r="D438" s="519" t="str">
        <f>$D$263</f>
        <v>set</v>
      </c>
      <c r="E438" s="518">
        <v>1</v>
      </c>
      <c r="F438" s="416">
        <f>$F$263</f>
        <v>674025</v>
      </c>
      <c r="G438" s="463">
        <f t="shared" si="196"/>
        <v>674025</v>
      </c>
      <c r="N438" s="492" t="s">
        <v>2174</v>
      </c>
      <c r="O438" s="461" t="s">
        <v>2252</v>
      </c>
      <c r="P438" s="519" t="str">
        <f>$D$263</f>
        <v>set</v>
      </c>
      <c r="Q438" s="518">
        <v>1</v>
      </c>
      <c r="R438" s="517">
        <f>$F$263</f>
        <v>674025</v>
      </c>
      <c r="S438" s="463">
        <f t="shared" si="204"/>
        <v>674025</v>
      </c>
      <c r="V438" s="492" t="s">
        <v>2174</v>
      </c>
      <c r="W438" s="461" t="s">
        <v>2252</v>
      </c>
      <c r="X438" s="519" t="str">
        <f>$D$263</f>
        <v>set</v>
      </c>
      <c r="Y438" s="518">
        <v>1</v>
      </c>
      <c r="Z438" s="517">
        <f>$F$263</f>
        <v>674025</v>
      </c>
      <c r="AA438" s="463">
        <f t="shared" si="205"/>
        <v>674025</v>
      </c>
      <c r="AD438" s="492" t="s">
        <v>2174</v>
      </c>
      <c r="AE438" s="461" t="s">
        <v>2252</v>
      </c>
      <c r="AF438" s="519" t="str">
        <f>$D$263</f>
        <v>set</v>
      </c>
      <c r="AG438" s="518">
        <v>1</v>
      </c>
      <c r="AH438" s="517">
        <f>$F$263</f>
        <v>674025</v>
      </c>
      <c r="AI438" s="463">
        <f t="shared" si="206"/>
        <v>674025</v>
      </c>
    </row>
    <row r="439" spans="2:36" ht="15" customHeight="1" thickBot="1">
      <c r="B439" s="459"/>
      <c r="C439" s="1194" t="s">
        <v>3260</v>
      </c>
      <c r="D439" s="1195"/>
      <c r="E439" s="1195"/>
      <c r="F439" s="1196"/>
      <c r="G439" s="458">
        <f>SUM(G418:G438)</f>
        <v>495491772.11418897</v>
      </c>
      <c r="N439" s="459"/>
      <c r="O439" s="1194" t="s">
        <v>3260</v>
      </c>
      <c r="P439" s="1195"/>
      <c r="Q439" s="1195"/>
      <c r="R439" s="1196"/>
      <c r="S439" s="458">
        <f>SUM(S418:S438)</f>
        <v>495825093.49317604</v>
      </c>
      <c r="V439" s="459"/>
      <c r="W439" s="1194" t="s">
        <v>3260</v>
      </c>
      <c r="X439" s="1195"/>
      <c r="Y439" s="1195"/>
      <c r="Z439" s="1196"/>
      <c r="AA439" s="458">
        <f>SUM(AA418:AA438)</f>
        <v>496095178.52935672</v>
      </c>
      <c r="AD439" s="459"/>
      <c r="AE439" s="1194" t="s">
        <v>3260</v>
      </c>
      <c r="AF439" s="1195"/>
      <c r="AG439" s="1195"/>
      <c r="AH439" s="1196"/>
      <c r="AI439" s="458">
        <f>SUM(AI418:AI438)</f>
        <v>496439866.21247166</v>
      </c>
    </row>
    <row r="440" spans="2:36" ht="15" customHeight="1" thickBot="1">
      <c r="B440" s="427"/>
      <c r="C440" s="427"/>
      <c r="D440" s="427"/>
      <c r="E440" s="427"/>
      <c r="F440" s="426"/>
      <c r="G440" s="426"/>
      <c r="N440" s="427"/>
      <c r="O440" s="427"/>
      <c r="P440" s="427"/>
      <c r="Q440" s="427"/>
      <c r="R440" s="427"/>
      <c r="S440" s="426"/>
      <c r="V440" s="427"/>
      <c r="W440" s="427"/>
      <c r="X440" s="427"/>
      <c r="Y440" s="427"/>
      <c r="Z440" s="427"/>
      <c r="AA440" s="426"/>
      <c r="AD440" s="427"/>
      <c r="AE440" s="427"/>
      <c r="AF440" s="427"/>
      <c r="AG440" s="427"/>
      <c r="AH440" s="427"/>
      <c r="AI440" s="426"/>
    </row>
    <row r="441" spans="2:36" ht="15" customHeight="1" thickBot="1">
      <c r="B441" s="452" t="s">
        <v>2229</v>
      </c>
      <c r="C441" s="435"/>
      <c r="D441" s="434">
        <v>6</v>
      </c>
      <c r="E441" s="433"/>
      <c r="F441" s="411"/>
      <c r="G441" s="431"/>
      <c r="N441" s="452" t="s">
        <v>2230</v>
      </c>
      <c r="O441" s="435"/>
      <c r="P441" s="434">
        <v>6</v>
      </c>
      <c r="Q441" s="433"/>
      <c r="R441" s="432"/>
      <c r="S441" s="431"/>
      <c r="V441" s="452" t="s">
        <v>2231</v>
      </c>
      <c r="W441" s="435"/>
      <c r="X441" s="434"/>
      <c r="Y441" s="433"/>
      <c r="Z441" s="432"/>
      <c r="AA441" s="431"/>
      <c r="AD441" s="452" t="s">
        <v>2254</v>
      </c>
      <c r="AE441" s="435"/>
      <c r="AF441" s="434"/>
      <c r="AG441" s="433"/>
      <c r="AH441" s="432"/>
      <c r="AI441" s="431"/>
    </row>
    <row r="442" spans="2:36" ht="15" customHeight="1">
      <c r="B442" s="446"/>
      <c r="C442" s="445" t="s">
        <v>3261</v>
      </c>
      <c r="D442" s="444"/>
      <c r="E442" s="443"/>
      <c r="F442" s="413"/>
      <c r="G442" s="441"/>
      <c r="N442" s="446"/>
      <c r="O442" s="445" t="s">
        <v>3261</v>
      </c>
      <c r="P442" s="444"/>
      <c r="Q442" s="443"/>
      <c r="R442" s="442"/>
      <c r="S442" s="441"/>
      <c r="V442" s="446"/>
      <c r="W442" s="445" t="s">
        <v>3262</v>
      </c>
      <c r="X442" s="444"/>
      <c r="Y442" s="443"/>
      <c r="Z442" s="442"/>
      <c r="AA442" s="441"/>
      <c r="AD442" s="446"/>
      <c r="AE442" s="445" t="s">
        <v>3262</v>
      </c>
      <c r="AF442" s="444"/>
      <c r="AG442" s="443"/>
      <c r="AH442" s="442"/>
      <c r="AI442" s="441"/>
    </row>
    <row r="443" spans="2:36" ht="15" customHeight="1">
      <c r="B443" s="468">
        <v>1</v>
      </c>
      <c r="C443" s="467" t="s">
        <v>2234</v>
      </c>
      <c r="D443" s="519"/>
      <c r="E443" s="430"/>
      <c r="F443" s="417"/>
      <c r="G443" s="486"/>
      <c r="N443" s="468">
        <v>1</v>
      </c>
      <c r="O443" s="467" t="s">
        <v>2234</v>
      </c>
      <c r="P443" s="519"/>
      <c r="Q443" s="430"/>
      <c r="R443" s="429"/>
      <c r="S443" s="486"/>
      <c r="V443" s="468">
        <v>1</v>
      </c>
      <c r="W443" s="467" t="s">
        <v>2234</v>
      </c>
      <c r="X443" s="519"/>
      <c r="Y443" s="430"/>
      <c r="Z443" s="429"/>
      <c r="AA443" s="486"/>
      <c r="AD443" s="468">
        <v>1</v>
      </c>
      <c r="AE443" s="467" t="s">
        <v>2234</v>
      </c>
      <c r="AF443" s="519"/>
      <c r="AG443" s="430"/>
      <c r="AH443" s="429"/>
      <c r="AI443" s="486"/>
    </row>
    <row r="444" spans="2:36" ht="15" customHeight="1">
      <c r="B444" s="492" t="s">
        <v>721</v>
      </c>
      <c r="C444" s="464" t="s">
        <v>2235</v>
      </c>
      <c r="D444" s="519" t="str">
        <f>$D$244</f>
        <v>m³</v>
      </c>
      <c r="E444" s="518">
        <v>50.35</v>
      </c>
      <c r="F444" s="416">
        <f>$F$244</f>
        <v>102390.75000000001</v>
      </c>
      <c r="G444" s="463">
        <f>E444*F444</f>
        <v>5155374.2625000011</v>
      </c>
      <c r="N444" s="492" t="s">
        <v>721</v>
      </c>
      <c r="O444" s="464" t="s">
        <v>2235</v>
      </c>
      <c r="P444" s="519" t="str">
        <f>$D$244</f>
        <v>m³</v>
      </c>
      <c r="Q444" s="518">
        <v>50.35</v>
      </c>
      <c r="R444" s="517">
        <f>$F$244</f>
        <v>102390.75000000001</v>
      </c>
      <c r="S444" s="463">
        <f>Q444*R444</f>
        <v>5155374.2625000011</v>
      </c>
      <c r="V444" s="492" t="s">
        <v>721</v>
      </c>
      <c r="W444" s="464" t="s">
        <v>2235</v>
      </c>
      <c r="X444" s="519" t="str">
        <f>$D$244</f>
        <v>m³</v>
      </c>
      <c r="Y444" s="518">
        <v>50.35</v>
      </c>
      <c r="Z444" s="517">
        <f>$F$244</f>
        <v>102390.75000000001</v>
      </c>
      <c r="AA444" s="463">
        <f>Y444*Z444</f>
        <v>5155374.2625000011</v>
      </c>
      <c r="AD444" s="492" t="s">
        <v>721</v>
      </c>
      <c r="AE444" s="464" t="s">
        <v>2235</v>
      </c>
      <c r="AF444" s="519" t="str">
        <f>$D$244</f>
        <v>m³</v>
      </c>
      <c r="AG444" s="518">
        <v>50.35</v>
      </c>
      <c r="AH444" s="517">
        <f>$F$244</f>
        <v>102390.75000000001</v>
      </c>
      <c r="AI444" s="463">
        <f>AG444*AH444</f>
        <v>5155374.2625000011</v>
      </c>
    </row>
    <row r="445" spans="2:36" ht="15" customHeight="1">
      <c r="B445" s="492" t="s">
        <v>2166</v>
      </c>
      <c r="C445" s="464" t="s">
        <v>2237</v>
      </c>
      <c r="D445" s="519" t="str">
        <f>$D$245</f>
        <v>m³</v>
      </c>
      <c r="E445" s="518">
        <v>12.160000000000002</v>
      </c>
      <c r="F445" s="416">
        <f>$F$245</f>
        <v>62462.950000000012</v>
      </c>
      <c r="G445" s="463">
        <f t="shared" ref="G445:G463" si="207">E445*F445</f>
        <v>759549.4720000003</v>
      </c>
      <c r="N445" s="492" t="s">
        <v>2166</v>
      </c>
      <c r="O445" s="464" t="s">
        <v>2237</v>
      </c>
      <c r="P445" s="519" t="str">
        <f>$D$245</f>
        <v>m³</v>
      </c>
      <c r="Q445" s="518">
        <v>12.160000000000002</v>
      </c>
      <c r="R445" s="517">
        <f>$F$245</f>
        <v>62462.950000000012</v>
      </c>
      <c r="S445" s="463">
        <f>Q445*R445</f>
        <v>759549.4720000003</v>
      </c>
      <c r="V445" s="492" t="s">
        <v>2166</v>
      </c>
      <c r="W445" s="464" t="s">
        <v>2237</v>
      </c>
      <c r="X445" s="519" t="str">
        <f>$D$245</f>
        <v>m³</v>
      </c>
      <c r="Y445" s="518">
        <v>12.160000000000002</v>
      </c>
      <c r="Z445" s="517">
        <f>$F$245</f>
        <v>62462.950000000012</v>
      </c>
      <c r="AA445" s="463">
        <f>Y445*Z445</f>
        <v>759549.4720000003</v>
      </c>
      <c r="AD445" s="492" t="s">
        <v>2166</v>
      </c>
      <c r="AE445" s="464" t="s">
        <v>2237</v>
      </c>
      <c r="AF445" s="519" t="str">
        <f>$D$245</f>
        <v>m³</v>
      </c>
      <c r="AG445" s="518">
        <v>12.160000000000002</v>
      </c>
      <c r="AH445" s="517">
        <f>$F$245</f>
        <v>62462.950000000012</v>
      </c>
      <c r="AI445" s="463">
        <f>AG445*AH445</f>
        <v>759549.4720000003</v>
      </c>
    </row>
    <row r="446" spans="2:36" ht="15" customHeight="1">
      <c r="B446" s="492" t="s">
        <v>2168</v>
      </c>
      <c r="C446" s="464" t="s">
        <v>2265</v>
      </c>
      <c r="D446" s="519" t="str">
        <f>$D$246</f>
        <v>m'</v>
      </c>
      <c r="E446" s="518">
        <v>288</v>
      </c>
      <c r="F446" s="416">
        <f>$F$246</f>
        <v>52230.612500000003</v>
      </c>
      <c r="G446" s="463">
        <f t="shared" si="207"/>
        <v>15042416.4</v>
      </c>
      <c r="N446" s="492" t="s">
        <v>2168</v>
      </c>
      <c r="O446" s="464" t="s">
        <v>2265</v>
      </c>
      <c r="P446" s="519" t="str">
        <f>$D$246</f>
        <v>m'</v>
      </c>
      <c r="Q446" s="518">
        <v>288</v>
      </c>
      <c r="R446" s="517">
        <f>$F$246</f>
        <v>52230.612500000003</v>
      </c>
      <c r="S446" s="463">
        <f>Q446*R446</f>
        <v>15042416.4</v>
      </c>
      <c r="V446" s="492" t="s">
        <v>2168</v>
      </c>
      <c r="W446" s="464" t="s">
        <v>2265</v>
      </c>
      <c r="X446" s="519" t="str">
        <f>$D$246</f>
        <v>m'</v>
      </c>
      <c r="Y446" s="518">
        <v>288</v>
      </c>
      <c r="Z446" s="517">
        <f>$F$246</f>
        <v>52230.612500000003</v>
      </c>
      <c r="AA446" s="463">
        <f>Y446*Z446</f>
        <v>15042416.4</v>
      </c>
      <c r="AD446" s="492" t="s">
        <v>2168</v>
      </c>
      <c r="AE446" s="464" t="s">
        <v>2265</v>
      </c>
      <c r="AF446" s="519" t="str">
        <f>$D$246</f>
        <v>m'</v>
      </c>
      <c r="AG446" s="518">
        <v>288</v>
      </c>
      <c r="AH446" s="517">
        <f>$F$246</f>
        <v>52230.612500000003</v>
      </c>
      <c r="AI446" s="463">
        <f>AG446*AH446</f>
        <v>15042416.4</v>
      </c>
    </row>
    <row r="447" spans="2:36" ht="15" customHeight="1">
      <c r="B447" s="462"/>
      <c r="C447" s="464"/>
      <c r="D447" s="519"/>
      <c r="E447" s="428"/>
      <c r="F447" s="416"/>
      <c r="G447" s="463">
        <f t="shared" si="207"/>
        <v>0</v>
      </c>
      <c r="N447" s="462"/>
      <c r="O447" s="464"/>
      <c r="P447" s="519"/>
      <c r="Q447" s="428"/>
      <c r="R447" s="517"/>
      <c r="S447" s="463"/>
      <c r="V447" s="462"/>
      <c r="W447" s="464"/>
      <c r="X447" s="519"/>
      <c r="Y447" s="428"/>
      <c r="Z447" s="517"/>
      <c r="AA447" s="463"/>
      <c r="AD447" s="462"/>
      <c r="AE447" s="464"/>
      <c r="AF447" s="519"/>
      <c r="AG447" s="428"/>
      <c r="AH447" s="517"/>
      <c r="AI447" s="463"/>
    </row>
    <row r="448" spans="2:36" ht="15" customHeight="1">
      <c r="B448" s="507">
        <v>2</v>
      </c>
      <c r="C448" s="467" t="s">
        <v>2238</v>
      </c>
      <c r="D448" s="519"/>
      <c r="E448" s="428"/>
      <c r="F448" s="416"/>
      <c r="G448" s="463">
        <f t="shared" si="207"/>
        <v>0</v>
      </c>
      <c r="H448" s="516" t="s">
        <v>2239</v>
      </c>
      <c r="N448" s="507">
        <v>2</v>
      </c>
      <c r="O448" s="467" t="s">
        <v>2238</v>
      </c>
      <c r="P448" s="519"/>
      <c r="Q448" s="428"/>
      <c r="R448" s="517"/>
      <c r="S448" s="463"/>
      <c r="T448" s="516" t="s">
        <v>2239</v>
      </c>
      <c r="V448" s="507">
        <v>2</v>
      </c>
      <c r="W448" s="467" t="s">
        <v>2238</v>
      </c>
      <c r="X448" s="519"/>
      <c r="Y448" s="428"/>
      <c r="Z448" s="517"/>
      <c r="AA448" s="463"/>
      <c r="AB448" s="516" t="s">
        <v>2239</v>
      </c>
      <c r="AD448" s="507">
        <v>2</v>
      </c>
      <c r="AE448" s="467" t="s">
        <v>2238</v>
      </c>
      <c r="AF448" s="519"/>
      <c r="AG448" s="428"/>
      <c r="AH448" s="517"/>
      <c r="AI448" s="463"/>
      <c r="AJ448" s="516" t="s">
        <v>2239</v>
      </c>
    </row>
    <row r="449" spans="2:37" ht="15" customHeight="1">
      <c r="B449" s="492" t="s">
        <v>721</v>
      </c>
      <c r="C449" s="464" t="s">
        <v>2240</v>
      </c>
      <c r="D449" s="519" t="str">
        <f>$D$249</f>
        <v>m³</v>
      </c>
      <c r="E449" s="518">
        <v>4.9000000000000004</v>
      </c>
      <c r="F449" s="416">
        <f>$F$249</f>
        <v>404738.95</v>
      </c>
      <c r="G449" s="463">
        <f t="shared" si="207"/>
        <v>1983220.8550000002</v>
      </c>
      <c r="H449" s="516">
        <v>1400</v>
      </c>
      <c r="I449" s="516">
        <f>E449*H449</f>
        <v>6860.0000000000009</v>
      </c>
      <c r="N449" s="492" t="s">
        <v>721</v>
      </c>
      <c r="O449" s="464" t="s">
        <v>2240</v>
      </c>
      <c r="P449" s="519" t="str">
        <f>$D$249</f>
        <v>m³</v>
      </c>
      <c r="Q449" s="518">
        <v>4.9000000000000004</v>
      </c>
      <c r="R449" s="517">
        <f>$F$249</f>
        <v>404738.95</v>
      </c>
      <c r="S449" s="463">
        <f t="shared" ref="S449:S455" si="208">Q449*R449</f>
        <v>1983220.8550000002</v>
      </c>
      <c r="T449" s="516">
        <v>1400</v>
      </c>
      <c r="U449" s="516">
        <f>Q449*T449</f>
        <v>6860.0000000000009</v>
      </c>
      <c r="V449" s="492" t="s">
        <v>721</v>
      </c>
      <c r="W449" s="464" t="s">
        <v>2240</v>
      </c>
      <c r="X449" s="519" t="str">
        <f>$D$249</f>
        <v>m³</v>
      </c>
      <c r="Y449" s="518">
        <v>4.9000000000000004</v>
      </c>
      <c r="Z449" s="517">
        <f>$F$249</f>
        <v>404738.95</v>
      </c>
      <c r="AA449" s="463">
        <f t="shared" ref="AA449:AA455" si="209">Y449*Z449</f>
        <v>1983220.8550000002</v>
      </c>
      <c r="AB449" s="516">
        <v>1400</v>
      </c>
      <c r="AC449" s="516">
        <f>Y449*AB449</f>
        <v>6860.0000000000009</v>
      </c>
      <c r="AD449" s="492" t="s">
        <v>721</v>
      </c>
      <c r="AE449" s="464" t="s">
        <v>2240</v>
      </c>
      <c r="AF449" s="519" t="str">
        <f>$D$249</f>
        <v>m³</v>
      </c>
      <c r="AG449" s="518">
        <v>4.9000000000000004</v>
      </c>
      <c r="AH449" s="517">
        <f>$F$249</f>
        <v>404738.95</v>
      </c>
      <c r="AI449" s="463">
        <f t="shared" ref="AI449:AI455" si="210">AG449*AH449</f>
        <v>1983220.8550000002</v>
      </c>
      <c r="AJ449" s="516">
        <v>1400</v>
      </c>
      <c r="AK449" s="516">
        <f>AG449*AJ449</f>
        <v>6860.0000000000009</v>
      </c>
    </row>
    <row r="450" spans="2:37" ht="15" customHeight="1">
      <c r="B450" s="492" t="s">
        <v>2166</v>
      </c>
      <c r="C450" s="461" t="s">
        <v>2241</v>
      </c>
      <c r="D450" s="519" t="str">
        <f>$D$250</f>
        <v>m³</v>
      </c>
      <c r="E450" s="518">
        <v>2.4500000000000002</v>
      </c>
      <c r="F450" s="416">
        <f>$F$250</f>
        <v>710224.707936508</v>
      </c>
      <c r="G450" s="463">
        <f t="shared" si="207"/>
        <v>1740050.5344444448</v>
      </c>
      <c r="H450" s="516">
        <v>2200</v>
      </c>
      <c r="I450" s="516">
        <f t="shared" ref="I450:I455" si="211">E450*H450</f>
        <v>5390</v>
      </c>
      <c r="N450" s="492" t="s">
        <v>2166</v>
      </c>
      <c r="O450" s="461" t="s">
        <v>2241</v>
      </c>
      <c r="P450" s="519" t="str">
        <f>$D$250</f>
        <v>m³</v>
      </c>
      <c r="Q450" s="518">
        <v>2.4500000000000002</v>
      </c>
      <c r="R450" s="517">
        <f>$F$250</f>
        <v>710224.707936508</v>
      </c>
      <c r="S450" s="463">
        <f t="shared" si="208"/>
        <v>1740050.5344444448</v>
      </c>
      <c r="T450" s="516">
        <v>2200</v>
      </c>
      <c r="U450" s="516">
        <f t="shared" ref="U450:U455" si="212">Q450*T450</f>
        <v>5390</v>
      </c>
      <c r="V450" s="492" t="s">
        <v>2166</v>
      </c>
      <c r="W450" s="461" t="s">
        <v>2241</v>
      </c>
      <c r="X450" s="519" t="str">
        <f>$D$250</f>
        <v>m³</v>
      </c>
      <c r="Y450" s="518">
        <v>2.4500000000000002</v>
      </c>
      <c r="Z450" s="517">
        <f>$F$250</f>
        <v>710224.707936508</v>
      </c>
      <c r="AA450" s="463">
        <f t="shared" si="209"/>
        <v>1740050.5344444448</v>
      </c>
      <c r="AB450" s="516">
        <v>2200</v>
      </c>
      <c r="AC450" s="516">
        <f t="shared" ref="AC450:AC455" si="213">Y450*AB450</f>
        <v>5390</v>
      </c>
      <c r="AD450" s="492" t="s">
        <v>2166</v>
      </c>
      <c r="AE450" s="461" t="s">
        <v>2241</v>
      </c>
      <c r="AF450" s="519" t="str">
        <f>$D$250</f>
        <v>m³</v>
      </c>
      <c r="AG450" s="518">
        <v>2.4500000000000002</v>
      </c>
      <c r="AH450" s="517">
        <f>$F$250</f>
        <v>710224.707936508</v>
      </c>
      <c r="AI450" s="463">
        <f t="shared" si="210"/>
        <v>1740050.5344444448</v>
      </c>
      <c r="AJ450" s="516">
        <v>2200</v>
      </c>
      <c r="AK450" s="516">
        <f t="shared" ref="AK450:AK455" si="214">AG450*AJ450</f>
        <v>5390</v>
      </c>
    </row>
    <row r="451" spans="2:37" ht="15" customHeight="1">
      <c r="B451" s="492" t="s">
        <v>2168</v>
      </c>
      <c r="C451" s="461" t="s">
        <v>2266</v>
      </c>
      <c r="D451" s="519" t="str">
        <f>$D$251</f>
        <v>m³</v>
      </c>
      <c r="E451" s="518">
        <v>30.84</v>
      </c>
      <c r="F451" s="416">
        <f>$F$251</f>
        <v>1115864.6138095236</v>
      </c>
      <c r="G451" s="463">
        <f t="shared" si="207"/>
        <v>34413264.689885706</v>
      </c>
      <c r="H451" s="516">
        <v>2400</v>
      </c>
      <c r="I451" s="516">
        <f t="shared" si="211"/>
        <v>74016</v>
      </c>
      <c r="N451" s="492" t="s">
        <v>2168</v>
      </c>
      <c r="O451" s="461" t="s">
        <v>2266</v>
      </c>
      <c r="P451" s="519" t="str">
        <f>$D$251</f>
        <v>m³</v>
      </c>
      <c r="Q451" s="518">
        <v>30.84</v>
      </c>
      <c r="R451" s="517">
        <f>$F$251</f>
        <v>1115864.6138095236</v>
      </c>
      <c r="S451" s="463">
        <f t="shared" si="208"/>
        <v>34413264.689885706</v>
      </c>
      <c r="T451" s="516">
        <v>2400</v>
      </c>
      <c r="U451" s="516">
        <f t="shared" si="212"/>
        <v>74016</v>
      </c>
      <c r="V451" s="492" t="s">
        <v>2168</v>
      </c>
      <c r="W451" s="461" t="str">
        <f>O451</f>
        <v>Beton K 225 (Pad &amp; Chimney)</v>
      </c>
      <c r="X451" s="519" t="str">
        <f>$D$251</f>
        <v>m³</v>
      </c>
      <c r="Y451" s="518">
        <v>30.84</v>
      </c>
      <c r="Z451" s="517">
        <f>$F$251</f>
        <v>1115864.6138095236</v>
      </c>
      <c r="AA451" s="463">
        <f t="shared" si="209"/>
        <v>34413264.689885706</v>
      </c>
      <c r="AB451" s="516">
        <v>2400</v>
      </c>
      <c r="AC451" s="516">
        <f t="shared" si="213"/>
        <v>74016</v>
      </c>
      <c r="AD451" s="492" t="s">
        <v>2168</v>
      </c>
      <c r="AE451" s="461" t="str">
        <f>W451</f>
        <v>Beton K 225 (Pad &amp; Chimney)</v>
      </c>
      <c r="AF451" s="519" t="str">
        <f>$D$251</f>
        <v>m³</v>
      </c>
      <c r="AG451" s="518">
        <v>30.84</v>
      </c>
      <c r="AH451" s="517">
        <f>$F$251</f>
        <v>1115864.6138095236</v>
      </c>
      <c r="AI451" s="463">
        <f t="shared" si="210"/>
        <v>34413264.689885706</v>
      </c>
      <c r="AJ451" s="516">
        <v>2400</v>
      </c>
      <c r="AK451" s="516">
        <f t="shared" si="214"/>
        <v>74016</v>
      </c>
    </row>
    <row r="452" spans="2:37" ht="15" customHeight="1">
      <c r="B452" s="492" t="s">
        <v>2170</v>
      </c>
      <c r="C452" s="461" t="s">
        <v>2267</v>
      </c>
      <c r="D452" s="519" t="str">
        <f>$D$252</f>
        <v>m³</v>
      </c>
      <c r="E452" s="518">
        <v>77.842285714285708</v>
      </c>
      <c r="F452" s="416">
        <f>$F$252</f>
        <v>1057576.2423809525</v>
      </c>
      <c r="G452" s="463">
        <f t="shared" si="207"/>
        <v>82324152.024058774</v>
      </c>
      <c r="H452" s="516">
        <v>2200</v>
      </c>
      <c r="I452" s="516">
        <f t="shared" si="211"/>
        <v>171253.02857142856</v>
      </c>
      <c r="N452" s="492" t="s">
        <v>2170</v>
      </c>
      <c r="O452" s="461" t="s">
        <v>2267</v>
      </c>
      <c r="P452" s="519" t="str">
        <f>$D$252</f>
        <v>m³</v>
      </c>
      <c r="Q452" s="518">
        <v>77.842285714285708</v>
      </c>
      <c r="R452" s="517">
        <f>$F$252</f>
        <v>1057576.2423809525</v>
      </c>
      <c r="S452" s="463">
        <f t="shared" si="208"/>
        <v>82324152.024058774</v>
      </c>
      <c r="T452" s="516">
        <v>2200</v>
      </c>
      <c r="U452" s="516">
        <f t="shared" si="212"/>
        <v>171253.02857142856</v>
      </c>
      <c r="V452" s="492" t="s">
        <v>2170</v>
      </c>
      <c r="W452" s="461" t="s">
        <v>2267</v>
      </c>
      <c r="X452" s="519" t="str">
        <f>$D$252</f>
        <v>m³</v>
      </c>
      <c r="Y452" s="518">
        <v>77.842285714285708</v>
      </c>
      <c r="Z452" s="517">
        <f>$F$252</f>
        <v>1057576.2423809525</v>
      </c>
      <c r="AA452" s="463">
        <f t="shared" si="209"/>
        <v>82324152.024058774</v>
      </c>
      <c r="AB452" s="516">
        <v>2200</v>
      </c>
      <c r="AC452" s="516">
        <f t="shared" si="213"/>
        <v>171253.02857142856</v>
      </c>
      <c r="AD452" s="492" t="s">
        <v>2170</v>
      </c>
      <c r="AE452" s="461" t="s">
        <v>2267</v>
      </c>
      <c r="AF452" s="519" t="str">
        <f>$D$252</f>
        <v>m³</v>
      </c>
      <c r="AG452" s="518">
        <v>77.842285714285708</v>
      </c>
      <c r="AH452" s="517">
        <f>$F$252</f>
        <v>1057576.2423809525</v>
      </c>
      <c r="AI452" s="463">
        <f t="shared" si="210"/>
        <v>82324152.024058774</v>
      </c>
      <c r="AJ452" s="516">
        <v>2200</v>
      </c>
      <c r="AK452" s="516">
        <f t="shared" si="214"/>
        <v>171253.02857142856</v>
      </c>
    </row>
    <row r="453" spans="2:37" ht="15" customHeight="1">
      <c r="B453" s="492" t="s">
        <v>2172</v>
      </c>
      <c r="C453" s="461" t="s">
        <v>2243</v>
      </c>
      <c r="D453" s="519" t="str">
        <f>$D$253</f>
        <v>kg</v>
      </c>
      <c r="E453" s="518">
        <v>12243.723999999998</v>
      </c>
      <c r="F453" s="416">
        <f>$F$253</f>
        <v>19478.039350000003</v>
      </c>
      <c r="G453" s="463">
        <f t="shared" si="207"/>
        <v>238483737.86253941</v>
      </c>
      <c r="H453" s="516">
        <v>1</v>
      </c>
      <c r="I453" s="516">
        <f t="shared" si="211"/>
        <v>12243.723999999998</v>
      </c>
      <c r="N453" s="492" t="s">
        <v>2172</v>
      </c>
      <c r="O453" s="461" t="s">
        <v>2243</v>
      </c>
      <c r="P453" s="519" t="str">
        <f>$D$253</f>
        <v>kg</v>
      </c>
      <c r="Q453" s="518">
        <v>12243.723999999998</v>
      </c>
      <c r="R453" s="517">
        <f>$F$253</f>
        <v>19478.039350000003</v>
      </c>
      <c r="S453" s="463">
        <f t="shared" si="208"/>
        <v>238483737.86253941</v>
      </c>
      <c r="T453" s="516">
        <v>1</v>
      </c>
      <c r="U453" s="516">
        <f t="shared" si="212"/>
        <v>12243.723999999998</v>
      </c>
      <c r="V453" s="492" t="s">
        <v>2172</v>
      </c>
      <c r="W453" s="461" t="s">
        <v>2243</v>
      </c>
      <c r="X453" s="519" t="str">
        <f>$D$253</f>
        <v>kg</v>
      </c>
      <c r="Y453" s="518">
        <v>12243.723999999998</v>
      </c>
      <c r="Z453" s="517">
        <f>$F$253</f>
        <v>19478.039350000003</v>
      </c>
      <c r="AA453" s="463">
        <f t="shared" si="209"/>
        <v>238483737.86253941</v>
      </c>
      <c r="AB453" s="516">
        <v>1</v>
      </c>
      <c r="AC453" s="516">
        <f t="shared" si="213"/>
        <v>12243.723999999998</v>
      </c>
      <c r="AD453" s="492" t="s">
        <v>2172</v>
      </c>
      <c r="AE453" s="461" t="s">
        <v>2243</v>
      </c>
      <c r="AF453" s="519" t="str">
        <f>$D$253</f>
        <v>kg</v>
      </c>
      <c r="AG453" s="518">
        <v>12243.723999999998</v>
      </c>
      <c r="AH453" s="517">
        <f>$F$253</f>
        <v>19478.039350000003</v>
      </c>
      <c r="AI453" s="463">
        <f t="shared" si="210"/>
        <v>238483737.86253941</v>
      </c>
      <c r="AJ453" s="516">
        <v>1</v>
      </c>
      <c r="AK453" s="516">
        <f t="shared" si="214"/>
        <v>12243.723999999998</v>
      </c>
    </row>
    <row r="454" spans="2:37" ht="15" customHeight="1">
      <c r="B454" s="492" t="s">
        <v>2268</v>
      </c>
      <c r="C454" s="461" t="s">
        <v>2244</v>
      </c>
      <c r="D454" s="519" t="str">
        <f>$D$254</f>
        <v>m²</v>
      </c>
      <c r="E454" s="518">
        <v>43.2</v>
      </c>
      <c r="F454" s="416">
        <f>$F$254</f>
        <v>145812.67000000001</v>
      </c>
      <c r="G454" s="463">
        <f t="shared" si="207"/>
        <v>6299107.3440000005</v>
      </c>
      <c r="H454" s="516">
        <v>40</v>
      </c>
      <c r="I454" s="516">
        <f t="shared" si="211"/>
        <v>1728</v>
      </c>
      <c r="N454" s="492" t="s">
        <v>2268</v>
      </c>
      <c r="O454" s="461" t="s">
        <v>2244</v>
      </c>
      <c r="P454" s="519" t="str">
        <f>$D$254</f>
        <v>m²</v>
      </c>
      <c r="Q454" s="518">
        <v>43.2</v>
      </c>
      <c r="R454" s="517">
        <f>$F$254</f>
        <v>145812.67000000001</v>
      </c>
      <c r="S454" s="463">
        <f t="shared" si="208"/>
        <v>6299107.3440000005</v>
      </c>
      <c r="T454" s="516">
        <v>40</v>
      </c>
      <c r="U454" s="516">
        <f t="shared" si="212"/>
        <v>1728</v>
      </c>
      <c r="V454" s="492" t="s">
        <v>2268</v>
      </c>
      <c r="W454" s="461" t="s">
        <v>2244</v>
      </c>
      <c r="X454" s="519" t="str">
        <f>$D$254</f>
        <v>m²</v>
      </c>
      <c r="Y454" s="518">
        <v>43.2</v>
      </c>
      <c r="Z454" s="517">
        <f>$F$254</f>
        <v>145812.67000000001</v>
      </c>
      <c r="AA454" s="463">
        <f t="shared" si="209"/>
        <v>6299107.3440000005</v>
      </c>
      <c r="AB454" s="516">
        <v>40</v>
      </c>
      <c r="AC454" s="516">
        <f t="shared" si="213"/>
        <v>1728</v>
      </c>
      <c r="AD454" s="492" t="s">
        <v>2268</v>
      </c>
      <c r="AE454" s="461" t="s">
        <v>2244</v>
      </c>
      <c r="AF454" s="519" t="str">
        <f>$D$254</f>
        <v>m²</v>
      </c>
      <c r="AG454" s="518">
        <v>43.2</v>
      </c>
      <c r="AH454" s="517">
        <f>$F$254</f>
        <v>145812.67000000001</v>
      </c>
      <c r="AI454" s="463">
        <f t="shared" si="210"/>
        <v>6299107.3440000005</v>
      </c>
      <c r="AJ454" s="516">
        <v>40</v>
      </c>
      <c r="AK454" s="516">
        <f t="shared" si="214"/>
        <v>1728</v>
      </c>
    </row>
    <row r="455" spans="2:37" ht="15" customHeight="1">
      <c r="B455" s="492" t="s">
        <v>2176</v>
      </c>
      <c r="C455" s="491" t="s">
        <v>2246</v>
      </c>
      <c r="D455" s="519" t="str">
        <f>$D$255</f>
        <v>bh</v>
      </c>
      <c r="E455" s="518">
        <v>4</v>
      </c>
      <c r="F455" s="416">
        <f>$F$255</f>
        <v>100000</v>
      </c>
      <c r="G455" s="463">
        <f t="shared" si="207"/>
        <v>400000</v>
      </c>
      <c r="H455" s="516">
        <v>2.5</v>
      </c>
      <c r="I455" s="516">
        <f t="shared" si="211"/>
        <v>10</v>
      </c>
      <c r="N455" s="492" t="s">
        <v>2176</v>
      </c>
      <c r="O455" s="491" t="s">
        <v>2246</v>
      </c>
      <c r="P455" s="519" t="str">
        <f>$D$255</f>
        <v>bh</v>
      </c>
      <c r="Q455" s="518">
        <v>4</v>
      </c>
      <c r="R455" s="517">
        <f>$F$255</f>
        <v>100000</v>
      </c>
      <c r="S455" s="463">
        <f t="shared" si="208"/>
        <v>400000</v>
      </c>
      <c r="T455" s="516">
        <v>2.5</v>
      </c>
      <c r="U455" s="516">
        <f t="shared" si="212"/>
        <v>10</v>
      </c>
      <c r="V455" s="492" t="s">
        <v>2176</v>
      </c>
      <c r="W455" s="491" t="s">
        <v>2246</v>
      </c>
      <c r="X455" s="519" t="str">
        <f>$D$255</f>
        <v>bh</v>
      </c>
      <c r="Y455" s="518">
        <v>4</v>
      </c>
      <c r="Z455" s="517">
        <f>$F$255</f>
        <v>100000</v>
      </c>
      <c r="AA455" s="463">
        <f t="shared" si="209"/>
        <v>400000</v>
      </c>
      <c r="AB455" s="516">
        <v>2.5</v>
      </c>
      <c r="AC455" s="516">
        <f t="shared" si="213"/>
        <v>10</v>
      </c>
      <c r="AD455" s="492" t="s">
        <v>2176</v>
      </c>
      <c r="AE455" s="491" t="s">
        <v>2246</v>
      </c>
      <c r="AF455" s="519" t="str">
        <f>$D$255</f>
        <v>bh</v>
      </c>
      <c r="AG455" s="518">
        <v>4</v>
      </c>
      <c r="AH455" s="517">
        <f>$F$255</f>
        <v>100000</v>
      </c>
      <c r="AI455" s="463">
        <f t="shared" si="210"/>
        <v>400000</v>
      </c>
      <c r="AJ455" s="516">
        <v>2.5</v>
      </c>
      <c r="AK455" s="516">
        <f t="shared" si="214"/>
        <v>10</v>
      </c>
    </row>
    <row r="456" spans="2:37" ht="15" customHeight="1">
      <c r="B456" s="492"/>
      <c r="C456" s="461"/>
      <c r="D456" s="519"/>
      <c r="E456" s="428"/>
      <c r="F456" s="416"/>
      <c r="G456" s="463">
        <f t="shared" si="207"/>
        <v>0</v>
      </c>
      <c r="I456" s="516">
        <f>SUM(I449:I454)</f>
        <v>271490.75257142854</v>
      </c>
      <c r="N456" s="492"/>
      <c r="O456" s="461"/>
      <c r="P456" s="519"/>
      <c r="Q456" s="428"/>
      <c r="R456" s="517"/>
      <c r="S456" s="463"/>
      <c r="U456" s="516">
        <f>SUM(U449:U454)</f>
        <v>271490.75257142854</v>
      </c>
      <c r="V456" s="492"/>
      <c r="W456" s="461"/>
      <c r="X456" s="519"/>
      <c r="Y456" s="428"/>
      <c r="Z456" s="517"/>
      <c r="AA456" s="463"/>
      <c r="AC456" s="516">
        <f>SUM(AC449:AC454)</f>
        <v>271490.75257142854</v>
      </c>
      <c r="AD456" s="492"/>
      <c r="AE456" s="461"/>
      <c r="AF456" s="519"/>
      <c r="AG456" s="428"/>
      <c r="AH456" s="517"/>
      <c r="AI456" s="463"/>
      <c r="AK456" s="516">
        <f>SUM(AK449:AK454)</f>
        <v>271490.75257142854</v>
      </c>
    </row>
    <row r="457" spans="2:37" ht="15" customHeight="1">
      <c r="B457" s="507">
        <v>3</v>
      </c>
      <c r="C457" s="460" t="s">
        <v>2086</v>
      </c>
      <c r="D457" s="519"/>
      <c r="E457" s="428"/>
      <c r="F457" s="416"/>
      <c r="G457" s="463">
        <f t="shared" si="207"/>
        <v>0</v>
      </c>
      <c r="N457" s="507">
        <v>3</v>
      </c>
      <c r="O457" s="460" t="s">
        <v>2086</v>
      </c>
      <c r="P457" s="519"/>
      <c r="Q457" s="428"/>
      <c r="R457" s="517"/>
      <c r="S457" s="463"/>
      <c r="V457" s="507">
        <v>3</v>
      </c>
      <c r="W457" s="460" t="s">
        <v>2086</v>
      </c>
      <c r="X457" s="519"/>
      <c r="Y457" s="428"/>
      <c r="Z457" s="517"/>
      <c r="AA457" s="463"/>
      <c r="AD457" s="507">
        <v>3</v>
      </c>
      <c r="AE457" s="460" t="s">
        <v>2086</v>
      </c>
      <c r="AF457" s="519"/>
      <c r="AG457" s="428"/>
      <c r="AH457" s="517"/>
      <c r="AI457" s="463"/>
    </row>
    <row r="458" spans="2:37" ht="15" customHeight="1">
      <c r="B458" s="492" t="s">
        <v>721</v>
      </c>
      <c r="C458" s="461" t="s">
        <v>2247</v>
      </c>
      <c r="D458" s="519" t="str">
        <f>$D$258</f>
        <v>bh</v>
      </c>
      <c r="E458" s="518">
        <v>4</v>
      </c>
      <c r="F458" s="416">
        <f>$F$258</f>
        <v>181849.04</v>
      </c>
      <c r="G458" s="463">
        <f t="shared" si="207"/>
        <v>727396.16</v>
      </c>
      <c r="N458" s="492" t="s">
        <v>721</v>
      </c>
      <c r="O458" s="461" t="s">
        <v>2247</v>
      </c>
      <c r="P458" s="519" t="str">
        <f>$D$258</f>
        <v>bh</v>
      </c>
      <c r="Q458" s="518">
        <v>4</v>
      </c>
      <c r="R458" s="517">
        <f>$F$258</f>
        <v>181849.04</v>
      </c>
      <c r="S458" s="463">
        <f t="shared" ref="S458:S463" si="215">Q458*R458</f>
        <v>727396.16</v>
      </c>
      <c r="V458" s="492" t="s">
        <v>721</v>
      </c>
      <c r="W458" s="461" t="s">
        <v>2247</v>
      </c>
      <c r="X458" s="519" t="str">
        <f>$D$258</f>
        <v>bh</v>
      </c>
      <c r="Y458" s="518">
        <v>4</v>
      </c>
      <c r="Z458" s="517">
        <f>$F$258</f>
        <v>181849.04</v>
      </c>
      <c r="AA458" s="463">
        <f t="shared" ref="AA458:AA463" si="216">Y458*Z458</f>
        <v>727396.16</v>
      </c>
      <c r="AD458" s="492" t="s">
        <v>721</v>
      </c>
      <c r="AE458" s="461" t="s">
        <v>2247</v>
      </c>
      <c r="AF458" s="519" t="str">
        <f>$D$258</f>
        <v>bh</v>
      </c>
      <c r="AG458" s="518">
        <v>4</v>
      </c>
      <c r="AH458" s="517">
        <f>$F$258</f>
        <v>181849.04</v>
      </c>
      <c r="AI458" s="463">
        <f t="shared" ref="AI458:AI463" si="217">AG458*AH458</f>
        <v>727396.16</v>
      </c>
    </row>
    <row r="459" spans="2:37" ht="15" customHeight="1">
      <c r="B459" s="492" t="s">
        <v>2166</v>
      </c>
      <c r="C459" s="461" t="s">
        <v>2085</v>
      </c>
      <c r="D459" s="519" t="str">
        <f>$D$259</f>
        <v>kg</v>
      </c>
      <c r="E459" s="518">
        <f>I456</f>
        <v>271490.75257142854</v>
      </c>
      <c r="F459" s="416">
        <f>$F$259</f>
        <v>462.7700000000001</v>
      </c>
      <c r="G459" s="463">
        <f t="shared" si="207"/>
        <v>125637775.56748001</v>
      </c>
      <c r="N459" s="492" t="s">
        <v>2166</v>
      </c>
      <c r="O459" s="461" t="s">
        <v>2085</v>
      </c>
      <c r="P459" s="519" t="str">
        <f>$D$259</f>
        <v>kg</v>
      </c>
      <c r="Q459" s="518">
        <f>U456</f>
        <v>271490.75257142854</v>
      </c>
      <c r="R459" s="517">
        <f>$F$259</f>
        <v>462.7700000000001</v>
      </c>
      <c r="S459" s="463">
        <f t="shared" si="215"/>
        <v>125637775.56748001</v>
      </c>
      <c r="V459" s="492" t="s">
        <v>2166</v>
      </c>
      <c r="W459" s="461" t="s">
        <v>2085</v>
      </c>
      <c r="X459" s="519" t="str">
        <f>$D$259</f>
        <v>kg</v>
      </c>
      <c r="Y459" s="518">
        <f>AC456</f>
        <v>271490.75257142854</v>
      </c>
      <c r="Z459" s="517">
        <f>$F$259</f>
        <v>462.7700000000001</v>
      </c>
      <c r="AA459" s="463">
        <f t="shared" si="216"/>
        <v>125637775.56748001</v>
      </c>
      <c r="AD459" s="492" t="s">
        <v>2166</v>
      </c>
      <c r="AE459" s="461" t="s">
        <v>2085</v>
      </c>
      <c r="AF459" s="519" t="str">
        <f>$D$259</f>
        <v>kg</v>
      </c>
      <c r="AG459" s="518">
        <f>AK456</f>
        <v>271490.75257142854</v>
      </c>
      <c r="AH459" s="517">
        <f>$F$259</f>
        <v>462.7700000000001</v>
      </c>
      <c r="AI459" s="463">
        <f t="shared" si="217"/>
        <v>125637775.56748001</v>
      </c>
    </row>
    <row r="460" spans="2:37" ht="15" customHeight="1">
      <c r="B460" s="492" t="s">
        <v>2168</v>
      </c>
      <c r="C460" s="461" t="s">
        <v>2249</v>
      </c>
      <c r="D460" s="519" t="str">
        <f>$D$260</f>
        <v>bh</v>
      </c>
      <c r="E460" s="518">
        <v>4</v>
      </c>
      <c r="F460" s="416">
        <f>$F$260</f>
        <v>387825</v>
      </c>
      <c r="G460" s="463">
        <f t="shared" si="207"/>
        <v>1551300</v>
      </c>
      <c r="N460" s="492" t="s">
        <v>2168</v>
      </c>
      <c r="O460" s="461" t="s">
        <v>2249</v>
      </c>
      <c r="P460" s="519" t="str">
        <f>$D$260</f>
        <v>bh</v>
      </c>
      <c r="Q460" s="518">
        <v>4</v>
      </c>
      <c r="R460" s="517">
        <f>$F$260</f>
        <v>387825</v>
      </c>
      <c r="S460" s="463">
        <f t="shared" si="215"/>
        <v>1551300</v>
      </c>
      <c r="V460" s="492" t="s">
        <v>2168</v>
      </c>
      <c r="W460" s="461" t="s">
        <v>2249</v>
      </c>
      <c r="X460" s="519" t="str">
        <f>$D$260</f>
        <v>bh</v>
      </c>
      <c r="Y460" s="518">
        <v>4</v>
      </c>
      <c r="Z460" s="517">
        <f>$F$260</f>
        <v>387825</v>
      </c>
      <c r="AA460" s="463">
        <f t="shared" si="216"/>
        <v>1551300</v>
      </c>
      <c r="AD460" s="492" t="s">
        <v>2168</v>
      </c>
      <c r="AE460" s="461" t="s">
        <v>2249</v>
      </c>
      <c r="AF460" s="519" t="str">
        <f>$D$260</f>
        <v>bh</v>
      </c>
      <c r="AG460" s="518">
        <v>4</v>
      </c>
      <c r="AH460" s="517">
        <f>$F$260</f>
        <v>387825</v>
      </c>
      <c r="AI460" s="463">
        <f t="shared" si="217"/>
        <v>1551300</v>
      </c>
    </row>
    <row r="461" spans="2:37" ht="15" customHeight="1">
      <c r="B461" s="492" t="s">
        <v>2170</v>
      </c>
      <c r="C461" s="461" t="s">
        <v>2250</v>
      </c>
      <c r="D461" s="519" t="str">
        <f>$D$261</f>
        <v>kg</v>
      </c>
      <c r="E461" s="518">
        <v>150.93599999999998</v>
      </c>
      <c r="F461" s="416">
        <f>$F$261</f>
        <v>3758.6984549742947</v>
      </c>
      <c r="G461" s="463">
        <f t="shared" si="207"/>
        <v>567322.91</v>
      </c>
      <c r="N461" s="492" t="s">
        <v>2170</v>
      </c>
      <c r="O461" s="461" t="s">
        <v>2250</v>
      </c>
      <c r="P461" s="519" t="str">
        <f>$D$261</f>
        <v>kg</v>
      </c>
      <c r="Q461" s="518">
        <v>239.61599999999999</v>
      </c>
      <c r="R461" s="517">
        <f>$F$261</f>
        <v>3758.6984549742947</v>
      </c>
      <c r="S461" s="463">
        <f t="shared" si="215"/>
        <v>900644.2889871205</v>
      </c>
      <c r="V461" s="492" t="s">
        <v>2170</v>
      </c>
      <c r="W461" s="461" t="s">
        <v>2269</v>
      </c>
      <c r="X461" s="519" t="str">
        <f>$D$261</f>
        <v>kg</v>
      </c>
      <c r="Y461" s="518">
        <v>311.47199999999998</v>
      </c>
      <c r="Z461" s="517">
        <f>$F$261</f>
        <v>3758.6984549742947</v>
      </c>
      <c r="AA461" s="463">
        <f t="shared" si="216"/>
        <v>1170729.3251677535</v>
      </c>
      <c r="AD461" s="492" t="s">
        <v>2170</v>
      </c>
      <c r="AE461" s="461" t="s">
        <v>2269</v>
      </c>
      <c r="AF461" s="519" t="str">
        <f>$D$261</f>
        <v>kg</v>
      </c>
      <c r="AG461" s="518">
        <v>403.17599999999999</v>
      </c>
      <c r="AH461" s="517">
        <f>$F$261</f>
        <v>3758.6984549742947</v>
      </c>
      <c r="AI461" s="463">
        <f t="shared" si="217"/>
        <v>1515417.0082827162</v>
      </c>
    </row>
    <row r="462" spans="2:37" ht="15" customHeight="1">
      <c r="B462" s="492" t="s">
        <v>2172</v>
      </c>
      <c r="C462" s="461" t="s">
        <v>2251</v>
      </c>
      <c r="D462" s="519" t="str">
        <f>$D$262</f>
        <v>set</v>
      </c>
      <c r="E462" s="518">
        <v>1</v>
      </c>
      <c r="F462" s="416">
        <f>$F$262</f>
        <v>855127</v>
      </c>
      <c r="G462" s="463">
        <f t="shared" si="207"/>
        <v>855127</v>
      </c>
      <c r="N462" s="492" t="s">
        <v>2172</v>
      </c>
      <c r="O462" s="461" t="s">
        <v>2251</v>
      </c>
      <c r="P462" s="519" t="str">
        <f>$D$262</f>
        <v>set</v>
      </c>
      <c r="Q462" s="518">
        <v>1</v>
      </c>
      <c r="R462" s="517">
        <f>$F$262</f>
        <v>855127</v>
      </c>
      <c r="S462" s="463">
        <f t="shared" si="215"/>
        <v>855127</v>
      </c>
      <c r="V462" s="492" t="s">
        <v>2172</v>
      </c>
      <c r="W462" s="461" t="s">
        <v>2251</v>
      </c>
      <c r="X462" s="519" t="str">
        <f>$D$262</f>
        <v>set</v>
      </c>
      <c r="Y462" s="518">
        <v>1</v>
      </c>
      <c r="Z462" s="517">
        <f>$F$262</f>
        <v>855127</v>
      </c>
      <c r="AA462" s="463">
        <f t="shared" si="216"/>
        <v>855127</v>
      </c>
      <c r="AD462" s="492" t="s">
        <v>2172</v>
      </c>
      <c r="AE462" s="461" t="s">
        <v>2251</v>
      </c>
      <c r="AF462" s="519" t="str">
        <f>$D$262</f>
        <v>set</v>
      </c>
      <c r="AG462" s="518">
        <v>1</v>
      </c>
      <c r="AH462" s="517">
        <f>$F$262</f>
        <v>855127</v>
      </c>
      <c r="AI462" s="463">
        <f t="shared" si="217"/>
        <v>855127</v>
      </c>
    </row>
    <row r="463" spans="2:37" ht="15" customHeight="1">
      <c r="B463" s="492" t="s">
        <v>2174</v>
      </c>
      <c r="C463" s="461" t="s">
        <v>2252</v>
      </c>
      <c r="D463" s="519" t="str">
        <f>$D$263</f>
        <v>set</v>
      </c>
      <c r="E463" s="518">
        <v>1</v>
      </c>
      <c r="F463" s="416">
        <f>$F$263</f>
        <v>674025</v>
      </c>
      <c r="G463" s="463">
        <f t="shared" si="207"/>
        <v>674025</v>
      </c>
      <c r="N463" s="492" t="s">
        <v>2174</v>
      </c>
      <c r="O463" s="461" t="s">
        <v>2252</v>
      </c>
      <c r="P463" s="519" t="str">
        <f>$D$263</f>
        <v>set</v>
      </c>
      <c r="Q463" s="518">
        <v>1</v>
      </c>
      <c r="R463" s="517">
        <f>$F$263</f>
        <v>674025</v>
      </c>
      <c r="S463" s="463">
        <f t="shared" si="215"/>
        <v>674025</v>
      </c>
      <c r="V463" s="492" t="s">
        <v>2174</v>
      </c>
      <c r="W463" s="461" t="s">
        <v>2252</v>
      </c>
      <c r="X463" s="519" t="str">
        <f>$D$263</f>
        <v>set</v>
      </c>
      <c r="Y463" s="518">
        <v>1</v>
      </c>
      <c r="Z463" s="517">
        <f>$F$263</f>
        <v>674025</v>
      </c>
      <c r="AA463" s="463">
        <f t="shared" si="216"/>
        <v>674025</v>
      </c>
      <c r="AD463" s="492" t="s">
        <v>2174</v>
      </c>
      <c r="AE463" s="461" t="s">
        <v>2252</v>
      </c>
      <c r="AF463" s="519" t="str">
        <f>$D$263</f>
        <v>set</v>
      </c>
      <c r="AG463" s="518">
        <v>1</v>
      </c>
      <c r="AH463" s="517">
        <f>$F$263</f>
        <v>674025</v>
      </c>
      <c r="AI463" s="463">
        <f t="shared" si="217"/>
        <v>674025</v>
      </c>
    </row>
    <row r="464" spans="2:37" ht="15" customHeight="1" thickBot="1">
      <c r="B464" s="459"/>
      <c r="C464" s="1194" t="s">
        <v>3263</v>
      </c>
      <c r="D464" s="1195"/>
      <c r="E464" s="1195"/>
      <c r="F464" s="1196"/>
      <c r="G464" s="458">
        <f>SUM(G443:G463)</f>
        <v>516613820.0819084</v>
      </c>
      <c r="N464" s="459"/>
      <c r="O464" s="1194" t="s">
        <v>3263</v>
      </c>
      <c r="P464" s="1195"/>
      <c r="Q464" s="1195"/>
      <c r="R464" s="1196"/>
      <c r="S464" s="458">
        <f>SUM(S443:S463)</f>
        <v>516947141.46089548</v>
      </c>
      <c r="V464" s="459"/>
      <c r="W464" s="1194" t="s">
        <v>3263</v>
      </c>
      <c r="X464" s="1195"/>
      <c r="Y464" s="1195"/>
      <c r="Z464" s="1196"/>
      <c r="AA464" s="458">
        <f>SUM(AA443:AA463)</f>
        <v>517217226.49707615</v>
      </c>
      <c r="AD464" s="459"/>
      <c r="AE464" s="1194" t="s">
        <v>3263</v>
      </c>
      <c r="AF464" s="1195"/>
      <c r="AG464" s="1195"/>
      <c r="AH464" s="1196"/>
      <c r="AI464" s="458">
        <f>SUM(AI443:AI463)</f>
        <v>517561914.1801911</v>
      </c>
    </row>
    <row r="465" spans="2:37" ht="15" customHeight="1" thickBot="1">
      <c r="B465" s="427"/>
      <c r="C465" s="427"/>
      <c r="D465" s="427"/>
      <c r="E465" s="427"/>
      <c r="F465" s="426"/>
      <c r="G465" s="426"/>
      <c r="N465" s="427"/>
      <c r="O465" s="427"/>
      <c r="P465" s="427"/>
      <c r="Q465" s="427"/>
      <c r="R465" s="427"/>
      <c r="S465" s="426"/>
      <c r="V465" s="427"/>
      <c r="W465" s="427"/>
      <c r="X465" s="427"/>
      <c r="Y465" s="427"/>
      <c r="Z465" s="427"/>
      <c r="AA465" s="426"/>
      <c r="AD465" s="427"/>
      <c r="AE465" s="427"/>
      <c r="AF465" s="427"/>
      <c r="AG465" s="427"/>
      <c r="AH465" s="427"/>
      <c r="AI465" s="426"/>
    </row>
    <row r="466" spans="2:37" ht="15" customHeight="1" thickBot="1">
      <c r="B466" s="452" t="s">
        <v>2229</v>
      </c>
      <c r="C466" s="435"/>
      <c r="D466" s="434">
        <v>6</v>
      </c>
      <c r="E466" s="433"/>
      <c r="F466" s="411"/>
      <c r="G466" s="431"/>
      <c r="N466" s="452" t="s">
        <v>2230</v>
      </c>
      <c r="O466" s="435"/>
      <c r="P466" s="434">
        <v>6</v>
      </c>
      <c r="Q466" s="433"/>
      <c r="R466" s="432"/>
      <c r="S466" s="431"/>
      <c r="V466" s="452" t="s">
        <v>2231</v>
      </c>
      <c r="W466" s="435"/>
      <c r="X466" s="434"/>
      <c r="Y466" s="433"/>
      <c r="Z466" s="432"/>
      <c r="AA466" s="431"/>
      <c r="AD466" s="452" t="s">
        <v>2254</v>
      </c>
      <c r="AE466" s="435"/>
      <c r="AF466" s="434"/>
      <c r="AG466" s="433"/>
      <c r="AH466" s="432"/>
      <c r="AI466" s="431"/>
    </row>
    <row r="467" spans="2:37" ht="15" customHeight="1">
      <c r="B467" s="446"/>
      <c r="C467" s="445" t="s">
        <v>3264</v>
      </c>
      <c r="D467" s="444"/>
      <c r="E467" s="443"/>
      <c r="F467" s="413"/>
      <c r="G467" s="441"/>
      <c r="N467" s="446"/>
      <c r="O467" s="445" t="s">
        <v>3264</v>
      </c>
      <c r="P467" s="444"/>
      <c r="Q467" s="443"/>
      <c r="R467" s="442"/>
      <c r="S467" s="441"/>
      <c r="V467" s="446"/>
      <c r="W467" s="445" t="s">
        <v>3265</v>
      </c>
      <c r="X467" s="444"/>
      <c r="Y467" s="443"/>
      <c r="Z467" s="442"/>
      <c r="AA467" s="441"/>
      <c r="AD467" s="446"/>
      <c r="AE467" s="445" t="s">
        <v>3265</v>
      </c>
      <c r="AF467" s="444"/>
      <c r="AG467" s="443"/>
      <c r="AH467" s="442"/>
      <c r="AI467" s="441"/>
    </row>
    <row r="468" spans="2:37" ht="15" customHeight="1">
      <c r="B468" s="468">
        <v>1</v>
      </c>
      <c r="C468" s="467" t="s">
        <v>2234</v>
      </c>
      <c r="D468" s="519"/>
      <c r="E468" s="430"/>
      <c r="F468" s="417"/>
      <c r="G468" s="486"/>
      <c r="N468" s="468">
        <v>1</v>
      </c>
      <c r="O468" s="467" t="s">
        <v>2234</v>
      </c>
      <c r="P468" s="519"/>
      <c r="Q468" s="430"/>
      <c r="R468" s="429"/>
      <c r="S468" s="486"/>
      <c r="V468" s="468">
        <v>1</v>
      </c>
      <c r="W468" s="467" t="s">
        <v>2234</v>
      </c>
      <c r="X468" s="519"/>
      <c r="Y468" s="430"/>
      <c r="Z468" s="429"/>
      <c r="AA468" s="486"/>
      <c r="AD468" s="468">
        <v>1</v>
      </c>
      <c r="AE468" s="467" t="s">
        <v>2234</v>
      </c>
      <c r="AF468" s="519"/>
      <c r="AG468" s="430"/>
      <c r="AH468" s="429"/>
      <c r="AI468" s="486"/>
    </row>
    <row r="469" spans="2:37" ht="15" customHeight="1">
      <c r="B469" s="492" t="s">
        <v>721</v>
      </c>
      <c r="C469" s="464" t="s">
        <v>2235</v>
      </c>
      <c r="D469" s="519" t="str">
        <f>$D$244</f>
        <v>m³</v>
      </c>
      <c r="E469" s="518">
        <v>50.35</v>
      </c>
      <c r="F469" s="416">
        <f>$F$244</f>
        <v>102390.75000000001</v>
      </c>
      <c r="G469" s="463">
        <f>E469*F469</f>
        <v>5155374.2625000011</v>
      </c>
      <c r="N469" s="492" t="s">
        <v>721</v>
      </c>
      <c r="O469" s="464" t="s">
        <v>2235</v>
      </c>
      <c r="P469" s="519" t="str">
        <f>$D$244</f>
        <v>m³</v>
      </c>
      <c r="Q469" s="518">
        <v>50.35</v>
      </c>
      <c r="R469" s="517">
        <f>$F$244</f>
        <v>102390.75000000001</v>
      </c>
      <c r="S469" s="463">
        <f>Q469*R469</f>
        <v>5155374.2625000011</v>
      </c>
      <c r="V469" s="492" t="s">
        <v>721</v>
      </c>
      <c r="W469" s="464" t="s">
        <v>2235</v>
      </c>
      <c r="X469" s="519" t="str">
        <f>$D$244</f>
        <v>m³</v>
      </c>
      <c r="Y469" s="518">
        <v>50.35</v>
      </c>
      <c r="Z469" s="517">
        <f>$F$244</f>
        <v>102390.75000000001</v>
      </c>
      <c r="AA469" s="463">
        <f>Y469*Z469</f>
        <v>5155374.2625000011</v>
      </c>
      <c r="AD469" s="492" t="s">
        <v>721</v>
      </c>
      <c r="AE469" s="464" t="s">
        <v>2235</v>
      </c>
      <c r="AF469" s="519" t="str">
        <f>$D$244</f>
        <v>m³</v>
      </c>
      <c r="AG469" s="518">
        <v>50.35</v>
      </c>
      <c r="AH469" s="517">
        <f>$F$244</f>
        <v>102390.75000000001</v>
      </c>
      <c r="AI469" s="463">
        <f>AG469*AH469</f>
        <v>5155374.2625000011</v>
      </c>
    </row>
    <row r="470" spans="2:37" ht="15" customHeight="1">
      <c r="B470" s="492" t="s">
        <v>2166</v>
      </c>
      <c r="C470" s="464" t="s">
        <v>2237</v>
      </c>
      <c r="D470" s="519" t="str">
        <f>$D$245</f>
        <v>m³</v>
      </c>
      <c r="E470" s="518">
        <v>12.160000000000002</v>
      </c>
      <c r="F470" s="416">
        <f>$F$245</f>
        <v>62462.950000000012</v>
      </c>
      <c r="G470" s="463">
        <f t="shared" ref="G470:G488" si="218">E470*F470</f>
        <v>759549.4720000003</v>
      </c>
      <c r="N470" s="492" t="s">
        <v>2166</v>
      </c>
      <c r="O470" s="464" t="s">
        <v>2237</v>
      </c>
      <c r="P470" s="519" t="str">
        <f>$D$245</f>
        <v>m³</v>
      </c>
      <c r="Q470" s="518">
        <v>12.160000000000002</v>
      </c>
      <c r="R470" s="517">
        <f>$F$245</f>
        <v>62462.950000000012</v>
      </c>
      <c r="S470" s="463">
        <f>Q470*R470</f>
        <v>759549.4720000003</v>
      </c>
      <c r="V470" s="492" t="s">
        <v>2166</v>
      </c>
      <c r="W470" s="464" t="s">
        <v>2237</v>
      </c>
      <c r="X470" s="519" t="str">
        <f>$D$245</f>
        <v>m³</v>
      </c>
      <c r="Y470" s="518">
        <v>12.160000000000002</v>
      </c>
      <c r="Z470" s="517">
        <f>$F$245</f>
        <v>62462.950000000012</v>
      </c>
      <c r="AA470" s="463">
        <f>Y470*Z470</f>
        <v>759549.4720000003</v>
      </c>
      <c r="AD470" s="492" t="s">
        <v>2166</v>
      </c>
      <c r="AE470" s="464" t="s">
        <v>2237</v>
      </c>
      <c r="AF470" s="519" t="str">
        <f>$D$245</f>
        <v>m³</v>
      </c>
      <c r="AG470" s="518">
        <v>12.160000000000002</v>
      </c>
      <c r="AH470" s="517">
        <f>$F$245</f>
        <v>62462.950000000012</v>
      </c>
      <c r="AI470" s="463">
        <f>AG470*AH470</f>
        <v>759549.4720000003</v>
      </c>
    </row>
    <row r="471" spans="2:37" ht="15" customHeight="1">
      <c r="B471" s="492" t="s">
        <v>2168</v>
      </c>
      <c r="C471" s="464" t="s">
        <v>2265</v>
      </c>
      <c r="D471" s="519" t="str">
        <f>$D$246</f>
        <v>m'</v>
      </c>
      <c r="E471" s="518">
        <v>304</v>
      </c>
      <c r="F471" s="416">
        <f>$F$246</f>
        <v>52230.612500000003</v>
      </c>
      <c r="G471" s="463">
        <f t="shared" si="218"/>
        <v>15878106.200000001</v>
      </c>
      <c r="N471" s="492" t="s">
        <v>2168</v>
      </c>
      <c r="O471" s="464" t="s">
        <v>2265</v>
      </c>
      <c r="P471" s="519" t="str">
        <f>$D$246</f>
        <v>m'</v>
      </c>
      <c r="Q471" s="518">
        <v>304</v>
      </c>
      <c r="R471" s="517">
        <f>$F$246</f>
        <v>52230.612500000003</v>
      </c>
      <c r="S471" s="463">
        <f>Q471*R471</f>
        <v>15878106.200000001</v>
      </c>
      <c r="V471" s="492" t="s">
        <v>2168</v>
      </c>
      <c r="W471" s="464" t="s">
        <v>2265</v>
      </c>
      <c r="X471" s="519" t="str">
        <f>$D$246</f>
        <v>m'</v>
      </c>
      <c r="Y471" s="518">
        <v>304</v>
      </c>
      <c r="Z471" s="517">
        <f>$F$246</f>
        <v>52230.612500000003</v>
      </c>
      <c r="AA471" s="463">
        <f>Y471*Z471</f>
        <v>15878106.200000001</v>
      </c>
      <c r="AD471" s="492" t="s">
        <v>2168</v>
      </c>
      <c r="AE471" s="464" t="s">
        <v>2265</v>
      </c>
      <c r="AF471" s="519" t="str">
        <f>$D$246</f>
        <v>m'</v>
      </c>
      <c r="AG471" s="518">
        <v>304</v>
      </c>
      <c r="AH471" s="517">
        <f>$F$246</f>
        <v>52230.612500000003</v>
      </c>
      <c r="AI471" s="463">
        <f>AG471*AH471</f>
        <v>15878106.200000001</v>
      </c>
    </row>
    <row r="472" spans="2:37" ht="15" customHeight="1">
      <c r="B472" s="462"/>
      <c r="C472" s="464"/>
      <c r="D472" s="519"/>
      <c r="E472" s="428"/>
      <c r="F472" s="416"/>
      <c r="G472" s="463">
        <f t="shared" si="218"/>
        <v>0</v>
      </c>
      <c r="N472" s="462"/>
      <c r="O472" s="464"/>
      <c r="P472" s="519"/>
      <c r="Q472" s="428"/>
      <c r="R472" s="517"/>
      <c r="S472" s="463"/>
      <c r="V472" s="462"/>
      <c r="W472" s="464"/>
      <c r="X472" s="519"/>
      <c r="Y472" s="428"/>
      <c r="Z472" s="517"/>
      <c r="AA472" s="463"/>
      <c r="AD472" s="462"/>
      <c r="AE472" s="464"/>
      <c r="AF472" s="519"/>
      <c r="AG472" s="428"/>
      <c r="AH472" s="517"/>
      <c r="AI472" s="463"/>
    </row>
    <row r="473" spans="2:37" ht="15" customHeight="1">
      <c r="B473" s="507">
        <v>2</v>
      </c>
      <c r="C473" s="467" t="s">
        <v>2238</v>
      </c>
      <c r="D473" s="519"/>
      <c r="E473" s="428"/>
      <c r="F473" s="416"/>
      <c r="G473" s="463">
        <f t="shared" si="218"/>
        <v>0</v>
      </c>
      <c r="H473" s="516" t="s">
        <v>2239</v>
      </c>
      <c r="N473" s="507">
        <v>2</v>
      </c>
      <c r="O473" s="467" t="s">
        <v>2238</v>
      </c>
      <c r="P473" s="519"/>
      <c r="Q473" s="428"/>
      <c r="R473" s="517"/>
      <c r="S473" s="463"/>
      <c r="T473" s="516" t="s">
        <v>2239</v>
      </c>
      <c r="V473" s="507">
        <v>2</v>
      </c>
      <c r="W473" s="467" t="s">
        <v>2238</v>
      </c>
      <c r="X473" s="519"/>
      <c r="Y473" s="428"/>
      <c r="Z473" s="517"/>
      <c r="AA473" s="463"/>
      <c r="AB473" s="516" t="s">
        <v>2239</v>
      </c>
      <c r="AD473" s="507">
        <v>2</v>
      </c>
      <c r="AE473" s="467" t="s">
        <v>2238</v>
      </c>
      <c r="AF473" s="519"/>
      <c r="AG473" s="428"/>
      <c r="AH473" s="517"/>
      <c r="AI473" s="463"/>
      <c r="AJ473" s="516" t="s">
        <v>2239</v>
      </c>
    </row>
    <row r="474" spans="2:37" ht="15" customHeight="1">
      <c r="B474" s="492" t="s">
        <v>721</v>
      </c>
      <c r="C474" s="464" t="s">
        <v>2240</v>
      </c>
      <c r="D474" s="519" t="str">
        <f>$D$249</f>
        <v>m³</v>
      </c>
      <c r="E474" s="518">
        <v>4.9000000000000004</v>
      </c>
      <c r="F474" s="416">
        <f>$F$249</f>
        <v>404738.95</v>
      </c>
      <c r="G474" s="463">
        <f t="shared" si="218"/>
        <v>1983220.8550000002</v>
      </c>
      <c r="H474" s="516">
        <v>1400</v>
      </c>
      <c r="I474" s="516">
        <f>E474*H474</f>
        <v>6860.0000000000009</v>
      </c>
      <c r="N474" s="492" t="s">
        <v>721</v>
      </c>
      <c r="O474" s="464" t="s">
        <v>2240</v>
      </c>
      <c r="P474" s="519" t="str">
        <f>$D$249</f>
        <v>m³</v>
      </c>
      <c r="Q474" s="518">
        <v>4.9000000000000004</v>
      </c>
      <c r="R474" s="517">
        <f>$F$249</f>
        <v>404738.95</v>
      </c>
      <c r="S474" s="463">
        <f t="shared" ref="S474:S480" si="219">Q474*R474</f>
        <v>1983220.8550000002</v>
      </c>
      <c r="T474" s="516">
        <v>1400</v>
      </c>
      <c r="U474" s="516">
        <f>Q474*T474</f>
        <v>6860.0000000000009</v>
      </c>
      <c r="V474" s="492" t="s">
        <v>721</v>
      </c>
      <c r="W474" s="464" t="s">
        <v>2240</v>
      </c>
      <c r="X474" s="519" t="str">
        <f>$D$249</f>
        <v>m³</v>
      </c>
      <c r="Y474" s="518">
        <v>4.9000000000000004</v>
      </c>
      <c r="Z474" s="517">
        <f>$F$249</f>
        <v>404738.95</v>
      </c>
      <c r="AA474" s="463">
        <f t="shared" ref="AA474:AA480" si="220">Y474*Z474</f>
        <v>1983220.8550000002</v>
      </c>
      <c r="AB474" s="516">
        <v>1400</v>
      </c>
      <c r="AC474" s="516">
        <f>Y474*AB474</f>
        <v>6860.0000000000009</v>
      </c>
      <c r="AD474" s="492" t="s">
        <v>721</v>
      </c>
      <c r="AE474" s="464" t="s">
        <v>2240</v>
      </c>
      <c r="AF474" s="519" t="str">
        <f>$D$249</f>
        <v>m³</v>
      </c>
      <c r="AG474" s="518">
        <v>4.9000000000000004</v>
      </c>
      <c r="AH474" s="517">
        <f>$F$249</f>
        <v>404738.95</v>
      </c>
      <c r="AI474" s="463">
        <f t="shared" ref="AI474:AI480" si="221">AG474*AH474</f>
        <v>1983220.8550000002</v>
      </c>
      <c r="AJ474" s="516">
        <v>1400</v>
      </c>
      <c r="AK474" s="516">
        <f>AG474*AJ474</f>
        <v>6860.0000000000009</v>
      </c>
    </row>
    <row r="475" spans="2:37" ht="15" customHeight="1">
      <c r="B475" s="492" t="s">
        <v>2166</v>
      </c>
      <c r="C475" s="461" t="s">
        <v>2241</v>
      </c>
      <c r="D475" s="519" t="str">
        <f>$D$250</f>
        <v>m³</v>
      </c>
      <c r="E475" s="518">
        <v>2.4500000000000002</v>
      </c>
      <c r="F475" s="416">
        <f>$F$250</f>
        <v>710224.707936508</v>
      </c>
      <c r="G475" s="463">
        <f t="shared" si="218"/>
        <v>1740050.5344444448</v>
      </c>
      <c r="H475" s="516">
        <v>2200</v>
      </c>
      <c r="I475" s="516">
        <f t="shared" ref="I475:I480" si="222">E475*H475</f>
        <v>5390</v>
      </c>
      <c r="N475" s="492" t="s">
        <v>2166</v>
      </c>
      <c r="O475" s="461" t="s">
        <v>2241</v>
      </c>
      <c r="P475" s="519" t="str">
        <f>$D$250</f>
        <v>m³</v>
      </c>
      <c r="Q475" s="518">
        <v>2.4500000000000002</v>
      </c>
      <c r="R475" s="517">
        <f>$F$250</f>
        <v>710224.707936508</v>
      </c>
      <c r="S475" s="463">
        <f t="shared" si="219"/>
        <v>1740050.5344444448</v>
      </c>
      <c r="T475" s="516">
        <v>2200</v>
      </c>
      <c r="U475" s="516">
        <f t="shared" ref="U475:U480" si="223">Q475*T475</f>
        <v>5390</v>
      </c>
      <c r="V475" s="492" t="s">
        <v>2166</v>
      </c>
      <c r="W475" s="461" t="s">
        <v>2241</v>
      </c>
      <c r="X475" s="519" t="str">
        <f>$D$250</f>
        <v>m³</v>
      </c>
      <c r="Y475" s="518">
        <v>2.4500000000000002</v>
      </c>
      <c r="Z475" s="517">
        <f>$F$250</f>
        <v>710224.707936508</v>
      </c>
      <c r="AA475" s="463">
        <f t="shared" si="220"/>
        <v>1740050.5344444448</v>
      </c>
      <c r="AB475" s="516">
        <v>2200</v>
      </c>
      <c r="AC475" s="516">
        <f t="shared" ref="AC475:AC480" si="224">Y475*AB475</f>
        <v>5390</v>
      </c>
      <c r="AD475" s="492" t="s">
        <v>2166</v>
      </c>
      <c r="AE475" s="461" t="s">
        <v>2241</v>
      </c>
      <c r="AF475" s="519" t="str">
        <f>$D$250</f>
        <v>m³</v>
      </c>
      <c r="AG475" s="518">
        <v>2.4500000000000002</v>
      </c>
      <c r="AH475" s="517">
        <f>$F$250</f>
        <v>710224.707936508</v>
      </c>
      <c r="AI475" s="463">
        <f t="shared" si="221"/>
        <v>1740050.5344444448</v>
      </c>
      <c r="AJ475" s="516">
        <v>2200</v>
      </c>
      <c r="AK475" s="516">
        <f t="shared" ref="AK475:AK480" si="225">AG475*AJ475</f>
        <v>5390</v>
      </c>
    </row>
    <row r="476" spans="2:37" ht="15" customHeight="1">
      <c r="B476" s="492" t="s">
        <v>2168</v>
      </c>
      <c r="C476" s="461" t="s">
        <v>2266</v>
      </c>
      <c r="D476" s="519" t="str">
        <f>$D$251</f>
        <v>m³</v>
      </c>
      <c r="E476" s="518">
        <v>30.84</v>
      </c>
      <c r="F476" s="416">
        <f>$F$251</f>
        <v>1115864.6138095236</v>
      </c>
      <c r="G476" s="463">
        <f t="shared" si="218"/>
        <v>34413264.689885706</v>
      </c>
      <c r="H476" s="516">
        <v>2400</v>
      </c>
      <c r="I476" s="516">
        <f t="shared" si="222"/>
        <v>74016</v>
      </c>
      <c r="N476" s="492" t="s">
        <v>2168</v>
      </c>
      <c r="O476" s="461" t="s">
        <v>2266</v>
      </c>
      <c r="P476" s="519" t="str">
        <f>$D$251</f>
        <v>m³</v>
      </c>
      <c r="Q476" s="518">
        <v>30.84</v>
      </c>
      <c r="R476" s="517">
        <f>$F$251</f>
        <v>1115864.6138095236</v>
      </c>
      <c r="S476" s="463">
        <f t="shared" si="219"/>
        <v>34413264.689885706</v>
      </c>
      <c r="T476" s="516">
        <v>2400</v>
      </c>
      <c r="U476" s="516">
        <f t="shared" si="223"/>
        <v>74016</v>
      </c>
      <c r="V476" s="492" t="s">
        <v>2168</v>
      </c>
      <c r="W476" s="461" t="str">
        <f>O476</f>
        <v>Beton K 225 (Pad &amp; Chimney)</v>
      </c>
      <c r="X476" s="519" t="str">
        <f>$D$251</f>
        <v>m³</v>
      </c>
      <c r="Y476" s="518">
        <v>30.84</v>
      </c>
      <c r="Z476" s="517">
        <f>$F$251</f>
        <v>1115864.6138095236</v>
      </c>
      <c r="AA476" s="463">
        <f t="shared" si="220"/>
        <v>34413264.689885706</v>
      </c>
      <c r="AB476" s="516">
        <v>2400</v>
      </c>
      <c r="AC476" s="516">
        <f t="shared" si="224"/>
        <v>74016</v>
      </c>
      <c r="AD476" s="492" t="s">
        <v>2168</v>
      </c>
      <c r="AE476" s="461" t="str">
        <f>W476</f>
        <v>Beton K 225 (Pad &amp; Chimney)</v>
      </c>
      <c r="AF476" s="519" t="str">
        <f>$D$251</f>
        <v>m³</v>
      </c>
      <c r="AG476" s="518">
        <v>30.84</v>
      </c>
      <c r="AH476" s="517">
        <f>$F$251</f>
        <v>1115864.6138095236</v>
      </c>
      <c r="AI476" s="463">
        <f t="shared" si="221"/>
        <v>34413264.689885706</v>
      </c>
      <c r="AJ476" s="516">
        <v>2400</v>
      </c>
      <c r="AK476" s="516">
        <f t="shared" si="225"/>
        <v>74016</v>
      </c>
    </row>
    <row r="477" spans="2:37" ht="15" customHeight="1">
      <c r="B477" s="492" t="s">
        <v>2170</v>
      </c>
      <c r="C477" s="461" t="s">
        <v>2267</v>
      </c>
      <c r="D477" s="519" t="str">
        <f>$D$252</f>
        <v>m³</v>
      </c>
      <c r="E477" s="518">
        <v>82.367999999999995</v>
      </c>
      <c r="F477" s="416">
        <f>$F$252</f>
        <v>1057576.2423809525</v>
      </c>
      <c r="G477" s="463">
        <f t="shared" si="218"/>
        <v>87110439.932434291</v>
      </c>
      <c r="H477" s="516">
        <v>2200</v>
      </c>
      <c r="I477" s="516">
        <f t="shared" si="222"/>
        <v>181209.59999999998</v>
      </c>
      <c r="N477" s="492" t="s">
        <v>2170</v>
      </c>
      <c r="O477" s="461" t="s">
        <v>2267</v>
      </c>
      <c r="P477" s="519" t="str">
        <f>$D$252</f>
        <v>m³</v>
      </c>
      <c r="Q477" s="518">
        <v>82.367999999999995</v>
      </c>
      <c r="R477" s="517">
        <f>$F$252</f>
        <v>1057576.2423809525</v>
      </c>
      <c r="S477" s="463">
        <f t="shared" si="219"/>
        <v>87110439.932434291</v>
      </c>
      <c r="T477" s="516">
        <v>2200</v>
      </c>
      <c r="U477" s="516">
        <f t="shared" si="223"/>
        <v>181209.59999999998</v>
      </c>
      <c r="V477" s="492" t="s">
        <v>2170</v>
      </c>
      <c r="W477" s="461" t="s">
        <v>2267</v>
      </c>
      <c r="X477" s="519" t="str">
        <f>$D$252</f>
        <v>m³</v>
      </c>
      <c r="Y477" s="518">
        <v>82.367999999999995</v>
      </c>
      <c r="Z477" s="517">
        <f>$F$252</f>
        <v>1057576.2423809525</v>
      </c>
      <c r="AA477" s="463">
        <f t="shared" si="220"/>
        <v>87110439.932434291</v>
      </c>
      <c r="AB477" s="516">
        <v>2200</v>
      </c>
      <c r="AC477" s="516">
        <f t="shared" si="224"/>
        <v>181209.59999999998</v>
      </c>
      <c r="AD477" s="492" t="s">
        <v>2170</v>
      </c>
      <c r="AE477" s="461" t="s">
        <v>2267</v>
      </c>
      <c r="AF477" s="519" t="str">
        <f>$D$252</f>
        <v>m³</v>
      </c>
      <c r="AG477" s="518">
        <v>82.367999999999995</v>
      </c>
      <c r="AH477" s="517">
        <f>$F$252</f>
        <v>1057576.2423809525</v>
      </c>
      <c r="AI477" s="463">
        <f t="shared" si="221"/>
        <v>87110439.932434291</v>
      </c>
      <c r="AJ477" s="516">
        <v>2200</v>
      </c>
      <c r="AK477" s="516">
        <f t="shared" si="225"/>
        <v>181209.59999999998</v>
      </c>
    </row>
    <row r="478" spans="2:37" ht="15" customHeight="1">
      <c r="B478" s="492" t="s">
        <v>2172</v>
      </c>
      <c r="C478" s="461" t="s">
        <v>2243</v>
      </c>
      <c r="D478" s="519" t="str">
        <f>$D$253</f>
        <v>kg</v>
      </c>
      <c r="E478" s="518">
        <v>12790.156000000003</v>
      </c>
      <c r="F478" s="416">
        <f>$F$253</f>
        <v>19478.039350000003</v>
      </c>
      <c r="G478" s="463">
        <f t="shared" si="218"/>
        <v>249127161.86063868</v>
      </c>
      <c r="H478" s="516">
        <v>1</v>
      </c>
      <c r="I478" s="516">
        <f t="shared" si="222"/>
        <v>12790.156000000003</v>
      </c>
      <c r="N478" s="492" t="s">
        <v>2172</v>
      </c>
      <c r="O478" s="461" t="s">
        <v>2243</v>
      </c>
      <c r="P478" s="519" t="str">
        <f>$D$253</f>
        <v>kg</v>
      </c>
      <c r="Q478" s="518">
        <v>12790.156000000003</v>
      </c>
      <c r="R478" s="517">
        <f>$F$253</f>
        <v>19478.039350000003</v>
      </c>
      <c r="S478" s="463">
        <f t="shared" si="219"/>
        <v>249127161.86063868</v>
      </c>
      <c r="T478" s="516">
        <v>1</v>
      </c>
      <c r="U478" s="516">
        <f t="shared" si="223"/>
        <v>12790.156000000003</v>
      </c>
      <c r="V478" s="492" t="s">
        <v>2172</v>
      </c>
      <c r="W478" s="461" t="s">
        <v>2243</v>
      </c>
      <c r="X478" s="519" t="str">
        <f>$D$253</f>
        <v>kg</v>
      </c>
      <c r="Y478" s="518">
        <v>12790.156000000003</v>
      </c>
      <c r="Z478" s="517">
        <f>$F$253</f>
        <v>19478.039350000003</v>
      </c>
      <c r="AA478" s="463">
        <f t="shared" si="220"/>
        <v>249127161.86063868</v>
      </c>
      <c r="AB478" s="516">
        <v>1</v>
      </c>
      <c r="AC478" s="516">
        <f t="shared" si="224"/>
        <v>12790.156000000003</v>
      </c>
      <c r="AD478" s="492" t="s">
        <v>2172</v>
      </c>
      <c r="AE478" s="461" t="s">
        <v>2243</v>
      </c>
      <c r="AF478" s="519" t="str">
        <f>$D$253</f>
        <v>kg</v>
      </c>
      <c r="AG478" s="518">
        <v>12790.156000000003</v>
      </c>
      <c r="AH478" s="517">
        <f>$F$253</f>
        <v>19478.039350000003</v>
      </c>
      <c r="AI478" s="463">
        <f t="shared" si="221"/>
        <v>249127161.86063868</v>
      </c>
      <c r="AJ478" s="516">
        <v>1</v>
      </c>
      <c r="AK478" s="516">
        <f t="shared" si="225"/>
        <v>12790.156000000003</v>
      </c>
    </row>
    <row r="479" spans="2:37" ht="15" customHeight="1">
      <c r="B479" s="492" t="s">
        <v>2268</v>
      </c>
      <c r="C479" s="461" t="s">
        <v>2244</v>
      </c>
      <c r="D479" s="519" t="str">
        <f>$D$254</f>
        <v>m²</v>
      </c>
      <c r="E479" s="518">
        <v>43.2</v>
      </c>
      <c r="F479" s="416">
        <f>$F$254</f>
        <v>145812.67000000001</v>
      </c>
      <c r="G479" s="463">
        <f t="shared" si="218"/>
        <v>6299107.3440000005</v>
      </c>
      <c r="H479" s="516">
        <v>40</v>
      </c>
      <c r="I479" s="516">
        <f t="shared" si="222"/>
        <v>1728</v>
      </c>
      <c r="N479" s="492" t="s">
        <v>2268</v>
      </c>
      <c r="O479" s="461" t="s">
        <v>2244</v>
      </c>
      <c r="P479" s="519" t="str">
        <f>$D$254</f>
        <v>m²</v>
      </c>
      <c r="Q479" s="518">
        <v>43.2</v>
      </c>
      <c r="R479" s="517">
        <f>$F$254</f>
        <v>145812.67000000001</v>
      </c>
      <c r="S479" s="463">
        <f t="shared" si="219"/>
        <v>6299107.3440000005</v>
      </c>
      <c r="T479" s="516">
        <v>40</v>
      </c>
      <c r="U479" s="516">
        <f t="shared" si="223"/>
        <v>1728</v>
      </c>
      <c r="V479" s="492" t="s">
        <v>2268</v>
      </c>
      <c r="W479" s="461" t="s">
        <v>2244</v>
      </c>
      <c r="X479" s="519" t="str">
        <f>$D$254</f>
        <v>m²</v>
      </c>
      <c r="Y479" s="518">
        <v>43.2</v>
      </c>
      <c r="Z479" s="517">
        <f>$F$254</f>
        <v>145812.67000000001</v>
      </c>
      <c r="AA479" s="463">
        <f t="shared" si="220"/>
        <v>6299107.3440000005</v>
      </c>
      <c r="AB479" s="516">
        <v>40</v>
      </c>
      <c r="AC479" s="516">
        <f t="shared" si="224"/>
        <v>1728</v>
      </c>
      <c r="AD479" s="492" t="s">
        <v>2268</v>
      </c>
      <c r="AE479" s="461" t="s">
        <v>2244</v>
      </c>
      <c r="AF479" s="519" t="str">
        <f>$D$254</f>
        <v>m²</v>
      </c>
      <c r="AG479" s="518">
        <v>43.2</v>
      </c>
      <c r="AH479" s="517">
        <f>$F$254</f>
        <v>145812.67000000001</v>
      </c>
      <c r="AI479" s="463">
        <f t="shared" si="221"/>
        <v>6299107.3440000005</v>
      </c>
      <c r="AJ479" s="516">
        <v>40</v>
      </c>
      <c r="AK479" s="516">
        <f t="shared" si="225"/>
        <v>1728</v>
      </c>
    </row>
    <row r="480" spans="2:37" ht="15" customHeight="1">
      <c r="B480" s="492" t="s">
        <v>2176</v>
      </c>
      <c r="C480" s="491" t="s">
        <v>2246</v>
      </c>
      <c r="D480" s="519" t="str">
        <f>$D$255</f>
        <v>bh</v>
      </c>
      <c r="E480" s="518">
        <v>4</v>
      </c>
      <c r="F480" s="416">
        <f>$F$255</f>
        <v>100000</v>
      </c>
      <c r="G480" s="463">
        <f t="shared" si="218"/>
        <v>400000</v>
      </c>
      <c r="H480" s="516">
        <v>2.5</v>
      </c>
      <c r="I480" s="516">
        <f t="shared" si="222"/>
        <v>10</v>
      </c>
      <c r="N480" s="492" t="s">
        <v>2176</v>
      </c>
      <c r="O480" s="491" t="s">
        <v>2246</v>
      </c>
      <c r="P480" s="519" t="str">
        <f>$D$255</f>
        <v>bh</v>
      </c>
      <c r="Q480" s="518">
        <v>4</v>
      </c>
      <c r="R480" s="517">
        <f>$F$255</f>
        <v>100000</v>
      </c>
      <c r="S480" s="463">
        <f t="shared" si="219"/>
        <v>400000</v>
      </c>
      <c r="T480" s="516">
        <v>2.5</v>
      </c>
      <c r="U480" s="516">
        <f t="shared" si="223"/>
        <v>10</v>
      </c>
      <c r="V480" s="492" t="s">
        <v>2176</v>
      </c>
      <c r="W480" s="491" t="s">
        <v>2246</v>
      </c>
      <c r="X480" s="519" t="str">
        <f>$D$255</f>
        <v>bh</v>
      </c>
      <c r="Y480" s="518">
        <v>4</v>
      </c>
      <c r="Z480" s="517">
        <f>$F$255</f>
        <v>100000</v>
      </c>
      <c r="AA480" s="463">
        <f t="shared" si="220"/>
        <v>400000</v>
      </c>
      <c r="AB480" s="516">
        <v>2.5</v>
      </c>
      <c r="AC480" s="516">
        <f t="shared" si="224"/>
        <v>10</v>
      </c>
      <c r="AD480" s="492" t="s">
        <v>2176</v>
      </c>
      <c r="AE480" s="491" t="s">
        <v>2246</v>
      </c>
      <c r="AF480" s="519" t="str">
        <f>$D$255</f>
        <v>bh</v>
      </c>
      <c r="AG480" s="518">
        <v>4</v>
      </c>
      <c r="AH480" s="517">
        <f>$F$255</f>
        <v>100000</v>
      </c>
      <c r="AI480" s="463">
        <f t="shared" si="221"/>
        <v>400000</v>
      </c>
      <c r="AJ480" s="516">
        <v>2.5</v>
      </c>
      <c r="AK480" s="516">
        <f t="shared" si="225"/>
        <v>10</v>
      </c>
    </row>
    <row r="481" spans="2:37" ht="15" customHeight="1">
      <c r="B481" s="492"/>
      <c r="C481" s="461"/>
      <c r="D481" s="519"/>
      <c r="E481" s="428"/>
      <c r="F481" s="416"/>
      <c r="G481" s="463">
        <f t="shared" si="218"/>
        <v>0</v>
      </c>
      <c r="I481" s="516">
        <f>SUM(I474:I479)</f>
        <v>281993.75599999999</v>
      </c>
      <c r="N481" s="492"/>
      <c r="O481" s="461"/>
      <c r="P481" s="519"/>
      <c r="Q481" s="428"/>
      <c r="R481" s="517"/>
      <c r="S481" s="463"/>
      <c r="U481" s="516">
        <f>SUM(U474:U479)</f>
        <v>281993.75599999999</v>
      </c>
      <c r="V481" s="492"/>
      <c r="W481" s="461"/>
      <c r="X481" s="519"/>
      <c r="Y481" s="428"/>
      <c r="Z481" s="517"/>
      <c r="AA481" s="463"/>
      <c r="AC481" s="516">
        <f>SUM(AC474:AC479)</f>
        <v>281993.75599999999</v>
      </c>
      <c r="AD481" s="492"/>
      <c r="AE481" s="461"/>
      <c r="AF481" s="519"/>
      <c r="AG481" s="428"/>
      <c r="AH481" s="517"/>
      <c r="AI481" s="463"/>
      <c r="AK481" s="516">
        <f>SUM(AK474:AK479)</f>
        <v>281993.75599999999</v>
      </c>
    </row>
    <row r="482" spans="2:37" ht="15" customHeight="1">
      <c r="B482" s="507">
        <v>3</v>
      </c>
      <c r="C482" s="460" t="s">
        <v>2086</v>
      </c>
      <c r="D482" s="519"/>
      <c r="E482" s="428"/>
      <c r="F482" s="416"/>
      <c r="G482" s="463">
        <f t="shared" si="218"/>
        <v>0</v>
      </c>
      <c r="N482" s="507">
        <v>3</v>
      </c>
      <c r="O482" s="460" t="s">
        <v>2086</v>
      </c>
      <c r="P482" s="519"/>
      <c r="Q482" s="428"/>
      <c r="R482" s="517"/>
      <c r="S482" s="463"/>
      <c r="V482" s="507">
        <v>3</v>
      </c>
      <c r="W482" s="460" t="s">
        <v>2086</v>
      </c>
      <c r="X482" s="519"/>
      <c r="Y482" s="428"/>
      <c r="Z482" s="517"/>
      <c r="AA482" s="463"/>
      <c r="AD482" s="507">
        <v>3</v>
      </c>
      <c r="AE482" s="460" t="s">
        <v>2086</v>
      </c>
      <c r="AF482" s="519"/>
      <c r="AG482" s="428"/>
      <c r="AH482" s="517"/>
      <c r="AI482" s="463"/>
    </row>
    <row r="483" spans="2:37" ht="15" customHeight="1">
      <c r="B483" s="492" t="s">
        <v>721</v>
      </c>
      <c r="C483" s="461" t="s">
        <v>2247</v>
      </c>
      <c r="D483" s="519" t="str">
        <f>$D$258</f>
        <v>bh</v>
      </c>
      <c r="E483" s="518">
        <v>4</v>
      </c>
      <c r="F483" s="416">
        <f>$F$258</f>
        <v>181849.04</v>
      </c>
      <c r="G483" s="463">
        <f t="shared" si="218"/>
        <v>727396.16</v>
      </c>
      <c r="N483" s="492" t="s">
        <v>721</v>
      </c>
      <c r="O483" s="461" t="s">
        <v>2247</v>
      </c>
      <c r="P483" s="519" t="str">
        <f>$D$258</f>
        <v>bh</v>
      </c>
      <c r="Q483" s="518">
        <v>4</v>
      </c>
      <c r="R483" s="517">
        <f>$F$258</f>
        <v>181849.04</v>
      </c>
      <c r="S483" s="463">
        <f t="shared" ref="S483:S488" si="226">Q483*R483</f>
        <v>727396.16</v>
      </c>
      <c r="V483" s="492" t="s">
        <v>721</v>
      </c>
      <c r="W483" s="461" t="s">
        <v>2247</v>
      </c>
      <c r="X483" s="519" t="str">
        <f>$D$258</f>
        <v>bh</v>
      </c>
      <c r="Y483" s="518">
        <v>4</v>
      </c>
      <c r="Z483" s="517">
        <f>$F$258</f>
        <v>181849.04</v>
      </c>
      <c r="AA483" s="463">
        <f t="shared" ref="AA483:AA488" si="227">Y483*Z483</f>
        <v>727396.16</v>
      </c>
      <c r="AD483" s="492" t="s">
        <v>721</v>
      </c>
      <c r="AE483" s="461" t="s">
        <v>2247</v>
      </c>
      <c r="AF483" s="519" t="str">
        <f>$D$258</f>
        <v>bh</v>
      </c>
      <c r="AG483" s="518">
        <v>4</v>
      </c>
      <c r="AH483" s="517">
        <f>$F$258</f>
        <v>181849.04</v>
      </c>
      <c r="AI483" s="463">
        <f t="shared" ref="AI483:AI488" si="228">AG483*AH483</f>
        <v>727396.16</v>
      </c>
    </row>
    <row r="484" spans="2:37" ht="15" customHeight="1">
      <c r="B484" s="492" t="s">
        <v>2166</v>
      </c>
      <c r="C484" s="461" t="s">
        <v>2085</v>
      </c>
      <c r="D484" s="519" t="str">
        <f>$D$259</f>
        <v>kg</v>
      </c>
      <c r="E484" s="518">
        <f>I481</f>
        <v>281993.75599999999</v>
      </c>
      <c r="F484" s="416">
        <f>$F$259</f>
        <v>462.7700000000001</v>
      </c>
      <c r="G484" s="463">
        <f t="shared" si="218"/>
        <v>130498250.46412003</v>
      </c>
      <c r="N484" s="492" t="s">
        <v>2166</v>
      </c>
      <c r="O484" s="461" t="s">
        <v>2085</v>
      </c>
      <c r="P484" s="519" t="str">
        <f>$D$259</f>
        <v>kg</v>
      </c>
      <c r="Q484" s="518">
        <f>U481</f>
        <v>281993.75599999999</v>
      </c>
      <c r="R484" s="517">
        <f>$F$259</f>
        <v>462.7700000000001</v>
      </c>
      <c r="S484" s="463">
        <f t="shared" si="226"/>
        <v>130498250.46412003</v>
      </c>
      <c r="V484" s="492" t="s">
        <v>2166</v>
      </c>
      <c r="W484" s="461" t="s">
        <v>2085</v>
      </c>
      <c r="X484" s="519" t="str">
        <f>$D$259</f>
        <v>kg</v>
      </c>
      <c r="Y484" s="518">
        <f>AC481</f>
        <v>281993.75599999999</v>
      </c>
      <c r="Z484" s="517">
        <f>$F$259</f>
        <v>462.7700000000001</v>
      </c>
      <c r="AA484" s="463">
        <f t="shared" si="227"/>
        <v>130498250.46412003</v>
      </c>
      <c r="AD484" s="492" t="s">
        <v>2166</v>
      </c>
      <c r="AE484" s="461" t="s">
        <v>2085</v>
      </c>
      <c r="AF484" s="519" t="str">
        <f>$D$259</f>
        <v>kg</v>
      </c>
      <c r="AG484" s="518">
        <f>AK481</f>
        <v>281993.75599999999</v>
      </c>
      <c r="AH484" s="517">
        <f>$F$259</f>
        <v>462.7700000000001</v>
      </c>
      <c r="AI484" s="463">
        <f t="shared" si="228"/>
        <v>130498250.46412003</v>
      </c>
    </row>
    <row r="485" spans="2:37" ht="15" customHeight="1">
      <c r="B485" s="492" t="s">
        <v>2168</v>
      </c>
      <c r="C485" s="461" t="s">
        <v>2249</v>
      </c>
      <c r="D485" s="519" t="str">
        <f>$D$260</f>
        <v>bh</v>
      </c>
      <c r="E485" s="518">
        <v>4</v>
      </c>
      <c r="F485" s="416">
        <f>$F$260</f>
        <v>387825</v>
      </c>
      <c r="G485" s="463">
        <f t="shared" si="218"/>
        <v>1551300</v>
      </c>
      <c r="N485" s="492" t="s">
        <v>2168</v>
      </c>
      <c r="O485" s="461" t="s">
        <v>2249</v>
      </c>
      <c r="P485" s="519" t="str">
        <f>$D$260</f>
        <v>bh</v>
      </c>
      <c r="Q485" s="518">
        <v>4</v>
      </c>
      <c r="R485" s="517">
        <f>$F$260</f>
        <v>387825</v>
      </c>
      <c r="S485" s="463">
        <f t="shared" si="226"/>
        <v>1551300</v>
      </c>
      <c r="V485" s="492" t="s">
        <v>2168</v>
      </c>
      <c r="W485" s="461" t="s">
        <v>2249</v>
      </c>
      <c r="X485" s="519" t="str">
        <f>$D$260</f>
        <v>bh</v>
      </c>
      <c r="Y485" s="518">
        <v>4</v>
      </c>
      <c r="Z485" s="517">
        <f>$F$260</f>
        <v>387825</v>
      </c>
      <c r="AA485" s="463">
        <f t="shared" si="227"/>
        <v>1551300</v>
      </c>
      <c r="AD485" s="492" t="s">
        <v>2168</v>
      </c>
      <c r="AE485" s="461" t="s">
        <v>2249</v>
      </c>
      <c r="AF485" s="519" t="str">
        <f>$D$260</f>
        <v>bh</v>
      </c>
      <c r="AG485" s="518">
        <v>4</v>
      </c>
      <c r="AH485" s="517">
        <f>$F$260</f>
        <v>387825</v>
      </c>
      <c r="AI485" s="463">
        <f t="shared" si="228"/>
        <v>1551300</v>
      </c>
    </row>
    <row r="486" spans="2:37" ht="15" customHeight="1">
      <c r="B486" s="492" t="s">
        <v>2170</v>
      </c>
      <c r="C486" s="461" t="s">
        <v>2250</v>
      </c>
      <c r="D486" s="519" t="str">
        <f>$D$261</f>
        <v>kg</v>
      </c>
      <c r="E486" s="518">
        <v>150.93599999999998</v>
      </c>
      <c r="F486" s="416">
        <f>$F$261</f>
        <v>3758.6984549742947</v>
      </c>
      <c r="G486" s="463">
        <f t="shared" si="218"/>
        <v>567322.91</v>
      </c>
      <c r="N486" s="492" t="s">
        <v>2170</v>
      </c>
      <c r="O486" s="461" t="s">
        <v>2250</v>
      </c>
      <c r="P486" s="519" t="str">
        <f>$D$261</f>
        <v>kg</v>
      </c>
      <c r="Q486" s="518">
        <v>239.61599999999999</v>
      </c>
      <c r="R486" s="517">
        <f>$F$261</f>
        <v>3758.6984549742947</v>
      </c>
      <c r="S486" s="463">
        <f t="shared" si="226"/>
        <v>900644.2889871205</v>
      </c>
      <c r="V486" s="492" t="s">
        <v>2170</v>
      </c>
      <c r="W486" s="461" t="s">
        <v>2269</v>
      </c>
      <c r="X486" s="519" t="str">
        <f>$D$261</f>
        <v>kg</v>
      </c>
      <c r="Y486" s="518">
        <v>311.47199999999998</v>
      </c>
      <c r="Z486" s="517">
        <f>$F$261</f>
        <v>3758.6984549742947</v>
      </c>
      <c r="AA486" s="463">
        <f t="shared" si="227"/>
        <v>1170729.3251677535</v>
      </c>
      <c r="AD486" s="492" t="s">
        <v>2170</v>
      </c>
      <c r="AE486" s="461" t="s">
        <v>2269</v>
      </c>
      <c r="AF486" s="519" t="str">
        <f>$D$261</f>
        <v>kg</v>
      </c>
      <c r="AG486" s="518">
        <v>403.17599999999999</v>
      </c>
      <c r="AH486" s="517">
        <f>$F$261</f>
        <v>3758.6984549742947</v>
      </c>
      <c r="AI486" s="463">
        <f t="shared" si="228"/>
        <v>1515417.0082827162</v>
      </c>
    </row>
    <row r="487" spans="2:37" ht="15" customHeight="1">
      <c r="B487" s="492" t="s">
        <v>2172</v>
      </c>
      <c r="C487" s="461" t="s">
        <v>2251</v>
      </c>
      <c r="D487" s="519" t="str">
        <f>$D$262</f>
        <v>set</v>
      </c>
      <c r="E487" s="518">
        <v>1</v>
      </c>
      <c r="F487" s="416">
        <f>$F$262</f>
        <v>855127</v>
      </c>
      <c r="G487" s="463">
        <f t="shared" si="218"/>
        <v>855127</v>
      </c>
      <c r="N487" s="492" t="s">
        <v>2172</v>
      </c>
      <c r="O487" s="461" t="s">
        <v>2251</v>
      </c>
      <c r="P487" s="519" t="str">
        <f>$D$262</f>
        <v>set</v>
      </c>
      <c r="Q487" s="518">
        <v>1</v>
      </c>
      <c r="R487" s="517">
        <f>$F$262</f>
        <v>855127</v>
      </c>
      <c r="S487" s="463">
        <f t="shared" si="226"/>
        <v>855127</v>
      </c>
      <c r="V487" s="492" t="s">
        <v>2172</v>
      </c>
      <c r="W487" s="461" t="s">
        <v>2251</v>
      </c>
      <c r="X487" s="519" t="str">
        <f>$D$262</f>
        <v>set</v>
      </c>
      <c r="Y487" s="518">
        <v>1</v>
      </c>
      <c r="Z487" s="517">
        <f>$F$262</f>
        <v>855127</v>
      </c>
      <c r="AA487" s="463">
        <f t="shared" si="227"/>
        <v>855127</v>
      </c>
      <c r="AD487" s="492" t="s">
        <v>2172</v>
      </c>
      <c r="AE487" s="461" t="s">
        <v>2251</v>
      </c>
      <c r="AF487" s="519" t="str">
        <f>$D$262</f>
        <v>set</v>
      </c>
      <c r="AG487" s="518">
        <v>1</v>
      </c>
      <c r="AH487" s="517">
        <f>$F$262</f>
        <v>855127</v>
      </c>
      <c r="AI487" s="463">
        <f t="shared" si="228"/>
        <v>855127</v>
      </c>
    </row>
    <row r="488" spans="2:37" ht="15" customHeight="1">
      <c r="B488" s="492" t="s">
        <v>2174</v>
      </c>
      <c r="C488" s="461" t="s">
        <v>2252</v>
      </c>
      <c r="D488" s="519" t="str">
        <f>$D$263</f>
        <v>set</v>
      </c>
      <c r="E488" s="518">
        <v>1</v>
      </c>
      <c r="F488" s="416">
        <f>$F$263</f>
        <v>674025</v>
      </c>
      <c r="G488" s="463">
        <f t="shared" si="218"/>
        <v>674025</v>
      </c>
      <c r="N488" s="492" t="s">
        <v>2174</v>
      </c>
      <c r="O488" s="461" t="s">
        <v>2252</v>
      </c>
      <c r="P488" s="519" t="str">
        <f>$D$263</f>
        <v>set</v>
      </c>
      <c r="Q488" s="518">
        <v>1</v>
      </c>
      <c r="R488" s="517">
        <f>$F$263</f>
        <v>674025</v>
      </c>
      <c r="S488" s="463">
        <f t="shared" si="226"/>
        <v>674025</v>
      </c>
      <c r="V488" s="492" t="s">
        <v>2174</v>
      </c>
      <c r="W488" s="461" t="s">
        <v>2252</v>
      </c>
      <c r="X488" s="519" t="str">
        <f>$D$263</f>
        <v>set</v>
      </c>
      <c r="Y488" s="518">
        <v>1</v>
      </c>
      <c r="Z488" s="517">
        <f>$F$263</f>
        <v>674025</v>
      </c>
      <c r="AA488" s="463">
        <f t="shared" si="227"/>
        <v>674025</v>
      </c>
      <c r="AD488" s="492" t="s">
        <v>2174</v>
      </c>
      <c r="AE488" s="461" t="s">
        <v>2252</v>
      </c>
      <c r="AF488" s="519" t="str">
        <f>$D$263</f>
        <v>set</v>
      </c>
      <c r="AG488" s="518">
        <v>1</v>
      </c>
      <c r="AH488" s="517">
        <f>$F$263</f>
        <v>674025</v>
      </c>
      <c r="AI488" s="463">
        <f t="shared" si="228"/>
        <v>674025</v>
      </c>
    </row>
    <row r="489" spans="2:37" ht="15" customHeight="1" thickBot="1">
      <c r="B489" s="459"/>
      <c r="C489" s="1194" t="s">
        <v>3266</v>
      </c>
      <c r="D489" s="1195"/>
      <c r="E489" s="1195"/>
      <c r="F489" s="1196"/>
      <c r="G489" s="458">
        <f>SUM(G468:G488)</f>
        <v>537739696.68502319</v>
      </c>
      <c r="N489" s="459"/>
      <c r="O489" s="1194" t="s">
        <v>3266</v>
      </c>
      <c r="P489" s="1195"/>
      <c r="Q489" s="1195"/>
      <c r="R489" s="1196"/>
      <c r="S489" s="458">
        <f>SUM(S468:S488)</f>
        <v>538073018.06401026</v>
      </c>
      <c r="V489" s="459"/>
      <c r="W489" s="1194" t="s">
        <v>3266</v>
      </c>
      <c r="X489" s="1195"/>
      <c r="Y489" s="1195"/>
      <c r="Z489" s="1196"/>
      <c r="AA489" s="458">
        <f>SUM(AA468:AA488)</f>
        <v>538343103.10019088</v>
      </c>
      <c r="AD489" s="459"/>
      <c r="AE489" s="1194" t="s">
        <v>3266</v>
      </c>
      <c r="AF489" s="1195"/>
      <c r="AG489" s="1195"/>
      <c r="AH489" s="1196"/>
      <c r="AI489" s="458">
        <f>SUM(AI468:AI488)</f>
        <v>538687790.78330588</v>
      </c>
    </row>
    <row r="490" spans="2:37" ht="15" customHeight="1" thickBot="1">
      <c r="B490" s="427"/>
      <c r="C490" s="427"/>
      <c r="D490" s="427"/>
      <c r="E490" s="427"/>
      <c r="F490" s="426"/>
      <c r="G490" s="426"/>
      <c r="N490" s="427"/>
      <c r="O490" s="427"/>
      <c r="P490" s="427"/>
      <c r="Q490" s="427"/>
      <c r="R490" s="427"/>
      <c r="S490" s="426"/>
      <c r="V490" s="427"/>
      <c r="W490" s="427"/>
      <c r="X490" s="427"/>
      <c r="Y490" s="427"/>
      <c r="Z490" s="427"/>
      <c r="AA490" s="426"/>
      <c r="AD490" s="427"/>
      <c r="AE490" s="427"/>
      <c r="AF490" s="427"/>
      <c r="AG490" s="427"/>
      <c r="AH490" s="427"/>
      <c r="AI490" s="426"/>
    </row>
    <row r="491" spans="2:37" ht="15" customHeight="1" thickBot="1">
      <c r="B491" s="452" t="s">
        <v>2229</v>
      </c>
      <c r="C491" s="435"/>
      <c r="D491" s="434">
        <v>6</v>
      </c>
      <c r="E491" s="433"/>
      <c r="F491" s="411"/>
      <c r="G491" s="431"/>
      <c r="N491" s="452" t="s">
        <v>2230</v>
      </c>
      <c r="O491" s="435"/>
      <c r="P491" s="434">
        <v>6</v>
      </c>
      <c r="Q491" s="433"/>
      <c r="R491" s="432"/>
      <c r="S491" s="431"/>
      <c r="V491" s="452" t="s">
        <v>2231</v>
      </c>
      <c r="W491" s="435"/>
      <c r="X491" s="434"/>
      <c r="Y491" s="433"/>
      <c r="Z491" s="432"/>
      <c r="AA491" s="431"/>
      <c r="AD491" s="452" t="s">
        <v>2254</v>
      </c>
      <c r="AE491" s="435"/>
      <c r="AF491" s="434"/>
      <c r="AG491" s="433"/>
      <c r="AH491" s="432"/>
      <c r="AI491" s="431"/>
    </row>
    <row r="492" spans="2:37" ht="15" customHeight="1">
      <c r="B492" s="446"/>
      <c r="C492" s="445" t="s">
        <v>3267</v>
      </c>
      <c r="D492" s="444"/>
      <c r="E492" s="443"/>
      <c r="F492" s="413"/>
      <c r="G492" s="441"/>
      <c r="N492" s="446"/>
      <c r="O492" s="445" t="s">
        <v>3267</v>
      </c>
      <c r="P492" s="444"/>
      <c r="Q492" s="443"/>
      <c r="R492" s="442"/>
      <c r="S492" s="441"/>
      <c r="V492" s="446"/>
      <c r="W492" s="445" t="s">
        <v>3268</v>
      </c>
      <c r="X492" s="444"/>
      <c r="Y492" s="443"/>
      <c r="Z492" s="442"/>
      <c r="AA492" s="441"/>
      <c r="AD492" s="446"/>
      <c r="AE492" s="445" t="s">
        <v>3268</v>
      </c>
      <c r="AF492" s="444"/>
      <c r="AG492" s="443"/>
      <c r="AH492" s="442"/>
      <c r="AI492" s="441"/>
    </row>
    <row r="493" spans="2:37" ht="15" customHeight="1">
      <c r="B493" s="468">
        <v>1</v>
      </c>
      <c r="C493" s="467" t="s">
        <v>2234</v>
      </c>
      <c r="D493" s="519"/>
      <c r="E493" s="430"/>
      <c r="F493" s="417"/>
      <c r="G493" s="486"/>
      <c r="N493" s="468">
        <v>1</v>
      </c>
      <c r="O493" s="467" t="s">
        <v>2234</v>
      </c>
      <c r="P493" s="519"/>
      <c r="Q493" s="430"/>
      <c r="R493" s="429"/>
      <c r="S493" s="486"/>
      <c r="V493" s="468">
        <v>1</v>
      </c>
      <c r="W493" s="467" t="s">
        <v>2234</v>
      </c>
      <c r="X493" s="519"/>
      <c r="Y493" s="430"/>
      <c r="Z493" s="429"/>
      <c r="AA493" s="486"/>
      <c r="AD493" s="468">
        <v>1</v>
      </c>
      <c r="AE493" s="467" t="s">
        <v>2234</v>
      </c>
      <c r="AF493" s="519"/>
      <c r="AG493" s="430"/>
      <c r="AH493" s="429"/>
      <c r="AI493" s="486"/>
    </row>
    <row r="494" spans="2:37" ht="15" customHeight="1">
      <c r="B494" s="492" t="s">
        <v>721</v>
      </c>
      <c r="C494" s="464" t="s">
        <v>2235</v>
      </c>
      <c r="D494" s="519" t="str">
        <f>$D$244</f>
        <v>m³</v>
      </c>
      <c r="E494" s="518">
        <v>50.35</v>
      </c>
      <c r="F494" s="416">
        <f>$F$244</f>
        <v>102390.75000000001</v>
      </c>
      <c r="G494" s="463">
        <f>E494*F494</f>
        <v>5155374.2625000011</v>
      </c>
      <c r="N494" s="492" t="s">
        <v>721</v>
      </c>
      <c r="O494" s="464" t="s">
        <v>2235</v>
      </c>
      <c r="P494" s="519" t="str">
        <f>$D$244</f>
        <v>m³</v>
      </c>
      <c r="Q494" s="518">
        <v>50.35</v>
      </c>
      <c r="R494" s="517">
        <f>$F$244</f>
        <v>102390.75000000001</v>
      </c>
      <c r="S494" s="463">
        <f>Q494*R494</f>
        <v>5155374.2625000011</v>
      </c>
      <c r="V494" s="492" t="s">
        <v>721</v>
      </c>
      <c r="W494" s="464" t="s">
        <v>2235</v>
      </c>
      <c r="X494" s="519" t="str">
        <f>$D$244</f>
        <v>m³</v>
      </c>
      <c r="Y494" s="518">
        <v>50.35</v>
      </c>
      <c r="Z494" s="517">
        <f>$F$244</f>
        <v>102390.75000000001</v>
      </c>
      <c r="AA494" s="463">
        <f>Y494*Z494</f>
        <v>5155374.2625000011</v>
      </c>
      <c r="AD494" s="492" t="s">
        <v>721</v>
      </c>
      <c r="AE494" s="464" t="s">
        <v>2235</v>
      </c>
      <c r="AF494" s="519" t="str">
        <f>$D$244</f>
        <v>m³</v>
      </c>
      <c r="AG494" s="518">
        <v>50.35</v>
      </c>
      <c r="AH494" s="517">
        <f>$F$244</f>
        <v>102390.75000000001</v>
      </c>
      <c r="AI494" s="463">
        <f>AG494*AH494</f>
        <v>5155374.2625000011</v>
      </c>
    </row>
    <row r="495" spans="2:37" ht="15" customHeight="1">
      <c r="B495" s="492" t="s">
        <v>2166</v>
      </c>
      <c r="C495" s="464" t="s">
        <v>2237</v>
      </c>
      <c r="D495" s="519" t="str">
        <f>$D$245</f>
        <v>m³</v>
      </c>
      <c r="E495" s="518">
        <v>12.160000000000002</v>
      </c>
      <c r="F495" s="416">
        <f>$F$245</f>
        <v>62462.950000000012</v>
      </c>
      <c r="G495" s="463">
        <f t="shared" ref="G495:G513" si="229">E495*F495</f>
        <v>759549.4720000003</v>
      </c>
      <c r="N495" s="492" t="s">
        <v>2166</v>
      </c>
      <c r="O495" s="464" t="s">
        <v>2237</v>
      </c>
      <c r="P495" s="519" t="str">
        <f>$D$245</f>
        <v>m³</v>
      </c>
      <c r="Q495" s="518">
        <v>12.160000000000002</v>
      </c>
      <c r="R495" s="517">
        <f>$F$245</f>
        <v>62462.950000000012</v>
      </c>
      <c r="S495" s="463">
        <f>Q495*R495</f>
        <v>759549.4720000003</v>
      </c>
      <c r="V495" s="492" t="s">
        <v>2166</v>
      </c>
      <c r="W495" s="464" t="s">
        <v>2237</v>
      </c>
      <c r="X495" s="519" t="str">
        <f>$D$245</f>
        <v>m³</v>
      </c>
      <c r="Y495" s="518">
        <v>12.160000000000002</v>
      </c>
      <c r="Z495" s="517">
        <f>$F$245</f>
        <v>62462.950000000012</v>
      </c>
      <c r="AA495" s="463">
        <f>Y495*Z495</f>
        <v>759549.4720000003</v>
      </c>
      <c r="AD495" s="492" t="s">
        <v>2166</v>
      </c>
      <c r="AE495" s="464" t="s">
        <v>2237</v>
      </c>
      <c r="AF495" s="519" t="str">
        <f>$D$245</f>
        <v>m³</v>
      </c>
      <c r="AG495" s="518">
        <v>12.160000000000002</v>
      </c>
      <c r="AH495" s="517">
        <f>$F$245</f>
        <v>62462.950000000012</v>
      </c>
      <c r="AI495" s="463">
        <f>AG495*AH495</f>
        <v>759549.4720000003</v>
      </c>
    </row>
    <row r="496" spans="2:37" ht="15" customHeight="1">
      <c r="B496" s="492" t="s">
        <v>2168</v>
      </c>
      <c r="C496" s="464" t="s">
        <v>2265</v>
      </c>
      <c r="D496" s="519" t="str">
        <f>$D$246</f>
        <v>m'</v>
      </c>
      <c r="E496" s="518">
        <v>320</v>
      </c>
      <c r="F496" s="416">
        <f>$F$246</f>
        <v>52230.612500000003</v>
      </c>
      <c r="G496" s="463">
        <f t="shared" si="229"/>
        <v>16713796</v>
      </c>
      <c r="N496" s="492" t="s">
        <v>2168</v>
      </c>
      <c r="O496" s="464" t="s">
        <v>2265</v>
      </c>
      <c r="P496" s="519" t="str">
        <f>$D$246</f>
        <v>m'</v>
      </c>
      <c r="Q496" s="518">
        <v>320</v>
      </c>
      <c r="R496" s="517">
        <f>$F$246</f>
        <v>52230.612500000003</v>
      </c>
      <c r="S496" s="463">
        <f>Q496*R496</f>
        <v>16713796</v>
      </c>
      <c r="V496" s="492" t="s">
        <v>2168</v>
      </c>
      <c r="W496" s="464" t="s">
        <v>2265</v>
      </c>
      <c r="X496" s="519" t="str">
        <f>$D$246</f>
        <v>m'</v>
      </c>
      <c r="Y496" s="518">
        <v>320</v>
      </c>
      <c r="Z496" s="517">
        <f>$F$246</f>
        <v>52230.612500000003</v>
      </c>
      <c r="AA496" s="463">
        <f>Y496*Z496</f>
        <v>16713796</v>
      </c>
      <c r="AD496" s="492" t="s">
        <v>2168</v>
      </c>
      <c r="AE496" s="464" t="s">
        <v>2265</v>
      </c>
      <c r="AF496" s="519" t="str">
        <f>$D$246</f>
        <v>m'</v>
      </c>
      <c r="AG496" s="518">
        <v>320</v>
      </c>
      <c r="AH496" s="517">
        <f>$F$246</f>
        <v>52230.612500000003</v>
      </c>
      <c r="AI496" s="463">
        <f>AG496*AH496</f>
        <v>16713796</v>
      </c>
    </row>
    <row r="497" spans="2:37" ht="15" customHeight="1">
      <c r="B497" s="462"/>
      <c r="C497" s="464"/>
      <c r="D497" s="519"/>
      <c r="E497" s="428"/>
      <c r="F497" s="416"/>
      <c r="G497" s="463">
        <f t="shared" si="229"/>
        <v>0</v>
      </c>
      <c r="N497" s="462"/>
      <c r="O497" s="464"/>
      <c r="P497" s="519"/>
      <c r="Q497" s="428"/>
      <c r="R497" s="517"/>
      <c r="S497" s="463"/>
      <c r="V497" s="462"/>
      <c r="W497" s="464"/>
      <c r="X497" s="519"/>
      <c r="Y497" s="428"/>
      <c r="Z497" s="517"/>
      <c r="AA497" s="463"/>
      <c r="AD497" s="462"/>
      <c r="AE497" s="464"/>
      <c r="AF497" s="519"/>
      <c r="AG497" s="428"/>
      <c r="AH497" s="517"/>
      <c r="AI497" s="463"/>
    </row>
    <row r="498" spans="2:37" ht="15" customHeight="1">
      <c r="B498" s="507">
        <v>2</v>
      </c>
      <c r="C498" s="467" t="s">
        <v>2238</v>
      </c>
      <c r="D498" s="519"/>
      <c r="E498" s="428"/>
      <c r="F498" s="416"/>
      <c r="G498" s="463">
        <f t="shared" si="229"/>
        <v>0</v>
      </c>
      <c r="H498" s="516" t="s">
        <v>2239</v>
      </c>
      <c r="N498" s="507">
        <v>2</v>
      </c>
      <c r="O498" s="467" t="s">
        <v>2238</v>
      </c>
      <c r="P498" s="519"/>
      <c r="Q498" s="428"/>
      <c r="R498" s="517"/>
      <c r="S498" s="463"/>
      <c r="T498" s="516" t="s">
        <v>2239</v>
      </c>
      <c r="V498" s="507">
        <v>2</v>
      </c>
      <c r="W498" s="467" t="s">
        <v>2238</v>
      </c>
      <c r="X498" s="519"/>
      <c r="Y498" s="428"/>
      <c r="Z498" s="517"/>
      <c r="AA498" s="463"/>
      <c r="AB498" s="516" t="s">
        <v>2239</v>
      </c>
      <c r="AD498" s="507">
        <v>2</v>
      </c>
      <c r="AE498" s="467" t="s">
        <v>2238</v>
      </c>
      <c r="AF498" s="519"/>
      <c r="AG498" s="428"/>
      <c r="AH498" s="517"/>
      <c r="AI498" s="463"/>
      <c r="AJ498" s="516" t="s">
        <v>2239</v>
      </c>
    </row>
    <row r="499" spans="2:37" ht="15" customHeight="1">
      <c r="B499" s="492" t="s">
        <v>721</v>
      </c>
      <c r="C499" s="464" t="s">
        <v>2240</v>
      </c>
      <c r="D499" s="519" t="str">
        <f>$D$249</f>
        <v>m³</v>
      </c>
      <c r="E499" s="518">
        <v>4.9000000000000004</v>
      </c>
      <c r="F499" s="416">
        <f>$F$249</f>
        <v>404738.95</v>
      </c>
      <c r="G499" s="463">
        <f t="shared" si="229"/>
        <v>1983220.8550000002</v>
      </c>
      <c r="H499" s="516">
        <v>1400</v>
      </c>
      <c r="I499" s="516">
        <f>E499*H499</f>
        <v>6860.0000000000009</v>
      </c>
      <c r="N499" s="492" t="s">
        <v>721</v>
      </c>
      <c r="O499" s="464" t="s">
        <v>2240</v>
      </c>
      <c r="P499" s="519" t="str">
        <f>$D$249</f>
        <v>m³</v>
      </c>
      <c r="Q499" s="518">
        <v>4.9000000000000004</v>
      </c>
      <c r="R499" s="517">
        <f>$F$249</f>
        <v>404738.95</v>
      </c>
      <c r="S499" s="463">
        <f t="shared" ref="S499:S505" si="230">Q499*R499</f>
        <v>1983220.8550000002</v>
      </c>
      <c r="T499" s="516">
        <v>1400</v>
      </c>
      <c r="U499" s="516">
        <f>Q499*T499</f>
        <v>6860.0000000000009</v>
      </c>
      <c r="V499" s="492" t="s">
        <v>721</v>
      </c>
      <c r="W499" s="464" t="s">
        <v>2240</v>
      </c>
      <c r="X499" s="519" t="str">
        <f>$D$249</f>
        <v>m³</v>
      </c>
      <c r="Y499" s="518">
        <v>4.9000000000000004</v>
      </c>
      <c r="Z499" s="517">
        <f>$F$249</f>
        <v>404738.95</v>
      </c>
      <c r="AA499" s="463">
        <f t="shared" ref="AA499:AA505" si="231">Y499*Z499</f>
        <v>1983220.8550000002</v>
      </c>
      <c r="AB499" s="516">
        <v>1400</v>
      </c>
      <c r="AC499" s="516">
        <f>Y499*AB499</f>
        <v>6860.0000000000009</v>
      </c>
      <c r="AD499" s="492" t="s">
        <v>721</v>
      </c>
      <c r="AE499" s="464" t="s">
        <v>2240</v>
      </c>
      <c r="AF499" s="519" t="str">
        <f>$D$249</f>
        <v>m³</v>
      </c>
      <c r="AG499" s="518">
        <v>4.9000000000000004</v>
      </c>
      <c r="AH499" s="517">
        <f>$F$249</f>
        <v>404738.95</v>
      </c>
      <c r="AI499" s="463">
        <f t="shared" ref="AI499:AI505" si="232">AG499*AH499</f>
        <v>1983220.8550000002</v>
      </c>
      <c r="AJ499" s="516">
        <v>1400</v>
      </c>
      <c r="AK499" s="516">
        <f>AG499*AJ499</f>
        <v>6860.0000000000009</v>
      </c>
    </row>
    <row r="500" spans="2:37" ht="15" customHeight="1">
      <c r="B500" s="492" t="s">
        <v>2166</v>
      </c>
      <c r="C500" s="461" t="s">
        <v>2241</v>
      </c>
      <c r="D500" s="519" t="str">
        <f>$D$250</f>
        <v>m³</v>
      </c>
      <c r="E500" s="518">
        <v>2.4500000000000002</v>
      </c>
      <c r="F500" s="416">
        <f>$F$250</f>
        <v>710224.707936508</v>
      </c>
      <c r="G500" s="463">
        <f t="shared" si="229"/>
        <v>1740050.5344444448</v>
      </c>
      <c r="H500" s="516">
        <v>2200</v>
      </c>
      <c r="I500" s="516">
        <f t="shared" ref="I500:I505" si="233">E500*H500</f>
        <v>5390</v>
      </c>
      <c r="N500" s="492" t="s">
        <v>2166</v>
      </c>
      <c r="O500" s="461" t="s">
        <v>2241</v>
      </c>
      <c r="P500" s="519" t="str">
        <f>$D$250</f>
        <v>m³</v>
      </c>
      <c r="Q500" s="518">
        <v>2.4500000000000002</v>
      </c>
      <c r="R500" s="517">
        <f>$F$250</f>
        <v>710224.707936508</v>
      </c>
      <c r="S500" s="463">
        <f t="shared" si="230"/>
        <v>1740050.5344444448</v>
      </c>
      <c r="T500" s="516">
        <v>2200</v>
      </c>
      <c r="U500" s="516">
        <f t="shared" ref="U500:U505" si="234">Q500*T500</f>
        <v>5390</v>
      </c>
      <c r="V500" s="492" t="s">
        <v>2166</v>
      </c>
      <c r="W500" s="461" t="s">
        <v>2241</v>
      </c>
      <c r="X500" s="519" t="str">
        <f>$D$250</f>
        <v>m³</v>
      </c>
      <c r="Y500" s="518">
        <v>2.4500000000000002</v>
      </c>
      <c r="Z500" s="517">
        <f>$F$250</f>
        <v>710224.707936508</v>
      </c>
      <c r="AA500" s="463">
        <f t="shared" si="231"/>
        <v>1740050.5344444448</v>
      </c>
      <c r="AB500" s="516">
        <v>2200</v>
      </c>
      <c r="AC500" s="516">
        <f t="shared" ref="AC500:AC505" si="235">Y500*AB500</f>
        <v>5390</v>
      </c>
      <c r="AD500" s="492" t="s">
        <v>2166</v>
      </c>
      <c r="AE500" s="461" t="s">
        <v>2241</v>
      </c>
      <c r="AF500" s="519" t="str">
        <f>$D$250</f>
        <v>m³</v>
      </c>
      <c r="AG500" s="518">
        <v>2.4500000000000002</v>
      </c>
      <c r="AH500" s="517">
        <f>$F$250</f>
        <v>710224.707936508</v>
      </c>
      <c r="AI500" s="463">
        <f t="shared" si="232"/>
        <v>1740050.5344444448</v>
      </c>
      <c r="AJ500" s="516">
        <v>2200</v>
      </c>
      <c r="AK500" s="516">
        <f t="shared" ref="AK500:AK505" si="236">AG500*AJ500</f>
        <v>5390</v>
      </c>
    </row>
    <row r="501" spans="2:37" ht="15" customHeight="1">
      <c r="B501" s="492" t="s">
        <v>2168</v>
      </c>
      <c r="C501" s="461" t="s">
        <v>2266</v>
      </c>
      <c r="D501" s="519" t="str">
        <f>$D$251</f>
        <v>m³</v>
      </c>
      <c r="E501" s="518">
        <v>30.84</v>
      </c>
      <c r="F501" s="416">
        <f>$F$251</f>
        <v>1115864.6138095236</v>
      </c>
      <c r="G501" s="463">
        <f t="shared" si="229"/>
        <v>34413264.689885706</v>
      </c>
      <c r="H501" s="516">
        <v>2400</v>
      </c>
      <c r="I501" s="516">
        <f t="shared" si="233"/>
        <v>74016</v>
      </c>
      <c r="N501" s="492" t="s">
        <v>2168</v>
      </c>
      <c r="O501" s="461" t="s">
        <v>2266</v>
      </c>
      <c r="P501" s="519" t="str">
        <f>$D$251</f>
        <v>m³</v>
      </c>
      <c r="Q501" s="518">
        <v>30.84</v>
      </c>
      <c r="R501" s="517">
        <f>$F$251</f>
        <v>1115864.6138095236</v>
      </c>
      <c r="S501" s="463">
        <f t="shared" si="230"/>
        <v>34413264.689885706</v>
      </c>
      <c r="T501" s="516">
        <v>2400</v>
      </c>
      <c r="U501" s="516">
        <f t="shared" si="234"/>
        <v>74016</v>
      </c>
      <c r="V501" s="492" t="s">
        <v>2168</v>
      </c>
      <c r="W501" s="461" t="str">
        <f>O501</f>
        <v>Beton K 225 (Pad &amp; Chimney)</v>
      </c>
      <c r="X501" s="519" t="str">
        <f>$D$251</f>
        <v>m³</v>
      </c>
      <c r="Y501" s="518">
        <v>30.84</v>
      </c>
      <c r="Z501" s="517">
        <f>$F$251</f>
        <v>1115864.6138095236</v>
      </c>
      <c r="AA501" s="463">
        <f t="shared" si="231"/>
        <v>34413264.689885706</v>
      </c>
      <c r="AB501" s="516">
        <v>2400</v>
      </c>
      <c r="AC501" s="516">
        <f t="shared" si="235"/>
        <v>74016</v>
      </c>
      <c r="AD501" s="492" t="s">
        <v>2168</v>
      </c>
      <c r="AE501" s="461" t="str">
        <f>W501</f>
        <v>Beton K 225 (Pad &amp; Chimney)</v>
      </c>
      <c r="AF501" s="519" t="str">
        <f>$D$251</f>
        <v>m³</v>
      </c>
      <c r="AG501" s="518">
        <v>30.84</v>
      </c>
      <c r="AH501" s="517">
        <f>$F$251</f>
        <v>1115864.6138095236</v>
      </c>
      <c r="AI501" s="463">
        <f t="shared" si="232"/>
        <v>34413264.689885706</v>
      </c>
      <c r="AJ501" s="516">
        <v>2400</v>
      </c>
      <c r="AK501" s="516">
        <f t="shared" si="236"/>
        <v>74016</v>
      </c>
    </row>
    <row r="502" spans="2:37" ht="15" customHeight="1">
      <c r="B502" s="492" t="s">
        <v>2170</v>
      </c>
      <c r="C502" s="461" t="s">
        <v>2267</v>
      </c>
      <c r="D502" s="519" t="str">
        <f>$D$252</f>
        <v>m³</v>
      </c>
      <c r="E502" s="518">
        <v>86.893714285714282</v>
      </c>
      <c r="F502" s="416">
        <f>$F$252</f>
        <v>1057576.2423809525</v>
      </c>
      <c r="G502" s="463">
        <f t="shared" si="229"/>
        <v>91896727.840809792</v>
      </c>
      <c r="H502" s="516">
        <v>2200</v>
      </c>
      <c r="I502" s="516">
        <f t="shared" si="233"/>
        <v>191166.17142857143</v>
      </c>
      <c r="N502" s="492" t="s">
        <v>2170</v>
      </c>
      <c r="O502" s="461" t="s">
        <v>2267</v>
      </c>
      <c r="P502" s="519" t="str">
        <f>$D$252</f>
        <v>m³</v>
      </c>
      <c r="Q502" s="518">
        <v>86.893714285714282</v>
      </c>
      <c r="R502" s="517">
        <f>$F$252</f>
        <v>1057576.2423809525</v>
      </c>
      <c r="S502" s="463">
        <f t="shared" si="230"/>
        <v>91896727.840809792</v>
      </c>
      <c r="T502" s="516">
        <v>2200</v>
      </c>
      <c r="U502" s="516">
        <f t="shared" si="234"/>
        <v>191166.17142857143</v>
      </c>
      <c r="V502" s="492" t="s">
        <v>2170</v>
      </c>
      <c r="W502" s="461" t="s">
        <v>2267</v>
      </c>
      <c r="X502" s="519" t="str">
        <f>$D$252</f>
        <v>m³</v>
      </c>
      <c r="Y502" s="518">
        <v>86.893714285714282</v>
      </c>
      <c r="Z502" s="517">
        <f>$F$252</f>
        <v>1057576.2423809525</v>
      </c>
      <c r="AA502" s="463">
        <f t="shared" si="231"/>
        <v>91896727.840809792</v>
      </c>
      <c r="AB502" s="516">
        <v>2200</v>
      </c>
      <c r="AC502" s="516">
        <f t="shared" si="235"/>
        <v>191166.17142857143</v>
      </c>
      <c r="AD502" s="492" t="s">
        <v>2170</v>
      </c>
      <c r="AE502" s="461" t="s">
        <v>2267</v>
      </c>
      <c r="AF502" s="519" t="str">
        <f>$D$252</f>
        <v>m³</v>
      </c>
      <c r="AG502" s="518">
        <v>86.893714285714282</v>
      </c>
      <c r="AH502" s="517">
        <f>$F$252</f>
        <v>1057576.2423809525</v>
      </c>
      <c r="AI502" s="463">
        <f t="shared" si="232"/>
        <v>91896727.840809792</v>
      </c>
      <c r="AJ502" s="516">
        <v>2200</v>
      </c>
      <c r="AK502" s="516">
        <f t="shared" si="236"/>
        <v>191166.17142857143</v>
      </c>
    </row>
    <row r="503" spans="2:37" ht="15" customHeight="1">
      <c r="B503" s="492" t="s">
        <v>2172</v>
      </c>
      <c r="C503" s="461" t="s">
        <v>2243</v>
      </c>
      <c r="D503" s="519" t="str">
        <f>$D$253</f>
        <v>kg</v>
      </c>
      <c r="E503" s="518">
        <v>13336.588000000002</v>
      </c>
      <c r="F503" s="416">
        <f>$F$253</f>
        <v>19478.039350000003</v>
      </c>
      <c r="G503" s="463">
        <f t="shared" si="229"/>
        <v>259770585.85873786</v>
      </c>
      <c r="H503" s="516">
        <v>1</v>
      </c>
      <c r="I503" s="516">
        <f t="shared" si="233"/>
        <v>13336.588000000002</v>
      </c>
      <c r="N503" s="492" t="s">
        <v>2172</v>
      </c>
      <c r="O503" s="461" t="s">
        <v>2243</v>
      </c>
      <c r="P503" s="519" t="str">
        <f>$D$253</f>
        <v>kg</v>
      </c>
      <c r="Q503" s="518">
        <v>13336.588000000002</v>
      </c>
      <c r="R503" s="517">
        <f>$F$253</f>
        <v>19478.039350000003</v>
      </c>
      <c r="S503" s="463">
        <f t="shared" si="230"/>
        <v>259770585.85873786</v>
      </c>
      <c r="T503" s="516">
        <v>1</v>
      </c>
      <c r="U503" s="516">
        <f t="shared" si="234"/>
        <v>13336.588000000002</v>
      </c>
      <c r="V503" s="492" t="s">
        <v>2172</v>
      </c>
      <c r="W503" s="461" t="s">
        <v>2243</v>
      </c>
      <c r="X503" s="519" t="str">
        <f>$D$253</f>
        <v>kg</v>
      </c>
      <c r="Y503" s="518">
        <v>13336.588000000002</v>
      </c>
      <c r="Z503" s="517">
        <f>$F$253</f>
        <v>19478.039350000003</v>
      </c>
      <c r="AA503" s="463">
        <f t="shared" si="231"/>
        <v>259770585.85873786</v>
      </c>
      <c r="AB503" s="516">
        <v>1</v>
      </c>
      <c r="AC503" s="516">
        <f t="shared" si="235"/>
        <v>13336.588000000002</v>
      </c>
      <c r="AD503" s="492" t="s">
        <v>2172</v>
      </c>
      <c r="AE503" s="461" t="s">
        <v>2243</v>
      </c>
      <c r="AF503" s="519" t="str">
        <f>$D$253</f>
        <v>kg</v>
      </c>
      <c r="AG503" s="518">
        <v>13336.588000000002</v>
      </c>
      <c r="AH503" s="517">
        <f>$F$253</f>
        <v>19478.039350000003</v>
      </c>
      <c r="AI503" s="463">
        <f t="shared" si="232"/>
        <v>259770585.85873786</v>
      </c>
      <c r="AJ503" s="516">
        <v>1</v>
      </c>
      <c r="AK503" s="516">
        <f t="shared" si="236"/>
        <v>13336.588000000002</v>
      </c>
    </row>
    <row r="504" spans="2:37" ht="15" customHeight="1">
      <c r="B504" s="492" t="s">
        <v>2268</v>
      </c>
      <c r="C504" s="461" t="s">
        <v>2244</v>
      </c>
      <c r="D504" s="519" t="str">
        <f>$D$254</f>
        <v>m²</v>
      </c>
      <c r="E504" s="518">
        <v>43.2</v>
      </c>
      <c r="F504" s="416">
        <f>$F$254</f>
        <v>145812.67000000001</v>
      </c>
      <c r="G504" s="463">
        <f t="shared" si="229"/>
        <v>6299107.3440000005</v>
      </c>
      <c r="H504" s="516">
        <v>40</v>
      </c>
      <c r="I504" s="516">
        <f t="shared" si="233"/>
        <v>1728</v>
      </c>
      <c r="N504" s="492" t="s">
        <v>2268</v>
      </c>
      <c r="O504" s="461" t="s">
        <v>2244</v>
      </c>
      <c r="P504" s="519" t="str">
        <f>$D$254</f>
        <v>m²</v>
      </c>
      <c r="Q504" s="518">
        <v>43.2</v>
      </c>
      <c r="R504" s="517">
        <f>$F$254</f>
        <v>145812.67000000001</v>
      </c>
      <c r="S504" s="463">
        <f t="shared" si="230"/>
        <v>6299107.3440000005</v>
      </c>
      <c r="T504" s="516">
        <v>40</v>
      </c>
      <c r="U504" s="516">
        <f t="shared" si="234"/>
        <v>1728</v>
      </c>
      <c r="V504" s="492" t="s">
        <v>2268</v>
      </c>
      <c r="W504" s="461" t="s">
        <v>2244</v>
      </c>
      <c r="X504" s="519" t="str">
        <f>$D$254</f>
        <v>m²</v>
      </c>
      <c r="Y504" s="518">
        <v>43.2</v>
      </c>
      <c r="Z504" s="517">
        <f>$F$254</f>
        <v>145812.67000000001</v>
      </c>
      <c r="AA504" s="463">
        <f t="shared" si="231"/>
        <v>6299107.3440000005</v>
      </c>
      <c r="AB504" s="516">
        <v>40</v>
      </c>
      <c r="AC504" s="516">
        <f t="shared" si="235"/>
        <v>1728</v>
      </c>
      <c r="AD504" s="492" t="s">
        <v>2268</v>
      </c>
      <c r="AE504" s="461" t="s">
        <v>2244</v>
      </c>
      <c r="AF504" s="519" t="str">
        <f>$D$254</f>
        <v>m²</v>
      </c>
      <c r="AG504" s="518">
        <v>43.2</v>
      </c>
      <c r="AH504" s="517">
        <f>$F$254</f>
        <v>145812.67000000001</v>
      </c>
      <c r="AI504" s="463">
        <f t="shared" si="232"/>
        <v>6299107.3440000005</v>
      </c>
      <c r="AJ504" s="516">
        <v>40</v>
      </c>
      <c r="AK504" s="516">
        <f t="shared" si="236"/>
        <v>1728</v>
      </c>
    </row>
    <row r="505" spans="2:37" ht="15" customHeight="1">
      <c r="B505" s="492" t="s">
        <v>2176</v>
      </c>
      <c r="C505" s="491" t="s">
        <v>2246</v>
      </c>
      <c r="D505" s="519" t="str">
        <f>$D$255</f>
        <v>bh</v>
      </c>
      <c r="E505" s="518">
        <v>4</v>
      </c>
      <c r="F505" s="416">
        <f>$F$255</f>
        <v>100000</v>
      </c>
      <c r="G505" s="463">
        <f t="shared" si="229"/>
        <v>400000</v>
      </c>
      <c r="H505" s="516">
        <v>2.5</v>
      </c>
      <c r="I505" s="516">
        <f t="shared" si="233"/>
        <v>10</v>
      </c>
      <c r="N505" s="492" t="s">
        <v>2176</v>
      </c>
      <c r="O505" s="491" t="s">
        <v>2246</v>
      </c>
      <c r="P505" s="519" t="str">
        <f>$D$255</f>
        <v>bh</v>
      </c>
      <c r="Q505" s="518">
        <v>4</v>
      </c>
      <c r="R505" s="517">
        <f>$F$255</f>
        <v>100000</v>
      </c>
      <c r="S505" s="463">
        <f t="shared" si="230"/>
        <v>400000</v>
      </c>
      <c r="T505" s="516">
        <v>2.5</v>
      </c>
      <c r="U505" s="516">
        <f t="shared" si="234"/>
        <v>10</v>
      </c>
      <c r="V505" s="492" t="s">
        <v>2176</v>
      </c>
      <c r="W505" s="491" t="s">
        <v>2246</v>
      </c>
      <c r="X505" s="519" t="str">
        <f>$D$255</f>
        <v>bh</v>
      </c>
      <c r="Y505" s="518">
        <v>4</v>
      </c>
      <c r="Z505" s="517">
        <f>$F$255</f>
        <v>100000</v>
      </c>
      <c r="AA505" s="463">
        <f t="shared" si="231"/>
        <v>400000</v>
      </c>
      <c r="AB505" s="516">
        <v>2.5</v>
      </c>
      <c r="AC505" s="516">
        <f t="shared" si="235"/>
        <v>10</v>
      </c>
      <c r="AD505" s="492" t="s">
        <v>2176</v>
      </c>
      <c r="AE505" s="491" t="s">
        <v>2246</v>
      </c>
      <c r="AF505" s="519" t="str">
        <f>$D$255</f>
        <v>bh</v>
      </c>
      <c r="AG505" s="518">
        <v>4</v>
      </c>
      <c r="AH505" s="517">
        <f>$F$255</f>
        <v>100000</v>
      </c>
      <c r="AI505" s="463">
        <f t="shared" si="232"/>
        <v>400000</v>
      </c>
      <c r="AJ505" s="516">
        <v>2.5</v>
      </c>
      <c r="AK505" s="516">
        <f t="shared" si="236"/>
        <v>10</v>
      </c>
    </row>
    <row r="506" spans="2:37" ht="15" customHeight="1">
      <c r="B506" s="492"/>
      <c r="C506" s="461"/>
      <c r="D506" s="519"/>
      <c r="E506" s="428"/>
      <c r="F506" s="416"/>
      <c r="G506" s="463">
        <f t="shared" si="229"/>
        <v>0</v>
      </c>
      <c r="I506" s="516">
        <f>SUM(I499:I504)</f>
        <v>292496.75942857144</v>
      </c>
      <c r="N506" s="492"/>
      <c r="O506" s="461"/>
      <c r="P506" s="519"/>
      <c r="Q506" s="428"/>
      <c r="R506" s="517"/>
      <c r="S506" s="463"/>
      <c r="U506" s="516">
        <f>SUM(U499:U504)</f>
        <v>292496.75942857144</v>
      </c>
      <c r="V506" s="492"/>
      <c r="W506" s="461"/>
      <c r="X506" s="519"/>
      <c r="Y506" s="428"/>
      <c r="Z506" s="517"/>
      <c r="AA506" s="463"/>
      <c r="AC506" s="516">
        <f>SUM(AC499:AC504)</f>
        <v>292496.75942857144</v>
      </c>
      <c r="AD506" s="492"/>
      <c r="AE506" s="461"/>
      <c r="AF506" s="519"/>
      <c r="AG506" s="428"/>
      <c r="AH506" s="517"/>
      <c r="AI506" s="463"/>
      <c r="AK506" s="516">
        <f>SUM(AK499:AK504)</f>
        <v>292496.75942857144</v>
      </c>
    </row>
    <row r="507" spans="2:37" ht="15" customHeight="1">
      <c r="B507" s="507">
        <v>3</v>
      </c>
      <c r="C507" s="460" t="s">
        <v>2086</v>
      </c>
      <c r="D507" s="519"/>
      <c r="E507" s="428"/>
      <c r="F507" s="416"/>
      <c r="G507" s="463">
        <f t="shared" si="229"/>
        <v>0</v>
      </c>
      <c r="N507" s="507">
        <v>3</v>
      </c>
      <c r="O507" s="460" t="s">
        <v>2086</v>
      </c>
      <c r="P507" s="519"/>
      <c r="Q507" s="428"/>
      <c r="R507" s="517"/>
      <c r="S507" s="463"/>
      <c r="V507" s="507">
        <v>3</v>
      </c>
      <c r="W507" s="460" t="s">
        <v>2086</v>
      </c>
      <c r="X507" s="519"/>
      <c r="Y507" s="428"/>
      <c r="Z507" s="517"/>
      <c r="AA507" s="463"/>
      <c r="AD507" s="507">
        <v>3</v>
      </c>
      <c r="AE507" s="460" t="s">
        <v>2086</v>
      </c>
      <c r="AF507" s="519"/>
      <c r="AG507" s="428"/>
      <c r="AH507" s="517"/>
      <c r="AI507" s="463"/>
    </row>
    <row r="508" spans="2:37" ht="15" customHeight="1">
      <c r="B508" s="492" t="s">
        <v>721</v>
      </c>
      <c r="C508" s="461" t="s">
        <v>2247</v>
      </c>
      <c r="D508" s="519" t="str">
        <f>$D$258</f>
        <v>bh</v>
      </c>
      <c r="E508" s="518">
        <v>4</v>
      </c>
      <c r="F508" s="416">
        <f>$F$258</f>
        <v>181849.04</v>
      </c>
      <c r="G508" s="463">
        <f t="shared" si="229"/>
        <v>727396.16</v>
      </c>
      <c r="N508" s="492" t="s">
        <v>721</v>
      </c>
      <c r="O508" s="461" t="s">
        <v>2247</v>
      </c>
      <c r="P508" s="519" t="str">
        <f>$D$258</f>
        <v>bh</v>
      </c>
      <c r="Q508" s="518">
        <v>4</v>
      </c>
      <c r="R508" s="517">
        <f>$F$258</f>
        <v>181849.04</v>
      </c>
      <c r="S508" s="463">
        <f t="shared" ref="S508:S513" si="237">Q508*R508</f>
        <v>727396.16</v>
      </c>
      <c r="V508" s="492" t="s">
        <v>721</v>
      </c>
      <c r="W508" s="461" t="s">
        <v>2247</v>
      </c>
      <c r="X508" s="519" t="str">
        <f>$D$258</f>
        <v>bh</v>
      </c>
      <c r="Y508" s="518">
        <v>4</v>
      </c>
      <c r="Z508" s="517">
        <f>$F$258</f>
        <v>181849.04</v>
      </c>
      <c r="AA508" s="463">
        <f t="shared" ref="AA508:AA513" si="238">Y508*Z508</f>
        <v>727396.16</v>
      </c>
      <c r="AD508" s="492" t="s">
        <v>721</v>
      </c>
      <c r="AE508" s="461" t="s">
        <v>2247</v>
      </c>
      <c r="AF508" s="519" t="str">
        <f>$D$258</f>
        <v>bh</v>
      </c>
      <c r="AG508" s="518">
        <v>4</v>
      </c>
      <c r="AH508" s="517">
        <f>$F$258</f>
        <v>181849.04</v>
      </c>
      <c r="AI508" s="463">
        <f t="shared" ref="AI508:AI513" si="239">AG508*AH508</f>
        <v>727396.16</v>
      </c>
    </row>
    <row r="509" spans="2:37" ht="15" customHeight="1">
      <c r="B509" s="492" t="s">
        <v>2166</v>
      </c>
      <c r="C509" s="461" t="s">
        <v>2085</v>
      </c>
      <c r="D509" s="519" t="str">
        <f>$D$259</f>
        <v>kg</v>
      </c>
      <c r="E509" s="518">
        <f>I506</f>
        <v>292496.75942857144</v>
      </c>
      <c r="F509" s="416">
        <f>$F$259</f>
        <v>462.7700000000001</v>
      </c>
      <c r="G509" s="463">
        <f t="shared" si="229"/>
        <v>135358725.36076003</v>
      </c>
      <c r="N509" s="492" t="s">
        <v>2166</v>
      </c>
      <c r="O509" s="461" t="s">
        <v>2085</v>
      </c>
      <c r="P509" s="519" t="str">
        <f>$D$259</f>
        <v>kg</v>
      </c>
      <c r="Q509" s="518">
        <f>U506</f>
        <v>292496.75942857144</v>
      </c>
      <c r="R509" s="517">
        <f>$F$259</f>
        <v>462.7700000000001</v>
      </c>
      <c r="S509" s="463">
        <f t="shared" si="237"/>
        <v>135358725.36076003</v>
      </c>
      <c r="V509" s="492" t="s">
        <v>2166</v>
      </c>
      <c r="W509" s="461" t="s">
        <v>2085</v>
      </c>
      <c r="X509" s="519" t="str">
        <f>$D$259</f>
        <v>kg</v>
      </c>
      <c r="Y509" s="518">
        <f>AC506</f>
        <v>292496.75942857144</v>
      </c>
      <c r="Z509" s="517">
        <f>$F$259</f>
        <v>462.7700000000001</v>
      </c>
      <c r="AA509" s="463">
        <f t="shared" si="238"/>
        <v>135358725.36076003</v>
      </c>
      <c r="AD509" s="492" t="s">
        <v>2166</v>
      </c>
      <c r="AE509" s="461" t="s">
        <v>2085</v>
      </c>
      <c r="AF509" s="519" t="str">
        <f>$D$259</f>
        <v>kg</v>
      </c>
      <c r="AG509" s="518">
        <f>AK506</f>
        <v>292496.75942857144</v>
      </c>
      <c r="AH509" s="517">
        <f>$F$259</f>
        <v>462.7700000000001</v>
      </c>
      <c r="AI509" s="463">
        <f t="shared" si="239"/>
        <v>135358725.36076003</v>
      </c>
    </row>
    <row r="510" spans="2:37" ht="15" customHeight="1">
      <c r="B510" s="492" t="s">
        <v>2168</v>
      </c>
      <c r="C510" s="461" t="s">
        <v>2249</v>
      </c>
      <c r="D510" s="519" t="str">
        <f>$D$260</f>
        <v>bh</v>
      </c>
      <c r="E510" s="518">
        <v>4</v>
      </c>
      <c r="F510" s="416">
        <f>$F$260</f>
        <v>387825</v>
      </c>
      <c r="G510" s="463">
        <f t="shared" si="229"/>
        <v>1551300</v>
      </c>
      <c r="N510" s="492" t="s">
        <v>2168</v>
      </c>
      <c r="O510" s="461" t="s">
        <v>2249</v>
      </c>
      <c r="P510" s="519" t="str">
        <f>$D$260</f>
        <v>bh</v>
      </c>
      <c r="Q510" s="518">
        <v>4</v>
      </c>
      <c r="R510" s="517">
        <f>$F$260</f>
        <v>387825</v>
      </c>
      <c r="S510" s="463">
        <f t="shared" si="237"/>
        <v>1551300</v>
      </c>
      <c r="V510" s="492" t="s">
        <v>2168</v>
      </c>
      <c r="W510" s="461" t="s">
        <v>2249</v>
      </c>
      <c r="X510" s="519" t="str">
        <f>$D$260</f>
        <v>bh</v>
      </c>
      <c r="Y510" s="518">
        <v>4</v>
      </c>
      <c r="Z510" s="517">
        <f>$F$260</f>
        <v>387825</v>
      </c>
      <c r="AA510" s="463">
        <f t="shared" si="238"/>
        <v>1551300</v>
      </c>
      <c r="AD510" s="492" t="s">
        <v>2168</v>
      </c>
      <c r="AE510" s="461" t="s">
        <v>2249</v>
      </c>
      <c r="AF510" s="519" t="str">
        <f>$D$260</f>
        <v>bh</v>
      </c>
      <c r="AG510" s="518">
        <v>4</v>
      </c>
      <c r="AH510" s="517">
        <f>$F$260</f>
        <v>387825</v>
      </c>
      <c r="AI510" s="463">
        <f t="shared" si="239"/>
        <v>1551300</v>
      </c>
    </row>
    <row r="511" spans="2:37" ht="15" customHeight="1">
      <c r="B511" s="492" t="s">
        <v>2170</v>
      </c>
      <c r="C511" s="461" t="s">
        <v>2250</v>
      </c>
      <c r="D511" s="519" t="str">
        <f>$D$261</f>
        <v>kg</v>
      </c>
      <c r="E511" s="518">
        <v>150.93599999999998</v>
      </c>
      <c r="F511" s="416">
        <f>$F$261</f>
        <v>3758.6984549742947</v>
      </c>
      <c r="G511" s="463">
        <f t="shared" si="229"/>
        <v>567322.91</v>
      </c>
      <c r="N511" s="492" t="s">
        <v>2170</v>
      </c>
      <c r="O511" s="461" t="s">
        <v>2250</v>
      </c>
      <c r="P511" s="519" t="str">
        <f>$D$261</f>
        <v>kg</v>
      </c>
      <c r="Q511" s="518">
        <v>239.61599999999999</v>
      </c>
      <c r="R511" s="517">
        <f>$F$261</f>
        <v>3758.6984549742947</v>
      </c>
      <c r="S511" s="463">
        <f t="shared" si="237"/>
        <v>900644.2889871205</v>
      </c>
      <c r="V511" s="492" t="s">
        <v>2170</v>
      </c>
      <c r="W511" s="461" t="s">
        <v>2269</v>
      </c>
      <c r="X511" s="519" t="str">
        <f>$D$261</f>
        <v>kg</v>
      </c>
      <c r="Y511" s="518">
        <v>311.47199999999998</v>
      </c>
      <c r="Z511" s="517">
        <f>$F$261</f>
        <v>3758.6984549742947</v>
      </c>
      <c r="AA511" s="463">
        <f t="shared" si="238"/>
        <v>1170729.3251677535</v>
      </c>
      <c r="AD511" s="492" t="s">
        <v>2170</v>
      </c>
      <c r="AE511" s="461" t="s">
        <v>2269</v>
      </c>
      <c r="AF511" s="519" t="str">
        <f>$D$261</f>
        <v>kg</v>
      </c>
      <c r="AG511" s="518">
        <v>403.17599999999999</v>
      </c>
      <c r="AH511" s="517">
        <f>$F$261</f>
        <v>3758.6984549742947</v>
      </c>
      <c r="AI511" s="463">
        <f t="shared" si="239"/>
        <v>1515417.0082827162</v>
      </c>
    </row>
    <row r="512" spans="2:37" ht="15" customHeight="1">
      <c r="B512" s="492" t="s">
        <v>2172</v>
      </c>
      <c r="C512" s="461" t="s">
        <v>2251</v>
      </c>
      <c r="D512" s="519" t="str">
        <f>$D$262</f>
        <v>set</v>
      </c>
      <c r="E512" s="518">
        <v>1</v>
      </c>
      <c r="F512" s="416">
        <f>$F$262</f>
        <v>855127</v>
      </c>
      <c r="G512" s="463">
        <f t="shared" si="229"/>
        <v>855127</v>
      </c>
      <c r="N512" s="492" t="s">
        <v>2172</v>
      </c>
      <c r="O512" s="461" t="s">
        <v>2251</v>
      </c>
      <c r="P512" s="519" t="str">
        <f>$D$262</f>
        <v>set</v>
      </c>
      <c r="Q512" s="518">
        <v>1</v>
      </c>
      <c r="R512" s="517">
        <f>$F$262</f>
        <v>855127</v>
      </c>
      <c r="S512" s="463">
        <f t="shared" si="237"/>
        <v>855127</v>
      </c>
      <c r="V512" s="492" t="s">
        <v>2172</v>
      </c>
      <c r="W512" s="461" t="s">
        <v>2251</v>
      </c>
      <c r="X512" s="519" t="str">
        <f>$D$262</f>
        <v>set</v>
      </c>
      <c r="Y512" s="518">
        <v>1</v>
      </c>
      <c r="Z512" s="517">
        <f>$F$262</f>
        <v>855127</v>
      </c>
      <c r="AA512" s="463">
        <f t="shared" si="238"/>
        <v>855127</v>
      </c>
      <c r="AD512" s="492" t="s">
        <v>2172</v>
      </c>
      <c r="AE512" s="461" t="s">
        <v>2251</v>
      </c>
      <c r="AF512" s="519" t="str">
        <f>$D$262</f>
        <v>set</v>
      </c>
      <c r="AG512" s="518">
        <v>1</v>
      </c>
      <c r="AH512" s="517">
        <f>$F$262</f>
        <v>855127</v>
      </c>
      <c r="AI512" s="463">
        <f t="shared" si="239"/>
        <v>855127</v>
      </c>
    </row>
    <row r="513" spans="2:35" ht="15" customHeight="1">
      <c r="B513" s="492" t="s">
        <v>2174</v>
      </c>
      <c r="C513" s="461" t="s">
        <v>2252</v>
      </c>
      <c r="D513" s="519" t="str">
        <f>$D$263</f>
        <v>set</v>
      </c>
      <c r="E513" s="518">
        <v>1</v>
      </c>
      <c r="F513" s="416">
        <f>$F$263</f>
        <v>674025</v>
      </c>
      <c r="G513" s="463">
        <f t="shared" si="229"/>
        <v>674025</v>
      </c>
      <c r="N513" s="492" t="s">
        <v>2174</v>
      </c>
      <c r="O513" s="461" t="s">
        <v>2252</v>
      </c>
      <c r="P513" s="519" t="str">
        <f>$D$263</f>
        <v>set</v>
      </c>
      <c r="Q513" s="518">
        <v>1</v>
      </c>
      <c r="R513" s="517">
        <f>$F$263</f>
        <v>674025</v>
      </c>
      <c r="S513" s="463">
        <f t="shared" si="237"/>
        <v>674025</v>
      </c>
      <c r="V513" s="492" t="s">
        <v>2174</v>
      </c>
      <c r="W513" s="461" t="s">
        <v>2252</v>
      </c>
      <c r="X513" s="519" t="str">
        <f>$D$263</f>
        <v>set</v>
      </c>
      <c r="Y513" s="518">
        <v>1</v>
      </c>
      <c r="Z513" s="517">
        <f>$F$263</f>
        <v>674025</v>
      </c>
      <c r="AA513" s="463">
        <f t="shared" si="238"/>
        <v>674025</v>
      </c>
      <c r="AD513" s="492" t="s">
        <v>2174</v>
      </c>
      <c r="AE513" s="461" t="s">
        <v>2252</v>
      </c>
      <c r="AF513" s="519" t="str">
        <f>$D$263</f>
        <v>set</v>
      </c>
      <c r="AG513" s="518">
        <v>1</v>
      </c>
      <c r="AH513" s="517">
        <f>$F$263</f>
        <v>674025</v>
      </c>
      <c r="AI513" s="463">
        <f t="shared" si="239"/>
        <v>674025</v>
      </c>
    </row>
    <row r="514" spans="2:35" ht="15" customHeight="1" thickBot="1">
      <c r="B514" s="459"/>
      <c r="C514" s="1194" t="s">
        <v>3269</v>
      </c>
      <c r="D514" s="1195"/>
      <c r="E514" s="1195"/>
      <c r="F514" s="1196"/>
      <c r="G514" s="458">
        <f>SUM(G493:G513)</f>
        <v>558865573.28813779</v>
      </c>
      <c r="N514" s="459"/>
      <c r="O514" s="1194" t="s">
        <v>3269</v>
      </c>
      <c r="P514" s="1195"/>
      <c r="Q514" s="1195"/>
      <c r="R514" s="1196"/>
      <c r="S514" s="458">
        <f>SUM(S493:S513)</f>
        <v>559198894.66712499</v>
      </c>
      <c r="V514" s="459"/>
      <c r="W514" s="1194" t="s">
        <v>3269</v>
      </c>
      <c r="X514" s="1195"/>
      <c r="Y514" s="1195"/>
      <c r="Z514" s="1196"/>
      <c r="AA514" s="458">
        <f>SUM(AA493:AA513)</f>
        <v>559468979.7033056</v>
      </c>
      <c r="AD514" s="459"/>
      <c r="AE514" s="1194" t="s">
        <v>3269</v>
      </c>
      <c r="AF514" s="1195"/>
      <c r="AG514" s="1195"/>
      <c r="AH514" s="1196"/>
      <c r="AI514" s="458">
        <f>SUM(AI493:AI513)</f>
        <v>559813667.38642049</v>
      </c>
    </row>
    <row r="515" spans="2:35" ht="15" customHeight="1"/>
    <row r="516" spans="2:35" ht="15" customHeight="1"/>
    <row r="517" spans="2:35" ht="15" customHeight="1"/>
    <row r="518" spans="2:35" ht="15" customHeight="1"/>
    <row r="519" spans="2:35" ht="15" customHeight="1"/>
    <row r="520" spans="2:35" ht="15" customHeight="1"/>
    <row r="521" spans="2:35" ht="15" customHeight="1"/>
    <row r="522" spans="2:35" ht="15" customHeight="1"/>
    <row r="523" spans="2:35" ht="15" customHeight="1"/>
    <row r="524" spans="2:35" ht="15" customHeight="1"/>
    <row r="525" spans="2:35" ht="15" customHeight="1"/>
    <row r="526" spans="2:35" ht="15" customHeight="1"/>
    <row r="527" spans="2:35" ht="15" customHeight="1"/>
    <row r="528" spans="2:35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</sheetData>
  <mergeCells count="130">
    <mergeCell ref="C489:F489"/>
    <mergeCell ref="O489:R489"/>
    <mergeCell ref="W489:Z489"/>
    <mergeCell ref="AE489:AH489"/>
    <mergeCell ref="C514:F514"/>
    <mergeCell ref="O514:R514"/>
    <mergeCell ref="W514:Z514"/>
    <mergeCell ref="AE514:AH514"/>
    <mergeCell ref="C439:F439"/>
    <mergeCell ref="O439:R439"/>
    <mergeCell ref="W439:Z439"/>
    <mergeCell ref="AE439:AH439"/>
    <mergeCell ref="C464:F464"/>
    <mergeCell ref="O464:R464"/>
    <mergeCell ref="W464:Z464"/>
    <mergeCell ref="AE464:AH464"/>
    <mergeCell ref="C389:F389"/>
    <mergeCell ref="O389:R389"/>
    <mergeCell ref="W389:Z389"/>
    <mergeCell ref="AE389:AH389"/>
    <mergeCell ref="C414:F414"/>
    <mergeCell ref="O414:R414"/>
    <mergeCell ref="W414:Z414"/>
    <mergeCell ref="AE414:AH414"/>
    <mergeCell ref="C339:F339"/>
    <mergeCell ref="O339:R339"/>
    <mergeCell ref="W339:Z339"/>
    <mergeCell ref="AE339:AH339"/>
    <mergeCell ref="C364:F364"/>
    <mergeCell ref="O364:R364"/>
    <mergeCell ref="W364:Z364"/>
    <mergeCell ref="AE364:AH364"/>
    <mergeCell ref="C289:F289"/>
    <mergeCell ref="O289:R289"/>
    <mergeCell ref="W289:Z289"/>
    <mergeCell ref="AE289:AH289"/>
    <mergeCell ref="C314:F314"/>
    <mergeCell ref="O314:R314"/>
    <mergeCell ref="W314:Z314"/>
    <mergeCell ref="AE314:AH314"/>
    <mergeCell ref="J246:K246"/>
    <mergeCell ref="L246:M246"/>
    <mergeCell ref="C264:F264"/>
    <mergeCell ref="O264:R264"/>
    <mergeCell ref="W264:Z264"/>
    <mergeCell ref="AE264:AH264"/>
    <mergeCell ref="C239:F239"/>
    <mergeCell ref="O239:R239"/>
    <mergeCell ref="W239:Z239"/>
    <mergeCell ref="AE239:AH239"/>
    <mergeCell ref="J245:K245"/>
    <mergeCell ref="L245:M245"/>
    <mergeCell ref="C189:F189"/>
    <mergeCell ref="O189:R189"/>
    <mergeCell ref="W189:Z189"/>
    <mergeCell ref="AE189:AH189"/>
    <mergeCell ref="C214:F214"/>
    <mergeCell ref="O214:R214"/>
    <mergeCell ref="W214:Z214"/>
    <mergeCell ref="AE214:AH214"/>
    <mergeCell ref="C139:F139"/>
    <mergeCell ref="O139:R139"/>
    <mergeCell ref="W139:Z139"/>
    <mergeCell ref="AE139:AH139"/>
    <mergeCell ref="C164:F164"/>
    <mergeCell ref="O164:R164"/>
    <mergeCell ref="W164:Z164"/>
    <mergeCell ref="AE164:AH164"/>
    <mergeCell ref="C93:F93"/>
    <mergeCell ref="O93:R93"/>
    <mergeCell ref="W93:Z93"/>
    <mergeCell ref="AE93:AH93"/>
    <mergeCell ref="C116:F116"/>
    <mergeCell ref="O116:R116"/>
    <mergeCell ref="W116:Z116"/>
    <mergeCell ref="AE116:AH116"/>
    <mergeCell ref="W47:Z47"/>
    <mergeCell ref="AE47:AH47"/>
    <mergeCell ref="C70:F70"/>
    <mergeCell ref="O70:R70"/>
    <mergeCell ref="W70:Z70"/>
    <mergeCell ref="AE70:AH70"/>
    <mergeCell ref="J45:K45"/>
    <mergeCell ref="L45:M45"/>
    <mergeCell ref="J46:K46"/>
    <mergeCell ref="L46:M46"/>
    <mergeCell ref="C47:F47"/>
    <mergeCell ref="O47:R47"/>
    <mergeCell ref="L41:M41"/>
    <mergeCell ref="J42:K42"/>
    <mergeCell ref="J43:K43"/>
    <mergeCell ref="L43:M43"/>
    <mergeCell ref="J44:K44"/>
    <mergeCell ref="L44:M44"/>
    <mergeCell ref="J34:K34"/>
    <mergeCell ref="J35:K35"/>
    <mergeCell ref="J36:K36"/>
    <mergeCell ref="J37:K37"/>
    <mergeCell ref="J38:K38"/>
    <mergeCell ref="J41:K41"/>
    <mergeCell ref="V22:AA22"/>
    <mergeCell ref="AD22:AI22"/>
    <mergeCell ref="J28:K28"/>
    <mergeCell ref="J29:K29"/>
    <mergeCell ref="J30:K30"/>
    <mergeCell ref="J33:K33"/>
    <mergeCell ref="H17:L17"/>
    <mergeCell ref="P17:Q17"/>
    <mergeCell ref="P18:Q18"/>
    <mergeCell ref="H19:L19"/>
    <mergeCell ref="B1:G1"/>
    <mergeCell ref="B2:G2"/>
    <mergeCell ref="H5:L5"/>
    <mergeCell ref="H7:L7"/>
    <mergeCell ref="P7:Q7"/>
    <mergeCell ref="P8:Q8"/>
    <mergeCell ref="B22:G22"/>
    <mergeCell ref="N22:S22"/>
    <mergeCell ref="H13:L13"/>
    <mergeCell ref="P13:Q13"/>
    <mergeCell ref="P14:Q14"/>
    <mergeCell ref="H15:L15"/>
    <mergeCell ref="P15:Q15"/>
    <mergeCell ref="P16:Q16"/>
    <mergeCell ref="H9:L9"/>
    <mergeCell ref="P9:Q9"/>
    <mergeCell ref="P10:Q10"/>
    <mergeCell ref="H11:L11"/>
    <mergeCell ref="P11:Q11"/>
    <mergeCell ref="P12:Q12"/>
  </mergeCells>
  <pageMargins left="0.7" right="0.26" top="0.45" bottom="0.33" header="0.17" footer="0.17"/>
  <pageSetup paperSize="9" scale="18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00"/>
  </sheetPr>
  <dimension ref="C1:Q492"/>
  <sheetViews>
    <sheetView zoomScale="70" zoomScaleNormal="70" workbookViewId="0">
      <pane ySplit="3" topLeftCell="A136" activePane="bottomLeft" state="frozen"/>
      <selection pane="bottomLeft" activeCell="I254" sqref="I254"/>
    </sheetView>
  </sheetViews>
  <sheetFormatPr defaultRowHeight="15"/>
  <cols>
    <col min="1" max="2" width="3.28515625" customWidth="1"/>
    <col min="3" max="3" width="6.85546875" customWidth="1"/>
    <col min="4" max="4" width="51.28515625" customWidth="1"/>
    <col min="5" max="5" width="10.140625" customWidth="1"/>
    <col min="6" max="6" width="11.42578125" customWidth="1"/>
    <col min="7" max="8" width="17.5703125" style="655" hidden="1" customWidth="1"/>
    <col min="9" max="10" width="17.5703125" style="791" customWidth="1"/>
    <col min="11" max="11" width="19.85546875" style="634" bestFit="1" customWidth="1"/>
    <col min="12" max="12" width="10.5703125" style="634" bestFit="1" customWidth="1"/>
    <col min="13" max="13" width="6.7109375" customWidth="1"/>
    <col min="254" max="254" width="3.28515625" customWidth="1"/>
    <col min="255" max="255" width="3.85546875" bestFit="1" customWidth="1"/>
    <col min="256" max="256" width="61.7109375" customWidth="1"/>
    <col min="257" max="257" width="10.140625" customWidth="1"/>
    <col min="258" max="258" width="11.42578125" customWidth="1"/>
    <col min="259" max="259" width="17.5703125" customWidth="1"/>
    <col min="260" max="260" width="19.7109375" customWidth="1"/>
    <col min="263" max="263" width="10.5703125" bestFit="1" customWidth="1"/>
    <col min="264" max="264" width="25.7109375" bestFit="1" customWidth="1"/>
    <col min="265" max="266" width="20.7109375" bestFit="1" customWidth="1"/>
    <col min="267" max="267" width="18.7109375" customWidth="1"/>
    <col min="510" max="510" width="3.28515625" customWidth="1"/>
    <col min="511" max="511" width="3.85546875" bestFit="1" customWidth="1"/>
    <col min="512" max="512" width="61.7109375" customWidth="1"/>
    <col min="513" max="513" width="10.140625" customWidth="1"/>
    <col min="514" max="514" width="11.42578125" customWidth="1"/>
    <col min="515" max="515" width="17.5703125" customWidth="1"/>
    <col min="516" max="516" width="19.7109375" customWidth="1"/>
    <col min="519" max="519" width="10.5703125" bestFit="1" customWidth="1"/>
    <col min="520" max="520" width="25.7109375" bestFit="1" customWidth="1"/>
    <col min="521" max="522" width="20.7109375" bestFit="1" customWidth="1"/>
    <col min="523" max="523" width="18.7109375" customWidth="1"/>
    <col min="766" max="766" width="3.28515625" customWidth="1"/>
    <col min="767" max="767" width="3.85546875" bestFit="1" customWidth="1"/>
    <col min="768" max="768" width="61.7109375" customWidth="1"/>
    <col min="769" max="769" width="10.140625" customWidth="1"/>
    <col min="770" max="770" width="11.42578125" customWidth="1"/>
    <col min="771" max="771" width="17.5703125" customWidth="1"/>
    <col min="772" max="772" width="19.7109375" customWidth="1"/>
    <col min="775" max="775" width="10.5703125" bestFit="1" customWidth="1"/>
    <col min="776" max="776" width="25.7109375" bestFit="1" customWidth="1"/>
    <col min="777" max="778" width="20.7109375" bestFit="1" customWidth="1"/>
    <col min="779" max="779" width="18.7109375" customWidth="1"/>
    <col min="1022" max="1022" width="3.28515625" customWidth="1"/>
    <col min="1023" max="1023" width="3.85546875" bestFit="1" customWidth="1"/>
    <col min="1024" max="1024" width="61.7109375" customWidth="1"/>
    <col min="1025" max="1025" width="10.140625" customWidth="1"/>
    <col min="1026" max="1026" width="11.42578125" customWidth="1"/>
    <col min="1027" max="1027" width="17.5703125" customWidth="1"/>
    <col min="1028" max="1028" width="19.7109375" customWidth="1"/>
    <col min="1031" max="1031" width="10.5703125" bestFit="1" customWidth="1"/>
    <col min="1032" max="1032" width="25.7109375" bestFit="1" customWidth="1"/>
    <col min="1033" max="1034" width="20.7109375" bestFit="1" customWidth="1"/>
    <col min="1035" max="1035" width="18.7109375" customWidth="1"/>
    <col min="1278" max="1278" width="3.28515625" customWidth="1"/>
    <col min="1279" max="1279" width="3.85546875" bestFit="1" customWidth="1"/>
    <col min="1280" max="1280" width="61.7109375" customWidth="1"/>
    <col min="1281" max="1281" width="10.140625" customWidth="1"/>
    <col min="1282" max="1282" width="11.42578125" customWidth="1"/>
    <col min="1283" max="1283" width="17.5703125" customWidth="1"/>
    <col min="1284" max="1284" width="19.7109375" customWidth="1"/>
    <col min="1287" max="1287" width="10.5703125" bestFit="1" customWidth="1"/>
    <col min="1288" max="1288" width="25.7109375" bestFit="1" customWidth="1"/>
    <col min="1289" max="1290" width="20.7109375" bestFit="1" customWidth="1"/>
    <col min="1291" max="1291" width="18.7109375" customWidth="1"/>
    <col min="1534" max="1534" width="3.28515625" customWidth="1"/>
    <col min="1535" max="1535" width="3.85546875" bestFit="1" customWidth="1"/>
    <col min="1536" max="1536" width="61.7109375" customWidth="1"/>
    <col min="1537" max="1537" width="10.140625" customWidth="1"/>
    <col min="1538" max="1538" width="11.42578125" customWidth="1"/>
    <col min="1539" max="1539" width="17.5703125" customWidth="1"/>
    <col min="1540" max="1540" width="19.7109375" customWidth="1"/>
    <col min="1543" max="1543" width="10.5703125" bestFit="1" customWidth="1"/>
    <col min="1544" max="1544" width="25.7109375" bestFit="1" customWidth="1"/>
    <col min="1545" max="1546" width="20.7109375" bestFit="1" customWidth="1"/>
    <col min="1547" max="1547" width="18.7109375" customWidth="1"/>
    <col min="1790" max="1790" width="3.28515625" customWidth="1"/>
    <col min="1791" max="1791" width="3.85546875" bestFit="1" customWidth="1"/>
    <col min="1792" max="1792" width="61.7109375" customWidth="1"/>
    <col min="1793" max="1793" width="10.140625" customWidth="1"/>
    <col min="1794" max="1794" width="11.42578125" customWidth="1"/>
    <col min="1795" max="1795" width="17.5703125" customWidth="1"/>
    <col min="1796" max="1796" width="19.7109375" customWidth="1"/>
    <col min="1799" max="1799" width="10.5703125" bestFit="1" customWidth="1"/>
    <col min="1800" max="1800" width="25.7109375" bestFit="1" customWidth="1"/>
    <col min="1801" max="1802" width="20.7109375" bestFit="1" customWidth="1"/>
    <col min="1803" max="1803" width="18.7109375" customWidth="1"/>
    <col min="2046" max="2046" width="3.28515625" customWidth="1"/>
    <col min="2047" max="2047" width="3.85546875" bestFit="1" customWidth="1"/>
    <col min="2048" max="2048" width="61.7109375" customWidth="1"/>
    <col min="2049" max="2049" width="10.140625" customWidth="1"/>
    <col min="2050" max="2050" width="11.42578125" customWidth="1"/>
    <col min="2051" max="2051" width="17.5703125" customWidth="1"/>
    <col min="2052" max="2052" width="19.7109375" customWidth="1"/>
    <col min="2055" max="2055" width="10.5703125" bestFit="1" customWidth="1"/>
    <col min="2056" max="2056" width="25.7109375" bestFit="1" customWidth="1"/>
    <col min="2057" max="2058" width="20.7109375" bestFit="1" customWidth="1"/>
    <col min="2059" max="2059" width="18.7109375" customWidth="1"/>
    <col min="2302" max="2302" width="3.28515625" customWidth="1"/>
    <col min="2303" max="2303" width="3.85546875" bestFit="1" customWidth="1"/>
    <col min="2304" max="2304" width="61.7109375" customWidth="1"/>
    <col min="2305" max="2305" width="10.140625" customWidth="1"/>
    <col min="2306" max="2306" width="11.42578125" customWidth="1"/>
    <col min="2307" max="2307" width="17.5703125" customWidth="1"/>
    <col min="2308" max="2308" width="19.7109375" customWidth="1"/>
    <col min="2311" max="2311" width="10.5703125" bestFit="1" customWidth="1"/>
    <col min="2312" max="2312" width="25.7109375" bestFit="1" customWidth="1"/>
    <col min="2313" max="2314" width="20.7109375" bestFit="1" customWidth="1"/>
    <col min="2315" max="2315" width="18.7109375" customWidth="1"/>
    <col min="2558" max="2558" width="3.28515625" customWidth="1"/>
    <col min="2559" max="2559" width="3.85546875" bestFit="1" customWidth="1"/>
    <col min="2560" max="2560" width="61.7109375" customWidth="1"/>
    <col min="2561" max="2561" width="10.140625" customWidth="1"/>
    <col min="2562" max="2562" width="11.42578125" customWidth="1"/>
    <col min="2563" max="2563" width="17.5703125" customWidth="1"/>
    <col min="2564" max="2564" width="19.7109375" customWidth="1"/>
    <col min="2567" max="2567" width="10.5703125" bestFit="1" customWidth="1"/>
    <col min="2568" max="2568" width="25.7109375" bestFit="1" customWidth="1"/>
    <col min="2569" max="2570" width="20.7109375" bestFit="1" customWidth="1"/>
    <col min="2571" max="2571" width="18.7109375" customWidth="1"/>
    <col min="2814" max="2814" width="3.28515625" customWidth="1"/>
    <col min="2815" max="2815" width="3.85546875" bestFit="1" customWidth="1"/>
    <col min="2816" max="2816" width="61.7109375" customWidth="1"/>
    <col min="2817" max="2817" width="10.140625" customWidth="1"/>
    <col min="2818" max="2818" width="11.42578125" customWidth="1"/>
    <col min="2819" max="2819" width="17.5703125" customWidth="1"/>
    <col min="2820" max="2820" width="19.7109375" customWidth="1"/>
    <col min="2823" max="2823" width="10.5703125" bestFit="1" customWidth="1"/>
    <col min="2824" max="2824" width="25.7109375" bestFit="1" customWidth="1"/>
    <col min="2825" max="2826" width="20.7109375" bestFit="1" customWidth="1"/>
    <col min="2827" max="2827" width="18.7109375" customWidth="1"/>
    <col min="3070" max="3070" width="3.28515625" customWidth="1"/>
    <col min="3071" max="3071" width="3.85546875" bestFit="1" customWidth="1"/>
    <col min="3072" max="3072" width="61.7109375" customWidth="1"/>
    <col min="3073" max="3073" width="10.140625" customWidth="1"/>
    <col min="3074" max="3074" width="11.42578125" customWidth="1"/>
    <col min="3075" max="3075" width="17.5703125" customWidth="1"/>
    <col min="3076" max="3076" width="19.7109375" customWidth="1"/>
    <col min="3079" max="3079" width="10.5703125" bestFit="1" customWidth="1"/>
    <col min="3080" max="3080" width="25.7109375" bestFit="1" customWidth="1"/>
    <col min="3081" max="3082" width="20.7109375" bestFit="1" customWidth="1"/>
    <col min="3083" max="3083" width="18.7109375" customWidth="1"/>
    <col min="3326" max="3326" width="3.28515625" customWidth="1"/>
    <col min="3327" max="3327" width="3.85546875" bestFit="1" customWidth="1"/>
    <col min="3328" max="3328" width="61.7109375" customWidth="1"/>
    <col min="3329" max="3329" width="10.140625" customWidth="1"/>
    <col min="3330" max="3330" width="11.42578125" customWidth="1"/>
    <col min="3331" max="3331" width="17.5703125" customWidth="1"/>
    <col min="3332" max="3332" width="19.7109375" customWidth="1"/>
    <col min="3335" max="3335" width="10.5703125" bestFit="1" customWidth="1"/>
    <col min="3336" max="3336" width="25.7109375" bestFit="1" customWidth="1"/>
    <col min="3337" max="3338" width="20.7109375" bestFit="1" customWidth="1"/>
    <col min="3339" max="3339" width="18.7109375" customWidth="1"/>
    <col min="3582" max="3582" width="3.28515625" customWidth="1"/>
    <col min="3583" max="3583" width="3.85546875" bestFit="1" customWidth="1"/>
    <col min="3584" max="3584" width="61.7109375" customWidth="1"/>
    <col min="3585" max="3585" width="10.140625" customWidth="1"/>
    <col min="3586" max="3586" width="11.42578125" customWidth="1"/>
    <col min="3587" max="3587" width="17.5703125" customWidth="1"/>
    <col min="3588" max="3588" width="19.7109375" customWidth="1"/>
    <col min="3591" max="3591" width="10.5703125" bestFit="1" customWidth="1"/>
    <col min="3592" max="3592" width="25.7109375" bestFit="1" customWidth="1"/>
    <col min="3593" max="3594" width="20.7109375" bestFit="1" customWidth="1"/>
    <col min="3595" max="3595" width="18.7109375" customWidth="1"/>
    <col min="3838" max="3838" width="3.28515625" customWidth="1"/>
    <col min="3839" max="3839" width="3.85546875" bestFit="1" customWidth="1"/>
    <col min="3840" max="3840" width="61.7109375" customWidth="1"/>
    <col min="3841" max="3841" width="10.140625" customWidth="1"/>
    <col min="3842" max="3842" width="11.42578125" customWidth="1"/>
    <col min="3843" max="3843" width="17.5703125" customWidth="1"/>
    <col min="3844" max="3844" width="19.7109375" customWidth="1"/>
    <col min="3847" max="3847" width="10.5703125" bestFit="1" customWidth="1"/>
    <col min="3848" max="3848" width="25.7109375" bestFit="1" customWidth="1"/>
    <col min="3849" max="3850" width="20.7109375" bestFit="1" customWidth="1"/>
    <col min="3851" max="3851" width="18.7109375" customWidth="1"/>
    <col min="4094" max="4094" width="3.28515625" customWidth="1"/>
    <col min="4095" max="4095" width="3.85546875" bestFit="1" customWidth="1"/>
    <col min="4096" max="4096" width="61.7109375" customWidth="1"/>
    <col min="4097" max="4097" width="10.140625" customWidth="1"/>
    <col min="4098" max="4098" width="11.42578125" customWidth="1"/>
    <col min="4099" max="4099" width="17.5703125" customWidth="1"/>
    <col min="4100" max="4100" width="19.7109375" customWidth="1"/>
    <col min="4103" max="4103" width="10.5703125" bestFit="1" customWidth="1"/>
    <col min="4104" max="4104" width="25.7109375" bestFit="1" customWidth="1"/>
    <col min="4105" max="4106" width="20.7109375" bestFit="1" customWidth="1"/>
    <col min="4107" max="4107" width="18.7109375" customWidth="1"/>
    <col min="4350" max="4350" width="3.28515625" customWidth="1"/>
    <col min="4351" max="4351" width="3.85546875" bestFit="1" customWidth="1"/>
    <col min="4352" max="4352" width="61.7109375" customWidth="1"/>
    <col min="4353" max="4353" width="10.140625" customWidth="1"/>
    <col min="4354" max="4354" width="11.42578125" customWidth="1"/>
    <col min="4355" max="4355" width="17.5703125" customWidth="1"/>
    <col min="4356" max="4356" width="19.7109375" customWidth="1"/>
    <col min="4359" max="4359" width="10.5703125" bestFit="1" customWidth="1"/>
    <col min="4360" max="4360" width="25.7109375" bestFit="1" customWidth="1"/>
    <col min="4361" max="4362" width="20.7109375" bestFit="1" customWidth="1"/>
    <col min="4363" max="4363" width="18.7109375" customWidth="1"/>
    <col min="4606" max="4606" width="3.28515625" customWidth="1"/>
    <col min="4607" max="4607" width="3.85546875" bestFit="1" customWidth="1"/>
    <col min="4608" max="4608" width="61.7109375" customWidth="1"/>
    <col min="4609" max="4609" width="10.140625" customWidth="1"/>
    <col min="4610" max="4610" width="11.42578125" customWidth="1"/>
    <col min="4611" max="4611" width="17.5703125" customWidth="1"/>
    <col min="4612" max="4612" width="19.7109375" customWidth="1"/>
    <col min="4615" max="4615" width="10.5703125" bestFit="1" customWidth="1"/>
    <col min="4616" max="4616" width="25.7109375" bestFit="1" customWidth="1"/>
    <col min="4617" max="4618" width="20.7109375" bestFit="1" customWidth="1"/>
    <col min="4619" max="4619" width="18.7109375" customWidth="1"/>
    <col min="4862" max="4862" width="3.28515625" customWidth="1"/>
    <col min="4863" max="4863" width="3.85546875" bestFit="1" customWidth="1"/>
    <col min="4864" max="4864" width="61.7109375" customWidth="1"/>
    <col min="4865" max="4865" width="10.140625" customWidth="1"/>
    <col min="4866" max="4866" width="11.42578125" customWidth="1"/>
    <col min="4867" max="4867" width="17.5703125" customWidth="1"/>
    <col min="4868" max="4868" width="19.7109375" customWidth="1"/>
    <col min="4871" max="4871" width="10.5703125" bestFit="1" customWidth="1"/>
    <col min="4872" max="4872" width="25.7109375" bestFit="1" customWidth="1"/>
    <col min="4873" max="4874" width="20.7109375" bestFit="1" customWidth="1"/>
    <col min="4875" max="4875" width="18.7109375" customWidth="1"/>
    <col min="5118" max="5118" width="3.28515625" customWidth="1"/>
    <col min="5119" max="5119" width="3.85546875" bestFit="1" customWidth="1"/>
    <col min="5120" max="5120" width="61.7109375" customWidth="1"/>
    <col min="5121" max="5121" width="10.140625" customWidth="1"/>
    <col min="5122" max="5122" width="11.42578125" customWidth="1"/>
    <col min="5123" max="5123" width="17.5703125" customWidth="1"/>
    <col min="5124" max="5124" width="19.7109375" customWidth="1"/>
    <col min="5127" max="5127" width="10.5703125" bestFit="1" customWidth="1"/>
    <col min="5128" max="5128" width="25.7109375" bestFit="1" customWidth="1"/>
    <col min="5129" max="5130" width="20.7109375" bestFit="1" customWidth="1"/>
    <col min="5131" max="5131" width="18.7109375" customWidth="1"/>
    <col min="5374" max="5374" width="3.28515625" customWidth="1"/>
    <col min="5375" max="5375" width="3.85546875" bestFit="1" customWidth="1"/>
    <col min="5376" max="5376" width="61.7109375" customWidth="1"/>
    <col min="5377" max="5377" width="10.140625" customWidth="1"/>
    <col min="5378" max="5378" width="11.42578125" customWidth="1"/>
    <col min="5379" max="5379" width="17.5703125" customWidth="1"/>
    <col min="5380" max="5380" width="19.7109375" customWidth="1"/>
    <col min="5383" max="5383" width="10.5703125" bestFit="1" customWidth="1"/>
    <col min="5384" max="5384" width="25.7109375" bestFit="1" customWidth="1"/>
    <col min="5385" max="5386" width="20.7109375" bestFit="1" customWidth="1"/>
    <col min="5387" max="5387" width="18.7109375" customWidth="1"/>
    <col min="5630" max="5630" width="3.28515625" customWidth="1"/>
    <col min="5631" max="5631" width="3.85546875" bestFit="1" customWidth="1"/>
    <col min="5632" max="5632" width="61.7109375" customWidth="1"/>
    <col min="5633" max="5633" width="10.140625" customWidth="1"/>
    <col min="5634" max="5634" width="11.42578125" customWidth="1"/>
    <col min="5635" max="5635" width="17.5703125" customWidth="1"/>
    <col min="5636" max="5636" width="19.7109375" customWidth="1"/>
    <col min="5639" max="5639" width="10.5703125" bestFit="1" customWidth="1"/>
    <col min="5640" max="5640" width="25.7109375" bestFit="1" customWidth="1"/>
    <col min="5641" max="5642" width="20.7109375" bestFit="1" customWidth="1"/>
    <col min="5643" max="5643" width="18.7109375" customWidth="1"/>
    <col min="5886" max="5886" width="3.28515625" customWidth="1"/>
    <col min="5887" max="5887" width="3.85546875" bestFit="1" customWidth="1"/>
    <col min="5888" max="5888" width="61.7109375" customWidth="1"/>
    <col min="5889" max="5889" width="10.140625" customWidth="1"/>
    <col min="5890" max="5890" width="11.42578125" customWidth="1"/>
    <col min="5891" max="5891" width="17.5703125" customWidth="1"/>
    <col min="5892" max="5892" width="19.7109375" customWidth="1"/>
    <col min="5895" max="5895" width="10.5703125" bestFit="1" customWidth="1"/>
    <col min="5896" max="5896" width="25.7109375" bestFit="1" customWidth="1"/>
    <col min="5897" max="5898" width="20.7109375" bestFit="1" customWidth="1"/>
    <col min="5899" max="5899" width="18.7109375" customWidth="1"/>
    <col min="6142" max="6142" width="3.28515625" customWidth="1"/>
    <col min="6143" max="6143" width="3.85546875" bestFit="1" customWidth="1"/>
    <col min="6144" max="6144" width="61.7109375" customWidth="1"/>
    <col min="6145" max="6145" width="10.140625" customWidth="1"/>
    <col min="6146" max="6146" width="11.42578125" customWidth="1"/>
    <col min="6147" max="6147" width="17.5703125" customWidth="1"/>
    <col min="6148" max="6148" width="19.7109375" customWidth="1"/>
    <col min="6151" max="6151" width="10.5703125" bestFit="1" customWidth="1"/>
    <col min="6152" max="6152" width="25.7109375" bestFit="1" customWidth="1"/>
    <col min="6153" max="6154" width="20.7109375" bestFit="1" customWidth="1"/>
    <col min="6155" max="6155" width="18.7109375" customWidth="1"/>
    <col min="6398" max="6398" width="3.28515625" customWidth="1"/>
    <col min="6399" max="6399" width="3.85546875" bestFit="1" customWidth="1"/>
    <col min="6400" max="6400" width="61.7109375" customWidth="1"/>
    <col min="6401" max="6401" width="10.140625" customWidth="1"/>
    <col min="6402" max="6402" width="11.42578125" customWidth="1"/>
    <col min="6403" max="6403" width="17.5703125" customWidth="1"/>
    <col min="6404" max="6404" width="19.7109375" customWidth="1"/>
    <col min="6407" max="6407" width="10.5703125" bestFit="1" customWidth="1"/>
    <col min="6408" max="6408" width="25.7109375" bestFit="1" customWidth="1"/>
    <col min="6409" max="6410" width="20.7109375" bestFit="1" customWidth="1"/>
    <col min="6411" max="6411" width="18.7109375" customWidth="1"/>
    <col min="6654" max="6654" width="3.28515625" customWidth="1"/>
    <col min="6655" max="6655" width="3.85546875" bestFit="1" customWidth="1"/>
    <col min="6656" max="6656" width="61.7109375" customWidth="1"/>
    <col min="6657" max="6657" width="10.140625" customWidth="1"/>
    <col min="6658" max="6658" width="11.42578125" customWidth="1"/>
    <col min="6659" max="6659" width="17.5703125" customWidth="1"/>
    <col min="6660" max="6660" width="19.7109375" customWidth="1"/>
    <col min="6663" max="6663" width="10.5703125" bestFit="1" customWidth="1"/>
    <col min="6664" max="6664" width="25.7109375" bestFit="1" customWidth="1"/>
    <col min="6665" max="6666" width="20.7109375" bestFit="1" customWidth="1"/>
    <col min="6667" max="6667" width="18.7109375" customWidth="1"/>
    <col min="6910" max="6910" width="3.28515625" customWidth="1"/>
    <col min="6911" max="6911" width="3.85546875" bestFit="1" customWidth="1"/>
    <col min="6912" max="6912" width="61.7109375" customWidth="1"/>
    <col min="6913" max="6913" width="10.140625" customWidth="1"/>
    <col min="6914" max="6914" width="11.42578125" customWidth="1"/>
    <col min="6915" max="6915" width="17.5703125" customWidth="1"/>
    <col min="6916" max="6916" width="19.7109375" customWidth="1"/>
    <col min="6919" max="6919" width="10.5703125" bestFit="1" customWidth="1"/>
    <col min="6920" max="6920" width="25.7109375" bestFit="1" customWidth="1"/>
    <col min="6921" max="6922" width="20.7109375" bestFit="1" customWidth="1"/>
    <col min="6923" max="6923" width="18.7109375" customWidth="1"/>
    <col min="7166" max="7166" width="3.28515625" customWidth="1"/>
    <col min="7167" max="7167" width="3.85546875" bestFit="1" customWidth="1"/>
    <col min="7168" max="7168" width="61.7109375" customWidth="1"/>
    <col min="7169" max="7169" width="10.140625" customWidth="1"/>
    <col min="7170" max="7170" width="11.42578125" customWidth="1"/>
    <col min="7171" max="7171" width="17.5703125" customWidth="1"/>
    <col min="7172" max="7172" width="19.7109375" customWidth="1"/>
    <col min="7175" max="7175" width="10.5703125" bestFit="1" customWidth="1"/>
    <col min="7176" max="7176" width="25.7109375" bestFit="1" customWidth="1"/>
    <col min="7177" max="7178" width="20.7109375" bestFit="1" customWidth="1"/>
    <col min="7179" max="7179" width="18.7109375" customWidth="1"/>
    <col min="7422" max="7422" width="3.28515625" customWidth="1"/>
    <col min="7423" max="7423" width="3.85546875" bestFit="1" customWidth="1"/>
    <col min="7424" max="7424" width="61.7109375" customWidth="1"/>
    <col min="7425" max="7425" width="10.140625" customWidth="1"/>
    <col min="7426" max="7426" width="11.42578125" customWidth="1"/>
    <col min="7427" max="7427" width="17.5703125" customWidth="1"/>
    <col min="7428" max="7428" width="19.7109375" customWidth="1"/>
    <col min="7431" max="7431" width="10.5703125" bestFit="1" customWidth="1"/>
    <col min="7432" max="7432" width="25.7109375" bestFit="1" customWidth="1"/>
    <col min="7433" max="7434" width="20.7109375" bestFit="1" customWidth="1"/>
    <col min="7435" max="7435" width="18.7109375" customWidth="1"/>
    <col min="7678" max="7678" width="3.28515625" customWidth="1"/>
    <col min="7679" max="7679" width="3.85546875" bestFit="1" customWidth="1"/>
    <col min="7680" max="7680" width="61.7109375" customWidth="1"/>
    <col min="7681" max="7681" width="10.140625" customWidth="1"/>
    <col min="7682" max="7682" width="11.42578125" customWidth="1"/>
    <col min="7683" max="7683" width="17.5703125" customWidth="1"/>
    <col min="7684" max="7684" width="19.7109375" customWidth="1"/>
    <col min="7687" max="7687" width="10.5703125" bestFit="1" customWidth="1"/>
    <col min="7688" max="7688" width="25.7109375" bestFit="1" customWidth="1"/>
    <col min="7689" max="7690" width="20.7109375" bestFit="1" customWidth="1"/>
    <col min="7691" max="7691" width="18.7109375" customWidth="1"/>
    <col min="7934" max="7934" width="3.28515625" customWidth="1"/>
    <col min="7935" max="7935" width="3.85546875" bestFit="1" customWidth="1"/>
    <col min="7936" max="7936" width="61.7109375" customWidth="1"/>
    <col min="7937" max="7937" width="10.140625" customWidth="1"/>
    <col min="7938" max="7938" width="11.42578125" customWidth="1"/>
    <col min="7939" max="7939" width="17.5703125" customWidth="1"/>
    <col min="7940" max="7940" width="19.7109375" customWidth="1"/>
    <col min="7943" max="7943" width="10.5703125" bestFit="1" customWidth="1"/>
    <col min="7944" max="7944" width="25.7109375" bestFit="1" customWidth="1"/>
    <col min="7945" max="7946" width="20.7109375" bestFit="1" customWidth="1"/>
    <col min="7947" max="7947" width="18.7109375" customWidth="1"/>
    <col min="8190" max="8190" width="3.28515625" customWidth="1"/>
    <col min="8191" max="8191" width="3.85546875" bestFit="1" customWidth="1"/>
    <col min="8192" max="8192" width="61.7109375" customWidth="1"/>
    <col min="8193" max="8193" width="10.140625" customWidth="1"/>
    <col min="8194" max="8194" width="11.42578125" customWidth="1"/>
    <col min="8195" max="8195" width="17.5703125" customWidth="1"/>
    <col min="8196" max="8196" width="19.7109375" customWidth="1"/>
    <col min="8199" max="8199" width="10.5703125" bestFit="1" customWidth="1"/>
    <col min="8200" max="8200" width="25.7109375" bestFit="1" customWidth="1"/>
    <col min="8201" max="8202" width="20.7109375" bestFit="1" customWidth="1"/>
    <col min="8203" max="8203" width="18.7109375" customWidth="1"/>
    <col min="8446" max="8446" width="3.28515625" customWidth="1"/>
    <col min="8447" max="8447" width="3.85546875" bestFit="1" customWidth="1"/>
    <col min="8448" max="8448" width="61.7109375" customWidth="1"/>
    <col min="8449" max="8449" width="10.140625" customWidth="1"/>
    <col min="8450" max="8450" width="11.42578125" customWidth="1"/>
    <col min="8451" max="8451" width="17.5703125" customWidth="1"/>
    <col min="8452" max="8452" width="19.7109375" customWidth="1"/>
    <col min="8455" max="8455" width="10.5703125" bestFit="1" customWidth="1"/>
    <col min="8456" max="8456" width="25.7109375" bestFit="1" customWidth="1"/>
    <col min="8457" max="8458" width="20.7109375" bestFit="1" customWidth="1"/>
    <col min="8459" max="8459" width="18.7109375" customWidth="1"/>
    <col min="8702" max="8702" width="3.28515625" customWidth="1"/>
    <col min="8703" max="8703" width="3.85546875" bestFit="1" customWidth="1"/>
    <col min="8704" max="8704" width="61.7109375" customWidth="1"/>
    <col min="8705" max="8705" width="10.140625" customWidth="1"/>
    <col min="8706" max="8706" width="11.42578125" customWidth="1"/>
    <col min="8707" max="8707" width="17.5703125" customWidth="1"/>
    <col min="8708" max="8708" width="19.7109375" customWidth="1"/>
    <col min="8711" max="8711" width="10.5703125" bestFit="1" customWidth="1"/>
    <col min="8712" max="8712" width="25.7109375" bestFit="1" customWidth="1"/>
    <col min="8713" max="8714" width="20.7109375" bestFit="1" customWidth="1"/>
    <col min="8715" max="8715" width="18.7109375" customWidth="1"/>
    <col min="8958" max="8958" width="3.28515625" customWidth="1"/>
    <col min="8959" max="8959" width="3.85546875" bestFit="1" customWidth="1"/>
    <col min="8960" max="8960" width="61.7109375" customWidth="1"/>
    <col min="8961" max="8961" width="10.140625" customWidth="1"/>
    <col min="8962" max="8962" width="11.42578125" customWidth="1"/>
    <col min="8963" max="8963" width="17.5703125" customWidth="1"/>
    <col min="8964" max="8964" width="19.7109375" customWidth="1"/>
    <col min="8967" max="8967" width="10.5703125" bestFit="1" customWidth="1"/>
    <col min="8968" max="8968" width="25.7109375" bestFit="1" customWidth="1"/>
    <col min="8969" max="8970" width="20.7109375" bestFit="1" customWidth="1"/>
    <col min="8971" max="8971" width="18.7109375" customWidth="1"/>
    <col min="9214" max="9214" width="3.28515625" customWidth="1"/>
    <col min="9215" max="9215" width="3.85546875" bestFit="1" customWidth="1"/>
    <col min="9216" max="9216" width="61.7109375" customWidth="1"/>
    <col min="9217" max="9217" width="10.140625" customWidth="1"/>
    <col min="9218" max="9218" width="11.42578125" customWidth="1"/>
    <col min="9219" max="9219" width="17.5703125" customWidth="1"/>
    <col min="9220" max="9220" width="19.7109375" customWidth="1"/>
    <col min="9223" max="9223" width="10.5703125" bestFit="1" customWidth="1"/>
    <col min="9224" max="9224" width="25.7109375" bestFit="1" customWidth="1"/>
    <col min="9225" max="9226" width="20.7109375" bestFit="1" customWidth="1"/>
    <col min="9227" max="9227" width="18.7109375" customWidth="1"/>
    <col min="9470" max="9470" width="3.28515625" customWidth="1"/>
    <col min="9471" max="9471" width="3.85546875" bestFit="1" customWidth="1"/>
    <col min="9472" max="9472" width="61.7109375" customWidth="1"/>
    <col min="9473" max="9473" width="10.140625" customWidth="1"/>
    <col min="9474" max="9474" width="11.42578125" customWidth="1"/>
    <col min="9475" max="9475" width="17.5703125" customWidth="1"/>
    <col min="9476" max="9476" width="19.7109375" customWidth="1"/>
    <col min="9479" max="9479" width="10.5703125" bestFit="1" customWidth="1"/>
    <col min="9480" max="9480" width="25.7109375" bestFit="1" customWidth="1"/>
    <col min="9481" max="9482" width="20.7109375" bestFit="1" customWidth="1"/>
    <col min="9483" max="9483" width="18.7109375" customWidth="1"/>
    <col min="9726" max="9726" width="3.28515625" customWidth="1"/>
    <col min="9727" max="9727" width="3.85546875" bestFit="1" customWidth="1"/>
    <col min="9728" max="9728" width="61.7109375" customWidth="1"/>
    <col min="9729" max="9729" width="10.140625" customWidth="1"/>
    <col min="9730" max="9730" width="11.42578125" customWidth="1"/>
    <col min="9731" max="9731" width="17.5703125" customWidth="1"/>
    <col min="9732" max="9732" width="19.7109375" customWidth="1"/>
    <col min="9735" max="9735" width="10.5703125" bestFit="1" customWidth="1"/>
    <col min="9736" max="9736" width="25.7109375" bestFit="1" customWidth="1"/>
    <col min="9737" max="9738" width="20.7109375" bestFit="1" customWidth="1"/>
    <col min="9739" max="9739" width="18.7109375" customWidth="1"/>
    <col min="9982" max="9982" width="3.28515625" customWidth="1"/>
    <col min="9983" max="9983" width="3.85546875" bestFit="1" customWidth="1"/>
    <col min="9984" max="9984" width="61.7109375" customWidth="1"/>
    <col min="9985" max="9985" width="10.140625" customWidth="1"/>
    <col min="9986" max="9986" width="11.42578125" customWidth="1"/>
    <col min="9987" max="9987" width="17.5703125" customWidth="1"/>
    <col min="9988" max="9988" width="19.7109375" customWidth="1"/>
    <col min="9991" max="9991" width="10.5703125" bestFit="1" customWidth="1"/>
    <col min="9992" max="9992" width="25.7109375" bestFit="1" customWidth="1"/>
    <col min="9993" max="9994" width="20.7109375" bestFit="1" customWidth="1"/>
    <col min="9995" max="9995" width="18.7109375" customWidth="1"/>
    <col min="10238" max="10238" width="3.28515625" customWidth="1"/>
    <col min="10239" max="10239" width="3.85546875" bestFit="1" customWidth="1"/>
    <col min="10240" max="10240" width="61.7109375" customWidth="1"/>
    <col min="10241" max="10241" width="10.140625" customWidth="1"/>
    <col min="10242" max="10242" width="11.42578125" customWidth="1"/>
    <col min="10243" max="10243" width="17.5703125" customWidth="1"/>
    <col min="10244" max="10244" width="19.7109375" customWidth="1"/>
    <col min="10247" max="10247" width="10.5703125" bestFit="1" customWidth="1"/>
    <col min="10248" max="10248" width="25.7109375" bestFit="1" customWidth="1"/>
    <col min="10249" max="10250" width="20.7109375" bestFit="1" customWidth="1"/>
    <col min="10251" max="10251" width="18.7109375" customWidth="1"/>
    <col min="10494" max="10494" width="3.28515625" customWidth="1"/>
    <col min="10495" max="10495" width="3.85546875" bestFit="1" customWidth="1"/>
    <col min="10496" max="10496" width="61.7109375" customWidth="1"/>
    <col min="10497" max="10497" width="10.140625" customWidth="1"/>
    <col min="10498" max="10498" width="11.42578125" customWidth="1"/>
    <col min="10499" max="10499" width="17.5703125" customWidth="1"/>
    <col min="10500" max="10500" width="19.7109375" customWidth="1"/>
    <col min="10503" max="10503" width="10.5703125" bestFit="1" customWidth="1"/>
    <col min="10504" max="10504" width="25.7109375" bestFit="1" customWidth="1"/>
    <col min="10505" max="10506" width="20.7109375" bestFit="1" customWidth="1"/>
    <col min="10507" max="10507" width="18.7109375" customWidth="1"/>
    <col min="10750" max="10750" width="3.28515625" customWidth="1"/>
    <col min="10751" max="10751" width="3.85546875" bestFit="1" customWidth="1"/>
    <col min="10752" max="10752" width="61.7109375" customWidth="1"/>
    <col min="10753" max="10753" width="10.140625" customWidth="1"/>
    <col min="10754" max="10754" width="11.42578125" customWidth="1"/>
    <col min="10755" max="10755" width="17.5703125" customWidth="1"/>
    <col min="10756" max="10756" width="19.7109375" customWidth="1"/>
    <col min="10759" max="10759" width="10.5703125" bestFit="1" customWidth="1"/>
    <col min="10760" max="10760" width="25.7109375" bestFit="1" customWidth="1"/>
    <col min="10761" max="10762" width="20.7109375" bestFit="1" customWidth="1"/>
    <col min="10763" max="10763" width="18.7109375" customWidth="1"/>
    <col min="11006" max="11006" width="3.28515625" customWidth="1"/>
    <col min="11007" max="11007" width="3.85546875" bestFit="1" customWidth="1"/>
    <col min="11008" max="11008" width="61.7109375" customWidth="1"/>
    <col min="11009" max="11009" width="10.140625" customWidth="1"/>
    <col min="11010" max="11010" width="11.42578125" customWidth="1"/>
    <col min="11011" max="11011" width="17.5703125" customWidth="1"/>
    <col min="11012" max="11012" width="19.7109375" customWidth="1"/>
    <col min="11015" max="11015" width="10.5703125" bestFit="1" customWidth="1"/>
    <col min="11016" max="11016" width="25.7109375" bestFit="1" customWidth="1"/>
    <col min="11017" max="11018" width="20.7109375" bestFit="1" customWidth="1"/>
    <col min="11019" max="11019" width="18.7109375" customWidth="1"/>
    <col min="11262" max="11262" width="3.28515625" customWidth="1"/>
    <col min="11263" max="11263" width="3.85546875" bestFit="1" customWidth="1"/>
    <col min="11264" max="11264" width="61.7109375" customWidth="1"/>
    <col min="11265" max="11265" width="10.140625" customWidth="1"/>
    <col min="11266" max="11266" width="11.42578125" customWidth="1"/>
    <col min="11267" max="11267" width="17.5703125" customWidth="1"/>
    <col min="11268" max="11268" width="19.7109375" customWidth="1"/>
    <col min="11271" max="11271" width="10.5703125" bestFit="1" customWidth="1"/>
    <col min="11272" max="11272" width="25.7109375" bestFit="1" customWidth="1"/>
    <col min="11273" max="11274" width="20.7109375" bestFit="1" customWidth="1"/>
    <col min="11275" max="11275" width="18.7109375" customWidth="1"/>
    <col min="11518" max="11518" width="3.28515625" customWidth="1"/>
    <col min="11519" max="11519" width="3.85546875" bestFit="1" customWidth="1"/>
    <col min="11520" max="11520" width="61.7109375" customWidth="1"/>
    <col min="11521" max="11521" width="10.140625" customWidth="1"/>
    <col min="11522" max="11522" width="11.42578125" customWidth="1"/>
    <col min="11523" max="11523" width="17.5703125" customWidth="1"/>
    <col min="11524" max="11524" width="19.7109375" customWidth="1"/>
    <col min="11527" max="11527" width="10.5703125" bestFit="1" customWidth="1"/>
    <col min="11528" max="11528" width="25.7109375" bestFit="1" customWidth="1"/>
    <col min="11529" max="11530" width="20.7109375" bestFit="1" customWidth="1"/>
    <col min="11531" max="11531" width="18.7109375" customWidth="1"/>
    <col min="11774" max="11774" width="3.28515625" customWidth="1"/>
    <col min="11775" max="11775" width="3.85546875" bestFit="1" customWidth="1"/>
    <col min="11776" max="11776" width="61.7109375" customWidth="1"/>
    <col min="11777" max="11777" width="10.140625" customWidth="1"/>
    <col min="11778" max="11778" width="11.42578125" customWidth="1"/>
    <col min="11779" max="11779" width="17.5703125" customWidth="1"/>
    <col min="11780" max="11780" width="19.7109375" customWidth="1"/>
    <col min="11783" max="11783" width="10.5703125" bestFit="1" customWidth="1"/>
    <col min="11784" max="11784" width="25.7109375" bestFit="1" customWidth="1"/>
    <col min="11785" max="11786" width="20.7109375" bestFit="1" customWidth="1"/>
    <col min="11787" max="11787" width="18.7109375" customWidth="1"/>
    <col min="12030" max="12030" width="3.28515625" customWidth="1"/>
    <col min="12031" max="12031" width="3.85546875" bestFit="1" customWidth="1"/>
    <col min="12032" max="12032" width="61.7109375" customWidth="1"/>
    <col min="12033" max="12033" width="10.140625" customWidth="1"/>
    <col min="12034" max="12034" width="11.42578125" customWidth="1"/>
    <col min="12035" max="12035" width="17.5703125" customWidth="1"/>
    <col min="12036" max="12036" width="19.7109375" customWidth="1"/>
    <col min="12039" max="12039" width="10.5703125" bestFit="1" customWidth="1"/>
    <col min="12040" max="12040" width="25.7109375" bestFit="1" customWidth="1"/>
    <col min="12041" max="12042" width="20.7109375" bestFit="1" customWidth="1"/>
    <col min="12043" max="12043" width="18.7109375" customWidth="1"/>
    <col min="12286" max="12286" width="3.28515625" customWidth="1"/>
    <col min="12287" max="12287" width="3.85546875" bestFit="1" customWidth="1"/>
    <col min="12288" max="12288" width="61.7109375" customWidth="1"/>
    <col min="12289" max="12289" width="10.140625" customWidth="1"/>
    <col min="12290" max="12290" width="11.42578125" customWidth="1"/>
    <col min="12291" max="12291" width="17.5703125" customWidth="1"/>
    <col min="12292" max="12292" width="19.7109375" customWidth="1"/>
    <col min="12295" max="12295" width="10.5703125" bestFit="1" customWidth="1"/>
    <col min="12296" max="12296" width="25.7109375" bestFit="1" customWidth="1"/>
    <col min="12297" max="12298" width="20.7109375" bestFit="1" customWidth="1"/>
    <col min="12299" max="12299" width="18.7109375" customWidth="1"/>
    <col min="12542" max="12542" width="3.28515625" customWidth="1"/>
    <col min="12543" max="12543" width="3.85546875" bestFit="1" customWidth="1"/>
    <col min="12544" max="12544" width="61.7109375" customWidth="1"/>
    <col min="12545" max="12545" width="10.140625" customWidth="1"/>
    <col min="12546" max="12546" width="11.42578125" customWidth="1"/>
    <col min="12547" max="12547" width="17.5703125" customWidth="1"/>
    <col min="12548" max="12548" width="19.7109375" customWidth="1"/>
    <col min="12551" max="12551" width="10.5703125" bestFit="1" customWidth="1"/>
    <col min="12552" max="12552" width="25.7109375" bestFit="1" customWidth="1"/>
    <col min="12553" max="12554" width="20.7109375" bestFit="1" customWidth="1"/>
    <col min="12555" max="12555" width="18.7109375" customWidth="1"/>
    <col min="12798" max="12798" width="3.28515625" customWidth="1"/>
    <col min="12799" max="12799" width="3.85546875" bestFit="1" customWidth="1"/>
    <col min="12800" max="12800" width="61.7109375" customWidth="1"/>
    <col min="12801" max="12801" width="10.140625" customWidth="1"/>
    <col min="12802" max="12802" width="11.42578125" customWidth="1"/>
    <col min="12803" max="12803" width="17.5703125" customWidth="1"/>
    <col min="12804" max="12804" width="19.7109375" customWidth="1"/>
    <col min="12807" max="12807" width="10.5703125" bestFit="1" customWidth="1"/>
    <col min="12808" max="12808" width="25.7109375" bestFit="1" customWidth="1"/>
    <col min="12809" max="12810" width="20.7109375" bestFit="1" customWidth="1"/>
    <col min="12811" max="12811" width="18.7109375" customWidth="1"/>
    <col min="13054" max="13054" width="3.28515625" customWidth="1"/>
    <col min="13055" max="13055" width="3.85546875" bestFit="1" customWidth="1"/>
    <col min="13056" max="13056" width="61.7109375" customWidth="1"/>
    <col min="13057" max="13057" width="10.140625" customWidth="1"/>
    <col min="13058" max="13058" width="11.42578125" customWidth="1"/>
    <col min="13059" max="13059" width="17.5703125" customWidth="1"/>
    <col min="13060" max="13060" width="19.7109375" customWidth="1"/>
    <col min="13063" max="13063" width="10.5703125" bestFit="1" customWidth="1"/>
    <col min="13064" max="13064" width="25.7109375" bestFit="1" customWidth="1"/>
    <col min="13065" max="13066" width="20.7109375" bestFit="1" customWidth="1"/>
    <col min="13067" max="13067" width="18.7109375" customWidth="1"/>
    <col min="13310" max="13310" width="3.28515625" customWidth="1"/>
    <col min="13311" max="13311" width="3.85546875" bestFit="1" customWidth="1"/>
    <col min="13312" max="13312" width="61.7109375" customWidth="1"/>
    <col min="13313" max="13313" width="10.140625" customWidth="1"/>
    <col min="13314" max="13314" width="11.42578125" customWidth="1"/>
    <col min="13315" max="13315" width="17.5703125" customWidth="1"/>
    <col min="13316" max="13316" width="19.7109375" customWidth="1"/>
    <col min="13319" max="13319" width="10.5703125" bestFit="1" customWidth="1"/>
    <col min="13320" max="13320" width="25.7109375" bestFit="1" customWidth="1"/>
    <col min="13321" max="13322" width="20.7109375" bestFit="1" customWidth="1"/>
    <col min="13323" max="13323" width="18.7109375" customWidth="1"/>
    <col min="13566" max="13566" width="3.28515625" customWidth="1"/>
    <col min="13567" max="13567" width="3.85546875" bestFit="1" customWidth="1"/>
    <col min="13568" max="13568" width="61.7109375" customWidth="1"/>
    <col min="13569" max="13569" width="10.140625" customWidth="1"/>
    <col min="13570" max="13570" width="11.42578125" customWidth="1"/>
    <col min="13571" max="13571" width="17.5703125" customWidth="1"/>
    <col min="13572" max="13572" width="19.7109375" customWidth="1"/>
    <col min="13575" max="13575" width="10.5703125" bestFit="1" customWidth="1"/>
    <col min="13576" max="13576" width="25.7109375" bestFit="1" customWidth="1"/>
    <col min="13577" max="13578" width="20.7109375" bestFit="1" customWidth="1"/>
    <col min="13579" max="13579" width="18.7109375" customWidth="1"/>
    <col min="13822" max="13822" width="3.28515625" customWidth="1"/>
    <col min="13823" max="13823" width="3.85546875" bestFit="1" customWidth="1"/>
    <col min="13824" max="13824" width="61.7109375" customWidth="1"/>
    <col min="13825" max="13825" width="10.140625" customWidth="1"/>
    <col min="13826" max="13826" width="11.42578125" customWidth="1"/>
    <col min="13827" max="13827" width="17.5703125" customWidth="1"/>
    <col min="13828" max="13828" width="19.7109375" customWidth="1"/>
    <col min="13831" max="13831" width="10.5703125" bestFit="1" customWidth="1"/>
    <col min="13832" max="13832" width="25.7109375" bestFit="1" customWidth="1"/>
    <col min="13833" max="13834" width="20.7109375" bestFit="1" customWidth="1"/>
    <col min="13835" max="13835" width="18.7109375" customWidth="1"/>
    <col min="14078" max="14078" width="3.28515625" customWidth="1"/>
    <col min="14079" max="14079" width="3.85546875" bestFit="1" customWidth="1"/>
    <col min="14080" max="14080" width="61.7109375" customWidth="1"/>
    <col min="14081" max="14081" width="10.140625" customWidth="1"/>
    <col min="14082" max="14082" width="11.42578125" customWidth="1"/>
    <col min="14083" max="14083" width="17.5703125" customWidth="1"/>
    <col min="14084" max="14084" width="19.7109375" customWidth="1"/>
    <col min="14087" max="14087" width="10.5703125" bestFit="1" customWidth="1"/>
    <col min="14088" max="14088" width="25.7109375" bestFit="1" customWidth="1"/>
    <col min="14089" max="14090" width="20.7109375" bestFit="1" customWidth="1"/>
    <col min="14091" max="14091" width="18.7109375" customWidth="1"/>
    <col min="14334" max="14334" width="3.28515625" customWidth="1"/>
    <col min="14335" max="14335" width="3.85546875" bestFit="1" customWidth="1"/>
    <col min="14336" max="14336" width="61.7109375" customWidth="1"/>
    <col min="14337" max="14337" width="10.140625" customWidth="1"/>
    <col min="14338" max="14338" width="11.42578125" customWidth="1"/>
    <col min="14339" max="14339" width="17.5703125" customWidth="1"/>
    <col min="14340" max="14340" width="19.7109375" customWidth="1"/>
    <col min="14343" max="14343" width="10.5703125" bestFit="1" customWidth="1"/>
    <col min="14344" max="14344" width="25.7109375" bestFit="1" customWidth="1"/>
    <col min="14345" max="14346" width="20.7109375" bestFit="1" customWidth="1"/>
    <col min="14347" max="14347" width="18.7109375" customWidth="1"/>
    <col min="14590" max="14590" width="3.28515625" customWidth="1"/>
    <col min="14591" max="14591" width="3.85546875" bestFit="1" customWidth="1"/>
    <col min="14592" max="14592" width="61.7109375" customWidth="1"/>
    <col min="14593" max="14593" width="10.140625" customWidth="1"/>
    <col min="14594" max="14594" width="11.42578125" customWidth="1"/>
    <col min="14595" max="14595" width="17.5703125" customWidth="1"/>
    <col min="14596" max="14596" width="19.7109375" customWidth="1"/>
    <col min="14599" max="14599" width="10.5703125" bestFit="1" customWidth="1"/>
    <col min="14600" max="14600" width="25.7109375" bestFit="1" customWidth="1"/>
    <col min="14601" max="14602" width="20.7109375" bestFit="1" customWidth="1"/>
    <col min="14603" max="14603" width="18.7109375" customWidth="1"/>
    <col min="14846" max="14846" width="3.28515625" customWidth="1"/>
    <col min="14847" max="14847" width="3.85546875" bestFit="1" customWidth="1"/>
    <col min="14848" max="14848" width="61.7109375" customWidth="1"/>
    <col min="14849" max="14849" width="10.140625" customWidth="1"/>
    <col min="14850" max="14850" width="11.42578125" customWidth="1"/>
    <col min="14851" max="14851" width="17.5703125" customWidth="1"/>
    <col min="14852" max="14852" width="19.7109375" customWidth="1"/>
    <col min="14855" max="14855" width="10.5703125" bestFit="1" customWidth="1"/>
    <col min="14856" max="14856" width="25.7109375" bestFit="1" customWidth="1"/>
    <col min="14857" max="14858" width="20.7109375" bestFit="1" customWidth="1"/>
    <col min="14859" max="14859" width="18.7109375" customWidth="1"/>
    <col min="15102" max="15102" width="3.28515625" customWidth="1"/>
    <col min="15103" max="15103" width="3.85546875" bestFit="1" customWidth="1"/>
    <col min="15104" max="15104" width="61.7109375" customWidth="1"/>
    <col min="15105" max="15105" width="10.140625" customWidth="1"/>
    <col min="15106" max="15106" width="11.42578125" customWidth="1"/>
    <col min="15107" max="15107" width="17.5703125" customWidth="1"/>
    <col min="15108" max="15108" width="19.7109375" customWidth="1"/>
    <col min="15111" max="15111" width="10.5703125" bestFit="1" customWidth="1"/>
    <col min="15112" max="15112" width="25.7109375" bestFit="1" customWidth="1"/>
    <col min="15113" max="15114" width="20.7109375" bestFit="1" customWidth="1"/>
    <col min="15115" max="15115" width="18.7109375" customWidth="1"/>
    <col min="15358" max="15358" width="3.28515625" customWidth="1"/>
    <col min="15359" max="15359" width="3.85546875" bestFit="1" customWidth="1"/>
    <col min="15360" max="15360" width="61.7109375" customWidth="1"/>
    <col min="15361" max="15361" width="10.140625" customWidth="1"/>
    <col min="15362" max="15362" width="11.42578125" customWidth="1"/>
    <col min="15363" max="15363" width="17.5703125" customWidth="1"/>
    <col min="15364" max="15364" width="19.7109375" customWidth="1"/>
    <col min="15367" max="15367" width="10.5703125" bestFit="1" customWidth="1"/>
    <col min="15368" max="15368" width="25.7109375" bestFit="1" customWidth="1"/>
    <col min="15369" max="15370" width="20.7109375" bestFit="1" customWidth="1"/>
    <col min="15371" max="15371" width="18.7109375" customWidth="1"/>
    <col min="15614" max="15614" width="3.28515625" customWidth="1"/>
    <col min="15615" max="15615" width="3.85546875" bestFit="1" customWidth="1"/>
    <col min="15616" max="15616" width="61.7109375" customWidth="1"/>
    <col min="15617" max="15617" width="10.140625" customWidth="1"/>
    <col min="15618" max="15618" width="11.42578125" customWidth="1"/>
    <col min="15619" max="15619" width="17.5703125" customWidth="1"/>
    <col min="15620" max="15620" width="19.7109375" customWidth="1"/>
    <col min="15623" max="15623" width="10.5703125" bestFit="1" customWidth="1"/>
    <col min="15624" max="15624" width="25.7109375" bestFit="1" customWidth="1"/>
    <col min="15625" max="15626" width="20.7109375" bestFit="1" customWidth="1"/>
    <col min="15627" max="15627" width="18.7109375" customWidth="1"/>
    <col min="15870" max="15870" width="3.28515625" customWidth="1"/>
    <col min="15871" max="15871" width="3.85546875" bestFit="1" customWidth="1"/>
    <col min="15872" max="15872" width="61.7109375" customWidth="1"/>
    <col min="15873" max="15873" width="10.140625" customWidth="1"/>
    <col min="15874" max="15874" width="11.42578125" customWidth="1"/>
    <col min="15875" max="15875" width="17.5703125" customWidth="1"/>
    <col min="15876" max="15876" width="19.7109375" customWidth="1"/>
    <col min="15879" max="15879" width="10.5703125" bestFit="1" customWidth="1"/>
    <col min="15880" max="15880" width="25.7109375" bestFit="1" customWidth="1"/>
    <col min="15881" max="15882" width="20.7109375" bestFit="1" customWidth="1"/>
    <col min="15883" max="15883" width="18.7109375" customWidth="1"/>
    <col min="16126" max="16126" width="3.28515625" customWidth="1"/>
    <col min="16127" max="16127" width="3.85546875" bestFit="1" customWidth="1"/>
    <col min="16128" max="16128" width="61.7109375" customWidth="1"/>
    <col min="16129" max="16129" width="10.140625" customWidth="1"/>
    <col min="16130" max="16130" width="11.42578125" customWidth="1"/>
    <col min="16131" max="16131" width="17.5703125" customWidth="1"/>
    <col min="16132" max="16132" width="19.7109375" customWidth="1"/>
    <col min="16135" max="16135" width="10.5703125" bestFit="1" customWidth="1"/>
    <col min="16136" max="16136" width="25.7109375" bestFit="1" customWidth="1"/>
    <col min="16137" max="16138" width="20.7109375" bestFit="1" customWidth="1"/>
    <col min="16139" max="16139" width="18.7109375" customWidth="1"/>
  </cols>
  <sheetData>
    <row r="1" spans="3:12" ht="30.75" thickTop="1">
      <c r="C1" s="1186" t="s">
        <v>10</v>
      </c>
      <c r="D1" s="1187" t="s">
        <v>2079</v>
      </c>
      <c r="E1" s="1187" t="s">
        <v>2087</v>
      </c>
      <c r="F1" s="1188" t="s">
        <v>4338</v>
      </c>
      <c r="G1" s="679" t="s">
        <v>4340</v>
      </c>
      <c r="H1" s="933" t="s">
        <v>4341</v>
      </c>
      <c r="I1" s="679" t="s">
        <v>4347</v>
      </c>
      <c r="J1" s="934" t="s">
        <v>4348</v>
      </c>
      <c r="K1"/>
      <c r="L1"/>
    </row>
    <row r="2" spans="3:12" ht="16.5">
      <c r="C2" s="1174"/>
      <c r="D2" s="1164"/>
      <c r="E2" s="1164"/>
      <c r="F2" s="1189"/>
      <c r="G2" s="796" t="s">
        <v>2152</v>
      </c>
      <c r="H2" s="283" t="s">
        <v>2152</v>
      </c>
      <c r="I2" s="796" t="s">
        <v>2152</v>
      </c>
      <c r="J2" s="686" t="s">
        <v>2152</v>
      </c>
      <c r="K2"/>
      <c r="L2" s="176">
        <f>95/95</f>
        <v>1</v>
      </c>
    </row>
    <row r="3" spans="3:12">
      <c r="C3" s="315">
        <v>1</v>
      </c>
      <c r="D3" s="314">
        <v>2</v>
      </c>
      <c r="E3" s="314">
        <v>3</v>
      </c>
      <c r="F3" s="313">
        <v>4</v>
      </c>
      <c r="G3" s="314">
        <v>5</v>
      </c>
      <c r="H3" s="935" t="s">
        <v>3271</v>
      </c>
      <c r="I3" s="314">
        <v>7</v>
      </c>
      <c r="J3" s="687" t="s">
        <v>4342</v>
      </c>
      <c r="K3"/>
      <c r="L3"/>
    </row>
    <row r="4" spans="3:12" ht="18" customHeight="1">
      <c r="C4" s="335" t="s">
        <v>735</v>
      </c>
      <c r="D4" s="936" t="s">
        <v>2314</v>
      </c>
      <c r="E4" s="936"/>
      <c r="F4" s="937"/>
      <c r="G4" s="938"/>
      <c r="H4" s="939"/>
      <c r="I4" s="938"/>
      <c r="J4" s="334"/>
      <c r="K4"/>
      <c r="L4"/>
    </row>
    <row r="5" spans="3:12">
      <c r="C5" s="333">
        <v>1</v>
      </c>
      <c r="D5" s="940" t="s">
        <v>2315</v>
      </c>
      <c r="E5" s="941"/>
      <c r="F5" s="942"/>
      <c r="G5" s="943"/>
      <c r="H5" s="944"/>
      <c r="I5" s="943"/>
      <c r="J5" s="332"/>
      <c r="K5"/>
      <c r="L5"/>
    </row>
    <row r="6" spans="3:12">
      <c r="C6" s="331" t="s">
        <v>2316</v>
      </c>
      <c r="D6" s="943" t="s">
        <v>2317</v>
      </c>
      <c r="E6" s="945" t="s">
        <v>2318</v>
      </c>
      <c r="F6" s="946">
        <v>0</v>
      </c>
      <c r="G6" s="947"/>
      <c r="H6" s="948"/>
      <c r="I6" s="947"/>
      <c r="J6" s="688"/>
      <c r="K6"/>
      <c r="L6"/>
    </row>
    <row r="7" spans="3:12">
      <c r="C7" s="331" t="s">
        <v>2319</v>
      </c>
      <c r="D7" s="943" t="s">
        <v>2320</v>
      </c>
      <c r="E7" s="945" t="s">
        <v>2318</v>
      </c>
      <c r="F7" s="946">
        <v>0</v>
      </c>
      <c r="G7" s="947"/>
      <c r="H7" s="948"/>
      <c r="I7" s="947"/>
      <c r="J7" s="688"/>
      <c r="K7"/>
      <c r="L7"/>
    </row>
    <row r="8" spans="3:12">
      <c r="C8" s="331" t="s">
        <v>2321</v>
      </c>
      <c r="D8" s="943" t="s">
        <v>2322</v>
      </c>
      <c r="E8" s="945" t="s">
        <v>2318</v>
      </c>
      <c r="F8" s="946">
        <v>0</v>
      </c>
      <c r="G8" s="947"/>
      <c r="H8" s="948"/>
      <c r="I8" s="947"/>
      <c r="J8" s="688"/>
      <c r="K8"/>
      <c r="L8"/>
    </row>
    <row r="9" spans="3:12">
      <c r="C9" s="331" t="s">
        <v>2323</v>
      </c>
      <c r="D9" s="943" t="s">
        <v>2324</v>
      </c>
      <c r="E9" s="945" t="s">
        <v>2318</v>
      </c>
      <c r="F9" s="946">
        <v>0</v>
      </c>
      <c r="G9" s="947"/>
      <c r="H9" s="948"/>
      <c r="I9" s="947"/>
      <c r="J9" s="688"/>
      <c r="K9"/>
      <c r="L9"/>
    </row>
    <row r="10" spans="3:12">
      <c r="C10" s="331" t="s">
        <v>2325</v>
      </c>
      <c r="D10" s="943" t="s">
        <v>2326</v>
      </c>
      <c r="E10" s="945" t="s">
        <v>2318</v>
      </c>
      <c r="F10" s="946">
        <v>0</v>
      </c>
      <c r="G10" s="947"/>
      <c r="H10" s="948"/>
      <c r="I10" s="947"/>
      <c r="J10" s="688"/>
      <c r="K10"/>
      <c r="L10"/>
    </row>
    <row r="11" spans="3:12">
      <c r="C11" s="331" t="s">
        <v>2327</v>
      </c>
      <c r="D11" s="943" t="s">
        <v>2328</v>
      </c>
      <c r="E11" s="945" t="s">
        <v>2318</v>
      </c>
      <c r="F11" s="946">
        <v>0</v>
      </c>
      <c r="G11" s="947"/>
      <c r="H11" s="948"/>
      <c r="I11" s="947"/>
      <c r="J11" s="688"/>
      <c r="K11"/>
      <c r="L11"/>
    </row>
    <row r="12" spans="3:12">
      <c r="C12" s="331" t="s">
        <v>2329</v>
      </c>
      <c r="D12" s="943" t="s">
        <v>2330</v>
      </c>
      <c r="E12" s="945" t="s">
        <v>2318</v>
      </c>
      <c r="F12" s="946">
        <v>0</v>
      </c>
      <c r="G12" s="947"/>
      <c r="H12" s="948"/>
      <c r="I12" s="947"/>
      <c r="J12" s="688"/>
      <c r="K12"/>
      <c r="L12"/>
    </row>
    <row r="13" spans="3:12">
      <c r="C13" s="331" t="s">
        <v>2331</v>
      </c>
      <c r="D13" s="943" t="s">
        <v>2332</v>
      </c>
      <c r="E13" s="945" t="s">
        <v>2318</v>
      </c>
      <c r="F13" s="946">
        <v>0</v>
      </c>
      <c r="G13" s="947"/>
      <c r="H13" s="948"/>
      <c r="I13" s="947"/>
      <c r="J13" s="688"/>
      <c r="K13"/>
      <c r="L13"/>
    </row>
    <row r="14" spans="3:12">
      <c r="C14" s="331" t="s">
        <v>2333</v>
      </c>
      <c r="D14" s="943" t="s">
        <v>2334</v>
      </c>
      <c r="E14" s="945" t="s">
        <v>2318</v>
      </c>
      <c r="F14" s="946">
        <v>0</v>
      </c>
      <c r="G14" s="947"/>
      <c r="H14" s="948"/>
      <c r="I14" s="947"/>
      <c r="J14" s="688"/>
      <c r="K14"/>
      <c r="L14"/>
    </row>
    <row r="15" spans="3:12">
      <c r="C15" s="331" t="s">
        <v>2335</v>
      </c>
      <c r="D15" s="943" t="s">
        <v>2336</v>
      </c>
      <c r="E15" s="945" t="s">
        <v>2318</v>
      </c>
      <c r="F15" s="946">
        <v>0</v>
      </c>
      <c r="G15" s="947"/>
      <c r="H15" s="948"/>
      <c r="I15" s="947"/>
      <c r="J15" s="688"/>
      <c r="K15"/>
      <c r="L15"/>
    </row>
    <row r="16" spans="3:12">
      <c r="C16" s="331" t="s">
        <v>2337</v>
      </c>
      <c r="D16" s="943" t="s">
        <v>2338</v>
      </c>
      <c r="E16" s="945" t="s">
        <v>2318</v>
      </c>
      <c r="F16" s="946">
        <v>0</v>
      </c>
      <c r="G16" s="947"/>
      <c r="H16" s="948"/>
      <c r="I16" s="947"/>
      <c r="J16" s="688"/>
      <c r="K16"/>
      <c r="L16"/>
    </row>
    <row r="17" spans="3:12">
      <c r="C17" s="331" t="s">
        <v>2339</v>
      </c>
      <c r="D17" s="943" t="s">
        <v>2340</v>
      </c>
      <c r="E17" s="945" t="s">
        <v>2318</v>
      </c>
      <c r="F17" s="946">
        <v>0</v>
      </c>
      <c r="G17" s="947"/>
      <c r="H17" s="948"/>
      <c r="I17" s="947"/>
      <c r="J17" s="688"/>
      <c r="K17"/>
      <c r="L17"/>
    </row>
    <row r="18" spans="3:12">
      <c r="C18" s="331" t="s">
        <v>2341</v>
      </c>
      <c r="D18" s="943" t="s">
        <v>2342</v>
      </c>
      <c r="E18" s="945" t="s">
        <v>2318</v>
      </c>
      <c r="F18" s="946">
        <v>0</v>
      </c>
      <c r="G18" s="947"/>
      <c r="H18" s="948"/>
      <c r="I18" s="947"/>
      <c r="J18" s="688"/>
      <c r="K18"/>
      <c r="L18"/>
    </row>
    <row r="19" spans="3:12">
      <c r="C19" s="331" t="s">
        <v>2343</v>
      </c>
      <c r="D19" s="943" t="s">
        <v>2344</v>
      </c>
      <c r="E19" s="945" t="s">
        <v>2318</v>
      </c>
      <c r="F19" s="946">
        <v>0</v>
      </c>
      <c r="G19" s="947"/>
      <c r="H19" s="948"/>
      <c r="I19" s="947"/>
      <c r="J19" s="688"/>
      <c r="K19"/>
      <c r="L19"/>
    </row>
    <row r="20" spans="3:12">
      <c r="C20" s="331" t="s">
        <v>2345</v>
      </c>
      <c r="D20" s="943" t="s">
        <v>2346</v>
      </c>
      <c r="E20" s="945" t="s">
        <v>2318</v>
      </c>
      <c r="F20" s="946">
        <v>0</v>
      </c>
      <c r="G20" s="947"/>
      <c r="H20" s="948"/>
      <c r="I20" s="947"/>
      <c r="J20" s="688"/>
      <c r="K20"/>
      <c r="L20"/>
    </row>
    <row r="21" spans="3:12">
      <c r="C21" s="330"/>
      <c r="D21" s="943"/>
      <c r="E21" s="945"/>
      <c r="F21" s="946"/>
      <c r="G21" s="947"/>
      <c r="H21" s="948"/>
      <c r="I21" s="947"/>
      <c r="J21" s="688"/>
      <c r="K21"/>
      <c r="L21"/>
    </row>
    <row r="22" spans="3:12">
      <c r="C22" s="331" t="s">
        <v>2347</v>
      </c>
      <c r="D22" s="943" t="s">
        <v>2348</v>
      </c>
      <c r="E22" s="945" t="s">
        <v>2318</v>
      </c>
      <c r="F22" s="946">
        <v>0</v>
      </c>
      <c r="G22" s="947"/>
      <c r="H22" s="948"/>
      <c r="I22" s="947"/>
      <c r="J22" s="688"/>
      <c r="K22"/>
      <c r="L22"/>
    </row>
    <row r="23" spans="3:12">
      <c r="C23" s="331" t="s">
        <v>2349</v>
      </c>
      <c r="D23" s="943" t="s">
        <v>2350</v>
      </c>
      <c r="E23" s="945" t="s">
        <v>2318</v>
      </c>
      <c r="F23" s="946">
        <v>0</v>
      </c>
      <c r="G23" s="947"/>
      <c r="H23" s="948"/>
      <c r="I23" s="947"/>
      <c r="J23" s="688"/>
      <c r="K23"/>
      <c r="L23"/>
    </row>
    <row r="24" spans="3:12">
      <c r="C24" s="331" t="s">
        <v>2351</v>
      </c>
      <c r="D24" s="943" t="s">
        <v>2352</v>
      </c>
      <c r="E24" s="945" t="s">
        <v>2318</v>
      </c>
      <c r="F24" s="946">
        <v>0</v>
      </c>
      <c r="G24" s="947"/>
      <c r="H24" s="948"/>
      <c r="I24" s="947"/>
      <c r="J24" s="688"/>
      <c r="K24"/>
      <c r="L24"/>
    </row>
    <row r="25" spans="3:12">
      <c r="C25" s="331" t="s">
        <v>2353</v>
      </c>
      <c r="D25" s="943" t="s">
        <v>2354</v>
      </c>
      <c r="E25" s="945" t="s">
        <v>2318</v>
      </c>
      <c r="F25" s="946">
        <v>0</v>
      </c>
      <c r="G25" s="947"/>
      <c r="H25" s="948"/>
      <c r="I25" s="947"/>
      <c r="J25" s="688"/>
      <c r="K25"/>
      <c r="L25"/>
    </row>
    <row r="26" spans="3:12">
      <c r="C26" s="331" t="s">
        <v>2355</v>
      </c>
      <c r="D26" s="943" t="s">
        <v>2356</v>
      </c>
      <c r="E26" s="945" t="s">
        <v>2318</v>
      </c>
      <c r="F26" s="946">
        <v>0</v>
      </c>
      <c r="G26" s="947"/>
      <c r="H26" s="948"/>
      <c r="I26" s="947"/>
      <c r="J26" s="688"/>
      <c r="K26"/>
      <c r="L26"/>
    </row>
    <row r="27" spans="3:12">
      <c r="C27" s="331" t="s">
        <v>2357</v>
      </c>
      <c r="D27" s="943" t="s">
        <v>2358</v>
      </c>
      <c r="E27" s="945" t="s">
        <v>2318</v>
      </c>
      <c r="F27" s="946">
        <v>0</v>
      </c>
      <c r="G27" s="947"/>
      <c r="H27" s="948"/>
      <c r="I27" s="947"/>
      <c r="J27" s="688"/>
      <c r="K27"/>
      <c r="L27"/>
    </row>
    <row r="28" spans="3:12">
      <c r="C28" s="331" t="s">
        <v>2359</v>
      </c>
      <c r="D28" s="943" t="s">
        <v>2360</v>
      </c>
      <c r="E28" s="945" t="s">
        <v>2318</v>
      </c>
      <c r="F28" s="946">
        <v>0</v>
      </c>
      <c r="G28" s="947"/>
      <c r="H28" s="948"/>
      <c r="I28" s="947"/>
      <c r="J28" s="688"/>
      <c r="K28"/>
      <c r="L28"/>
    </row>
    <row r="29" spans="3:12">
      <c r="C29" s="331" t="s">
        <v>2361</v>
      </c>
      <c r="D29" s="943" t="s">
        <v>2362</v>
      </c>
      <c r="E29" s="945" t="s">
        <v>2318</v>
      </c>
      <c r="F29" s="946">
        <v>0</v>
      </c>
      <c r="G29" s="947"/>
      <c r="H29" s="948"/>
      <c r="I29" s="947"/>
      <c r="J29" s="688"/>
      <c r="K29"/>
      <c r="L29"/>
    </row>
    <row r="30" spans="3:12">
      <c r="C30" s="331" t="s">
        <v>2363</v>
      </c>
      <c r="D30" s="943" t="s">
        <v>2364</v>
      </c>
      <c r="E30" s="945" t="s">
        <v>2318</v>
      </c>
      <c r="F30" s="946">
        <v>0</v>
      </c>
      <c r="G30" s="947"/>
      <c r="H30" s="948"/>
      <c r="I30" s="947"/>
      <c r="J30" s="688"/>
      <c r="K30"/>
      <c r="L30"/>
    </row>
    <row r="31" spans="3:12">
      <c r="C31" s="331" t="s">
        <v>2365</v>
      </c>
      <c r="D31" s="943" t="s">
        <v>2366</v>
      </c>
      <c r="E31" s="945" t="s">
        <v>2318</v>
      </c>
      <c r="F31" s="946">
        <v>0</v>
      </c>
      <c r="G31" s="947"/>
      <c r="H31" s="948"/>
      <c r="I31" s="947"/>
      <c r="J31" s="688"/>
      <c r="K31"/>
      <c r="L31"/>
    </row>
    <row r="32" spans="3:12">
      <c r="C32" s="331" t="s">
        <v>2367</v>
      </c>
      <c r="D32" s="943" t="s">
        <v>2368</v>
      </c>
      <c r="E32" s="945" t="s">
        <v>2318</v>
      </c>
      <c r="F32" s="946">
        <v>0</v>
      </c>
      <c r="G32" s="947"/>
      <c r="H32" s="948"/>
      <c r="I32" s="947"/>
      <c r="J32" s="688"/>
      <c r="K32"/>
      <c r="L32"/>
    </row>
    <row r="33" spans="3:12">
      <c r="C33" s="331" t="s">
        <v>2369</v>
      </c>
      <c r="D33" s="943" t="s">
        <v>2370</v>
      </c>
      <c r="E33" s="945" t="s">
        <v>2318</v>
      </c>
      <c r="F33" s="946">
        <v>0</v>
      </c>
      <c r="G33" s="947"/>
      <c r="H33" s="948"/>
      <c r="I33" s="947"/>
      <c r="J33" s="688"/>
      <c r="K33"/>
      <c r="L33"/>
    </row>
    <row r="34" spans="3:12">
      <c r="C34" s="331" t="s">
        <v>2371</v>
      </c>
      <c r="D34" s="943" t="s">
        <v>2372</v>
      </c>
      <c r="E34" s="945" t="s">
        <v>2318</v>
      </c>
      <c r="F34" s="946">
        <v>0</v>
      </c>
      <c r="G34" s="947"/>
      <c r="H34" s="948"/>
      <c r="I34" s="947"/>
      <c r="J34" s="688"/>
      <c r="K34"/>
      <c r="L34"/>
    </row>
    <row r="35" spans="3:12">
      <c r="C35" s="331" t="s">
        <v>2373</v>
      </c>
      <c r="D35" s="943" t="s">
        <v>2374</v>
      </c>
      <c r="E35" s="945" t="s">
        <v>2318</v>
      </c>
      <c r="F35" s="946">
        <v>0</v>
      </c>
      <c r="G35" s="947"/>
      <c r="H35" s="948"/>
      <c r="I35" s="947"/>
      <c r="J35" s="688"/>
      <c r="K35"/>
      <c r="L35"/>
    </row>
    <row r="36" spans="3:12">
      <c r="C36" s="331" t="s">
        <v>2375</v>
      </c>
      <c r="D36" s="943" t="s">
        <v>2376</v>
      </c>
      <c r="E36" s="945" t="s">
        <v>2318</v>
      </c>
      <c r="F36" s="946">
        <v>0</v>
      </c>
      <c r="G36" s="947"/>
      <c r="H36" s="948"/>
      <c r="I36" s="947"/>
      <c r="J36" s="688"/>
      <c r="K36"/>
      <c r="L36"/>
    </row>
    <row r="37" spans="3:12">
      <c r="C37" s="330"/>
      <c r="D37" s="943"/>
      <c r="E37" s="945"/>
      <c r="F37" s="946"/>
      <c r="G37" s="947"/>
      <c r="H37" s="948"/>
      <c r="I37" s="947"/>
      <c r="J37" s="688"/>
      <c r="K37"/>
      <c r="L37"/>
    </row>
    <row r="38" spans="3:12">
      <c r="C38" s="331" t="s">
        <v>2377</v>
      </c>
      <c r="D38" s="943" t="s">
        <v>2378</v>
      </c>
      <c r="E38" s="945" t="s">
        <v>2318</v>
      </c>
      <c r="F38" s="946">
        <v>0</v>
      </c>
      <c r="G38" s="947"/>
      <c r="H38" s="948"/>
      <c r="I38" s="947"/>
      <c r="J38" s="688"/>
      <c r="K38"/>
      <c r="L38"/>
    </row>
    <row r="39" spans="3:12">
      <c r="C39" s="331" t="s">
        <v>2379</v>
      </c>
      <c r="D39" s="943" t="s">
        <v>2380</v>
      </c>
      <c r="E39" s="945" t="s">
        <v>2318</v>
      </c>
      <c r="F39" s="946">
        <v>0</v>
      </c>
      <c r="G39" s="947"/>
      <c r="H39" s="948"/>
      <c r="I39" s="947"/>
      <c r="J39" s="688"/>
      <c r="K39"/>
      <c r="L39"/>
    </row>
    <row r="40" spans="3:12">
      <c r="C40" s="331" t="s">
        <v>2381</v>
      </c>
      <c r="D40" s="943" t="s">
        <v>2382</v>
      </c>
      <c r="E40" s="945" t="s">
        <v>2318</v>
      </c>
      <c r="F40" s="946">
        <v>0</v>
      </c>
      <c r="G40" s="947"/>
      <c r="H40" s="948"/>
      <c r="I40" s="947"/>
      <c r="J40" s="688"/>
      <c r="K40"/>
      <c r="L40"/>
    </row>
    <row r="41" spans="3:12">
      <c r="C41" s="331" t="s">
        <v>2383</v>
      </c>
      <c r="D41" s="943" t="s">
        <v>2384</v>
      </c>
      <c r="E41" s="945" t="s">
        <v>2318</v>
      </c>
      <c r="F41" s="946">
        <v>0</v>
      </c>
      <c r="G41" s="947"/>
      <c r="H41" s="948"/>
      <c r="I41" s="947"/>
      <c r="J41" s="688"/>
      <c r="K41"/>
      <c r="L41"/>
    </row>
    <row r="42" spans="3:12">
      <c r="C42" s="331" t="s">
        <v>2385</v>
      </c>
      <c r="D42" s="943" t="s">
        <v>2386</v>
      </c>
      <c r="E42" s="945" t="s">
        <v>2318</v>
      </c>
      <c r="F42" s="946">
        <v>0</v>
      </c>
      <c r="G42" s="947"/>
      <c r="H42" s="948"/>
      <c r="I42" s="947"/>
      <c r="J42" s="688"/>
      <c r="K42"/>
      <c r="L42"/>
    </row>
    <row r="43" spans="3:12">
      <c r="C43" s="331" t="s">
        <v>2387</v>
      </c>
      <c r="D43" s="943" t="s">
        <v>2388</v>
      </c>
      <c r="E43" s="945" t="s">
        <v>2318</v>
      </c>
      <c r="F43" s="946">
        <v>0</v>
      </c>
      <c r="G43" s="947"/>
      <c r="H43" s="948"/>
      <c r="I43" s="947"/>
      <c r="J43" s="688"/>
      <c r="K43"/>
      <c r="L43"/>
    </row>
    <row r="44" spans="3:12">
      <c r="C44" s="331" t="s">
        <v>2389</v>
      </c>
      <c r="D44" s="943" t="s">
        <v>2390</v>
      </c>
      <c r="E44" s="945" t="s">
        <v>2318</v>
      </c>
      <c r="F44" s="946">
        <v>0</v>
      </c>
      <c r="G44" s="947"/>
      <c r="H44" s="948"/>
      <c r="I44" s="947"/>
      <c r="J44" s="688"/>
      <c r="K44"/>
      <c r="L44"/>
    </row>
    <row r="45" spans="3:12">
      <c r="C45" s="331" t="s">
        <v>2391</v>
      </c>
      <c r="D45" s="943" t="s">
        <v>2392</v>
      </c>
      <c r="E45" s="945" t="s">
        <v>2318</v>
      </c>
      <c r="F45" s="946">
        <v>0</v>
      </c>
      <c r="G45" s="947"/>
      <c r="H45" s="948"/>
      <c r="I45" s="947"/>
      <c r="J45" s="688"/>
      <c r="K45"/>
      <c r="L45"/>
    </row>
    <row r="46" spans="3:12">
      <c r="C46" s="331" t="s">
        <v>2393</v>
      </c>
      <c r="D46" s="943" t="s">
        <v>2394</v>
      </c>
      <c r="E46" s="945" t="s">
        <v>2318</v>
      </c>
      <c r="F46" s="946">
        <v>0</v>
      </c>
      <c r="G46" s="947"/>
      <c r="H46" s="948"/>
      <c r="I46" s="947"/>
      <c r="J46" s="688"/>
      <c r="K46"/>
      <c r="L46"/>
    </row>
    <row r="47" spans="3:12">
      <c r="C47" s="329" t="s">
        <v>2395</v>
      </c>
      <c r="D47" s="328" t="s">
        <v>2396</v>
      </c>
      <c r="E47" s="327" t="s">
        <v>2318</v>
      </c>
      <c r="F47" s="326">
        <v>0</v>
      </c>
      <c r="G47" s="325"/>
      <c r="H47" s="949"/>
      <c r="I47" s="325"/>
      <c r="J47" s="689"/>
      <c r="K47"/>
      <c r="L47"/>
    </row>
    <row r="48" spans="3:12">
      <c r="C48" s="950" t="s">
        <v>2397</v>
      </c>
      <c r="D48" s="951" t="s">
        <v>2398</v>
      </c>
      <c r="E48" s="952" t="s">
        <v>2318</v>
      </c>
      <c r="F48" s="953">
        <v>0</v>
      </c>
      <c r="G48" s="954"/>
      <c r="H48" s="955"/>
      <c r="I48" s="954"/>
      <c r="J48" s="956"/>
      <c r="K48"/>
      <c r="L48"/>
    </row>
    <row r="49" spans="3:12">
      <c r="C49" s="331" t="s">
        <v>2399</v>
      </c>
      <c r="D49" s="943" t="s">
        <v>2400</v>
      </c>
      <c r="E49" s="945" t="s">
        <v>2318</v>
      </c>
      <c r="F49" s="946">
        <v>0</v>
      </c>
      <c r="G49" s="947"/>
      <c r="H49" s="948"/>
      <c r="I49" s="947"/>
      <c r="J49" s="688"/>
      <c r="K49"/>
      <c r="L49"/>
    </row>
    <row r="50" spans="3:12">
      <c r="C50" s="331" t="s">
        <v>2401</v>
      </c>
      <c r="D50" s="943" t="s">
        <v>2402</v>
      </c>
      <c r="E50" s="945" t="s">
        <v>2318</v>
      </c>
      <c r="F50" s="946">
        <v>0</v>
      </c>
      <c r="G50" s="947"/>
      <c r="H50" s="948"/>
      <c r="I50" s="947"/>
      <c r="J50" s="688"/>
      <c r="K50"/>
      <c r="L50"/>
    </row>
    <row r="51" spans="3:12">
      <c r="C51" s="331" t="s">
        <v>2403</v>
      </c>
      <c r="D51" s="943" t="s">
        <v>2404</v>
      </c>
      <c r="E51" s="945" t="s">
        <v>2318</v>
      </c>
      <c r="F51" s="946">
        <v>0</v>
      </c>
      <c r="G51" s="947"/>
      <c r="H51" s="948"/>
      <c r="I51" s="947"/>
      <c r="J51" s="688"/>
      <c r="K51"/>
      <c r="L51"/>
    </row>
    <row r="52" spans="3:12">
      <c r="C52" s="331" t="s">
        <v>2405</v>
      </c>
      <c r="D52" s="943" t="s">
        <v>2406</v>
      </c>
      <c r="E52" s="945" t="s">
        <v>2318</v>
      </c>
      <c r="F52" s="946">
        <v>0</v>
      </c>
      <c r="G52" s="947"/>
      <c r="H52" s="948"/>
      <c r="I52" s="947"/>
      <c r="J52" s="688"/>
      <c r="K52"/>
      <c r="L52"/>
    </row>
    <row r="53" spans="3:12">
      <c r="C53" s="330"/>
      <c r="D53" s="943"/>
      <c r="E53" s="945"/>
      <c r="F53" s="946"/>
      <c r="G53" s="947"/>
      <c r="H53" s="948"/>
      <c r="I53" s="947"/>
      <c r="J53" s="688"/>
      <c r="K53"/>
      <c r="L53"/>
    </row>
    <row r="54" spans="3:12">
      <c r="C54" s="331" t="s">
        <v>2407</v>
      </c>
      <c r="D54" s="943" t="s">
        <v>2408</v>
      </c>
      <c r="E54" s="945" t="s">
        <v>2318</v>
      </c>
      <c r="F54" s="946">
        <v>0</v>
      </c>
      <c r="G54" s="947"/>
      <c r="H54" s="948"/>
      <c r="I54" s="947"/>
      <c r="J54" s="688"/>
      <c r="K54"/>
      <c r="L54"/>
    </row>
    <row r="55" spans="3:12">
      <c r="C55" s="331" t="s">
        <v>2409</v>
      </c>
      <c r="D55" s="943" t="s">
        <v>2410</v>
      </c>
      <c r="E55" s="945" t="s">
        <v>2318</v>
      </c>
      <c r="F55" s="946">
        <v>0</v>
      </c>
      <c r="G55" s="947"/>
      <c r="H55" s="948"/>
      <c r="I55" s="947"/>
      <c r="J55" s="688"/>
      <c r="K55"/>
      <c r="L55"/>
    </row>
    <row r="56" spans="3:12">
      <c r="C56" s="331" t="s">
        <v>2411</v>
      </c>
      <c r="D56" s="943" t="s">
        <v>2412</v>
      </c>
      <c r="E56" s="945" t="s">
        <v>2318</v>
      </c>
      <c r="F56" s="946">
        <v>0</v>
      </c>
      <c r="G56" s="947"/>
      <c r="H56" s="948"/>
      <c r="I56" s="947"/>
      <c r="J56" s="688"/>
      <c r="K56"/>
      <c r="L56"/>
    </row>
    <row r="57" spans="3:12">
      <c r="C57" s="331" t="s">
        <v>2413</v>
      </c>
      <c r="D57" s="943" t="s">
        <v>2414</v>
      </c>
      <c r="E57" s="945" t="s">
        <v>2318</v>
      </c>
      <c r="F57" s="946">
        <v>0</v>
      </c>
      <c r="G57" s="947"/>
      <c r="H57" s="948"/>
      <c r="I57" s="947"/>
      <c r="J57" s="688"/>
      <c r="K57"/>
      <c r="L57"/>
    </row>
    <row r="58" spans="3:12">
      <c r="C58" s="331" t="s">
        <v>2415</v>
      </c>
      <c r="D58" s="943" t="s">
        <v>2416</v>
      </c>
      <c r="E58" s="945" t="s">
        <v>2318</v>
      </c>
      <c r="F58" s="946">
        <v>0</v>
      </c>
      <c r="G58" s="947"/>
      <c r="H58" s="948"/>
      <c r="I58" s="947"/>
      <c r="J58" s="688"/>
      <c r="K58"/>
      <c r="L58"/>
    </row>
    <row r="59" spans="3:12">
      <c r="C59" s="331" t="s">
        <v>2417</v>
      </c>
      <c r="D59" s="943" t="s">
        <v>2418</v>
      </c>
      <c r="E59" s="945" t="s">
        <v>2318</v>
      </c>
      <c r="F59" s="946">
        <v>0</v>
      </c>
      <c r="G59" s="947"/>
      <c r="H59" s="948"/>
      <c r="I59" s="947"/>
      <c r="J59" s="688"/>
      <c r="K59"/>
      <c r="L59"/>
    </row>
    <row r="60" spans="3:12">
      <c r="C60" s="331" t="s">
        <v>2419</v>
      </c>
      <c r="D60" s="943" t="s">
        <v>2420</v>
      </c>
      <c r="E60" s="945" t="s">
        <v>2318</v>
      </c>
      <c r="F60" s="946">
        <v>0</v>
      </c>
      <c r="G60" s="947"/>
      <c r="H60" s="948"/>
      <c r="I60" s="947"/>
      <c r="J60" s="688"/>
      <c r="K60"/>
      <c r="L60"/>
    </row>
    <row r="61" spans="3:12">
      <c r="C61" s="331" t="s">
        <v>2421</v>
      </c>
      <c r="D61" s="943" t="s">
        <v>2422</v>
      </c>
      <c r="E61" s="945" t="s">
        <v>2318</v>
      </c>
      <c r="F61" s="946">
        <v>0</v>
      </c>
      <c r="G61" s="947"/>
      <c r="H61" s="948"/>
      <c r="I61" s="947"/>
      <c r="J61" s="688"/>
      <c r="K61"/>
      <c r="L61"/>
    </row>
    <row r="62" spans="3:12">
      <c r="C62" s="331" t="s">
        <v>2423</v>
      </c>
      <c r="D62" s="943" t="s">
        <v>2424</v>
      </c>
      <c r="E62" s="945" t="s">
        <v>2318</v>
      </c>
      <c r="F62" s="946">
        <v>0</v>
      </c>
      <c r="G62" s="947"/>
      <c r="H62" s="948"/>
      <c r="I62" s="947"/>
      <c r="J62" s="688"/>
      <c r="K62"/>
      <c r="L62"/>
    </row>
    <row r="63" spans="3:12">
      <c r="C63" s="331" t="s">
        <v>2425</v>
      </c>
      <c r="D63" s="943" t="s">
        <v>2426</v>
      </c>
      <c r="E63" s="945" t="s">
        <v>2318</v>
      </c>
      <c r="F63" s="946">
        <v>0</v>
      </c>
      <c r="G63" s="947"/>
      <c r="H63" s="948"/>
      <c r="I63" s="947"/>
      <c r="J63" s="688"/>
      <c r="K63"/>
      <c r="L63"/>
    </row>
    <row r="64" spans="3:12">
      <c r="C64" s="331" t="s">
        <v>2427</v>
      </c>
      <c r="D64" s="943" t="s">
        <v>2428</v>
      </c>
      <c r="E64" s="945" t="s">
        <v>2318</v>
      </c>
      <c r="F64" s="946">
        <v>0</v>
      </c>
      <c r="G64" s="947"/>
      <c r="H64" s="948"/>
      <c r="I64" s="947"/>
      <c r="J64" s="688"/>
      <c r="K64"/>
      <c r="L64"/>
    </row>
    <row r="65" spans="3:12">
      <c r="C65" s="331" t="s">
        <v>2429</v>
      </c>
      <c r="D65" s="943" t="s">
        <v>2430</v>
      </c>
      <c r="E65" s="945" t="s">
        <v>2318</v>
      </c>
      <c r="F65" s="946">
        <v>0</v>
      </c>
      <c r="G65" s="947"/>
      <c r="H65" s="948"/>
      <c r="I65" s="947"/>
      <c r="J65" s="688"/>
      <c r="K65"/>
      <c r="L65"/>
    </row>
    <row r="66" spans="3:12">
      <c r="C66" s="331" t="s">
        <v>2431</v>
      </c>
      <c r="D66" s="943" t="s">
        <v>2432</v>
      </c>
      <c r="E66" s="945" t="s">
        <v>2318</v>
      </c>
      <c r="F66" s="946">
        <v>0</v>
      </c>
      <c r="G66" s="947"/>
      <c r="H66" s="948"/>
      <c r="I66" s="947"/>
      <c r="J66" s="688"/>
      <c r="K66"/>
      <c r="L66"/>
    </row>
    <row r="67" spans="3:12">
      <c r="C67" s="331" t="s">
        <v>2433</v>
      </c>
      <c r="D67" s="943" t="s">
        <v>2434</v>
      </c>
      <c r="E67" s="945" t="s">
        <v>2318</v>
      </c>
      <c r="F67" s="946">
        <v>0</v>
      </c>
      <c r="G67" s="947"/>
      <c r="H67" s="948"/>
      <c r="I67" s="947"/>
      <c r="J67" s="688"/>
      <c r="K67"/>
      <c r="L67"/>
    </row>
    <row r="68" spans="3:12">
      <c r="C68" s="331" t="s">
        <v>2435</v>
      </c>
      <c r="D68" s="943" t="s">
        <v>2436</v>
      </c>
      <c r="E68" s="945" t="s">
        <v>2318</v>
      </c>
      <c r="F68" s="946">
        <v>0</v>
      </c>
      <c r="G68" s="947"/>
      <c r="H68" s="948"/>
      <c r="I68" s="947"/>
      <c r="J68" s="688"/>
      <c r="K68"/>
      <c r="L68"/>
    </row>
    <row r="69" spans="3:12">
      <c r="C69" s="330"/>
      <c r="D69" s="943"/>
      <c r="E69" s="945"/>
      <c r="F69" s="946"/>
      <c r="G69" s="947"/>
      <c r="H69" s="948"/>
      <c r="I69" s="947"/>
      <c r="J69" s="688"/>
      <c r="K69"/>
      <c r="L69"/>
    </row>
    <row r="70" spans="3:12">
      <c r="C70" s="331" t="s">
        <v>2437</v>
      </c>
      <c r="D70" s="943" t="s">
        <v>2438</v>
      </c>
      <c r="E70" s="945" t="s">
        <v>2318</v>
      </c>
      <c r="F70" s="946">
        <v>0</v>
      </c>
      <c r="G70" s="947"/>
      <c r="H70" s="948"/>
      <c r="I70" s="947"/>
      <c r="J70" s="688"/>
      <c r="K70"/>
      <c r="L70"/>
    </row>
    <row r="71" spans="3:12">
      <c r="C71" s="331" t="s">
        <v>2439</v>
      </c>
      <c r="D71" s="943" t="s">
        <v>2440</v>
      </c>
      <c r="E71" s="945" t="s">
        <v>2318</v>
      </c>
      <c r="F71" s="946">
        <v>0</v>
      </c>
      <c r="G71" s="947"/>
      <c r="H71" s="948"/>
      <c r="I71" s="947"/>
      <c r="J71" s="688"/>
      <c r="K71"/>
      <c r="L71"/>
    </row>
    <row r="72" spans="3:12">
      <c r="C72" s="331" t="s">
        <v>2441</v>
      </c>
      <c r="D72" s="943" t="s">
        <v>2442</v>
      </c>
      <c r="E72" s="945" t="s">
        <v>2318</v>
      </c>
      <c r="F72" s="946">
        <v>0</v>
      </c>
      <c r="G72" s="947"/>
      <c r="H72" s="948"/>
      <c r="I72" s="947"/>
      <c r="J72" s="688"/>
      <c r="K72"/>
      <c r="L72"/>
    </row>
    <row r="73" spans="3:12">
      <c r="C73" s="331" t="s">
        <v>2443</v>
      </c>
      <c r="D73" s="943" t="s">
        <v>2444</v>
      </c>
      <c r="E73" s="945" t="s">
        <v>2318</v>
      </c>
      <c r="F73" s="946">
        <v>0</v>
      </c>
      <c r="G73" s="947"/>
      <c r="H73" s="948"/>
      <c r="I73" s="947"/>
      <c r="J73" s="688"/>
      <c r="K73"/>
      <c r="L73"/>
    </row>
    <row r="74" spans="3:12">
      <c r="C74" s="331" t="s">
        <v>2445</v>
      </c>
      <c r="D74" s="943" t="s">
        <v>2446</v>
      </c>
      <c r="E74" s="945" t="s">
        <v>2318</v>
      </c>
      <c r="F74" s="946">
        <v>0</v>
      </c>
      <c r="G74" s="947"/>
      <c r="H74" s="948"/>
      <c r="I74" s="947"/>
      <c r="J74" s="688"/>
      <c r="K74"/>
      <c r="L74"/>
    </row>
    <row r="75" spans="3:12">
      <c r="C75" s="331" t="s">
        <v>2447</v>
      </c>
      <c r="D75" s="943" t="s">
        <v>2448</v>
      </c>
      <c r="E75" s="945" t="s">
        <v>2318</v>
      </c>
      <c r="F75" s="946">
        <v>0</v>
      </c>
      <c r="G75" s="947"/>
      <c r="H75" s="948"/>
      <c r="I75" s="947"/>
      <c r="J75" s="688"/>
      <c r="K75"/>
      <c r="L75"/>
    </row>
    <row r="76" spans="3:12">
      <c r="C76" s="331" t="s">
        <v>2449</v>
      </c>
      <c r="D76" s="943" t="s">
        <v>2450</v>
      </c>
      <c r="E76" s="945" t="s">
        <v>2318</v>
      </c>
      <c r="F76" s="946">
        <v>0</v>
      </c>
      <c r="G76" s="947"/>
      <c r="H76" s="948"/>
      <c r="I76" s="947"/>
      <c r="J76" s="688"/>
      <c r="K76"/>
      <c r="L76"/>
    </row>
    <row r="77" spans="3:12">
      <c r="C77" s="331" t="s">
        <v>2451</v>
      </c>
      <c r="D77" s="943" t="s">
        <v>2452</v>
      </c>
      <c r="E77" s="945" t="s">
        <v>2318</v>
      </c>
      <c r="F77" s="946">
        <v>0</v>
      </c>
      <c r="G77" s="947"/>
      <c r="H77" s="948"/>
      <c r="I77" s="947"/>
      <c r="J77" s="688"/>
      <c r="K77"/>
      <c r="L77"/>
    </row>
    <row r="78" spans="3:12">
      <c r="C78" s="331" t="s">
        <v>2453</v>
      </c>
      <c r="D78" s="943" t="s">
        <v>2454</v>
      </c>
      <c r="E78" s="945" t="s">
        <v>2318</v>
      </c>
      <c r="F78" s="946">
        <v>0</v>
      </c>
      <c r="G78" s="947"/>
      <c r="H78" s="948"/>
      <c r="I78" s="947"/>
      <c r="J78" s="688"/>
      <c r="K78"/>
      <c r="L78"/>
    </row>
    <row r="79" spans="3:12">
      <c r="C79" s="331" t="s">
        <v>2455</v>
      </c>
      <c r="D79" s="943" t="s">
        <v>2456</v>
      </c>
      <c r="E79" s="945" t="s">
        <v>2318</v>
      </c>
      <c r="F79" s="946">
        <v>0</v>
      </c>
      <c r="G79" s="947"/>
      <c r="H79" s="948"/>
      <c r="I79" s="947"/>
      <c r="J79" s="688"/>
      <c r="K79"/>
      <c r="L79"/>
    </row>
    <row r="80" spans="3:12">
      <c r="C80" s="331" t="s">
        <v>2457</v>
      </c>
      <c r="D80" s="943" t="s">
        <v>2458</v>
      </c>
      <c r="E80" s="945" t="s">
        <v>2318</v>
      </c>
      <c r="F80" s="946">
        <v>0</v>
      </c>
      <c r="G80" s="947"/>
      <c r="H80" s="948"/>
      <c r="I80" s="947"/>
      <c r="J80" s="688"/>
      <c r="K80"/>
      <c r="L80"/>
    </row>
    <row r="81" spans="3:13">
      <c r="C81" s="331" t="s">
        <v>2459</v>
      </c>
      <c r="D81" s="943" t="s">
        <v>2460</v>
      </c>
      <c r="E81" s="945" t="s">
        <v>2318</v>
      </c>
      <c r="F81" s="946">
        <v>0</v>
      </c>
      <c r="G81" s="947"/>
      <c r="H81" s="948"/>
      <c r="I81" s="947"/>
      <c r="J81" s="688"/>
      <c r="K81"/>
      <c r="L81"/>
    </row>
    <row r="82" spans="3:13">
      <c r="C82" s="331" t="s">
        <v>2461</v>
      </c>
      <c r="D82" s="943" t="s">
        <v>2462</v>
      </c>
      <c r="E82" s="945" t="s">
        <v>2318</v>
      </c>
      <c r="F82" s="946">
        <v>0</v>
      </c>
      <c r="G82" s="947"/>
      <c r="H82" s="948"/>
      <c r="I82" s="947"/>
      <c r="J82" s="688"/>
      <c r="K82"/>
      <c r="L82"/>
    </row>
    <row r="83" spans="3:13">
      <c r="C83" s="331" t="s">
        <v>2463</v>
      </c>
      <c r="D83" s="943" t="s">
        <v>2464</v>
      </c>
      <c r="E83" s="945" t="s">
        <v>2318</v>
      </c>
      <c r="F83" s="946">
        <v>0</v>
      </c>
      <c r="G83" s="947"/>
      <c r="H83" s="948"/>
      <c r="I83" s="947"/>
      <c r="J83" s="688"/>
      <c r="K83"/>
      <c r="L83"/>
    </row>
    <row r="84" spans="3:13">
      <c r="C84" s="331" t="s">
        <v>2465</v>
      </c>
      <c r="D84" s="943" t="s">
        <v>2466</v>
      </c>
      <c r="E84" s="945" t="s">
        <v>2318</v>
      </c>
      <c r="F84" s="946">
        <v>0</v>
      </c>
      <c r="G84" s="947"/>
      <c r="H84" s="948"/>
      <c r="I84" s="947"/>
      <c r="J84" s="688"/>
      <c r="K84"/>
      <c r="L84"/>
    </row>
    <row r="85" spans="3:13">
      <c r="C85" s="330"/>
      <c r="D85" s="943"/>
      <c r="E85" s="945"/>
      <c r="F85" s="946"/>
      <c r="G85" s="947"/>
      <c r="H85" s="948"/>
      <c r="I85" s="947"/>
      <c r="J85" s="688"/>
      <c r="K85"/>
      <c r="L85"/>
    </row>
    <row r="86" spans="3:13">
      <c r="C86" s="331" t="s">
        <v>2467</v>
      </c>
      <c r="D86" s="943" t="s">
        <v>2468</v>
      </c>
      <c r="E86" s="945" t="s">
        <v>2318</v>
      </c>
      <c r="F86" s="946">
        <v>0</v>
      </c>
      <c r="G86" s="947"/>
      <c r="H86" s="948"/>
      <c r="I86" s="947"/>
      <c r="J86" s="688"/>
      <c r="K86"/>
      <c r="L86" s="1041"/>
      <c r="M86" s="1041"/>
    </row>
    <row r="87" spans="3:13">
      <c r="C87" s="331" t="s">
        <v>2470</v>
      </c>
      <c r="D87" s="943" t="s">
        <v>2471</v>
      </c>
      <c r="E87" s="945" t="s">
        <v>2318</v>
      </c>
      <c r="F87" s="946">
        <v>0</v>
      </c>
      <c r="G87" s="947"/>
      <c r="H87" s="948"/>
      <c r="I87" s="947"/>
      <c r="J87" s="688"/>
      <c r="K87"/>
      <c r="L87"/>
    </row>
    <row r="88" spans="3:13">
      <c r="C88" s="331" t="s">
        <v>2472</v>
      </c>
      <c r="D88" s="943" t="s">
        <v>2473</v>
      </c>
      <c r="E88" s="945" t="s">
        <v>2318</v>
      </c>
      <c r="F88" s="946">
        <v>0</v>
      </c>
      <c r="G88" s="947"/>
      <c r="H88" s="948"/>
      <c r="I88" s="947"/>
      <c r="J88" s="688"/>
      <c r="K88"/>
      <c r="L88"/>
    </row>
    <row r="89" spans="3:13">
      <c r="C89" s="331" t="s">
        <v>2474</v>
      </c>
      <c r="D89" s="943" t="s">
        <v>2475</v>
      </c>
      <c r="E89" s="945" t="s">
        <v>2318</v>
      </c>
      <c r="F89" s="946">
        <v>0</v>
      </c>
      <c r="G89" s="947"/>
      <c r="H89" s="948"/>
      <c r="I89" s="947"/>
      <c r="J89" s="688"/>
      <c r="K89"/>
      <c r="L89"/>
    </row>
    <row r="90" spans="3:13">
      <c r="C90" s="331" t="s">
        <v>2476</v>
      </c>
      <c r="D90" s="943" t="s">
        <v>2477</v>
      </c>
      <c r="E90" s="945" t="s">
        <v>2318</v>
      </c>
      <c r="F90" s="946">
        <v>0</v>
      </c>
      <c r="G90" s="947"/>
      <c r="H90" s="948"/>
      <c r="I90" s="947"/>
      <c r="J90" s="688"/>
      <c r="K90"/>
      <c r="L90"/>
    </row>
    <row r="91" spans="3:13">
      <c r="C91" s="331" t="s">
        <v>2478</v>
      </c>
      <c r="D91" s="943" t="s">
        <v>2479</v>
      </c>
      <c r="E91" s="945" t="s">
        <v>2318</v>
      </c>
      <c r="F91" s="946">
        <v>0</v>
      </c>
      <c r="G91" s="947"/>
      <c r="H91" s="948"/>
      <c r="I91" s="947"/>
      <c r="J91" s="688"/>
      <c r="K91"/>
      <c r="L91"/>
    </row>
    <row r="92" spans="3:13">
      <c r="C92" s="331" t="s">
        <v>2480</v>
      </c>
      <c r="D92" s="943" t="s">
        <v>2481</v>
      </c>
      <c r="E92" s="945" t="s">
        <v>2318</v>
      </c>
      <c r="F92" s="946">
        <v>0</v>
      </c>
      <c r="G92" s="947"/>
      <c r="H92" s="948"/>
      <c r="I92" s="947"/>
      <c r="J92" s="688"/>
      <c r="K92"/>
      <c r="L92"/>
    </row>
    <row r="93" spans="3:13">
      <c r="C93" s="331" t="s">
        <v>2482</v>
      </c>
      <c r="D93" s="943" t="s">
        <v>2483</v>
      </c>
      <c r="E93" s="945" t="s">
        <v>2318</v>
      </c>
      <c r="F93" s="946">
        <v>0</v>
      </c>
      <c r="G93" s="947"/>
      <c r="H93" s="948"/>
      <c r="I93" s="947"/>
      <c r="J93" s="688"/>
      <c r="K93"/>
      <c r="L93"/>
    </row>
    <row r="94" spans="3:13">
      <c r="C94" s="331" t="s">
        <v>2484</v>
      </c>
      <c r="D94" s="943" t="s">
        <v>2485</v>
      </c>
      <c r="E94" s="945" t="s">
        <v>2318</v>
      </c>
      <c r="F94" s="946">
        <v>0</v>
      </c>
      <c r="G94" s="947"/>
      <c r="H94" s="948"/>
      <c r="I94" s="947"/>
      <c r="J94" s="688"/>
      <c r="K94"/>
      <c r="L94"/>
    </row>
    <row r="95" spans="3:13">
      <c r="C95" s="331" t="s">
        <v>2486</v>
      </c>
      <c r="D95" s="943" t="s">
        <v>2487</v>
      </c>
      <c r="E95" s="945" t="s">
        <v>2318</v>
      </c>
      <c r="F95" s="946">
        <v>0</v>
      </c>
      <c r="G95" s="947"/>
      <c r="H95" s="948"/>
      <c r="I95" s="947"/>
      <c r="J95" s="688"/>
      <c r="K95"/>
      <c r="L95"/>
    </row>
    <row r="96" spans="3:13">
      <c r="C96" s="331" t="s">
        <v>2488</v>
      </c>
      <c r="D96" s="943" t="s">
        <v>2489</v>
      </c>
      <c r="E96" s="945" t="s">
        <v>2318</v>
      </c>
      <c r="F96" s="946">
        <v>0</v>
      </c>
      <c r="G96" s="947"/>
      <c r="H96" s="948"/>
      <c r="I96" s="947"/>
      <c r="J96" s="688"/>
      <c r="K96"/>
      <c r="L96"/>
    </row>
    <row r="97" spans="3:12">
      <c r="C97" s="331" t="s">
        <v>2490</v>
      </c>
      <c r="D97" s="943" t="s">
        <v>2491</v>
      </c>
      <c r="E97" s="945" t="s">
        <v>2318</v>
      </c>
      <c r="F97" s="946">
        <v>0</v>
      </c>
      <c r="G97" s="947"/>
      <c r="H97" s="948"/>
      <c r="I97" s="947"/>
      <c r="J97" s="688"/>
      <c r="K97"/>
      <c r="L97"/>
    </row>
    <row r="98" spans="3:12">
      <c r="C98" s="331" t="s">
        <v>2492</v>
      </c>
      <c r="D98" s="943" t="s">
        <v>2493</v>
      </c>
      <c r="E98" s="945" t="s">
        <v>2318</v>
      </c>
      <c r="F98" s="946">
        <v>0</v>
      </c>
      <c r="G98" s="947"/>
      <c r="H98" s="948"/>
      <c r="I98" s="947"/>
      <c r="J98" s="688"/>
      <c r="K98"/>
      <c r="L98"/>
    </row>
    <row r="99" spans="3:12">
      <c r="C99" s="331" t="s">
        <v>2494</v>
      </c>
      <c r="D99" s="943" t="s">
        <v>2495</v>
      </c>
      <c r="E99" s="945" t="s">
        <v>2318</v>
      </c>
      <c r="F99" s="946">
        <v>0</v>
      </c>
      <c r="G99" s="947"/>
      <c r="H99" s="948"/>
      <c r="I99" s="947"/>
      <c r="J99" s="688"/>
      <c r="K99"/>
      <c r="L99"/>
    </row>
    <row r="100" spans="3:12">
      <c r="C100" s="331" t="s">
        <v>2496</v>
      </c>
      <c r="D100" s="943" t="s">
        <v>2497</v>
      </c>
      <c r="E100" s="945" t="s">
        <v>2318</v>
      </c>
      <c r="F100" s="946">
        <v>0</v>
      </c>
      <c r="G100" s="947"/>
      <c r="H100" s="948"/>
      <c r="I100" s="947"/>
      <c r="J100" s="688"/>
      <c r="K100"/>
      <c r="L100"/>
    </row>
    <row r="101" spans="3:12">
      <c r="C101" s="330"/>
      <c r="D101" s="943"/>
      <c r="E101" s="945"/>
      <c r="F101" s="946"/>
      <c r="G101" s="947"/>
      <c r="H101" s="948"/>
      <c r="I101" s="947"/>
      <c r="J101" s="688"/>
      <c r="K101"/>
      <c r="L101"/>
    </row>
    <row r="102" spans="3:12">
      <c r="C102" s="324">
        <v>2</v>
      </c>
      <c r="D102" s="940" t="s">
        <v>2498</v>
      </c>
      <c r="E102" s="941"/>
      <c r="F102" s="957"/>
      <c r="G102" s="947"/>
      <c r="H102" s="958"/>
      <c r="I102" s="947"/>
      <c r="J102" s="323"/>
      <c r="K102"/>
      <c r="L102"/>
    </row>
    <row r="103" spans="3:12">
      <c r="C103" s="331" t="s">
        <v>2499</v>
      </c>
      <c r="D103" s="943" t="s">
        <v>2500</v>
      </c>
      <c r="E103" s="945" t="s">
        <v>2318</v>
      </c>
      <c r="F103" s="946">
        <v>0</v>
      </c>
      <c r="G103" s="947"/>
      <c r="H103" s="948"/>
      <c r="I103" s="947"/>
      <c r="J103" s="688"/>
      <c r="K103"/>
      <c r="L103"/>
    </row>
    <row r="104" spans="3:12">
      <c r="C104" s="331" t="s">
        <v>2501</v>
      </c>
      <c r="D104" s="943" t="s">
        <v>2502</v>
      </c>
      <c r="E104" s="945" t="s">
        <v>2318</v>
      </c>
      <c r="F104" s="946">
        <v>0</v>
      </c>
      <c r="G104" s="947"/>
      <c r="H104" s="948"/>
      <c r="I104" s="947"/>
      <c r="J104" s="688"/>
      <c r="K104"/>
      <c r="L104"/>
    </row>
    <row r="105" spans="3:12">
      <c r="C105" s="331" t="s">
        <v>2503</v>
      </c>
      <c r="D105" s="943" t="s">
        <v>2504</v>
      </c>
      <c r="E105" s="945" t="s">
        <v>2318</v>
      </c>
      <c r="F105" s="946">
        <v>0</v>
      </c>
      <c r="G105" s="947"/>
      <c r="H105" s="948"/>
      <c r="I105" s="947"/>
      <c r="J105" s="688"/>
      <c r="K105"/>
      <c r="L105"/>
    </row>
    <row r="106" spans="3:12">
      <c r="C106" s="331" t="s">
        <v>2505</v>
      </c>
      <c r="D106" s="943" t="s">
        <v>2506</v>
      </c>
      <c r="E106" s="945" t="s">
        <v>2318</v>
      </c>
      <c r="F106" s="946">
        <v>0</v>
      </c>
      <c r="G106" s="947"/>
      <c r="H106" s="948"/>
      <c r="I106" s="947"/>
      <c r="J106" s="688"/>
      <c r="K106"/>
      <c r="L106"/>
    </row>
    <row r="107" spans="3:12">
      <c r="C107" s="331" t="s">
        <v>2507</v>
      </c>
      <c r="D107" s="943" t="s">
        <v>2508</v>
      </c>
      <c r="E107" s="945" t="s">
        <v>2318</v>
      </c>
      <c r="F107" s="946">
        <v>0</v>
      </c>
      <c r="G107" s="947"/>
      <c r="H107" s="948"/>
      <c r="I107" s="947"/>
      <c r="J107" s="688"/>
      <c r="K107"/>
      <c r="L107"/>
    </row>
    <row r="108" spans="3:12">
      <c r="C108" s="329" t="s">
        <v>2509</v>
      </c>
      <c r="D108" s="328" t="s">
        <v>2510</v>
      </c>
      <c r="E108" s="327" t="s">
        <v>2318</v>
      </c>
      <c r="F108" s="326">
        <v>0</v>
      </c>
      <c r="G108" s="325"/>
      <c r="H108" s="949"/>
      <c r="I108" s="325"/>
      <c r="J108" s="689"/>
      <c r="K108"/>
      <c r="L108"/>
    </row>
    <row r="109" spans="3:12">
      <c r="C109" s="950" t="s">
        <v>2511</v>
      </c>
      <c r="D109" s="951" t="s">
        <v>2512</v>
      </c>
      <c r="E109" s="952" t="s">
        <v>2318</v>
      </c>
      <c r="F109" s="953">
        <v>0</v>
      </c>
      <c r="G109" s="954"/>
      <c r="H109" s="955"/>
      <c r="I109" s="954"/>
      <c r="J109" s="956"/>
      <c r="K109"/>
      <c r="L109"/>
    </row>
    <row r="110" spans="3:12">
      <c r="C110" s="331" t="s">
        <v>2513</v>
      </c>
      <c r="D110" s="943" t="s">
        <v>2514</v>
      </c>
      <c r="E110" s="945" t="s">
        <v>2318</v>
      </c>
      <c r="F110" s="946">
        <v>0</v>
      </c>
      <c r="G110" s="947"/>
      <c r="H110" s="948"/>
      <c r="I110" s="947"/>
      <c r="J110" s="688"/>
      <c r="K110"/>
      <c r="L110"/>
    </row>
    <row r="111" spans="3:12">
      <c r="C111" s="331" t="s">
        <v>2515</v>
      </c>
      <c r="D111" s="943" t="s">
        <v>2516</v>
      </c>
      <c r="E111" s="945" t="s">
        <v>2318</v>
      </c>
      <c r="F111" s="946">
        <v>0</v>
      </c>
      <c r="G111" s="947"/>
      <c r="H111" s="948"/>
      <c r="I111" s="947"/>
      <c r="J111" s="688"/>
      <c r="K111"/>
      <c r="L111"/>
    </row>
    <row r="112" spans="3:12">
      <c r="C112" s="331" t="s">
        <v>2517</v>
      </c>
      <c r="D112" s="943" t="s">
        <v>2518</v>
      </c>
      <c r="E112" s="945" t="s">
        <v>2318</v>
      </c>
      <c r="F112" s="946">
        <v>0</v>
      </c>
      <c r="G112" s="947"/>
      <c r="H112" s="948"/>
      <c r="I112" s="947"/>
      <c r="J112" s="688"/>
      <c r="K112"/>
      <c r="L112"/>
    </row>
    <row r="113" spans="3:12">
      <c r="C113" s="331" t="s">
        <v>2519</v>
      </c>
      <c r="D113" s="943" t="s">
        <v>2520</v>
      </c>
      <c r="E113" s="945" t="s">
        <v>2318</v>
      </c>
      <c r="F113" s="946">
        <v>0</v>
      </c>
      <c r="G113" s="947"/>
      <c r="H113" s="948"/>
      <c r="I113" s="947"/>
      <c r="J113" s="688"/>
      <c r="K113"/>
      <c r="L113"/>
    </row>
    <row r="114" spans="3:12">
      <c r="C114" s="331" t="s">
        <v>2521</v>
      </c>
      <c r="D114" s="943" t="s">
        <v>2522</v>
      </c>
      <c r="E114" s="945" t="s">
        <v>2318</v>
      </c>
      <c r="F114" s="946">
        <v>0</v>
      </c>
      <c r="G114" s="947"/>
      <c r="H114" s="948"/>
      <c r="I114" s="947"/>
      <c r="J114" s="688"/>
      <c r="K114"/>
      <c r="L114"/>
    </row>
    <row r="115" spans="3:12">
      <c r="C115" s="331" t="s">
        <v>2523</v>
      </c>
      <c r="D115" s="943" t="s">
        <v>2524</v>
      </c>
      <c r="E115" s="945" t="s">
        <v>2318</v>
      </c>
      <c r="F115" s="946">
        <v>0</v>
      </c>
      <c r="G115" s="947"/>
      <c r="H115" s="948"/>
      <c r="I115" s="947"/>
      <c r="J115" s="688"/>
      <c r="K115"/>
      <c r="L115"/>
    </row>
    <row r="116" spans="3:12">
      <c r="C116" s="331" t="s">
        <v>2525</v>
      </c>
      <c r="D116" s="943" t="s">
        <v>2526</v>
      </c>
      <c r="E116" s="945" t="s">
        <v>2318</v>
      </c>
      <c r="F116" s="946">
        <v>0</v>
      </c>
      <c r="G116" s="947"/>
      <c r="H116" s="948"/>
      <c r="I116" s="947"/>
      <c r="J116" s="688"/>
      <c r="K116"/>
      <c r="L116"/>
    </row>
    <row r="117" spans="3:12">
      <c r="C117" s="331" t="s">
        <v>2527</v>
      </c>
      <c r="D117" s="943" t="s">
        <v>2528</v>
      </c>
      <c r="E117" s="945" t="s">
        <v>2318</v>
      </c>
      <c r="F117" s="946">
        <v>0</v>
      </c>
      <c r="G117" s="947"/>
      <c r="H117" s="948"/>
      <c r="I117" s="947"/>
      <c r="J117" s="688"/>
      <c r="K117"/>
      <c r="L117"/>
    </row>
    <row r="118" spans="3:12">
      <c r="C118" s="330"/>
      <c r="D118" s="943"/>
      <c r="E118" s="945"/>
      <c r="F118" s="946"/>
      <c r="G118" s="947"/>
      <c r="H118" s="948"/>
      <c r="I118" s="947"/>
      <c r="J118" s="688"/>
      <c r="K118"/>
      <c r="L118"/>
    </row>
    <row r="119" spans="3:12">
      <c r="C119" s="331" t="s">
        <v>2529</v>
      </c>
      <c r="D119" s="943" t="s">
        <v>2530</v>
      </c>
      <c r="E119" s="945" t="s">
        <v>2318</v>
      </c>
      <c r="F119" s="946">
        <v>0</v>
      </c>
      <c r="G119" s="947"/>
      <c r="H119" s="948"/>
      <c r="I119" s="947"/>
      <c r="J119" s="688"/>
      <c r="K119"/>
      <c r="L119"/>
    </row>
    <row r="120" spans="3:12">
      <c r="C120" s="331" t="s">
        <v>2531</v>
      </c>
      <c r="D120" s="943" t="s">
        <v>2532</v>
      </c>
      <c r="E120" s="945" t="s">
        <v>2318</v>
      </c>
      <c r="F120" s="946">
        <v>0</v>
      </c>
      <c r="G120" s="947"/>
      <c r="H120" s="948"/>
      <c r="I120" s="947"/>
      <c r="J120" s="688"/>
      <c r="K120"/>
      <c r="L120"/>
    </row>
    <row r="121" spans="3:12">
      <c r="C121" s="331" t="s">
        <v>2533</v>
      </c>
      <c r="D121" s="943" t="s">
        <v>2534</v>
      </c>
      <c r="E121" s="945" t="s">
        <v>2318</v>
      </c>
      <c r="F121" s="946">
        <v>0</v>
      </c>
      <c r="G121" s="947"/>
      <c r="H121" s="948"/>
      <c r="I121" s="947"/>
      <c r="J121" s="688"/>
      <c r="K121"/>
      <c r="L121"/>
    </row>
    <row r="122" spans="3:12">
      <c r="C122" s="331" t="s">
        <v>2535</v>
      </c>
      <c r="D122" s="943" t="s">
        <v>2536</v>
      </c>
      <c r="E122" s="945" t="s">
        <v>2318</v>
      </c>
      <c r="F122" s="946">
        <v>0</v>
      </c>
      <c r="G122" s="947"/>
      <c r="H122" s="948"/>
      <c r="I122" s="947"/>
      <c r="J122" s="688"/>
      <c r="K122"/>
      <c r="L122"/>
    </row>
    <row r="123" spans="3:12">
      <c r="C123" s="331" t="s">
        <v>2537</v>
      </c>
      <c r="D123" s="943" t="s">
        <v>2538</v>
      </c>
      <c r="E123" s="945" t="s">
        <v>2318</v>
      </c>
      <c r="F123" s="946">
        <v>0</v>
      </c>
      <c r="G123" s="947"/>
      <c r="H123" s="948"/>
      <c r="I123" s="947"/>
      <c r="J123" s="688"/>
      <c r="K123"/>
      <c r="L123"/>
    </row>
    <row r="124" spans="3:12">
      <c r="C124" s="331" t="s">
        <v>2539</v>
      </c>
      <c r="D124" s="943" t="s">
        <v>2540</v>
      </c>
      <c r="E124" s="945" t="s">
        <v>2318</v>
      </c>
      <c r="F124" s="946">
        <v>0</v>
      </c>
      <c r="G124" s="947"/>
      <c r="H124" s="948"/>
      <c r="I124" s="947"/>
      <c r="J124" s="688"/>
      <c r="K124"/>
      <c r="L124"/>
    </row>
    <row r="125" spans="3:12">
      <c r="C125" s="331" t="s">
        <v>2541</v>
      </c>
      <c r="D125" s="943" t="s">
        <v>2542</v>
      </c>
      <c r="E125" s="945" t="s">
        <v>2318</v>
      </c>
      <c r="F125" s="946">
        <v>0</v>
      </c>
      <c r="G125" s="947"/>
      <c r="H125" s="948"/>
      <c r="I125" s="947"/>
      <c r="J125" s="688"/>
      <c r="K125"/>
      <c r="L125"/>
    </row>
    <row r="126" spans="3:12">
      <c r="C126" s="331" t="s">
        <v>2543</v>
      </c>
      <c r="D126" s="943" t="s">
        <v>2544</v>
      </c>
      <c r="E126" s="945" t="s">
        <v>2318</v>
      </c>
      <c r="F126" s="946">
        <v>0</v>
      </c>
      <c r="G126" s="947"/>
      <c r="H126" s="948"/>
      <c r="I126" s="947"/>
      <c r="J126" s="688"/>
      <c r="K126"/>
      <c r="L126"/>
    </row>
    <row r="127" spans="3:12">
      <c r="C127" s="331" t="s">
        <v>2545</v>
      </c>
      <c r="D127" s="943" t="s">
        <v>2546</v>
      </c>
      <c r="E127" s="945" t="s">
        <v>2318</v>
      </c>
      <c r="F127" s="946">
        <v>0</v>
      </c>
      <c r="G127" s="947"/>
      <c r="H127" s="948"/>
      <c r="I127" s="947"/>
      <c r="J127" s="688"/>
      <c r="K127"/>
      <c r="L127"/>
    </row>
    <row r="128" spans="3:12">
      <c r="C128" s="331" t="s">
        <v>2547</v>
      </c>
      <c r="D128" s="943" t="s">
        <v>2548</v>
      </c>
      <c r="E128" s="945" t="s">
        <v>2318</v>
      </c>
      <c r="F128" s="946">
        <v>0</v>
      </c>
      <c r="G128" s="947"/>
      <c r="H128" s="948"/>
      <c r="I128" s="947"/>
      <c r="J128" s="688"/>
      <c r="K128"/>
      <c r="L128"/>
    </row>
    <row r="129" spans="3:12">
      <c r="C129" s="331" t="s">
        <v>2549</v>
      </c>
      <c r="D129" s="943" t="s">
        <v>2550</v>
      </c>
      <c r="E129" s="945" t="s">
        <v>2318</v>
      </c>
      <c r="F129" s="946">
        <v>0</v>
      </c>
      <c r="G129" s="947"/>
      <c r="H129" s="948"/>
      <c r="I129" s="947"/>
      <c r="J129" s="688"/>
      <c r="K129"/>
      <c r="L129"/>
    </row>
    <row r="130" spans="3:12">
      <c r="C130" s="331" t="s">
        <v>2551</v>
      </c>
      <c r="D130" s="943" t="s">
        <v>2552</v>
      </c>
      <c r="E130" s="945" t="s">
        <v>2318</v>
      </c>
      <c r="F130" s="946">
        <v>0</v>
      </c>
      <c r="G130" s="947"/>
      <c r="H130" s="948"/>
      <c r="I130" s="947"/>
      <c r="J130" s="688"/>
      <c r="K130"/>
      <c r="L130"/>
    </row>
    <row r="131" spans="3:12">
      <c r="C131" s="331" t="s">
        <v>2553</v>
      </c>
      <c r="D131" s="943" t="s">
        <v>2554</v>
      </c>
      <c r="E131" s="945" t="s">
        <v>2318</v>
      </c>
      <c r="F131" s="946">
        <v>0</v>
      </c>
      <c r="G131" s="947"/>
      <c r="H131" s="948"/>
      <c r="I131" s="947"/>
      <c r="J131" s="688"/>
      <c r="K131"/>
      <c r="L131"/>
    </row>
    <row r="132" spans="3:12">
      <c r="C132" s="331" t="s">
        <v>2555</v>
      </c>
      <c r="D132" s="943" t="s">
        <v>2556</v>
      </c>
      <c r="E132" s="945" t="s">
        <v>2318</v>
      </c>
      <c r="F132" s="946">
        <v>0</v>
      </c>
      <c r="G132" s="947"/>
      <c r="H132" s="948"/>
      <c r="I132" s="947"/>
      <c r="J132" s="688"/>
      <c r="K132"/>
      <c r="L132"/>
    </row>
    <row r="133" spans="3:12">
      <c r="C133" s="331" t="s">
        <v>2557</v>
      </c>
      <c r="D133" s="943" t="s">
        <v>2558</v>
      </c>
      <c r="E133" s="945" t="s">
        <v>2318</v>
      </c>
      <c r="F133" s="946">
        <v>0</v>
      </c>
      <c r="G133" s="947"/>
      <c r="H133" s="948"/>
      <c r="I133" s="947"/>
      <c r="J133" s="688"/>
      <c r="K133"/>
      <c r="L133"/>
    </row>
    <row r="134" spans="3:12">
      <c r="C134" s="330"/>
      <c r="D134" s="943"/>
      <c r="E134" s="945"/>
      <c r="F134" s="946"/>
      <c r="G134" s="947"/>
      <c r="H134" s="948"/>
      <c r="I134" s="947"/>
      <c r="J134" s="688"/>
      <c r="K134"/>
      <c r="L134"/>
    </row>
    <row r="135" spans="3:12">
      <c r="C135" s="331" t="s">
        <v>2559</v>
      </c>
      <c r="D135" s="943" t="s">
        <v>2560</v>
      </c>
      <c r="E135" s="945" t="s">
        <v>2318</v>
      </c>
      <c r="F135" s="946">
        <v>0</v>
      </c>
      <c r="G135" s="947"/>
      <c r="H135" s="948"/>
      <c r="I135" s="947"/>
      <c r="J135" s="688"/>
      <c r="K135"/>
      <c r="L135"/>
    </row>
    <row r="136" spans="3:12">
      <c r="C136" s="331" t="s">
        <v>2561</v>
      </c>
      <c r="D136" s="943" t="s">
        <v>2562</v>
      </c>
      <c r="E136" s="945" t="s">
        <v>2318</v>
      </c>
      <c r="F136" s="946">
        <v>0</v>
      </c>
      <c r="G136" s="947"/>
      <c r="H136" s="948"/>
      <c r="I136" s="947"/>
      <c r="J136" s="688"/>
      <c r="K136"/>
      <c r="L136"/>
    </row>
    <row r="137" spans="3:12">
      <c r="C137" s="331" t="s">
        <v>2563</v>
      </c>
      <c r="D137" s="943" t="s">
        <v>2564</v>
      </c>
      <c r="E137" s="945" t="s">
        <v>2318</v>
      </c>
      <c r="F137" s="946">
        <v>0</v>
      </c>
      <c r="G137" s="947"/>
      <c r="H137" s="948"/>
      <c r="I137" s="947"/>
      <c r="J137" s="688"/>
      <c r="K137"/>
      <c r="L137"/>
    </row>
    <row r="138" spans="3:12">
      <c r="C138" s="331" t="s">
        <v>2565</v>
      </c>
      <c r="D138" s="943" t="s">
        <v>2566</v>
      </c>
      <c r="E138" s="945" t="s">
        <v>2318</v>
      </c>
      <c r="F138" s="946">
        <v>0</v>
      </c>
      <c r="G138" s="947"/>
      <c r="H138" s="948"/>
      <c r="I138" s="947"/>
      <c r="J138" s="688"/>
      <c r="K138"/>
      <c r="L138"/>
    </row>
    <row r="139" spans="3:12">
      <c r="C139" s="331" t="s">
        <v>2567</v>
      </c>
      <c r="D139" s="943" t="s">
        <v>2568</v>
      </c>
      <c r="E139" s="945" t="s">
        <v>2318</v>
      </c>
      <c r="F139" s="946">
        <v>0</v>
      </c>
      <c r="G139" s="947"/>
      <c r="H139" s="948"/>
      <c r="I139" s="947"/>
      <c r="J139" s="688"/>
      <c r="K139"/>
      <c r="L139"/>
    </row>
    <row r="140" spans="3:12">
      <c r="C140" s="331" t="s">
        <v>2569</v>
      </c>
      <c r="D140" s="943" t="s">
        <v>2570</v>
      </c>
      <c r="E140" s="945" t="s">
        <v>2318</v>
      </c>
      <c r="F140" s="946">
        <v>0</v>
      </c>
      <c r="G140" s="947"/>
      <c r="H140" s="948"/>
      <c r="I140" s="947"/>
      <c r="J140" s="688"/>
      <c r="K140"/>
      <c r="L140"/>
    </row>
    <row r="141" spans="3:12">
      <c r="C141" s="331" t="s">
        <v>2571</v>
      </c>
      <c r="D141" s="943" t="s">
        <v>2572</v>
      </c>
      <c r="E141" s="945" t="s">
        <v>2318</v>
      </c>
      <c r="F141" s="946">
        <v>0</v>
      </c>
      <c r="G141" s="947"/>
      <c r="H141" s="948"/>
      <c r="I141" s="947"/>
      <c r="J141" s="688"/>
      <c r="K141"/>
      <c r="L141"/>
    </row>
    <row r="142" spans="3:12">
      <c r="C142" s="331" t="s">
        <v>2573</v>
      </c>
      <c r="D142" s="943" t="s">
        <v>2574</v>
      </c>
      <c r="E142" s="945" t="s">
        <v>2318</v>
      </c>
      <c r="F142" s="946">
        <v>0</v>
      </c>
      <c r="G142" s="947"/>
      <c r="H142" s="948"/>
      <c r="I142" s="947"/>
      <c r="J142" s="688"/>
      <c r="K142"/>
      <c r="L142"/>
    </row>
    <row r="143" spans="3:12">
      <c r="C143" s="331" t="s">
        <v>2575</v>
      </c>
      <c r="D143" s="943" t="s">
        <v>2576</v>
      </c>
      <c r="E143" s="945" t="s">
        <v>2318</v>
      </c>
      <c r="F143" s="946">
        <v>0</v>
      </c>
      <c r="G143" s="947"/>
      <c r="H143" s="948"/>
      <c r="I143" s="947"/>
      <c r="J143" s="688"/>
      <c r="K143"/>
      <c r="L143"/>
    </row>
    <row r="144" spans="3:12">
      <c r="C144" s="331" t="s">
        <v>2577</v>
      </c>
      <c r="D144" s="943" t="s">
        <v>2578</v>
      </c>
      <c r="E144" s="945" t="s">
        <v>2318</v>
      </c>
      <c r="F144" s="946">
        <v>0</v>
      </c>
      <c r="G144" s="947"/>
      <c r="H144" s="948"/>
      <c r="I144" s="947"/>
      <c r="J144" s="688"/>
      <c r="K144"/>
      <c r="L144"/>
    </row>
    <row r="145" spans="3:12">
      <c r="C145" s="331" t="s">
        <v>2579</v>
      </c>
      <c r="D145" s="943" t="s">
        <v>2580</v>
      </c>
      <c r="E145" s="945" t="s">
        <v>2318</v>
      </c>
      <c r="F145" s="946">
        <v>0</v>
      </c>
      <c r="G145" s="947"/>
      <c r="H145" s="948"/>
      <c r="I145" s="947"/>
      <c r="J145" s="688"/>
      <c r="K145"/>
      <c r="L145"/>
    </row>
    <row r="146" spans="3:12">
      <c r="C146" s="331" t="s">
        <v>2581</v>
      </c>
      <c r="D146" s="943" t="s">
        <v>2582</v>
      </c>
      <c r="E146" s="945" t="s">
        <v>2318</v>
      </c>
      <c r="F146" s="946">
        <v>0</v>
      </c>
      <c r="G146" s="947"/>
      <c r="H146" s="948"/>
      <c r="I146" s="947"/>
      <c r="J146" s="688"/>
      <c r="K146"/>
      <c r="L146"/>
    </row>
    <row r="147" spans="3:12">
      <c r="C147" s="331" t="s">
        <v>2583</v>
      </c>
      <c r="D147" s="943" t="s">
        <v>2584</v>
      </c>
      <c r="E147" s="945" t="s">
        <v>2318</v>
      </c>
      <c r="F147" s="946">
        <v>0</v>
      </c>
      <c r="G147" s="947"/>
      <c r="H147" s="948"/>
      <c r="I147" s="947"/>
      <c r="J147" s="688"/>
      <c r="K147"/>
      <c r="L147"/>
    </row>
    <row r="148" spans="3:12">
      <c r="C148" s="331" t="s">
        <v>2585</v>
      </c>
      <c r="D148" s="943" t="s">
        <v>2586</v>
      </c>
      <c r="E148" s="945" t="s">
        <v>2318</v>
      </c>
      <c r="F148" s="946">
        <v>0</v>
      </c>
      <c r="G148" s="947"/>
      <c r="H148" s="948"/>
      <c r="I148" s="947"/>
      <c r="J148" s="688"/>
      <c r="K148"/>
      <c r="L148"/>
    </row>
    <row r="149" spans="3:12">
      <c r="C149" s="331" t="s">
        <v>2587</v>
      </c>
      <c r="D149" s="943" t="s">
        <v>2588</v>
      </c>
      <c r="E149" s="945" t="s">
        <v>2318</v>
      </c>
      <c r="F149" s="946">
        <v>0</v>
      </c>
      <c r="G149" s="947"/>
      <c r="H149" s="948"/>
      <c r="I149" s="947"/>
      <c r="J149" s="688"/>
      <c r="K149"/>
      <c r="L149"/>
    </row>
    <row r="150" spans="3:12">
      <c r="C150" s="330"/>
      <c r="D150" s="943"/>
      <c r="E150" s="945"/>
      <c r="F150" s="946"/>
      <c r="G150" s="947"/>
      <c r="H150" s="948"/>
      <c r="I150" s="947"/>
      <c r="J150" s="688"/>
      <c r="K150"/>
      <c r="L150"/>
    </row>
    <row r="151" spans="3:12">
      <c r="C151" s="331" t="s">
        <v>2589</v>
      </c>
      <c r="D151" s="943" t="s">
        <v>2590</v>
      </c>
      <c r="E151" s="945" t="s">
        <v>2318</v>
      </c>
      <c r="F151" s="946">
        <v>0</v>
      </c>
      <c r="G151" s="947"/>
      <c r="H151" s="948"/>
      <c r="I151" s="947"/>
      <c r="J151" s="688"/>
      <c r="K151"/>
      <c r="L151"/>
    </row>
    <row r="152" spans="3:12">
      <c r="C152" s="331" t="s">
        <v>2591</v>
      </c>
      <c r="D152" s="943" t="s">
        <v>2592</v>
      </c>
      <c r="E152" s="945" t="s">
        <v>2318</v>
      </c>
      <c r="F152" s="946">
        <v>0</v>
      </c>
      <c r="G152" s="947"/>
      <c r="H152" s="948"/>
      <c r="I152" s="947"/>
      <c r="J152" s="688"/>
      <c r="K152"/>
      <c r="L152"/>
    </row>
    <row r="153" spans="3:12">
      <c r="C153" s="331" t="s">
        <v>2593</v>
      </c>
      <c r="D153" s="943" t="s">
        <v>2594</v>
      </c>
      <c r="E153" s="945" t="s">
        <v>2318</v>
      </c>
      <c r="F153" s="946">
        <v>0</v>
      </c>
      <c r="G153" s="947"/>
      <c r="H153" s="948"/>
      <c r="I153" s="947"/>
      <c r="J153" s="688"/>
      <c r="K153"/>
      <c r="L153"/>
    </row>
    <row r="154" spans="3:12">
      <c r="C154" s="331" t="s">
        <v>2595</v>
      </c>
      <c r="D154" s="943" t="s">
        <v>2596</v>
      </c>
      <c r="E154" s="945" t="s">
        <v>2318</v>
      </c>
      <c r="F154" s="946">
        <v>0</v>
      </c>
      <c r="G154" s="947"/>
      <c r="H154" s="948"/>
      <c r="I154" s="947"/>
      <c r="J154" s="688"/>
      <c r="K154"/>
      <c r="L154"/>
    </row>
    <row r="155" spans="3:12">
      <c r="C155" s="331" t="s">
        <v>2597</v>
      </c>
      <c r="D155" s="943" t="s">
        <v>2598</v>
      </c>
      <c r="E155" s="945" t="s">
        <v>2318</v>
      </c>
      <c r="F155" s="946">
        <v>0</v>
      </c>
      <c r="G155" s="947"/>
      <c r="H155" s="948"/>
      <c r="I155" s="947"/>
      <c r="J155" s="688"/>
      <c r="K155"/>
      <c r="L155"/>
    </row>
    <row r="156" spans="3:12">
      <c r="C156" s="331" t="s">
        <v>2599</v>
      </c>
      <c r="D156" s="943" t="s">
        <v>2600</v>
      </c>
      <c r="E156" s="945" t="s">
        <v>2318</v>
      </c>
      <c r="F156" s="946">
        <v>0</v>
      </c>
      <c r="G156" s="947"/>
      <c r="H156" s="948"/>
      <c r="I156" s="947"/>
      <c r="J156" s="688"/>
      <c r="K156"/>
      <c r="L156"/>
    </row>
    <row r="157" spans="3:12">
      <c r="C157" s="331" t="s">
        <v>2601</v>
      </c>
      <c r="D157" s="943" t="s">
        <v>2602</v>
      </c>
      <c r="E157" s="945" t="s">
        <v>2318</v>
      </c>
      <c r="F157" s="946">
        <v>0</v>
      </c>
      <c r="G157" s="947"/>
      <c r="H157" s="948"/>
      <c r="I157" s="947"/>
      <c r="J157" s="688"/>
      <c r="K157"/>
      <c r="L157"/>
    </row>
    <row r="158" spans="3:12">
      <c r="C158" s="331" t="s">
        <v>2603</v>
      </c>
      <c r="D158" s="943" t="s">
        <v>2604</v>
      </c>
      <c r="E158" s="945" t="s">
        <v>2318</v>
      </c>
      <c r="F158" s="946">
        <v>0</v>
      </c>
      <c r="G158" s="947"/>
      <c r="H158" s="948"/>
      <c r="I158" s="947"/>
      <c r="J158" s="688"/>
      <c r="K158"/>
      <c r="L158"/>
    </row>
    <row r="159" spans="3:12">
      <c r="C159" s="331" t="s">
        <v>2605</v>
      </c>
      <c r="D159" s="943" t="s">
        <v>2606</v>
      </c>
      <c r="E159" s="945" t="s">
        <v>2318</v>
      </c>
      <c r="F159" s="946">
        <v>0</v>
      </c>
      <c r="G159" s="947"/>
      <c r="H159" s="948"/>
      <c r="I159" s="947"/>
      <c r="J159" s="688"/>
      <c r="K159"/>
      <c r="L159"/>
    </row>
    <row r="160" spans="3:12">
      <c r="C160" s="331" t="s">
        <v>2607</v>
      </c>
      <c r="D160" s="943" t="s">
        <v>2608</v>
      </c>
      <c r="E160" s="945" t="s">
        <v>2318</v>
      </c>
      <c r="F160" s="946">
        <v>0</v>
      </c>
      <c r="G160" s="947"/>
      <c r="H160" s="948"/>
      <c r="I160" s="947"/>
      <c r="J160" s="688"/>
      <c r="K160"/>
      <c r="L160"/>
    </row>
    <row r="161" spans="3:12">
      <c r="C161" s="331" t="s">
        <v>2609</v>
      </c>
      <c r="D161" s="943" t="s">
        <v>2610</v>
      </c>
      <c r="E161" s="945" t="s">
        <v>2318</v>
      </c>
      <c r="F161" s="946">
        <v>0</v>
      </c>
      <c r="G161" s="947"/>
      <c r="H161" s="948"/>
      <c r="I161" s="947"/>
      <c r="J161" s="688"/>
      <c r="K161"/>
      <c r="L161"/>
    </row>
    <row r="162" spans="3:12">
      <c r="C162" s="331" t="s">
        <v>2611</v>
      </c>
      <c r="D162" s="943" t="s">
        <v>2612</v>
      </c>
      <c r="E162" s="945" t="s">
        <v>2318</v>
      </c>
      <c r="F162" s="946">
        <v>0</v>
      </c>
      <c r="G162" s="947"/>
      <c r="H162" s="948"/>
      <c r="I162" s="947"/>
      <c r="J162" s="688"/>
      <c r="K162"/>
      <c r="L162"/>
    </row>
    <row r="163" spans="3:12">
      <c r="C163" s="331" t="s">
        <v>2613</v>
      </c>
      <c r="D163" s="943" t="s">
        <v>2614</v>
      </c>
      <c r="E163" s="945" t="s">
        <v>2318</v>
      </c>
      <c r="F163" s="946">
        <v>0</v>
      </c>
      <c r="G163" s="947"/>
      <c r="H163" s="948"/>
      <c r="I163" s="947"/>
      <c r="J163" s="688"/>
      <c r="K163"/>
      <c r="L163"/>
    </row>
    <row r="164" spans="3:12">
      <c r="C164" s="331" t="s">
        <v>2615</v>
      </c>
      <c r="D164" s="943" t="s">
        <v>2616</v>
      </c>
      <c r="E164" s="945" t="s">
        <v>2318</v>
      </c>
      <c r="F164" s="946">
        <v>0</v>
      </c>
      <c r="G164" s="947"/>
      <c r="H164" s="948"/>
      <c r="I164" s="947"/>
      <c r="J164" s="688"/>
      <c r="K164"/>
      <c r="L164"/>
    </row>
    <row r="165" spans="3:12">
      <c r="C165" s="331" t="s">
        <v>2617</v>
      </c>
      <c r="D165" s="943" t="s">
        <v>2618</v>
      </c>
      <c r="E165" s="945" t="s">
        <v>2318</v>
      </c>
      <c r="F165" s="946">
        <v>0</v>
      </c>
      <c r="G165" s="947"/>
      <c r="H165" s="948"/>
      <c r="I165" s="947"/>
      <c r="J165" s="688"/>
      <c r="K165"/>
      <c r="L165"/>
    </row>
    <row r="166" spans="3:12">
      <c r="C166" s="330"/>
      <c r="D166" s="943"/>
      <c r="E166" s="945"/>
      <c r="F166" s="946"/>
      <c r="G166" s="947"/>
      <c r="H166" s="948"/>
      <c r="I166" s="947"/>
      <c r="J166" s="688"/>
      <c r="K166"/>
      <c r="L166"/>
    </row>
    <row r="167" spans="3:12">
      <c r="C167" s="331" t="s">
        <v>2619</v>
      </c>
      <c r="D167" s="943" t="s">
        <v>2620</v>
      </c>
      <c r="E167" s="945" t="s">
        <v>2318</v>
      </c>
      <c r="F167" s="946">
        <v>0</v>
      </c>
      <c r="G167" s="947"/>
      <c r="H167" s="948"/>
      <c r="I167" s="947"/>
      <c r="J167" s="688"/>
      <c r="K167"/>
      <c r="L167"/>
    </row>
    <row r="168" spans="3:12">
      <c r="C168" s="329" t="s">
        <v>2621</v>
      </c>
      <c r="D168" s="328" t="s">
        <v>2622</v>
      </c>
      <c r="E168" s="327" t="s">
        <v>2318</v>
      </c>
      <c r="F168" s="326">
        <v>0</v>
      </c>
      <c r="G168" s="325"/>
      <c r="H168" s="949"/>
      <c r="I168" s="325"/>
      <c r="J168" s="689"/>
      <c r="K168"/>
      <c r="L168"/>
    </row>
    <row r="169" spans="3:12">
      <c r="C169" s="950" t="s">
        <v>2623</v>
      </c>
      <c r="D169" s="951" t="s">
        <v>2624</v>
      </c>
      <c r="E169" s="952" t="s">
        <v>2318</v>
      </c>
      <c r="F169" s="953">
        <v>0</v>
      </c>
      <c r="G169" s="954"/>
      <c r="H169" s="955"/>
      <c r="I169" s="954"/>
      <c r="J169" s="956"/>
      <c r="K169"/>
      <c r="L169"/>
    </row>
    <row r="170" spans="3:12">
      <c r="C170" s="331" t="s">
        <v>2625</v>
      </c>
      <c r="D170" s="943" t="s">
        <v>2626</v>
      </c>
      <c r="E170" s="945" t="s">
        <v>2318</v>
      </c>
      <c r="F170" s="946">
        <v>0</v>
      </c>
      <c r="G170" s="947"/>
      <c r="H170" s="948"/>
      <c r="I170" s="947"/>
      <c r="J170" s="688"/>
      <c r="K170"/>
      <c r="L170"/>
    </row>
    <row r="171" spans="3:12">
      <c r="C171" s="331" t="s">
        <v>2627</v>
      </c>
      <c r="D171" s="943" t="s">
        <v>2628</v>
      </c>
      <c r="E171" s="945" t="s">
        <v>2318</v>
      </c>
      <c r="F171" s="946">
        <v>0</v>
      </c>
      <c r="G171" s="947"/>
      <c r="H171" s="948"/>
      <c r="I171" s="947"/>
      <c r="J171" s="688"/>
      <c r="K171"/>
      <c r="L171"/>
    </row>
    <row r="172" spans="3:12">
      <c r="C172" s="331" t="s">
        <v>2629</v>
      </c>
      <c r="D172" s="943" t="s">
        <v>2630</v>
      </c>
      <c r="E172" s="945" t="s">
        <v>2318</v>
      </c>
      <c r="F172" s="946">
        <v>0</v>
      </c>
      <c r="G172" s="947"/>
      <c r="H172" s="948"/>
      <c r="I172" s="947"/>
      <c r="J172" s="688"/>
      <c r="K172"/>
      <c r="L172"/>
    </row>
    <row r="173" spans="3:12">
      <c r="C173" s="331" t="s">
        <v>2631</v>
      </c>
      <c r="D173" s="943" t="s">
        <v>2632</v>
      </c>
      <c r="E173" s="945" t="s">
        <v>2318</v>
      </c>
      <c r="F173" s="946">
        <v>0</v>
      </c>
      <c r="G173" s="947"/>
      <c r="H173" s="948"/>
      <c r="I173" s="947"/>
      <c r="J173" s="688"/>
      <c r="K173"/>
      <c r="L173"/>
    </row>
    <row r="174" spans="3:12">
      <c r="C174" s="331" t="s">
        <v>2633</v>
      </c>
      <c r="D174" s="943" t="s">
        <v>2634</v>
      </c>
      <c r="E174" s="945" t="s">
        <v>2318</v>
      </c>
      <c r="F174" s="946">
        <v>0</v>
      </c>
      <c r="G174" s="947"/>
      <c r="H174" s="948"/>
      <c r="I174" s="947"/>
      <c r="J174" s="688"/>
      <c r="K174"/>
      <c r="L174"/>
    </row>
    <row r="175" spans="3:12">
      <c r="C175" s="331" t="s">
        <v>2635</v>
      </c>
      <c r="D175" s="943" t="s">
        <v>2636</v>
      </c>
      <c r="E175" s="945" t="s">
        <v>2318</v>
      </c>
      <c r="F175" s="946">
        <v>0</v>
      </c>
      <c r="G175" s="947"/>
      <c r="H175" s="948"/>
      <c r="I175" s="947"/>
      <c r="J175" s="688"/>
      <c r="K175"/>
      <c r="L175"/>
    </row>
    <row r="176" spans="3:12">
      <c r="C176" s="331" t="s">
        <v>2637</v>
      </c>
      <c r="D176" s="943" t="s">
        <v>2638</v>
      </c>
      <c r="E176" s="945" t="s">
        <v>2318</v>
      </c>
      <c r="F176" s="946">
        <v>0</v>
      </c>
      <c r="G176" s="947"/>
      <c r="H176" s="948"/>
      <c r="I176" s="947"/>
      <c r="J176" s="688"/>
      <c r="K176"/>
      <c r="L176"/>
    </row>
    <row r="177" spans="3:12">
      <c r="C177" s="331" t="s">
        <v>2639</v>
      </c>
      <c r="D177" s="943" t="s">
        <v>2640</v>
      </c>
      <c r="E177" s="945" t="s">
        <v>2318</v>
      </c>
      <c r="F177" s="946">
        <v>0</v>
      </c>
      <c r="G177" s="947"/>
      <c r="H177" s="948"/>
      <c r="I177" s="947"/>
      <c r="J177" s="688"/>
      <c r="K177"/>
      <c r="L177"/>
    </row>
    <row r="178" spans="3:12">
      <c r="C178" s="331" t="s">
        <v>2641</v>
      </c>
      <c r="D178" s="943" t="s">
        <v>2642</v>
      </c>
      <c r="E178" s="945" t="s">
        <v>2318</v>
      </c>
      <c r="F178" s="946">
        <v>0</v>
      </c>
      <c r="G178" s="947"/>
      <c r="H178" s="948"/>
      <c r="I178" s="947"/>
      <c r="J178" s="688"/>
      <c r="K178"/>
      <c r="L178"/>
    </row>
    <row r="179" spans="3:12">
      <c r="C179" s="331" t="s">
        <v>2643</v>
      </c>
      <c r="D179" s="943" t="s">
        <v>2644</v>
      </c>
      <c r="E179" s="945" t="s">
        <v>2318</v>
      </c>
      <c r="F179" s="946">
        <v>0</v>
      </c>
      <c r="G179" s="947"/>
      <c r="H179" s="948"/>
      <c r="I179" s="947"/>
      <c r="J179" s="688"/>
      <c r="K179"/>
      <c r="L179"/>
    </row>
    <row r="180" spans="3:12">
      <c r="C180" s="331" t="s">
        <v>2645</v>
      </c>
      <c r="D180" s="943" t="s">
        <v>2646</v>
      </c>
      <c r="E180" s="945" t="s">
        <v>2318</v>
      </c>
      <c r="F180" s="946">
        <v>0</v>
      </c>
      <c r="G180" s="947"/>
      <c r="H180" s="948"/>
      <c r="I180" s="947"/>
      <c r="J180" s="688"/>
      <c r="K180"/>
      <c r="L180"/>
    </row>
    <row r="181" spans="3:12">
      <c r="C181" s="331" t="s">
        <v>2647</v>
      </c>
      <c r="D181" s="943" t="s">
        <v>2648</v>
      </c>
      <c r="E181" s="945" t="s">
        <v>2318</v>
      </c>
      <c r="F181" s="946">
        <v>0</v>
      </c>
      <c r="G181" s="947"/>
      <c r="H181" s="948"/>
      <c r="I181" s="947"/>
      <c r="J181" s="688"/>
      <c r="K181"/>
      <c r="L181"/>
    </row>
    <row r="182" spans="3:12">
      <c r="C182" s="322"/>
      <c r="D182" s="943"/>
      <c r="E182" s="945"/>
      <c r="F182" s="946"/>
      <c r="G182" s="947"/>
      <c r="H182" s="948"/>
      <c r="I182" s="947"/>
      <c r="J182" s="688"/>
      <c r="K182"/>
      <c r="L182"/>
    </row>
    <row r="183" spans="3:12">
      <c r="C183" s="331" t="s">
        <v>2649</v>
      </c>
      <c r="D183" s="943" t="s">
        <v>2650</v>
      </c>
      <c r="E183" s="945" t="s">
        <v>2318</v>
      </c>
      <c r="F183" s="946">
        <v>0</v>
      </c>
      <c r="G183" s="947"/>
      <c r="H183" s="948"/>
      <c r="I183" s="947"/>
      <c r="J183" s="688"/>
      <c r="K183"/>
      <c r="L183"/>
    </row>
    <row r="184" spans="3:12">
      <c r="C184" s="331" t="s">
        <v>2651</v>
      </c>
      <c r="D184" s="943" t="s">
        <v>2652</v>
      </c>
      <c r="E184" s="945" t="s">
        <v>2318</v>
      </c>
      <c r="F184" s="946">
        <v>0</v>
      </c>
      <c r="G184" s="947"/>
      <c r="H184" s="948"/>
      <c r="I184" s="947"/>
      <c r="J184" s="688"/>
      <c r="K184"/>
      <c r="L184"/>
    </row>
    <row r="185" spans="3:12">
      <c r="C185" s="331" t="s">
        <v>2653</v>
      </c>
      <c r="D185" s="943" t="s">
        <v>2654</v>
      </c>
      <c r="E185" s="945" t="s">
        <v>2318</v>
      </c>
      <c r="F185" s="946">
        <v>0</v>
      </c>
      <c r="G185" s="947"/>
      <c r="H185" s="948"/>
      <c r="I185" s="947"/>
      <c r="J185" s="688"/>
      <c r="K185"/>
      <c r="L185"/>
    </row>
    <row r="186" spans="3:12">
      <c r="C186" s="331" t="s">
        <v>2655</v>
      </c>
      <c r="D186" s="943" t="s">
        <v>2656</v>
      </c>
      <c r="E186" s="945" t="s">
        <v>2318</v>
      </c>
      <c r="F186" s="946">
        <v>0</v>
      </c>
      <c r="G186" s="947"/>
      <c r="H186" s="948"/>
      <c r="I186" s="947"/>
      <c r="J186" s="688"/>
      <c r="K186"/>
      <c r="L186"/>
    </row>
    <row r="187" spans="3:12">
      <c r="C187" s="331" t="s">
        <v>2657</v>
      </c>
      <c r="D187" s="943" t="s">
        <v>2658</v>
      </c>
      <c r="E187" s="945" t="s">
        <v>2318</v>
      </c>
      <c r="F187" s="946">
        <v>0</v>
      </c>
      <c r="G187" s="947"/>
      <c r="H187" s="948"/>
      <c r="I187" s="947"/>
      <c r="J187" s="688"/>
      <c r="K187"/>
      <c r="L187"/>
    </row>
    <row r="188" spans="3:12">
      <c r="C188" s="331" t="s">
        <v>2659</v>
      </c>
      <c r="D188" s="943" t="s">
        <v>2660</v>
      </c>
      <c r="E188" s="945" t="s">
        <v>2318</v>
      </c>
      <c r="F188" s="946">
        <v>0</v>
      </c>
      <c r="G188" s="947"/>
      <c r="H188" s="948"/>
      <c r="I188" s="947"/>
      <c r="J188" s="688"/>
      <c r="K188"/>
      <c r="L188"/>
    </row>
    <row r="189" spans="3:12">
      <c r="C189" s="331" t="s">
        <v>2661</v>
      </c>
      <c r="D189" s="943" t="s">
        <v>2662</v>
      </c>
      <c r="E189" s="945" t="s">
        <v>2318</v>
      </c>
      <c r="F189" s="946">
        <v>0</v>
      </c>
      <c r="G189" s="947"/>
      <c r="H189" s="948"/>
      <c r="I189" s="947"/>
      <c r="J189" s="688"/>
      <c r="K189"/>
      <c r="L189"/>
    </row>
    <row r="190" spans="3:12">
      <c r="C190" s="331" t="s">
        <v>2663</v>
      </c>
      <c r="D190" s="943" t="s">
        <v>2664</v>
      </c>
      <c r="E190" s="945" t="s">
        <v>2318</v>
      </c>
      <c r="F190" s="946">
        <v>0</v>
      </c>
      <c r="G190" s="947"/>
      <c r="H190" s="948"/>
      <c r="I190" s="947"/>
      <c r="J190" s="688"/>
      <c r="K190"/>
      <c r="L190"/>
    </row>
    <row r="191" spans="3:12">
      <c r="C191" s="331" t="s">
        <v>2665</v>
      </c>
      <c r="D191" s="943" t="s">
        <v>2666</v>
      </c>
      <c r="E191" s="945" t="s">
        <v>2318</v>
      </c>
      <c r="F191" s="946">
        <v>0</v>
      </c>
      <c r="G191" s="947"/>
      <c r="H191" s="948"/>
      <c r="I191" s="947"/>
      <c r="J191" s="688"/>
      <c r="K191"/>
      <c r="L191"/>
    </row>
    <row r="192" spans="3:12">
      <c r="C192" s="331" t="s">
        <v>2667</v>
      </c>
      <c r="D192" s="943" t="s">
        <v>2668</v>
      </c>
      <c r="E192" s="945" t="s">
        <v>2318</v>
      </c>
      <c r="F192" s="946">
        <v>0</v>
      </c>
      <c r="G192" s="947"/>
      <c r="H192" s="948"/>
      <c r="I192" s="947"/>
      <c r="J192" s="688"/>
      <c r="K192"/>
      <c r="L192"/>
    </row>
    <row r="193" spans="3:12">
      <c r="C193" s="331" t="s">
        <v>2669</v>
      </c>
      <c r="D193" s="943" t="s">
        <v>2670</v>
      </c>
      <c r="E193" s="945" t="s">
        <v>2318</v>
      </c>
      <c r="F193" s="946">
        <v>0</v>
      </c>
      <c r="G193" s="947"/>
      <c r="H193" s="948"/>
      <c r="I193" s="947"/>
      <c r="J193" s="688"/>
      <c r="K193"/>
      <c r="L193"/>
    </row>
    <row r="194" spans="3:12">
      <c r="C194" s="331" t="s">
        <v>2671</v>
      </c>
      <c r="D194" s="943" t="s">
        <v>2672</v>
      </c>
      <c r="E194" s="945" t="s">
        <v>2318</v>
      </c>
      <c r="F194" s="946">
        <v>0</v>
      </c>
      <c r="G194" s="947"/>
      <c r="H194" s="948"/>
      <c r="I194" s="947"/>
      <c r="J194" s="688"/>
      <c r="K194"/>
      <c r="L194"/>
    </row>
    <row r="195" spans="3:12">
      <c r="C195" s="331" t="s">
        <v>2673</v>
      </c>
      <c r="D195" s="943" t="s">
        <v>2674</v>
      </c>
      <c r="E195" s="945" t="s">
        <v>2318</v>
      </c>
      <c r="F195" s="946">
        <v>0</v>
      </c>
      <c r="G195" s="947"/>
      <c r="H195" s="948"/>
      <c r="I195" s="947"/>
      <c r="J195" s="688"/>
      <c r="K195"/>
      <c r="L195"/>
    </row>
    <row r="196" spans="3:12">
      <c r="C196" s="331" t="s">
        <v>2675</v>
      </c>
      <c r="D196" s="943" t="s">
        <v>2676</v>
      </c>
      <c r="E196" s="945" t="s">
        <v>2318</v>
      </c>
      <c r="F196" s="946">
        <v>0</v>
      </c>
      <c r="G196" s="947"/>
      <c r="H196" s="948"/>
      <c r="I196" s="947"/>
      <c r="J196" s="688"/>
      <c r="K196"/>
      <c r="L196"/>
    </row>
    <row r="197" spans="3:12">
      <c r="C197" s="331" t="s">
        <v>2677</v>
      </c>
      <c r="D197" s="943" t="s">
        <v>2678</v>
      </c>
      <c r="E197" s="945" t="s">
        <v>2318</v>
      </c>
      <c r="F197" s="946">
        <v>0</v>
      </c>
      <c r="G197" s="947"/>
      <c r="H197" s="948"/>
      <c r="I197" s="947"/>
      <c r="J197" s="688"/>
      <c r="K197"/>
      <c r="L197"/>
    </row>
    <row r="198" spans="3:12">
      <c r="C198" s="330"/>
      <c r="D198" s="943"/>
      <c r="E198" s="945"/>
      <c r="F198" s="946"/>
      <c r="G198" s="947"/>
      <c r="H198" s="948"/>
      <c r="I198" s="947"/>
      <c r="J198" s="688"/>
      <c r="K198"/>
      <c r="L198"/>
    </row>
    <row r="199" spans="3:12">
      <c r="C199" s="324">
        <v>3</v>
      </c>
      <c r="D199" s="940" t="s">
        <v>2679</v>
      </c>
      <c r="E199" s="941"/>
      <c r="F199" s="946"/>
      <c r="G199" s="947"/>
      <c r="H199" s="958"/>
      <c r="I199" s="947"/>
      <c r="J199" s="323"/>
      <c r="K199"/>
      <c r="L199"/>
    </row>
    <row r="200" spans="3:12">
      <c r="C200" s="331" t="s">
        <v>2680</v>
      </c>
      <c r="D200" s="943" t="s">
        <v>2681</v>
      </c>
      <c r="E200" s="945" t="s">
        <v>2318</v>
      </c>
      <c r="F200" s="946">
        <v>0</v>
      </c>
      <c r="G200" s="947"/>
      <c r="H200" s="948"/>
      <c r="I200" s="947"/>
      <c r="J200" s="688"/>
      <c r="K200"/>
      <c r="L200"/>
    </row>
    <row r="201" spans="3:12">
      <c r="C201" s="331" t="s">
        <v>2682</v>
      </c>
      <c r="D201" s="943" t="s">
        <v>2683</v>
      </c>
      <c r="E201" s="945" t="s">
        <v>2318</v>
      </c>
      <c r="F201" s="946">
        <v>0</v>
      </c>
      <c r="G201" s="947"/>
      <c r="H201" s="948"/>
      <c r="I201" s="947"/>
      <c r="J201" s="688"/>
      <c r="K201"/>
      <c r="L201"/>
    </row>
    <row r="202" spans="3:12">
      <c r="C202" s="331" t="s">
        <v>2684</v>
      </c>
      <c r="D202" s="943" t="s">
        <v>2685</v>
      </c>
      <c r="E202" s="945" t="s">
        <v>2318</v>
      </c>
      <c r="F202" s="946">
        <v>0</v>
      </c>
      <c r="G202" s="947"/>
      <c r="H202" s="948"/>
      <c r="I202" s="947"/>
      <c r="J202" s="688"/>
      <c r="K202"/>
      <c r="L202"/>
    </row>
    <row r="203" spans="3:12">
      <c r="C203" s="331" t="s">
        <v>2686</v>
      </c>
      <c r="D203" s="943" t="s">
        <v>2687</v>
      </c>
      <c r="E203" s="945" t="s">
        <v>2318</v>
      </c>
      <c r="F203" s="946">
        <v>0</v>
      </c>
      <c r="G203" s="947"/>
      <c r="H203" s="948"/>
      <c r="I203" s="947"/>
      <c r="J203" s="688"/>
      <c r="K203"/>
      <c r="L203"/>
    </row>
    <row r="204" spans="3:12">
      <c r="C204" s="331" t="s">
        <v>2688</v>
      </c>
      <c r="D204" s="943" t="s">
        <v>2689</v>
      </c>
      <c r="E204" s="945" t="s">
        <v>2318</v>
      </c>
      <c r="F204" s="946">
        <v>0</v>
      </c>
      <c r="G204" s="947"/>
      <c r="H204" s="948"/>
      <c r="I204" s="947"/>
      <c r="J204" s="688"/>
      <c r="K204"/>
      <c r="L204"/>
    </row>
    <row r="205" spans="3:12">
      <c r="C205" s="331" t="s">
        <v>2690</v>
      </c>
      <c r="D205" s="943" t="s">
        <v>2691</v>
      </c>
      <c r="E205" s="945" t="s">
        <v>2318</v>
      </c>
      <c r="F205" s="946">
        <v>0</v>
      </c>
      <c r="G205" s="947"/>
      <c r="H205" s="948"/>
      <c r="I205" s="947"/>
      <c r="J205" s="688"/>
      <c r="K205"/>
      <c r="L205"/>
    </row>
    <row r="206" spans="3:12">
      <c r="C206" s="331" t="s">
        <v>2692</v>
      </c>
      <c r="D206" s="943" t="s">
        <v>2693</v>
      </c>
      <c r="E206" s="945" t="s">
        <v>2318</v>
      </c>
      <c r="F206" s="946">
        <v>0</v>
      </c>
      <c r="G206" s="947"/>
      <c r="H206" s="948"/>
      <c r="I206" s="947"/>
      <c r="J206" s="688"/>
      <c r="K206"/>
      <c r="L206"/>
    </row>
    <row r="207" spans="3:12">
      <c r="C207" s="331" t="s">
        <v>2694</v>
      </c>
      <c r="D207" s="943" t="s">
        <v>2695</v>
      </c>
      <c r="E207" s="945" t="s">
        <v>2318</v>
      </c>
      <c r="F207" s="946">
        <v>0</v>
      </c>
      <c r="G207" s="947"/>
      <c r="H207" s="948"/>
      <c r="I207" s="947"/>
      <c r="J207" s="688"/>
      <c r="K207"/>
      <c r="L207"/>
    </row>
    <row r="208" spans="3:12">
      <c r="C208" s="331" t="s">
        <v>2696</v>
      </c>
      <c r="D208" s="943" t="s">
        <v>2697</v>
      </c>
      <c r="E208" s="945" t="s">
        <v>2318</v>
      </c>
      <c r="F208" s="946">
        <v>0</v>
      </c>
      <c r="G208" s="947"/>
      <c r="H208" s="948"/>
      <c r="I208" s="947"/>
      <c r="J208" s="688"/>
      <c r="K208"/>
      <c r="L208"/>
    </row>
    <row r="209" spans="3:12">
      <c r="C209" s="331" t="s">
        <v>2698</v>
      </c>
      <c r="D209" s="943" t="s">
        <v>2699</v>
      </c>
      <c r="E209" s="945" t="s">
        <v>2318</v>
      </c>
      <c r="F209" s="946">
        <v>0</v>
      </c>
      <c r="G209" s="947"/>
      <c r="H209" s="948"/>
      <c r="I209" s="947"/>
      <c r="J209" s="688"/>
      <c r="K209"/>
      <c r="L209"/>
    </row>
    <row r="210" spans="3:12">
      <c r="C210" s="331" t="s">
        <v>2700</v>
      </c>
      <c r="D210" s="943" t="s">
        <v>2701</v>
      </c>
      <c r="E210" s="945" t="s">
        <v>2318</v>
      </c>
      <c r="F210" s="946">
        <v>0</v>
      </c>
      <c r="G210" s="947"/>
      <c r="H210" s="948"/>
      <c r="I210" s="947"/>
      <c r="J210" s="688"/>
      <c r="K210"/>
      <c r="L210"/>
    </row>
    <row r="211" spans="3:12">
      <c r="C211" s="331" t="s">
        <v>2702</v>
      </c>
      <c r="D211" s="943" t="s">
        <v>2703</v>
      </c>
      <c r="E211" s="945" t="s">
        <v>2318</v>
      </c>
      <c r="F211" s="946">
        <v>0</v>
      </c>
      <c r="G211" s="947"/>
      <c r="H211" s="948"/>
      <c r="I211" s="947"/>
      <c r="J211" s="688"/>
      <c r="K211"/>
      <c r="L211"/>
    </row>
    <row r="212" spans="3:12">
      <c r="C212" s="331" t="s">
        <v>2704</v>
      </c>
      <c r="D212" s="943" t="s">
        <v>2705</v>
      </c>
      <c r="E212" s="945" t="s">
        <v>2318</v>
      </c>
      <c r="F212" s="946">
        <v>0</v>
      </c>
      <c r="G212" s="947"/>
      <c r="H212" s="948"/>
      <c r="I212" s="947"/>
      <c r="J212" s="688"/>
      <c r="K212"/>
      <c r="L212"/>
    </row>
    <row r="213" spans="3:12">
      <c r="C213" s="331" t="s">
        <v>2706</v>
      </c>
      <c r="D213" s="943" t="s">
        <v>2707</v>
      </c>
      <c r="E213" s="945" t="s">
        <v>2318</v>
      </c>
      <c r="F213" s="946">
        <v>0</v>
      </c>
      <c r="G213" s="947"/>
      <c r="H213" s="948"/>
      <c r="I213" s="947"/>
      <c r="J213" s="688"/>
      <c r="K213"/>
      <c r="L213"/>
    </row>
    <row r="214" spans="3:12">
      <c r="C214" s="331" t="s">
        <v>2708</v>
      </c>
      <c r="D214" s="943" t="s">
        <v>2709</v>
      </c>
      <c r="E214" s="945" t="s">
        <v>2318</v>
      </c>
      <c r="F214" s="946">
        <v>0</v>
      </c>
      <c r="G214" s="947"/>
      <c r="H214" s="948"/>
      <c r="I214" s="947"/>
      <c r="J214" s="688"/>
      <c r="K214"/>
      <c r="L214"/>
    </row>
    <row r="215" spans="3:12">
      <c r="C215" s="330"/>
      <c r="D215" s="943"/>
      <c r="E215" s="945"/>
      <c r="F215" s="946"/>
      <c r="G215" s="947"/>
      <c r="H215" s="948"/>
      <c r="I215" s="947"/>
      <c r="J215" s="688"/>
      <c r="K215"/>
      <c r="L215"/>
    </row>
    <row r="216" spans="3:12">
      <c r="C216" s="331" t="s">
        <v>2710</v>
      </c>
      <c r="D216" s="943" t="s">
        <v>2711</v>
      </c>
      <c r="E216" s="945" t="s">
        <v>2318</v>
      </c>
      <c r="F216" s="946">
        <v>0</v>
      </c>
      <c r="G216" s="947"/>
      <c r="H216" s="948"/>
      <c r="I216" s="947"/>
      <c r="J216" s="688"/>
      <c r="K216"/>
      <c r="L216"/>
    </row>
    <row r="217" spans="3:12">
      <c r="C217" s="331" t="s">
        <v>2712</v>
      </c>
      <c r="D217" s="943" t="s">
        <v>2713</v>
      </c>
      <c r="E217" s="945" t="s">
        <v>2318</v>
      </c>
      <c r="F217" s="946">
        <v>0</v>
      </c>
      <c r="G217" s="947"/>
      <c r="H217" s="948"/>
      <c r="I217" s="947"/>
      <c r="J217" s="688"/>
      <c r="K217"/>
      <c r="L217"/>
    </row>
    <row r="218" spans="3:12">
      <c r="C218" s="331" t="s">
        <v>2714</v>
      </c>
      <c r="D218" s="943" t="s">
        <v>2715</v>
      </c>
      <c r="E218" s="945" t="s">
        <v>2318</v>
      </c>
      <c r="F218" s="946">
        <v>0</v>
      </c>
      <c r="G218" s="947"/>
      <c r="H218" s="948"/>
      <c r="I218" s="947"/>
      <c r="J218" s="688"/>
      <c r="K218"/>
      <c r="L218"/>
    </row>
    <row r="219" spans="3:12">
      <c r="C219" s="331" t="s">
        <v>2716</v>
      </c>
      <c r="D219" s="943" t="s">
        <v>2717</v>
      </c>
      <c r="E219" s="945" t="s">
        <v>2318</v>
      </c>
      <c r="F219" s="946">
        <v>0</v>
      </c>
      <c r="G219" s="947"/>
      <c r="H219" s="948"/>
      <c r="I219" s="947"/>
      <c r="J219" s="688"/>
      <c r="K219"/>
      <c r="L219"/>
    </row>
    <row r="220" spans="3:12">
      <c r="C220" s="331" t="s">
        <v>2718</v>
      </c>
      <c r="D220" s="943" t="s">
        <v>2719</v>
      </c>
      <c r="E220" s="945" t="s">
        <v>2318</v>
      </c>
      <c r="F220" s="946">
        <v>0</v>
      </c>
      <c r="G220" s="947"/>
      <c r="H220" s="948"/>
      <c r="I220" s="947"/>
      <c r="J220" s="688"/>
      <c r="K220"/>
      <c r="L220"/>
    </row>
    <row r="221" spans="3:12">
      <c r="C221" s="331" t="s">
        <v>2720</v>
      </c>
      <c r="D221" s="943" t="s">
        <v>2721</v>
      </c>
      <c r="E221" s="945" t="s">
        <v>2318</v>
      </c>
      <c r="F221" s="946">
        <v>0</v>
      </c>
      <c r="G221" s="947"/>
      <c r="H221" s="948"/>
      <c r="I221" s="947"/>
      <c r="J221" s="688"/>
      <c r="K221"/>
      <c r="L221"/>
    </row>
    <row r="222" spans="3:12">
      <c r="C222" s="331" t="s">
        <v>2722</v>
      </c>
      <c r="D222" s="943" t="s">
        <v>2723</v>
      </c>
      <c r="E222" s="945" t="s">
        <v>2318</v>
      </c>
      <c r="F222" s="946">
        <v>0</v>
      </c>
      <c r="G222" s="947"/>
      <c r="H222" s="948"/>
      <c r="I222" s="947"/>
      <c r="J222" s="688"/>
      <c r="K222"/>
      <c r="L222"/>
    </row>
    <row r="223" spans="3:12">
      <c r="C223" s="331" t="s">
        <v>2724</v>
      </c>
      <c r="D223" s="943" t="s">
        <v>2725</v>
      </c>
      <c r="E223" s="945" t="s">
        <v>2318</v>
      </c>
      <c r="F223" s="946">
        <v>0</v>
      </c>
      <c r="G223" s="947"/>
      <c r="H223" s="948"/>
      <c r="I223" s="947"/>
      <c r="J223" s="688"/>
      <c r="K223"/>
      <c r="L223"/>
    </row>
    <row r="224" spans="3:12">
      <c r="C224" s="331" t="s">
        <v>2726</v>
      </c>
      <c r="D224" s="943" t="s">
        <v>2727</v>
      </c>
      <c r="E224" s="945" t="s">
        <v>2318</v>
      </c>
      <c r="F224" s="946">
        <v>0</v>
      </c>
      <c r="G224" s="947"/>
      <c r="H224" s="948"/>
      <c r="I224" s="947"/>
      <c r="J224" s="688"/>
      <c r="K224"/>
      <c r="L224"/>
    </row>
    <row r="225" spans="3:12">
      <c r="C225" s="331" t="s">
        <v>2728</v>
      </c>
      <c r="D225" s="943" t="s">
        <v>2729</v>
      </c>
      <c r="E225" s="945" t="s">
        <v>2318</v>
      </c>
      <c r="F225" s="946">
        <v>0</v>
      </c>
      <c r="G225" s="947"/>
      <c r="H225" s="948"/>
      <c r="I225" s="947"/>
      <c r="J225" s="688"/>
      <c r="K225"/>
      <c r="L225"/>
    </row>
    <row r="226" spans="3:12">
      <c r="C226" s="331" t="s">
        <v>2730</v>
      </c>
      <c r="D226" s="943" t="s">
        <v>2731</v>
      </c>
      <c r="E226" s="945" t="s">
        <v>2318</v>
      </c>
      <c r="F226" s="946">
        <v>0</v>
      </c>
      <c r="G226" s="947"/>
      <c r="H226" s="948"/>
      <c r="I226" s="947"/>
      <c r="J226" s="688"/>
      <c r="K226"/>
      <c r="L226"/>
    </row>
    <row r="227" spans="3:12">
      <c r="C227" s="331" t="s">
        <v>2732</v>
      </c>
      <c r="D227" s="943" t="s">
        <v>2733</v>
      </c>
      <c r="E227" s="945" t="s">
        <v>2318</v>
      </c>
      <c r="F227" s="946">
        <v>0</v>
      </c>
      <c r="G227" s="947"/>
      <c r="H227" s="948"/>
      <c r="I227" s="947"/>
      <c r="J227" s="688"/>
      <c r="K227"/>
      <c r="L227"/>
    </row>
    <row r="228" spans="3:12">
      <c r="C228" s="331" t="s">
        <v>2734</v>
      </c>
      <c r="D228" s="943" t="s">
        <v>2735</v>
      </c>
      <c r="E228" s="945" t="s">
        <v>2318</v>
      </c>
      <c r="F228" s="946">
        <v>0</v>
      </c>
      <c r="G228" s="947"/>
      <c r="H228" s="948"/>
      <c r="I228" s="947"/>
      <c r="J228" s="688"/>
      <c r="K228"/>
      <c r="L228"/>
    </row>
    <row r="229" spans="3:12">
      <c r="C229" s="331" t="s">
        <v>2736</v>
      </c>
      <c r="D229" s="943" t="s">
        <v>2737</v>
      </c>
      <c r="E229" s="945" t="s">
        <v>2318</v>
      </c>
      <c r="F229" s="946">
        <v>0</v>
      </c>
      <c r="G229" s="947"/>
      <c r="H229" s="948"/>
      <c r="I229" s="947"/>
      <c r="J229" s="688"/>
      <c r="K229"/>
      <c r="L229"/>
    </row>
    <row r="230" spans="3:12">
      <c r="C230" s="331" t="s">
        <v>2738</v>
      </c>
      <c r="D230" s="943" t="s">
        <v>2739</v>
      </c>
      <c r="E230" s="945" t="s">
        <v>2318</v>
      </c>
      <c r="F230" s="946">
        <v>0</v>
      </c>
      <c r="G230" s="947"/>
      <c r="H230" s="948"/>
      <c r="I230" s="947"/>
      <c r="J230" s="688"/>
      <c r="K230"/>
      <c r="L230"/>
    </row>
    <row r="231" spans="3:12">
      <c r="C231" s="330"/>
      <c r="D231" s="943"/>
      <c r="E231" s="945"/>
      <c r="F231" s="946"/>
      <c r="G231" s="947"/>
      <c r="H231" s="948"/>
      <c r="I231" s="947"/>
      <c r="J231" s="688"/>
      <c r="K231"/>
      <c r="L231"/>
    </row>
    <row r="232" spans="3:12">
      <c r="C232" s="331" t="s">
        <v>2740</v>
      </c>
      <c r="D232" s="943" t="s">
        <v>2741</v>
      </c>
      <c r="E232" s="945" t="s">
        <v>2318</v>
      </c>
      <c r="F232" s="946">
        <v>0</v>
      </c>
      <c r="G232" s="947"/>
      <c r="H232" s="948"/>
      <c r="I232" s="947"/>
      <c r="J232" s="688"/>
      <c r="K232"/>
      <c r="L232"/>
    </row>
    <row r="233" spans="3:12">
      <c r="C233" s="331" t="s">
        <v>2742</v>
      </c>
      <c r="D233" s="943" t="s">
        <v>2743</v>
      </c>
      <c r="E233" s="945" t="s">
        <v>2318</v>
      </c>
      <c r="F233" s="946">
        <v>0</v>
      </c>
      <c r="G233" s="947"/>
      <c r="H233" s="948"/>
      <c r="I233" s="947"/>
      <c r="J233" s="688"/>
      <c r="K233"/>
      <c r="L233"/>
    </row>
    <row r="234" spans="3:12">
      <c r="C234" s="331" t="s">
        <v>2744</v>
      </c>
      <c r="D234" s="943" t="s">
        <v>2745</v>
      </c>
      <c r="E234" s="945" t="s">
        <v>2318</v>
      </c>
      <c r="F234" s="946">
        <v>0</v>
      </c>
      <c r="G234" s="947"/>
      <c r="H234" s="948"/>
      <c r="I234" s="947"/>
      <c r="J234" s="688"/>
      <c r="K234"/>
      <c r="L234"/>
    </row>
    <row r="235" spans="3:12">
      <c r="C235" s="331" t="s">
        <v>2746</v>
      </c>
      <c r="D235" s="943" t="s">
        <v>2747</v>
      </c>
      <c r="E235" s="945" t="s">
        <v>2318</v>
      </c>
      <c r="F235" s="946">
        <v>0</v>
      </c>
      <c r="G235" s="947"/>
      <c r="H235" s="948"/>
      <c r="I235" s="947"/>
      <c r="J235" s="688"/>
      <c r="K235"/>
      <c r="L235"/>
    </row>
    <row r="236" spans="3:12">
      <c r="C236" s="331" t="s">
        <v>2748</v>
      </c>
      <c r="D236" s="943" t="s">
        <v>2749</v>
      </c>
      <c r="E236" s="945" t="s">
        <v>2318</v>
      </c>
      <c r="F236" s="946">
        <v>0</v>
      </c>
      <c r="G236" s="947"/>
      <c r="H236" s="948"/>
      <c r="I236" s="947"/>
      <c r="J236" s="688"/>
      <c r="K236"/>
      <c r="L236"/>
    </row>
    <row r="237" spans="3:12">
      <c r="C237" s="331" t="s">
        <v>2750</v>
      </c>
      <c r="D237" s="943" t="s">
        <v>2751</v>
      </c>
      <c r="E237" s="945" t="s">
        <v>2318</v>
      </c>
      <c r="F237" s="946">
        <v>0</v>
      </c>
      <c r="G237" s="947"/>
      <c r="H237" s="948"/>
      <c r="I237" s="947"/>
      <c r="J237" s="688"/>
      <c r="K237"/>
      <c r="L237"/>
    </row>
    <row r="238" spans="3:12">
      <c r="C238" s="331" t="s">
        <v>2752</v>
      </c>
      <c r="D238" s="943" t="s">
        <v>2753</v>
      </c>
      <c r="E238" s="945" t="s">
        <v>2318</v>
      </c>
      <c r="F238" s="946">
        <v>0</v>
      </c>
      <c r="G238" s="947"/>
      <c r="H238" s="948"/>
      <c r="I238" s="947"/>
      <c r="J238" s="688"/>
      <c r="K238"/>
      <c r="L238"/>
    </row>
    <row r="239" spans="3:12">
      <c r="C239" s="331" t="s">
        <v>2754</v>
      </c>
      <c r="D239" s="943" t="s">
        <v>2755</v>
      </c>
      <c r="E239" s="945" t="s">
        <v>2318</v>
      </c>
      <c r="F239" s="946">
        <v>0</v>
      </c>
      <c r="G239" s="947"/>
      <c r="H239" s="948"/>
      <c r="I239" s="947"/>
      <c r="J239" s="688"/>
      <c r="K239"/>
      <c r="L239"/>
    </row>
    <row r="240" spans="3:12">
      <c r="C240" s="331" t="s">
        <v>2756</v>
      </c>
      <c r="D240" s="943" t="s">
        <v>2757</v>
      </c>
      <c r="E240" s="945" t="s">
        <v>2318</v>
      </c>
      <c r="F240" s="946">
        <v>0</v>
      </c>
      <c r="G240" s="947"/>
      <c r="H240" s="948"/>
      <c r="I240" s="947"/>
      <c r="J240" s="688"/>
      <c r="K240"/>
      <c r="L240"/>
    </row>
    <row r="241" spans="3:12">
      <c r="C241" s="331" t="s">
        <v>2758</v>
      </c>
      <c r="D241" s="943" t="s">
        <v>2759</v>
      </c>
      <c r="E241" s="945" t="s">
        <v>2318</v>
      </c>
      <c r="F241" s="946">
        <v>0</v>
      </c>
      <c r="G241" s="947"/>
      <c r="H241" s="948"/>
      <c r="I241" s="947"/>
      <c r="J241" s="688"/>
      <c r="K241"/>
      <c r="L241"/>
    </row>
    <row r="242" spans="3:12">
      <c r="C242" s="331" t="s">
        <v>2760</v>
      </c>
      <c r="D242" s="943" t="s">
        <v>2761</v>
      </c>
      <c r="E242" s="945" t="s">
        <v>2318</v>
      </c>
      <c r="F242" s="946">
        <v>0</v>
      </c>
      <c r="G242" s="947"/>
      <c r="H242" s="948"/>
      <c r="I242" s="947"/>
      <c r="J242" s="688"/>
      <c r="K242"/>
      <c r="L242"/>
    </row>
    <row r="243" spans="3:12">
      <c r="C243" s="331" t="s">
        <v>2762</v>
      </c>
      <c r="D243" s="943" t="s">
        <v>2763</v>
      </c>
      <c r="E243" s="945" t="s">
        <v>2318</v>
      </c>
      <c r="F243" s="946">
        <v>0</v>
      </c>
      <c r="G243" s="947"/>
      <c r="H243" s="948"/>
      <c r="I243" s="947"/>
      <c r="J243" s="688"/>
      <c r="K243"/>
      <c r="L243"/>
    </row>
    <row r="244" spans="3:12">
      <c r="C244" s="331" t="s">
        <v>2764</v>
      </c>
      <c r="D244" s="943" t="s">
        <v>2765</v>
      </c>
      <c r="E244" s="945" t="s">
        <v>2318</v>
      </c>
      <c r="F244" s="946">
        <v>0</v>
      </c>
      <c r="G244" s="947"/>
      <c r="H244" s="948"/>
      <c r="I244" s="947"/>
      <c r="J244" s="688"/>
      <c r="K244"/>
      <c r="L244"/>
    </row>
    <row r="245" spans="3:12">
      <c r="C245" s="331" t="s">
        <v>2766</v>
      </c>
      <c r="D245" s="943" t="s">
        <v>2767</v>
      </c>
      <c r="E245" s="945" t="s">
        <v>2318</v>
      </c>
      <c r="F245" s="946">
        <v>0</v>
      </c>
      <c r="G245" s="947"/>
      <c r="H245" s="948"/>
      <c r="I245" s="947"/>
      <c r="J245" s="688"/>
      <c r="K245"/>
      <c r="L245"/>
    </row>
    <row r="246" spans="3:12">
      <c r="C246" s="331" t="s">
        <v>2768</v>
      </c>
      <c r="D246" s="943" t="s">
        <v>2769</v>
      </c>
      <c r="E246" s="945" t="s">
        <v>2318</v>
      </c>
      <c r="F246" s="946">
        <v>0</v>
      </c>
      <c r="G246" s="947"/>
      <c r="H246" s="948"/>
      <c r="I246" s="947"/>
      <c r="J246" s="688"/>
      <c r="K246"/>
      <c r="L246"/>
    </row>
    <row r="247" spans="3:12">
      <c r="C247" s="330"/>
      <c r="D247" s="943"/>
      <c r="E247" s="945"/>
      <c r="F247" s="946"/>
      <c r="G247" s="947"/>
      <c r="H247" s="948"/>
      <c r="I247" s="947"/>
      <c r="J247" s="688"/>
      <c r="K247"/>
      <c r="L247"/>
    </row>
    <row r="248" spans="3:12">
      <c r="C248" s="331" t="s">
        <v>2770</v>
      </c>
      <c r="D248" s="943" t="s">
        <v>2771</v>
      </c>
      <c r="E248" s="945" t="s">
        <v>2318</v>
      </c>
      <c r="F248" s="946">
        <v>0</v>
      </c>
      <c r="G248" s="947"/>
      <c r="H248" s="948"/>
      <c r="I248" s="947"/>
      <c r="J248" s="688"/>
      <c r="K248"/>
      <c r="L248"/>
    </row>
    <row r="249" spans="3:12">
      <c r="C249" s="331" t="s">
        <v>2772</v>
      </c>
      <c r="D249" s="943" t="s">
        <v>2773</v>
      </c>
      <c r="E249" s="945" t="s">
        <v>2318</v>
      </c>
      <c r="F249" s="946">
        <v>0</v>
      </c>
      <c r="G249" s="947"/>
      <c r="H249" s="948"/>
      <c r="I249" s="947"/>
      <c r="J249" s="688"/>
      <c r="K249"/>
      <c r="L249"/>
    </row>
    <row r="250" spans="3:12">
      <c r="C250" s="331" t="s">
        <v>2774</v>
      </c>
      <c r="D250" s="943" t="s">
        <v>2775</v>
      </c>
      <c r="E250" s="945" t="s">
        <v>2318</v>
      </c>
      <c r="F250" s="946">
        <v>0</v>
      </c>
      <c r="G250" s="947"/>
      <c r="H250" s="948"/>
      <c r="I250" s="947"/>
      <c r="J250" s="688"/>
      <c r="K250"/>
      <c r="L250"/>
    </row>
    <row r="251" spans="3:12">
      <c r="C251" s="331" t="s">
        <v>2776</v>
      </c>
      <c r="D251" s="943" t="s">
        <v>2777</v>
      </c>
      <c r="E251" s="945" t="s">
        <v>2318</v>
      </c>
      <c r="F251" s="946">
        <v>0</v>
      </c>
      <c r="G251" s="947"/>
      <c r="H251" s="948"/>
      <c r="I251" s="947"/>
      <c r="J251" s="688"/>
      <c r="K251"/>
      <c r="L251"/>
    </row>
    <row r="252" spans="3:12">
      <c r="C252" s="331" t="s">
        <v>2778</v>
      </c>
      <c r="D252" s="943" t="s">
        <v>2779</v>
      </c>
      <c r="E252" s="945" t="s">
        <v>2318</v>
      </c>
      <c r="F252" s="946">
        <v>0</v>
      </c>
      <c r="G252" s="947"/>
      <c r="H252" s="948"/>
      <c r="I252" s="947"/>
      <c r="J252" s="688"/>
      <c r="K252"/>
      <c r="L252"/>
    </row>
    <row r="253" spans="3:12">
      <c r="C253" s="331" t="s">
        <v>2780</v>
      </c>
      <c r="D253" s="943" t="s">
        <v>2781</v>
      </c>
      <c r="E253" s="945" t="s">
        <v>2318</v>
      </c>
      <c r="F253" s="946">
        <v>0</v>
      </c>
      <c r="G253" s="947"/>
      <c r="H253" s="948"/>
      <c r="I253" s="947"/>
      <c r="J253" s="688"/>
      <c r="K253"/>
      <c r="L253"/>
    </row>
    <row r="254" spans="3:12">
      <c r="C254" s="331" t="s">
        <v>2782</v>
      </c>
      <c r="D254" s="943" t="s">
        <v>2783</v>
      </c>
      <c r="E254" s="945" t="s">
        <v>2318</v>
      </c>
      <c r="F254" s="946">
        <v>2</v>
      </c>
      <c r="G254" s="947">
        <f>$L$2*I254</f>
        <v>522934110.32085866</v>
      </c>
      <c r="H254" s="948">
        <f>F254*G254</f>
        <v>1045868220.6417173</v>
      </c>
      <c r="I254" s="947">
        <f>Class6_CC_6pile_12_m</f>
        <v>522934110.32085866</v>
      </c>
      <c r="J254" s="688">
        <f>F254*I254</f>
        <v>1045868220.6417173</v>
      </c>
      <c r="K254"/>
      <c r="L254"/>
    </row>
    <row r="255" spans="3:12">
      <c r="C255" s="331" t="s">
        <v>2784</v>
      </c>
      <c r="D255" s="943" t="s">
        <v>2785</v>
      </c>
      <c r="E255" s="945" t="s">
        <v>2318</v>
      </c>
      <c r="F255" s="946">
        <v>0</v>
      </c>
      <c r="G255" s="947"/>
      <c r="H255" s="948"/>
      <c r="I255" s="947"/>
      <c r="J255" s="688"/>
      <c r="K255"/>
      <c r="L255"/>
    </row>
    <row r="256" spans="3:12">
      <c r="C256" s="331" t="s">
        <v>2786</v>
      </c>
      <c r="D256" s="943" t="s">
        <v>2787</v>
      </c>
      <c r="E256" s="945" t="s">
        <v>2318</v>
      </c>
      <c r="F256" s="946">
        <v>0</v>
      </c>
      <c r="G256" s="947"/>
      <c r="H256" s="948"/>
      <c r="I256" s="947"/>
      <c r="J256" s="688"/>
      <c r="K256"/>
      <c r="L256"/>
    </row>
    <row r="257" spans="3:12">
      <c r="C257" s="331" t="s">
        <v>2788</v>
      </c>
      <c r="D257" s="943" t="s">
        <v>2789</v>
      </c>
      <c r="E257" s="945" t="s">
        <v>2318</v>
      </c>
      <c r="F257" s="946">
        <v>0</v>
      </c>
      <c r="G257" s="947"/>
      <c r="H257" s="948"/>
      <c r="I257" s="947"/>
      <c r="J257" s="688"/>
      <c r="K257"/>
      <c r="L257"/>
    </row>
    <row r="258" spans="3:12">
      <c r="C258" s="331" t="s">
        <v>2790</v>
      </c>
      <c r="D258" s="943" t="s">
        <v>2791</v>
      </c>
      <c r="E258" s="945" t="s">
        <v>2318</v>
      </c>
      <c r="F258" s="946">
        <v>0</v>
      </c>
      <c r="G258" s="947"/>
      <c r="H258" s="948"/>
      <c r="I258" s="947"/>
      <c r="J258" s="688"/>
      <c r="K258"/>
      <c r="L258"/>
    </row>
    <row r="259" spans="3:12">
      <c r="C259" s="331" t="s">
        <v>2792</v>
      </c>
      <c r="D259" s="943" t="s">
        <v>2793</v>
      </c>
      <c r="E259" s="945" t="s">
        <v>2318</v>
      </c>
      <c r="F259" s="946">
        <v>0</v>
      </c>
      <c r="G259" s="947"/>
      <c r="H259" s="948"/>
      <c r="I259" s="947"/>
      <c r="J259" s="688"/>
      <c r="K259"/>
      <c r="L259"/>
    </row>
    <row r="260" spans="3:12">
      <c r="C260" s="331" t="s">
        <v>2794</v>
      </c>
      <c r="D260" s="943" t="s">
        <v>2795</v>
      </c>
      <c r="E260" s="945" t="s">
        <v>2318</v>
      </c>
      <c r="F260" s="946">
        <v>0</v>
      </c>
      <c r="G260" s="947"/>
      <c r="H260" s="948"/>
      <c r="I260" s="947"/>
      <c r="J260" s="688"/>
      <c r="K260"/>
      <c r="L260"/>
    </row>
    <row r="261" spans="3:12">
      <c r="C261" s="331" t="s">
        <v>2796</v>
      </c>
      <c r="D261" s="943" t="s">
        <v>2797</v>
      </c>
      <c r="E261" s="945" t="s">
        <v>2318</v>
      </c>
      <c r="F261" s="946">
        <v>0</v>
      </c>
      <c r="G261" s="947"/>
      <c r="H261" s="948"/>
      <c r="I261" s="947"/>
      <c r="J261" s="688"/>
      <c r="K261"/>
      <c r="L261"/>
    </row>
    <row r="262" spans="3:12">
      <c r="C262" s="329" t="s">
        <v>2798</v>
      </c>
      <c r="D262" s="328" t="s">
        <v>2799</v>
      </c>
      <c r="E262" s="327" t="s">
        <v>2318</v>
      </c>
      <c r="F262" s="326">
        <v>0</v>
      </c>
      <c r="G262" s="325"/>
      <c r="H262" s="949"/>
      <c r="I262" s="325"/>
      <c r="J262" s="689"/>
      <c r="K262"/>
      <c r="L262"/>
    </row>
    <row r="263" spans="3:12">
      <c r="C263" s="959"/>
      <c r="D263" s="951"/>
      <c r="E263" s="952"/>
      <c r="F263" s="953"/>
      <c r="G263" s="954"/>
      <c r="H263" s="955"/>
      <c r="I263" s="954"/>
      <c r="J263" s="956"/>
      <c r="K263"/>
      <c r="L263"/>
    </row>
    <row r="264" spans="3:12">
      <c r="C264" s="331" t="s">
        <v>2800</v>
      </c>
      <c r="D264" s="943" t="s">
        <v>2801</v>
      </c>
      <c r="E264" s="945" t="s">
        <v>2318</v>
      </c>
      <c r="F264" s="946">
        <v>0</v>
      </c>
      <c r="G264" s="947"/>
      <c r="H264" s="948"/>
      <c r="I264" s="947"/>
      <c r="J264" s="688"/>
      <c r="K264"/>
      <c r="L264"/>
    </row>
    <row r="265" spans="3:12">
      <c r="C265" s="331" t="s">
        <v>2802</v>
      </c>
      <c r="D265" s="943" t="s">
        <v>2803</v>
      </c>
      <c r="E265" s="945" t="s">
        <v>2318</v>
      </c>
      <c r="F265" s="946">
        <v>0</v>
      </c>
      <c r="G265" s="947"/>
      <c r="H265" s="948"/>
      <c r="I265" s="947"/>
      <c r="J265" s="688"/>
      <c r="K265"/>
      <c r="L265"/>
    </row>
    <row r="266" spans="3:12">
      <c r="C266" s="331" t="s">
        <v>2804</v>
      </c>
      <c r="D266" s="943" t="s">
        <v>2805</v>
      </c>
      <c r="E266" s="945" t="s">
        <v>2318</v>
      </c>
      <c r="F266" s="946">
        <v>0</v>
      </c>
      <c r="G266" s="947"/>
      <c r="H266" s="948"/>
      <c r="I266" s="947"/>
      <c r="J266" s="688"/>
      <c r="K266"/>
      <c r="L266"/>
    </row>
    <row r="267" spans="3:12">
      <c r="C267" s="331" t="s">
        <v>2806</v>
      </c>
      <c r="D267" s="943" t="s">
        <v>2807</v>
      </c>
      <c r="E267" s="945" t="s">
        <v>2318</v>
      </c>
      <c r="F267" s="946">
        <v>0</v>
      </c>
      <c r="G267" s="947"/>
      <c r="H267" s="948"/>
      <c r="I267" s="947"/>
      <c r="J267" s="688"/>
      <c r="K267"/>
      <c r="L267"/>
    </row>
    <row r="268" spans="3:12">
      <c r="C268" s="331" t="s">
        <v>2808</v>
      </c>
      <c r="D268" s="943" t="s">
        <v>2809</v>
      </c>
      <c r="E268" s="945" t="s">
        <v>2318</v>
      </c>
      <c r="F268" s="946">
        <v>0</v>
      </c>
      <c r="G268" s="947"/>
      <c r="H268" s="948"/>
      <c r="I268" s="947"/>
      <c r="J268" s="688"/>
      <c r="K268"/>
      <c r="L268"/>
    </row>
    <row r="269" spans="3:12">
      <c r="C269" s="331" t="s">
        <v>2810</v>
      </c>
      <c r="D269" s="943" t="s">
        <v>2811</v>
      </c>
      <c r="E269" s="945" t="s">
        <v>2318</v>
      </c>
      <c r="F269" s="946">
        <v>0</v>
      </c>
      <c r="G269" s="947"/>
      <c r="H269" s="948"/>
      <c r="I269" s="947"/>
      <c r="J269" s="688"/>
      <c r="K269"/>
      <c r="L269"/>
    </row>
    <row r="270" spans="3:12">
      <c r="C270" s="331" t="s">
        <v>2812</v>
      </c>
      <c r="D270" s="943" t="s">
        <v>2813</v>
      </c>
      <c r="E270" s="945" t="s">
        <v>2318</v>
      </c>
      <c r="F270" s="946">
        <v>0</v>
      </c>
      <c r="G270" s="947"/>
      <c r="H270" s="948"/>
      <c r="I270" s="947"/>
      <c r="J270" s="688"/>
      <c r="K270"/>
      <c r="L270"/>
    </row>
    <row r="271" spans="3:12">
      <c r="C271" s="331" t="s">
        <v>2814</v>
      </c>
      <c r="D271" s="943" t="s">
        <v>2815</v>
      </c>
      <c r="E271" s="945" t="s">
        <v>2318</v>
      </c>
      <c r="F271" s="946">
        <v>0</v>
      </c>
      <c r="G271" s="947"/>
      <c r="H271" s="948"/>
      <c r="I271" s="947"/>
      <c r="J271" s="688"/>
      <c r="K271"/>
      <c r="L271"/>
    </row>
    <row r="272" spans="3:12">
      <c r="C272" s="331" t="s">
        <v>2816</v>
      </c>
      <c r="D272" s="943" t="s">
        <v>2817</v>
      </c>
      <c r="E272" s="945" t="s">
        <v>2318</v>
      </c>
      <c r="F272" s="946">
        <v>0</v>
      </c>
      <c r="G272" s="947"/>
      <c r="H272" s="948"/>
      <c r="I272" s="947"/>
      <c r="J272" s="688"/>
      <c r="K272"/>
      <c r="L272"/>
    </row>
    <row r="273" spans="3:12">
      <c r="C273" s="331" t="s">
        <v>2818</v>
      </c>
      <c r="D273" s="943" t="s">
        <v>2819</v>
      </c>
      <c r="E273" s="945" t="s">
        <v>2318</v>
      </c>
      <c r="F273" s="946">
        <v>0</v>
      </c>
      <c r="G273" s="947"/>
      <c r="H273" s="948"/>
      <c r="I273" s="947"/>
      <c r="J273" s="688"/>
      <c r="K273"/>
      <c r="L273"/>
    </row>
    <row r="274" spans="3:12">
      <c r="C274" s="331" t="s">
        <v>2820</v>
      </c>
      <c r="D274" s="943" t="s">
        <v>2821</v>
      </c>
      <c r="E274" s="945" t="s">
        <v>2318</v>
      </c>
      <c r="F274" s="946">
        <v>0</v>
      </c>
      <c r="G274" s="947"/>
      <c r="H274" s="948"/>
      <c r="I274" s="947"/>
      <c r="J274" s="688"/>
      <c r="K274"/>
      <c r="L274"/>
    </row>
    <row r="275" spans="3:12">
      <c r="C275" s="331" t="s">
        <v>2822</v>
      </c>
      <c r="D275" s="943" t="s">
        <v>2823</v>
      </c>
      <c r="E275" s="945" t="s">
        <v>2318</v>
      </c>
      <c r="F275" s="946">
        <v>0</v>
      </c>
      <c r="G275" s="947"/>
      <c r="H275" s="948"/>
      <c r="I275" s="947"/>
      <c r="J275" s="688"/>
      <c r="K275"/>
      <c r="L275"/>
    </row>
    <row r="276" spans="3:12">
      <c r="C276" s="331" t="s">
        <v>2824</v>
      </c>
      <c r="D276" s="943" t="s">
        <v>2825</v>
      </c>
      <c r="E276" s="945" t="s">
        <v>2318</v>
      </c>
      <c r="F276" s="946">
        <v>0</v>
      </c>
      <c r="G276" s="947"/>
      <c r="H276" s="948"/>
      <c r="I276" s="947"/>
      <c r="J276" s="688"/>
      <c r="K276"/>
      <c r="L276"/>
    </row>
    <row r="277" spans="3:12">
      <c r="C277" s="331" t="s">
        <v>2826</v>
      </c>
      <c r="D277" s="943" t="s">
        <v>2827</v>
      </c>
      <c r="E277" s="945" t="s">
        <v>2318</v>
      </c>
      <c r="F277" s="946">
        <v>0</v>
      </c>
      <c r="G277" s="947"/>
      <c r="H277" s="948"/>
      <c r="I277" s="947"/>
      <c r="J277" s="688"/>
      <c r="K277"/>
      <c r="L277"/>
    </row>
    <row r="278" spans="3:12">
      <c r="C278" s="331" t="s">
        <v>2828</v>
      </c>
      <c r="D278" s="943" t="s">
        <v>2829</v>
      </c>
      <c r="E278" s="945" t="s">
        <v>2318</v>
      </c>
      <c r="F278" s="946">
        <v>0</v>
      </c>
      <c r="G278" s="947"/>
      <c r="H278" s="948"/>
      <c r="I278" s="947"/>
      <c r="J278" s="688"/>
      <c r="K278"/>
      <c r="L278"/>
    </row>
    <row r="279" spans="3:12">
      <c r="C279" s="322"/>
      <c r="D279" s="943"/>
      <c r="E279" s="945"/>
      <c r="F279" s="946"/>
      <c r="G279" s="947"/>
      <c r="H279" s="948"/>
      <c r="I279" s="947"/>
      <c r="J279" s="688"/>
      <c r="K279"/>
      <c r="L279"/>
    </row>
    <row r="280" spans="3:12">
      <c r="C280" s="331" t="s">
        <v>2830</v>
      </c>
      <c r="D280" s="943" t="s">
        <v>2831</v>
      </c>
      <c r="E280" s="945" t="s">
        <v>2318</v>
      </c>
      <c r="F280" s="946">
        <v>0</v>
      </c>
      <c r="G280" s="947"/>
      <c r="H280" s="948"/>
      <c r="I280" s="947"/>
      <c r="J280" s="688"/>
      <c r="K280"/>
      <c r="L280"/>
    </row>
    <row r="281" spans="3:12">
      <c r="C281" s="331" t="s">
        <v>2832</v>
      </c>
      <c r="D281" s="943" t="s">
        <v>2833</v>
      </c>
      <c r="E281" s="945" t="s">
        <v>2318</v>
      </c>
      <c r="F281" s="946">
        <v>0</v>
      </c>
      <c r="G281" s="947"/>
      <c r="H281" s="948"/>
      <c r="I281" s="947"/>
      <c r="J281" s="688"/>
      <c r="K281"/>
      <c r="L281"/>
    </row>
    <row r="282" spans="3:12">
      <c r="C282" s="331" t="s">
        <v>2834</v>
      </c>
      <c r="D282" s="943" t="s">
        <v>2835</v>
      </c>
      <c r="E282" s="945" t="s">
        <v>2318</v>
      </c>
      <c r="F282" s="946">
        <v>0</v>
      </c>
      <c r="G282" s="947"/>
      <c r="H282" s="948"/>
      <c r="I282" s="947"/>
      <c r="J282" s="688"/>
      <c r="K282"/>
      <c r="L282"/>
    </row>
    <row r="283" spans="3:12">
      <c r="C283" s="331" t="s">
        <v>2836</v>
      </c>
      <c r="D283" s="943" t="s">
        <v>2837</v>
      </c>
      <c r="E283" s="945" t="s">
        <v>2318</v>
      </c>
      <c r="F283" s="946">
        <v>0</v>
      </c>
      <c r="G283" s="947"/>
      <c r="H283" s="948"/>
      <c r="I283" s="947"/>
      <c r="J283" s="688"/>
      <c r="K283"/>
      <c r="L283"/>
    </row>
    <row r="284" spans="3:12">
      <c r="C284" s="331" t="s">
        <v>2838</v>
      </c>
      <c r="D284" s="943" t="s">
        <v>2839</v>
      </c>
      <c r="E284" s="945" t="s">
        <v>2318</v>
      </c>
      <c r="F284" s="946">
        <v>0</v>
      </c>
      <c r="G284" s="947"/>
      <c r="H284" s="948"/>
      <c r="I284" s="947"/>
      <c r="J284" s="688"/>
      <c r="K284"/>
      <c r="L284"/>
    </row>
    <row r="285" spans="3:12">
      <c r="C285" s="331" t="s">
        <v>2840</v>
      </c>
      <c r="D285" s="943" t="s">
        <v>2841</v>
      </c>
      <c r="E285" s="945" t="s">
        <v>2318</v>
      </c>
      <c r="F285" s="946">
        <v>0</v>
      </c>
      <c r="G285" s="947"/>
      <c r="H285" s="948"/>
      <c r="I285" s="947"/>
      <c r="J285" s="688"/>
      <c r="K285"/>
      <c r="L285"/>
    </row>
    <row r="286" spans="3:12">
      <c r="C286" s="331" t="s">
        <v>2842</v>
      </c>
      <c r="D286" s="943" t="s">
        <v>2843</v>
      </c>
      <c r="E286" s="945" t="s">
        <v>2318</v>
      </c>
      <c r="F286" s="946">
        <v>0</v>
      </c>
      <c r="G286" s="947"/>
      <c r="H286" s="948"/>
      <c r="I286" s="947"/>
      <c r="J286" s="688"/>
      <c r="K286"/>
      <c r="L286"/>
    </row>
    <row r="287" spans="3:12">
      <c r="C287" s="331" t="s">
        <v>2844</v>
      </c>
      <c r="D287" s="943" t="s">
        <v>2845</v>
      </c>
      <c r="E287" s="945" t="s">
        <v>2318</v>
      </c>
      <c r="F287" s="946">
        <v>0</v>
      </c>
      <c r="G287" s="947"/>
      <c r="H287" s="948"/>
      <c r="I287" s="947"/>
      <c r="J287" s="688"/>
      <c r="K287"/>
      <c r="L287"/>
    </row>
    <row r="288" spans="3:12">
      <c r="C288" s="331" t="s">
        <v>2846</v>
      </c>
      <c r="D288" s="943" t="s">
        <v>2847</v>
      </c>
      <c r="E288" s="945" t="s">
        <v>2318</v>
      </c>
      <c r="F288" s="946">
        <v>0</v>
      </c>
      <c r="G288" s="947"/>
      <c r="H288" s="948"/>
      <c r="I288" s="947"/>
      <c r="J288" s="688"/>
      <c r="K288"/>
      <c r="L288"/>
    </row>
    <row r="289" spans="3:12">
      <c r="C289" s="331" t="s">
        <v>2848</v>
      </c>
      <c r="D289" s="943" t="s">
        <v>2849</v>
      </c>
      <c r="E289" s="945" t="s">
        <v>2318</v>
      </c>
      <c r="F289" s="946">
        <v>0</v>
      </c>
      <c r="G289" s="947"/>
      <c r="H289" s="948"/>
      <c r="I289" s="947"/>
      <c r="J289" s="688"/>
      <c r="K289"/>
      <c r="L289"/>
    </row>
    <row r="290" spans="3:12">
      <c r="C290" s="331" t="s">
        <v>2850</v>
      </c>
      <c r="D290" s="943" t="s">
        <v>2851</v>
      </c>
      <c r="E290" s="945" t="s">
        <v>2318</v>
      </c>
      <c r="F290" s="946">
        <v>0</v>
      </c>
      <c r="G290" s="947"/>
      <c r="H290" s="948"/>
      <c r="I290" s="947"/>
      <c r="J290" s="688"/>
      <c r="K290"/>
      <c r="L290"/>
    </row>
    <row r="291" spans="3:12">
      <c r="C291" s="331" t="s">
        <v>2852</v>
      </c>
      <c r="D291" s="943" t="s">
        <v>2853</v>
      </c>
      <c r="E291" s="945" t="s">
        <v>2318</v>
      </c>
      <c r="F291" s="946">
        <v>0</v>
      </c>
      <c r="G291" s="947"/>
      <c r="H291" s="948"/>
      <c r="I291" s="947"/>
      <c r="J291" s="688"/>
      <c r="K291"/>
      <c r="L291"/>
    </row>
    <row r="292" spans="3:12">
      <c r="C292" s="331" t="s">
        <v>2854</v>
      </c>
      <c r="D292" s="943" t="s">
        <v>2855</v>
      </c>
      <c r="E292" s="945" t="s">
        <v>2318</v>
      </c>
      <c r="F292" s="946">
        <v>0</v>
      </c>
      <c r="G292" s="947"/>
      <c r="H292" s="948"/>
      <c r="I292" s="947"/>
      <c r="J292" s="688"/>
      <c r="K292"/>
      <c r="L292"/>
    </row>
    <row r="293" spans="3:12">
      <c r="C293" s="331" t="s">
        <v>2856</v>
      </c>
      <c r="D293" s="943" t="s">
        <v>2857</v>
      </c>
      <c r="E293" s="945" t="s">
        <v>2318</v>
      </c>
      <c r="F293" s="946">
        <v>0</v>
      </c>
      <c r="G293" s="947"/>
      <c r="H293" s="948"/>
      <c r="I293" s="947"/>
      <c r="J293" s="688"/>
      <c r="K293"/>
      <c r="L293"/>
    </row>
    <row r="294" spans="3:12">
      <c r="C294" s="329" t="s">
        <v>2858</v>
      </c>
      <c r="D294" s="328" t="s">
        <v>2859</v>
      </c>
      <c r="E294" s="327" t="s">
        <v>2318</v>
      </c>
      <c r="F294" s="326">
        <v>0</v>
      </c>
      <c r="G294" s="325"/>
      <c r="H294" s="949"/>
      <c r="I294" s="325"/>
      <c r="J294" s="689"/>
      <c r="K294"/>
      <c r="L294"/>
    </row>
    <row r="295" spans="3:12">
      <c r="C295" s="960"/>
      <c r="D295" s="961"/>
      <c r="E295" s="961"/>
      <c r="F295" s="953"/>
      <c r="G295" s="962"/>
      <c r="H295" s="963"/>
      <c r="I295" s="962"/>
      <c r="J295" s="964"/>
      <c r="K295"/>
      <c r="L295"/>
    </row>
    <row r="296" spans="3:12">
      <c r="C296" s="324">
        <v>4</v>
      </c>
      <c r="D296" s="940" t="s">
        <v>2860</v>
      </c>
      <c r="E296" s="941"/>
      <c r="F296" s="946"/>
      <c r="G296" s="947"/>
      <c r="H296" s="958"/>
      <c r="I296" s="947"/>
      <c r="J296" s="323"/>
      <c r="K296"/>
      <c r="L296"/>
    </row>
    <row r="297" spans="3:12">
      <c r="C297" s="331" t="s">
        <v>2861</v>
      </c>
      <c r="D297" s="943" t="s">
        <v>2862</v>
      </c>
      <c r="E297" s="945" t="s">
        <v>2318</v>
      </c>
      <c r="F297" s="946">
        <v>0</v>
      </c>
      <c r="G297" s="947"/>
      <c r="H297" s="948"/>
      <c r="I297" s="947"/>
      <c r="J297" s="688"/>
      <c r="K297"/>
      <c r="L297"/>
    </row>
    <row r="298" spans="3:12">
      <c r="C298" s="331" t="s">
        <v>2863</v>
      </c>
      <c r="D298" s="943" t="s">
        <v>2864</v>
      </c>
      <c r="E298" s="945" t="s">
        <v>2318</v>
      </c>
      <c r="F298" s="946">
        <v>0</v>
      </c>
      <c r="G298" s="947"/>
      <c r="H298" s="948"/>
      <c r="I298" s="947"/>
      <c r="J298" s="688"/>
      <c r="K298"/>
      <c r="L298"/>
    </row>
    <row r="299" spans="3:12">
      <c r="C299" s="331" t="s">
        <v>2865</v>
      </c>
      <c r="D299" s="943" t="s">
        <v>2866</v>
      </c>
      <c r="E299" s="945" t="s">
        <v>2318</v>
      </c>
      <c r="F299" s="946">
        <v>0</v>
      </c>
      <c r="G299" s="947"/>
      <c r="H299" s="948"/>
      <c r="I299" s="947"/>
      <c r="J299" s="688"/>
      <c r="K299"/>
      <c r="L299"/>
    </row>
    <row r="300" spans="3:12">
      <c r="C300" s="331" t="s">
        <v>2867</v>
      </c>
      <c r="D300" s="943" t="s">
        <v>2868</v>
      </c>
      <c r="E300" s="945" t="s">
        <v>2318</v>
      </c>
      <c r="F300" s="946">
        <v>0</v>
      </c>
      <c r="G300" s="947"/>
      <c r="H300" s="948"/>
      <c r="I300" s="947"/>
      <c r="J300" s="688"/>
      <c r="K300"/>
      <c r="L300"/>
    </row>
    <row r="301" spans="3:12">
      <c r="C301" s="331" t="s">
        <v>2869</v>
      </c>
      <c r="D301" s="943" t="s">
        <v>2870</v>
      </c>
      <c r="E301" s="945" t="s">
        <v>2318</v>
      </c>
      <c r="F301" s="946">
        <v>0</v>
      </c>
      <c r="G301" s="947"/>
      <c r="H301" s="948"/>
      <c r="I301" s="947"/>
      <c r="J301" s="688"/>
      <c r="K301"/>
      <c r="L301"/>
    </row>
    <row r="302" spans="3:12">
      <c r="C302" s="331" t="s">
        <v>2871</v>
      </c>
      <c r="D302" s="943" t="s">
        <v>2872</v>
      </c>
      <c r="E302" s="945" t="s">
        <v>2318</v>
      </c>
      <c r="F302" s="946">
        <v>0</v>
      </c>
      <c r="G302" s="947"/>
      <c r="H302" s="948"/>
      <c r="I302" s="947"/>
      <c r="J302" s="688"/>
      <c r="K302"/>
      <c r="L302"/>
    </row>
    <row r="303" spans="3:12">
      <c r="C303" s="331" t="s">
        <v>2873</v>
      </c>
      <c r="D303" s="943" t="s">
        <v>2874</v>
      </c>
      <c r="E303" s="945" t="s">
        <v>2318</v>
      </c>
      <c r="F303" s="946">
        <v>0</v>
      </c>
      <c r="G303" s="947"/>
      <c r="H303" s="948"/>
      <c r="I303" s="947"/>
      <c r="J303" s="688"/>
      <c r="K303"/>
      <c r="L303"/>
    </row>
    <row r="304" spans="3:12">
      <c r="C304" s="331" t="s">
        <v>2875</v>
      </c>
      <c r="D304" s="943" t="s">
        <v>2876</v>
      </c>
      <c r="E304" s="945" t="s">
        <v>2318</v>
      </c>
      <c r="F304" s="946">
        <v>0</v>
      </c>
      <c r="G304" s="947"/>
      <c r="H304" s="948"/>
      <c r="I304" s="947"/>
      <c r="J304" s="688"/>
      <c r="K304"/>
      <c r="L304"/>
    </row>
    <row r="305" spans="3:12">
      <c r="C305" s="331" t="s">
        <v>2877</v>
      </c>
      <c r="D305" s="943" t="s">
        <v>2878</v>
      </c>
      <c r="E305" s="945" t="s">
        <v>2318</v>
      </c>
      <c r="F305" s="946">
        <v>0</v>
      </c>
      <c r="G305" s="947"/>
      <c r="H305" s="948"/>
      <c r="I305" s="947"/>
      <c r="J305" s="688"/>
      <c r="K305"/>
      <c r="L305"/>
    </row>
    <row r="306" spans="3:12">
      <c r="C306" s="331" t="s">
        <v>2879</v>
      </c>
      <c r="D306" s="943" t="s">
        <v>2880</v>
      </c>
      <c r="E306" s="945" t="s">
        <v>2318</v>
      </c>
      <c r="F306" s="946">
        <v>0</v>
      </c>
      <c r="G306" s="947"/>
      <c r="H306" s="948"/>
      <c r="I306" s="947"/>
      <c r="J306" s="688"/>
      <c r="K306"/>
      <c r="L306"/>
    </row>
    <row r="307" spans="3:12">
      <c r="C307" s="331" t="s">
        <v>2881</v>
      </c>
      <c r="D307" s="943" t="s">
        <v>2882</v>
      </c>
      <c r="E307" s="945" t="s">
        <v>2318</v>
      </c>
      <c r="F307" s="946">
        <v>0</v>
      </c>
      <c r="G307" s="947"/>
      <c r="H307" s="948"/>
      <c r="I307" s="947"/>
      <c r="J307" s="688"/>
      <c r="K307"/>
      <c r="L307"/>
    </row>
    <row r="308" spans="3:12">
      <c r="C308" s="331" t="s">
        <v>2883</v>
      </c>
      <c r="D308" s="943" t="s">
        <v>2884</v>
      </c>
      <c r="E308" s="945" t="s">
        <v>2318</v>
      </c>
      <c r="F308" s="946">
        <v>0</v>
      </c>
      <c r="G308" s="947"/>
      <c r="H308" s="948"/>
      <c r="I308" s="947"/>
      <c r="J308" s="688"/>
      <c r="K308"/>
      <c r="L308"/>
    </row>
    <row r="309" spans="3:12">
      <c r="C309" s="331" t="s">
        <v>2885</v>
      </c>
      <c r="D309" s="943" t="s">
        <v>2886</v>
      </c>
      <c r="E309" s="945" t="s">
        <v>2318</v>
      </c>
      <c r="F309" s="946">
        <v>0</v>
      </c>
      <c r="G309" s="947"/>
      <c r="H309" s="948"/>
      <c r="I309" s="947"/>
      <c r="J309" s="688"/>
      <c r="K309"/>
      <c r="L309"/>
    </row>
    <row r="310" spans="3:12">
      <c r="C310" s="331" t="s">
        <v>2887</v>
      </c>
      <c r="D310" s="943" t="s">
        <v>2888</v>
      </c>
      <c r="E310" s="945" t="s">
        <v>2318</v>
      </c>
      <c r="F310" s="946">
        <v>0</v>
      </c>
      <c r="G310" s="947"/>
      <c r="H310" s="948"/>
      <c r="I310" s="947"/>
      <c r="J310" s="688"/>
      <c r="K310"/>
      <c r="L310"/>
    </row>
    <row r="311" spans="3:12">
      <c r="C311" s="331" t="s">
        <v>2889</v>
      </c>
      <c r="D311" s="943" t="s">
        <v>2890</v>
      </c>
      <c r="E311" s="945" t="s">
        <v>2318</v>
      </c>
      <c r="F311" s="946">
        <v>0</v>
      </c>
      <c r="G311" s="947"/>
      <c r="H311" s="948"/>
      <c r="I311" s="947"/>
      <c r="J311" s="688"/>
      <c r="K311"/>
      <c r="L311"/>
    </row>
    <row r="312" spans="3:12">
      <c r="C312" s="330"/>
      <c r="D312" s="943"/>
      <c r="E312" s="945"/>
      <c r="F312" s="946"/>
      <c r="G312" s="947"/>
      <c r="H312" s="948"/>
      <c r="I312" s="947"/>
      <c r="J312" s="688"/>
      <c r="K312"/>
      <c r="L312"/>
    </row>
    <row r="313" spans="3:12">
      <c r="C313" s="331" t="s">
        <v>2891</v>
      </c>
      <c r="D313" s="943" t="s">
        <v>2892</v>
      </c>
      <c r="E313" s="945" t="s">
        <v>2318</v>
      </c>
      <c r="F313" s="946">
        <v>0</v>
      </c>
      <c r="G313" s="947"/>
      <c r="H313" s="948"/>
      <c r="I313" s="947"/>
      <c r="J313" s="688"/>
      <c r="K313"/>
      <c r="L313"/>
    </row>
    <row r="314" spans="3:12">
      <c r="C314" s="331" t="s">
        <v>2893</v>
      </c>
      <c r="D314" s="943" t="s">
        <v>2894</v>
      </c>
      <c r="E314" s="945" t="s">
        <v>2318</v>
      </c>
      <c r="F314" s="946">
        <v>0</v>
      </c>
      <c r="G314" s="947"/>
      <c r="H314" s="948"/>
      <c r="I314" s="947"/>
      <c r="J314" s="688"/>
      <c r="K314"/>
      <c r="L314"/>
    </row>
    <row r="315" spans="3:12">
      <c r="C315" s="331" t="s">
        <v>2895</v>
      </c>
      <c r="D315" s="943" t="s">
        <v>2896</v>
      </c>
      <c r="E315" s="945" t="s">
        <v>2318</v>
      </c>
      <c r="F315" s="946">
        <v>0</v>
      </c>
      <c r="G315" s="947"/>
      <c r="H315" s="948"/>
      <c r="I315" s="947"/>
      <c r="J315" s="688"/>
      <c r="K315"/>
      <c r="L315"/>
    </row>
    <row r="316" spans="3:12">
      <c r="C316" s="331" t="s">
        <v>2897</v>
      </c>
      <c r="D316" s="943" t="s">
        <v>2898</v>
      </c>
      <c r="E316" s="945" t="s">
        <v>2318</v>
      </c>
      <c r="F316" s="946">
        <v>0</v>
      </c>
      <c r="G316" s="947"/>
      <c r="H316" s="948"/>
      <c r="I316" s="947"/>
      <c r="J316" s="688"/>
      <c r="K316"/>
      <c r="L316"/>
    </row>
    <row r="317" spans="3:12">
      <c r="C317" s="331" t="s">
        <v>2899</v>
      </c>
      <c r="D317" s="943" t="s">
        <v>2900</v>
      </c>
      <c r="E317" s="945" t="s">
        <v>2318</v>
      </c>
      <c r="F317" s="946">
        <v>0</v>
      </c>
      <c r="G317" s="947"/>
      <c r="H317" s="948"/>
      <c r="I317" s="947"/>
      <c r="J317" s="688"/>
      <c r="K317"/>
      <c r="L317"/>
    </row>
    <row r="318" spans="3:12">
      <c r="C318" s="331" t="s">
        <v>2901</v>
      </c>
      <c r="D318" s="943" t="s">
        <v>2902</v>
      </c>
      <c r="E318" s="945" t="s">
        <v>2318</v>
      </c>
      <c r="F318" s="946">
        <v>0</v>
      </c>
      <c r="G318" s="947"/>
      <c r="H318" s="948"/>
      <c r="I318" s="947"/>
      <c r="J318" s="688"/>
      <c r="K318"/>
      <c r="L318"/>
    </row>
    <row r="319" spans="3:12">
      <c r="C319" s="331" t="s">
        <v>2903</v>
      </c>
      <c r="D319" s="943" t="s">
        <v>2904</v>
      </c>
      <c r="E319" s="945" t="s">
        <v>2318</v>
      </c>
      <c r="F319" s="946">
        <v>0</v>
      </c>
      <c r="G319" s="947"/>
      <c r="H319" s="948"/>
      <c r="I319" s="947"/>
      <c r="J319" s="688"/>
      <c r="K319"/>
      <c r="L319"/>
    </row>
    <row r="320" spans="3:12">
      <c r="C320" s="331" t="s">
        <v>2905</v>
      </c>
      <c r="D320" s="943" t="s">
        <v>2906</v>
      </c>
      <c r="E320" s="945" t="s">
        <v>2318</v>
      </c>
      <c r="F320" s="946">
        <v>0</v>
      </c>
      <c r="G320" s="947"/>
      <c r="H320" s="948"/>
      <c r="I320" s="947"/>
      <c r="J320" s="688"/>
      <c r="K320"/>
      <c r="L320"/>
    </row>
    <row r="321" spans="3:12">
      <c r="C321" s="331" t="s">
        <v>2907</v>
      </c>
      <c r="D321" s="943" t="s">
        <v>2908</v>
      </c>
      <c r="E321" s="945" t="s">
        <v>2318</v>
      </c>
      <c r="F321" s="946">
        <v>0</v>
      </c>
      <c r="G321" s="947"/>
      <c r="H321" s="948"/>
      <c r="I321" s="947"/>
      <c r="J321" s="688"/>
      <c r="K321"/>
      <c r="L321"/>
    </row>
    <row r="322" spans="3:12">
      <c r="C322" s="331" t="s">
        <v>2909</v>
      </c>
      <c r="D322" s="943" t="s">
        <v>2910</v>
      </c>
      <c r="E322" s="945" t="s">
        <v>2318</v>
      </c>
      <c r="F322" s="946">
        <v>0</v>
      </c>
      <c r="G322" s="947"/>
      <c r="H322" s="948"/>
      <c r="I322" s="947"/>
      <c r="J322" s="688"/>
      <c r="K322"/>
      <c r="L322"/>
    </row>
    <row r="323" spans="3:12">
      <c r="C323" s="331" t="s">
        <v>2911</v>
      </c>
      <c r="D323" s="943" t="s">
        <v>2912</v>
      </c>
      <c r="E323" s="945" t="s">
        <v>2318</v>
      </c>
      <c r="F323" s="946">
        <v>0</v>
      </c>
      <c r="G323" s="947"/>
      <c r="H323" s="948"/>
      <c r="I323" s="947"/>
      <c r="J323" s="688"/>
      <c r="K323"/>
      <c r="L323"/>
    </row>
    <row r="324" spans="3:12">
      <c r="C324" s="331" t="s">
        <v>2913</v>
      </c>
      <c r="D324" s="943" t="s">
        <v>2914</v>
      </c>
      <c r="E324" s="945" t="s">
        <v>2318</v>
      </c>
      <c r="F324" s="946">
        <v>0</v>
      </c>
      <c r="G324" s="947"/>
      <c r="H324" s="948"/>
      <c r="I324" s="947"/>
      <c r="J324" s="688"/>
      <c r="K324"/>
      <c r="L324"/>
    </row>
    <row r="325" spans="3:12">
      <c r="C325" s="331" t="s">
        <v>2915</v>
      </c>
      <c r="D325" s="943" t="s">
        <v>2916</v>
      </c>
      <c r="E325" s="945" t="s">
        <v>2318</v>
      </c>
      <c r="F325" s="946">
        <v>0</v>
      </c>
      <c r="G325" s="947"/>
      <c r="H325" s="948"/>
      <c r="I325" s="947"/>
      <c r="J325" s="688"/>
      <c r="K325"/>
      <c r="L325"/>
    </row>
    <row r="326" spans="3:12">
      <c r="C326" s="331" t="s">
        <v>2917</v>
      </c>
      <c r="D326" s="943" t="s">
        <v>2918</v>
      </c>
      <c r="E326" s="945" t="s">
        <v>2318</v>
      </c>
      <c r="F326" s="946">
        <v>0</v>
      </c>
      <c r="G326" s="947"/>
      <c r="H326" s="948"/>
      <c r="I326" s="947"/>
      <c r="J326" s="688"/>
      <c r="K326"/>
      <c r="L326"/>
    </row>
    <row r="327" spans="3:12">
      <c r="C327" s="331" t="s">
        <v>2919</v>
      </c>
      <c r="D327" s="943" t="s">
        <v>2920</v>
      </c>
      <c r="E327" s="945" t="s">
        <v>2318</v>
      </c>
      <c r="F327" s="946">
        <v>0</v>
      </c>
      <c r="G327" s="947"/>
      <c r="H327" s="948"/>
      <c r="I327" s="947"/>
      <c r="J327" s="688"/>
      <c r="K327"/>
      <c r="L327"/>
    </row>
    <row r="328" spans="3:12">
      <c r="C328" s="330"/>
      <c r="D328" s="943"/>
      <c r="E328" s="945"/>
      <c r="F328" s="946"/>
      <c r="G328" s="947"/>
      <c r="H328" s="948"/>
      <c r="I328" s="947"/>
      <c r="J328" s="688"/>
      <c r="K328"/>
      <c r="L328"/>
    </row>
    <row r="329" spans="3:12">
      <c r="C329" s="331" t="s">
        <v>2921</v>
      </c>
      <c r="D329" s="943" t="s">
        <v>2922</v>
      </c>
      <c r="E329" s="945" t="s">
        <v>2318</v>
      </c>
      <c r="F329" s="946">
        <v>0</v>
      </c>
      <c r="G329" s="947"/>
      <c r="H329" s="948"/>
      <c r="I329" s="947"/>
      <c r="J329" s="688"/>
      <c r="K329"/>
      <c r="L329"/>
    </row>
    <row r="330" spans="3:12">
      <c r="C330" s="331" t="s">
        <v>2923</v>
      </c>
      <c r="D330" s="943" t="s">
        <v>2924</v>
      </c>
      <c r="E330" s="945" t="s">
        <v>2318</v>
      </c>
      <c r="F330" s="946">
        <v>0</v>
      </c>
      <c r="G330" s="947"/>
      <c r="H330" s="948"/>
      <c r="I330" s="947"/>
      <c r="J330" s="688"/>
      <c r="K330"/>
      <c r="L330"/>
    </row>
    <row r="331" spans="3:12">
      <c r="C331" s="331" t="s">
        <v>2925</v>
      </c>
      <c r="D331" s="943" t="s">
        <v>2926</v>
      </c>
      <c r="E331" s="945" t="s">
        <v>2318</v>
      </c>
      <c r="F331" s="946">
        <v>0</v>
      </c>
      <c r="G331" s="947"/>
      <c r="H331" s="948"/>
      <c r="I331" s="947"/>
      <c r="J331" s="688"/>
      <c r="K331"/>
      <c r="L331"/>
    </row>
    <row r="332" spans="3:12">
      <c r="C332" s="331" t="s">
        <v>2927</v>
      </c>
      <c r="D332" s="943" t="s">
        <v>2928</v>
      </c>
      <c r="E332" s="945" t="s">
        <v>2318</v>
      </c>
      <c r="F332" s="946">
        <v>0</v>
      </c>
      <c r="G332" s="947"/>
      <c r="H332" s="948"/>
      <c r="I332" s="947"/>
      <c r="J332" s="688"/>
      <c r="K332"/>
      <c r="L332"/>
    </row>
    <row r="333" spans="3:12">
      <c r="C333" s="331" t="s">
        <v>2929</v>
      </c>
      <c r="D333" s="943" t="s">
        <v>2930</v>
      </c>
      <c r="E333" s="945" t="s">
        <v>2318</v>
      </c>
      <c r="F333" s="946">
        <v>0</v>
      </c>
      <c r="G333" s="947"/>
      <c r="H333" s="948"/>
      <c r="I333" s="947"/>
      <c r="J333" s="688"/>
      <c r="K333"/>
      <c r="L333"/>
    </row>
    <row r="334" spans="3:12">
      <c r="C334" s="331" t="s">
        <v>2931</v>
      </c>
      <c r="D334" s="943" t="s">
        <v>2932</v>
      </c>
      <c r="E334" s="945" t="s">
        <v>2318</v>
      </c>
      <c r="F334" s="946">
        <v>0</v>
      </c>
      <c r="G334" s="947"/>
      <c r="H334" s="948"/>
      <c r="I334" s="947"/>
      <c r="J334" s="688"/>
      <c r="K334"/>
      <c r="L334"/>
    </row>
    <row r="335" spans="3:12">
      <c r="C335" s="331" t="s">
        <v>2933</v>
      </c>
      <c r="D335" s="943" t="s">
        <v>2934</v>
      </c>
      <c r="E335" s="945" t="s">
        <v>2318</v>
      </c>
      <c r="F335" s="946">
        <v>0</v>
      </c>
      <c r="G335" s="947"/>
      <c r="H335" s="948"/>
      <c r="I335" s="947"/>
      <c r="J335" s="688"/>
      <c r="K335"/>
      <c r="L335"/>
    </row>
    <row r="336" spans="3:12">
      <c r="C336" s="331" t="s">
        <v>2935</v>
      </c>
      <c r="D336" s="943" t="s">
        <v>2936</v>
      </c>
      <c r="E336" s="945" t="s">
        <v>2318</v>
      </c>
      <c r="F336" s="946">
        <v>0</v>
      </c>
      <c r="G336" s="947"/>
      <c r="H336" s="948"/>
      <c r="I336" s="947"/>
      <c r="J336" s="688"/>
      <c r="K336"/>
      <c r="L336"/>
    </row>
    <row r="337" spans="3:12">
      <c r="C337" s="331" t="s">
        <v>2937</v>
      </c>
      <c r="D337" s="943" t="s">
        <v>2938</v>
      </c>
      <c r="E337" s="945" t="s">
        <v>2318</v>
      </c>
      <c r="F337" s="946">
        <v>0</v>
      </c>
      <c r="G337" s="947"/>
      <c r="H337" s="948"/>
      <c r="I337" s="947"/>
      <c r="J337" s="688"/>
      <c r="K337"/>
      <c r="L337"/>
    </row>
    <row r="338" spans="3:12">
      <c r="C338" s="331" t="s">
        <v>2939</v>
      </c>
      <c r="D338" s="943" t="s">
        <v>2940</v>
      </c>
      <c r="E338" s="945" t="s">
        <v>2318</v>
      </c>
      <c r="F338" s="946">
        <v>0</v>
      </c>
      <c r="G338" s="947"/>
      <c r="H338" s="948"/>
      <c r="I338" s="947"/>
      <c r="J338" s="688"/>
      <c r="K338"/>
      <c r="L338"/>
    </row>
    <row r="339" spans="3:12">
      <c r="C339" s="331" t="s">
        <v>2941</v>
      </c>
      <c r="D339" s="943" t="s">
        <v>2942</v>
      </c>
      <c r="E339" s="945" t="s">
        <v>2318</v>
      </c>
      <c r="F339" s="946">
        <v>0</v>
      </c>
      <c r="G339" s="947"/>
      <c r="H339" s="948"/>
      <c r="I339" s="947"/>
      <c r="J339" s="688"/>
      <c r="K339"/>
      <c r="L339"/>
    </row>
    <row r="340" spans="3:12">
      <c r="C340" s="331" t="s">
        <v>2943</v>
      </c>
      <c r="D340" s="943" t="s">
        <v>2944</v>
      </c>
      <c r="E340" s="945" t="s">
        <v>2318</v>
      </c>
      <c r="F340" s="946">
        <v>0</v>
      </c>
      <c r="G340" s="947"/>
      <c r="H340" s="948"/>
      <c r="I340" s="947"/>
      <c r="J340" s="688"/>
      <c r="K340"/>
      <c r="L340"/>
    </row>
    <row r="341" spans="3:12">
      <c r="C341" s="331" t="s">
        <v>2945</v>
      </c>
      <c r="D341" s="943" t="s">
        <v>2946</v>
      </c>
      <c r="E341" s="945" t="s">
        <v>2318</v>
      </c>
      <c r="F341" s="946">
        <v>0</v>
      </c>
      <c r="G341" s="947"/>
      <c r="H341" s="948"/>
      <c r="I341" s="947"/>
      <c r="J341" s="688"/>
      <c r="K341"/>
      <c r="L341"/>
    </row>
    <row r="342" spans="3:12">
      <c r="C342" s="331" t="s">
        <v>2947</v>
      </c>
      <c r="D342" s="943" t="s">
        <v>2948</v>
      </c>
      <c r="E342" s="945" t="s">
        <v>2318</v>
      </c>
      <c r="F342" s="946">
        <v>0</v>
      </c>
      <c r="G342" s="947"/>
      <c r="H342" s="948"/>
      <c r="I342" s="947"/>
      <c r="J342" s="688"/>
      <c r="K342"/>
      <c r="L342"/>
    </row>
    <row r="343" spans="3:12">
      <c r="C343" s="331" t="s">
        <v>2949</v>
      </c>
      <c r="D343" s="943" t="s">
        <v>2950</v>
      </c>
      <c r="E343" s="945" t="s">
        <v>2318</v>
      </c>
      <c r="F343" s="946">
        <v>0</v>
      </c>
      <c r="G343" s="947"/>
      <c r="H343" s="948"/>
      <c r="I343" s="947"/>
      <c r="J343" s="688"/>
      <c r="K343"/>
      <c r="L343"/>
    </row>
    <row r="344" spans="3:12">
      <c r="C344" s="330"/>
      <c r="D344" s="943"/>
      <c r="E344" s="945"/>
      <c r="F344" s="946"/>
      <c r="G344" s="947"/>
      <c r="H344" s="948"/>
      <c r="I344" s="947"/>
      <c r="J344" s="688"/>
      <c r="K344"/>
      <c r="L344"/>
    </row>
    <row r="345" spans="3:12">
      <c r="C345" s="331" t="s">
        <v>2951</v>
      </c>
      <c r="D345" s="943" t="s">
        <v>2952</v>
      </c>
      <c r="E345" s="945" t="s">
        <v>2318</v>
      </c>
      <c r="F345" s="946">
        <v>0</v>
      </c>
      <c r="G345" s="947"/>
      <c r="H345" s="948"/>
      <c r="I345" s="947"/>
      <c r="J345" s="688"/>
      <c r="K345"/>
      <c r="L345"/>
    </row>
    <row r="346" spans="3:12">
      <c r="C346" s="331" t="s">
        <v>2953</v>
      </c>
      <c r="D346" s="943" t="s">
        <v>2954</v>
      </c>
      <c r="E346" s="945" t="s">
        <v>2318</v>
      </c>
      <c r="F346" s="946">
        <v>0</v>
      </c>
      <c r="G346" s="947"/>
      <c r="H346" s="948"/>
      <c r="I346" s="947"/>
      <c r="J346" s="688"/>
      <c r="K346"/>
      <c r="L346"/>
    </row>
    <row r="347" spans="3:12">
      <c r="C347" s="331" t="s">
        <v>2955</v>
      </c>
      <c r="D347" s="943" t="s">
        <v>2956</v>
      </c>
      <c r="E347" s="945" t="s">
        <v>2318</v>
      </c>
      <c r="F347" s="946">
        <v>1</v>
      </c>
      <c r="G347" s="947">
        <f>$L$2*I347</f>
        <v>396535024.291471</v>
      </c>
      <c r="H347" s="948">
        <f>F347*G347</f>
        <v>396535024.291471</v>
      </c>
      <c r="I347" s="947">
        <f>Class6_DD_6pile_8_m</f>
        <v>396535024.291471</v>
      </c>
      <c r="J347" s="688">
        <f>F347*I347</f>
        <v>396535024.291471</v>
      </c>
      <c r="K347"/>
      <c r="L347"/>
    </row>
    <row r="348" spans="3:12">
      <c r="C348" s="331" t="s">
        <v>2957</v>
      </c>
      <c r="D348" s="943" t="s">
        <v>2958</v>
      </c>
      <c r="E348" s="945" t="s">
        <v>2318</v>
      </c>
      <c r="F348" s="946">
        <v>0</v>
      </c>
      <c r="G348" s="947"/>
      <c r="H348" s="948"/>
      <c r="I348" s="947"/>
      <c r="J348" s="688"/>
      <c r="K348"/>
      <c r="L348"/>
    </row>
    <row r="349" spans="3:12">
      <c r="C349" s="331" t="s">
        <v>2959</v>
      </c>
      <c r="D349" s="943" t="s">
        <v>2960</v>
      </c>
      <c r="E349" s="945" t="s">
        <v>2318</v>
      </c>
      <c r="F349" s="946">
        <v>0</v>
      </c>
      <c r="G349" s="947"/>
      <c r="H349" s="948"/>
      <c r="I349" s="947"/>
      <c r="J349" s="688"/>
      <c r="K349"/>
      <c r="L349"/>
    </row>
    <row r="350" spans="3:12">
      <c r="C350" s="331" t="s">
        <v>2961</v>
      </c>
      <c r="D350" s="943" t="s">
        <v>2962</v>
      </c>
      <c r="E350" s="945" t="s">
        <v>2318</v>
      </c>
      <c r="F350" s="946">
        <v>0</v>
      </c>
      <c r="G350" s="947"/>
      <c r="H350" s="948"/>
      <c r="I350" s="947"/>
      <c r="J350" s="688"/>
      <c r="K350"/>
      <c r="L350"/>
    </row>
    <row r="351" spans="3:12">
      <c r="C351" s="331" t="s">
        <v>2963</v>
      </c>
      <c r="D351" s="943" t="s">
        <v>2964</v>
      </c>
      <c r="E351" s="945" t="s">
        <v>2318</v>
      </c>
      <c r="F351" s="946">
        <v>0</v>
      </c>
      <c r="G351" s="947"/>
      <c r="H351" s="948"/>
      <c r="I351" s="947"/>
      <c r="J351" s="688"/>
      <c r="K351"/>
      <c r="L351"/>
    </row>
    <row r="352" spans="3:12">
      <c r="C352" s="331" t="s">
        <v>2965</v>
      </c>
      <c r="D352" s="943" t="s">
        <v>2966</v>
      </c>
      <c r="E352" s="945" t="s">
        <v>2318</v>
      </c>
      <c r="F352" s="946">
        <v>0</v>
      </c>
      <c r="G352" s="947"/>
      <c r="H352" s="948"/>
      <c r="I352" s="947"/>
      <c r="J352" s="688"/>
      <c r="K352"/>
      <c r="L352"/>
    </row>
    <row r="353" spans="3:12">
      <c r="C353" s="329" t="s">
        <v>2967</v>
      </c>
      <c r="D353" s="328" t="s">
        <v>2968</v>
      </c>
      <c r="E353" s="327" t="s">
        <v>2318</v>
      </c>
      <c r="F353" s="326">
        <v>0</v>
      </c>
      <c r="G353" s="325"/>
      <c r="H353" s="949"/>
      <c r="I353" s="325"/>
      <c r="J353" s="689"/>
      <c r="K353"/>
      <c r="L353"/>
    </row>
    <row r="354" spans="3:12">
      <c r="C354" s="950" t="s">
        <v>2969</v>
      </c>
      <c r="D354" s="951" t="s">
        <v>2970</v>
      </c>
      <c r="E354" s="952" t="s">
        <v>2318</v>
      </c>
      <c r="F354" s="953">
        <v>0</v>
      </c>
      <c r="G354" s="954"/>
      <c r="H354" s="955"/>
      <c r="I354" s="954"/>
      <c r="J354" s="956"/>
      <c r="K354"/>
      <c r="L354"/>
    </row>
    <row r="355" spans="3:12">
      <c r="C355" s="331" t="s">
        <v>2971</v>
      </c>
      <c r="D355" s="943" t="s">
        <v>2972</v>
      </c>
      <c r="E355" s="945" t="s">
        <v>2318</v>
      </c>
      <c r="F355" s="946">
        <v>0</v>
      </c>
      <c r="G355" s="947"/>
      <c r="H355" s="948"/>
      <c r="I355" s="947"/>
      <c r="J355" s="688"/>
      <c r="K355"/>
      <c r="L355"/>
    </row>
    <row r="356" spans="3:12">
      <c r="C356" s="331" t="s">
        <v>2973</v>
      </c>
      <c r="D356" s="943" t="s">
        <v>2974</v>
      </c>
      <c r="E356" s="945" t="s">
        <v>2318</v>
      </c>
      <c r="F356" s="946">
        <v>0</v>
      </c>
      <c r="G356" s="947"/>
      <c r="H356" s="948"/>
      <c r="I356" s="947"/>
      <c r="J356" s="688"/>
      <c r="K356"/>
      <c r="L356"/>
    </row>
    <row r="357" spans="3:12">
      <c r="C357" s="331" t="s">
        <v>2975</v>
      </c>
      <c r="D357" s="943" t="s">
        <v>2976</v>
      </c>
      <c r="E357" s="945" t="s">
        <v>2318</v>
      </c>
      <c r="F357" s="946">
        <v>0</v>
      </c>
      <c r="G357" s="947"/>
      <c r="H357" s="948"/>
      <c r="I357" s="947"/>
      <c r="J357" s="688"/>
      <c r="K357"/>
      <c r="L357"/>
    </row>
    <row r="358" spans="3:12">
      <c r="C358" s="331" t="s">
        <v>2977</v>
      </c>
      <c r="D358" s="943" t="s">
        <v>2978</v>
      </c>
      <c r="E358" s="945" t="s">
        <v>2318</v>
      </c>
      <c r="F358" s="946">
        <v>0</v>
      </c>
      <c r="G358" s="947"/>
      <c r="H358" s="948"/>
      <c r="I358" s="947"/>
      <c r="J358" s="688"/>
      <c r="K358"/>
      <c r="L358"/>
    </row>
    <row r="359" spans="3:12">
      <c r="C359" s="331" t="s">
        <v>2979</v>
      </c>
      <c r="D359" s="943" t="s">
        <v>2980</v>
      </c>
      <c r="E359" s="945" t="s">
        <v>2318</v>
      </c>
      <c r="F359" s="946">
        <v>0</v>
      </c>
      <c r="G359" s="947"/>
      <c r="H359" s="948"/>
      <c r="I359" s="947"/>
      <c r="J359" s="688"/>
      <c r="K359"/>
      <c r="L359"/>
    </row>
    <row r="360" spans="3:12">
      <c r="C360" s="330"/>
      <c r="D360" s="943"/>
      <c r="E360" s="945"/>
      <c r="F360" s="946"/>
      <c r="G360" s="947"/>
      <c r="H360" s="948"/>
      <c r="I360" s="947"/>
      <c r="J360" s="688"/>
      <c r="K360"/>
      <c r="L360"/>
    </row>
    <row r="361" spans="3:12">
      <c r="C361" s="331" t="s">
        <v>2981</v>
      </c>
      <c r="D361" s="943" t="s">
        <v>2982</v>
      </c>
      <c r="E361" s="945" t="s">
        <v>2318</v>
      </c>
      <c r="F361" s="946">
        <v>0</v>
      </c>
      <c r="G361" s="947"/>
      <c r="H361" s="948"/>
      <c r="I361" s="947"/>
      <c r="J361" s="688"/>
      <c r="K361"/>
      <c r="L361"/>
    </row>
    <row r="362" spans="3:12">
      <c r="C362" s="331" t="s">
        <v>2983</v>
      </c>
      <c r="D362" s="943" t="s">
        <v>2984</v>
      </c>
      <c r="E362" s="945" t="s">
        <v>2318</v>
      </c>
      <c r="F362" s="946">
        <v>0</v>
      </c>
      <c r="G362" s="947"/>
      <c r="H362" s="948"/>
      <c r="I362" s="947"/>
      <c r="J362" s="688"/>
      <c r="K362"/>
      <c r="L362"/>
    </row>
    <row r="363" spans="3:12">
      <c r="C363" s="331" t="s">
        <v>2985</v>
      </c>
      <c r="D363" s="943" t="s">
        <v>2986</v>
      </c>
      <c r="E363" s="945" t="s">
        <v>2318</v>
      </c>
      <c r="F363" s="946">
        <v>0</v>
      </c>
      <c r="G363" s="947"/>
      <c r="H363" s="948"/>
      <c r="I363" s="947"/>
      <c r="J363" s="688"/>
      <c r="K363"/>
      <c r="L363"/>
    </row>
    <row r="364" spans="3:12">
      <c r="C364" s="331" t="s">
        <v>2987</v>
      </c>
      <c r="D364" s="943" t="s">
        <v>2988</v>
      </c>
      <c r="E364" s="945" t="s">
        <v>2318</v>
      </c>
      <c r="F364" s="946">
        <v>0</v>
      </c>
      <c r="G364" s="947"/>
      <c r="H364" s="948"/>
      <c r="I364" s="947"/>
      <c r="J364" s="688"/>
      <c r="K364"/>
      <c r="L364"/>
    </row>
    <row r="365" spans="3:12">
      <c r="C365" s="331" t="s">
        <v>2989</v>
      </c>
      <c r="D365" s="943" t="s">
        <v>2990</v>
      </c>
      <c r="E365" s="945" t="s">
        <v>2318</v>
      </c>
      <c r="F365" s="946">
        <v>0</v>
      </c>
      <c r="G365" s="947"/>
      <c r="H365" s="948"/>
      <c r="I365" s="947"/>
      <c r="J365" s="688"/>
      <c r="K365"/>
      <c r="L365"/>
    </row>
    <row r="366" spans="3:12">
      <c r="C366" s="331" t="s">
        <v>2991</v>
      </c>
      <c r="D366" s="943" t="s">
        <v>2992</v>
      </c>
      <c r="E366" s="945" t="s">
        <v>2318</v>
      </c>
      <c r="F366" s="946">
        <v>0</v>
      </c>
      <c r="G366" s="947"/>
      <c r="H366" s="948"/>
      <c r="I366" s="947"/>
      <c r="J366" s="688"/>
      <c r="K366"/>
      <c r="L366"/>
    </row>
    <row r="367" spans="3:12">
      <c r="C367" s="331" t="s">
        <v>2993</v>
      </c>
      <c r="D367" s="943" t="s">
        <v>2994</v>
      </c>
      <c r="E367" s="945" t="s">
        <v>2318</v>
      </c>
      <c r="F367" s="946">
        <v>0</v>
      </c>
      <c r="G367" s="947"/>
      <c r="H367" s="948"/>
      <c r="I367" s="947"/>
      <c r="J367" s="688"/>
      <c r="K367"/>
      <c r="L367"/>
    </row>
    <row r="368" spans="3:12">
      <c r="C368" s="331" t="s">
        <v>2995</v>
      </c>
      <c r="D368" s="943" t="s">
        <v>2996</v>
      </c>
      <c r="E368" s="945" t="s">
        <v>2318</v>
      </c>
      <c r="F368" s="946">
        <v>0</v>
      </c>
      <c r="G368" s="947"/>
      <c r="H368" s="948"/>
      <c r="I368" s="947"/>
      <c r="J368" s="688"/>
      <c r="K368"/>
      <c r="L368"/>
    </row>
    <row r="369" spans="3:12">
      <c r="C369" s="331" t="s">
        <v>2997</v>
      </c>
      <c r="D369" s="943" t="s">
        <v>2998</v>
      </c>
      <c r="E369" s="945" t="s">
        <v>2318</v>
      </c>
      <c r="F369" s="946">
        <v>0</v>
      </c>
      <c r="G369" s="947"/>
      <c r="H369" s="948"/>
      <c r="I369" s="947"/>
      <c r="J369" s="688"/>
      <c r="K369"/>
      <c r="L369"/>
    </row>
    <row r="370" spans="3:12">
      <c r="C370" s="331" t="s">
        <v>2999</v>
      </c>
      <c r="D370" s="943" t="s">
        <v>3000</v>
      </c>
      <c r="E370" s="945" t="s">
        <v>2318</v>
      </c>
      <c r="F370" s="946">
        <v>0</v>
      </c>
      <c r="G370" s="947"/>
      <c r="H370" s="948"/>
      <c r="I370" s="947"/>
      <c r="J370" s="688"/>
      <c r="K370"/>
      <c r="L370"/>
    </row>
    <row r="371" spans="3:12">
      <c r="C371" s="331" t="s">
        <v>3001</v>
      </c>
      <c r="D371" s="943" t="s">
        <v>3002</v>
      </c>
      <c r="E371" s="945" t="s">
        <v>2318</v>
      </c>
      <c r="F371" s="946">
        <v>0</v>
      </c>
      <c r="G371" s="947"/>
      <c r="H371" s="948"/>
      <c r="I371" s="947"/>
      <c r="J371" s="688"/>
      <c r="K371"/>
      <c r="L371"/>
    </row>
    <row r="372" spans="3:12">
      <c r="C372" s="331" t="s">
        <v>3003</v>
      </c>
      <c r="D372" s="943" t="s">
        <v>3004</v>
      </c>
      <c r="E372" s="945" t="s">
        <v>2318</v>
      </c>
      <c r="F372" s="946">
        <v>0</v>
      </c>
      <c r="G372" s="947"/>
      <c r="H372" s="948"/>
      <c r="I372" s="947"/>
      <c r="J372" s="688"/>
      <c r="K372"/>
      <c r="L372"/>
    </row>
    <row r="373" spans="3:12">
      <c r="C373" s="331" t="s">
        <v>3005</v>
      </c>
      <c r="D373" s="943" t="s">
        <v>3006</v>
      </c>
      <c r="E373" s="945" t="s">
        <v>2318</v>
      </c>
      <c r="F373" s="946">
        <v>0</v>
      </c>
      <c r="G373" s="947"/>
      <c r="H373" s="948"/>
      <c r="I373" s="947"/>
      <c r="J373" s="688"/>
      <c r="K373"/>
      <c r="L373"/>
    </row>
    <row r="374" spans="3:12">
      <c r="C374" s="331" t="s">
        <v>3007</v>
      </c>
      <c r="D374" s="943" t="s">
        <v>3008</v>
      </c>
      <c r="E374" s="945" t="s">
        <v>2318</v>
      </c>
      <c r="F374" s="946">
        <v>0</v>
      </c>
      <c r="G374" s="947"/>
      <c r="H374" s="948"/>
      <c r="I374" s="947"/>
      <c r="J374" s="688"/>
      <c r="K374"/>
      <c r="L374"/>
    </row>
    <row r="375" spans="3:12">
      <c r="C375" s="331" t="s">
        <v>3009</v>
      </c>
      <c r="D375" s="943" t="s">
        <v>3010</v>
      </c>
      <c r="E375" s="945" t="s">
        <v>2318</v>
      </c>
      <c r="F375" s="946">
        <v>0</v>
      </c>
      <c r="G375" s="947"/>
      <c r="H375" s="948"/>
      <c r="I375" s="947"/>
      <c r="J375" s="688"/>
      <c r="K375"/>
      <c r="L375"/>
    </row>
    <row r="376" spans="3:12">
      <c r="C376" s="322"/>
      <c r="D376" s="943"/>
      <c r="E376" s="945"/>
      <c r="F376" s="946"/>
      <c r="G376" s="947"/>
      <c r="H376" s="948"/>
      <c r="I376" s="947"/>
      <c r="J376" s="688"/>
      <c r="K376"/>
      <c r="L376"/>
    </row>
    <row r="377" spans="3:12">
      <c r="C377" s="331" t="s">
        <v>3011</v>
      </c>
      <c r="D377" s="943" t="s">
        <v>3012</v>
      </c>
      <c r="E377" s="945" t="s">
        <v>2318</v>
      </c>
      <c r="F377" s="946">
        <v>0</v>
      </c>
      <c r="G377" s="947"/>
      <c r="H377" s="948"/>
      <c r="I377" s="947"/>
      <c r="J377" s="688"/>
      <c r="K377"/>
      <c r="L377"/>
    </row>
    <row r="378" spans="3:12">
      <c r="C378" s="331" t="s">
        <v>3013</v>
      </c>
      <c r="D378" s="943" t="s">
        <v>3014</v>
      </c>
      <c r="E378" s="945" t="s">
        <v>2318</v>
      </c>
      <c r="F378" s="946">
        <v>0</v>
      </c>
      <c r="G378" s="947"/>
      <c r="H378" s="948"/>
      <c r="I378" s="947"/>
      <c r="J378" s="688"/>
      <c r="K378"/>
      <c r="L378"/>
    </row>
    <row r="379" spans="3:12">
      <c r="C379" s="331" t="s">
        <v>3015</v>
      </c>
      <c r="D379" s="943" t="s">
        <v>3016</v>
      </c>
      <c r="E379" s="945" t="s">
        <v>2318</v>
      </c>
      <c r="F379" s="946">
        <v>0</v>
      </c>
      <c r="G379" s="947"/>
      <c r="H379" s="948"/>
      <c r="I379" s="947"/>
      <c r="J379" s="688"/>
      <c r="K379"/>
      <c r="L379"/>
    </row>
    <row r="380" spans="3:12">
      <c r="C380" s="331" t="s">
        <v>3017</v>
      </c>
      <c r="D380" s="943" t="s">
        <v>3018</v>
      </c>
      <c r="E380" s="945" t="s">
        <v>2318</v>
      </c>
      <c r="F380" s="946">
        <v>0</v>
      </c>
      <c r="G380" s="947"/>
      <c r="H380" s="948"/>
      <c r="I380" s="947"/>
      <c r="J380" s="688"/>
      <c r="K380"/>
      <c r="L380"/>
    </row>
    <row r="381" spans="3:12">
      <c r="C381" s="331" t="s">
        <v>3019</v>
      </c>
      <c r="D381" s="943" t="s">
        <v>3020</v>
      </c>
      <c r="E381" s="945" t="s">
        <v>2318</v>
      </c>
      <c r="F381" s="946">
        <v>0</v>
      </c>
      <c r="G381" s="947"/>
      <c r="H381" s="948"/>
      <c r="I381" s="947"/>
      <c r="J381" s="688"/>
      <c r="K381"/>
      <c r="L381"/>
    </row>
    <row r="382" spans="3:12">
      <c r="C382" s="331" t="s">
        <v>3021</v>
      </c>
      <c r="D382" s="943" t="s">
        <v>3022</v>
      </c>
      <c r="E382" s="945" t="s">
        <v>2318</v>
      </c>
      <c r="F382" s="946">
        <v>0</v>
      </c>
      <c r="G382" s="947"/>
      <c r="H382" s="948"/>
      <c r="I382" s="947"/>
      <c r="J382" s="688"/>
      <c r="K382"/>
      <c r="L382"/>
    </row>
    <row r="383" spans="3:12">
      <c r="C383" s="331" t="s">
        <v>3023</v>
      </c>
      <c r="D383" s="943" t="s">
        <v>3024</v>
      </c>
      <c r="E383" s="945" t="s">
        <v>2318</v>
      </c>
      <c r="F383" s="946">
        <v>0</v>
      </c>
      <c r="G383" s="947"/>
      <c r="H383" s="948"/>
      <c r="I383" s="947"/>
      <c r="J383" s="688"/>
      <c r="K383"/>
      <c r="L383"/>
    </row>
    <row r="384" spans="3:12">
      <c r="C384" s="331" t="s">
        <v>3025</v>
      </c>
      <c r="D384" s="943" t="s">
        <v>3026</v>
      </c>
      <c r="E384" s="945" t="s">
        <v>2318</v>
      </c>
      <c r="F384" s="946">
        <v>0</v>
      </c>
      <c r="G384" s="947"/>
      <c r="H384" s="948"/>
      <c r="I384" s="947"/>
      <c r="J384" s="688"/>
      <c r="K384"/>
      <c r="L384"/>
    </row>
    <row r="385" spans="3:12">
      <c r="C385" s="331" t="s">
        <v>3027</v>
      </c>
      <c r="D385" s="943" t="s">
        <v>3028</v>
      </c>
      <c r="E385" s="945" t="s">
        <v>2318</v>
      </c>
      <c r="F385" s="946">
        <v>0</v>
      </c>
      <c r="G385" s="947"/>
      <c r="H385" s="948"/>
      <c r="I385" s="947"/>
      <c r="J385" s="688"/>
      <c r="K385"/>
      <c r="L385"/>
    </row>
    <row r="386" spans="3:12">
      <c r="C386" s="331" t="s">
        <v>3029</v>
      </c>
      <c r="D386" s="943" t="s">
        <v>3030</v>
      </c>
      <c r="E386" s="945" t="s">
        <v>2318</v>
      </c>
      <c r="F386" s="946">
        <v>0</v>
      </c>
      <c r="G386" s="947"/>
      <c r="H386" s="948"/>
      <c r="I386" s="947"/>
      <c r="J386" s="688"/>
      <c r="K386"/>
      <c r="L386"/>
    </row>
    <row r="387" spans="3:12">
      <c r="C387" s="331" t="s">
        <v>3031</v>
      </c>
      <c r="D387" s="943" t="s">
        <v>3032</v>
      </c>
      <c r="E387" s="945" t="s">
        <v>2318</v>
      </c>
      <c r="F387" s="946">
        <v>0</v>
      </c>
      <c r="G387" s="947"/>
      <c r="H387" s="948"/>
      <c r="I387" s="947"/>
      <c r="J387" s="688"/>
      <c r="K387"/>
      <c r="L387"/>
    </row>
    <row r="388" spans="3:12">
      <c r="C388" s="331" t="s">
        <v>3033</v>
      </c>
      <c r="D388" s="943" t="s">
        <v>3034</v>
      </c>
      <c r="E388" s="945" t="s">
        <v>2318</v>
      </c>
      <c r="F388" s="946">
        <v>0</v>
      </c>
      <c r="G388" s="947"/>
      <c r="H388" s="948"/>
      <c r="I388" s="947"/>
      <c r="J388" s="688"/>
      <c r="K388"/>
      <c r="L388"/>
    </row>
    <row r="389" spans="3:12">
      <c r="C389" s="331" t="s">
        <v>3035</v>
      </c>
      <c r="D389" s="943" t="s">
        <v>3036</v>
      </c>
      <c r="E389" s="945" t="s">
        <v>2318</v>
      </c>
      <c r="F389" s="946">
        <v>0</v>
      </c>
      <c r="G389" s="947"/>
      <c r="H389" s="948"/>
      <c r="I389" s="947"/>
      <c r="J389" s="688"/>
      <c r="K389"/>
      <c r="L389"/>
    </row>
    <row r="390" spans="3:12">
      <c r="C390" s="331" t="s">
        <v>3037</v>
      </c>
      <c r="D390" s="943" t="s">
        <v>3038</v>
      </c>
      <c r="E390" s="945" t="s">
        <v>2318</v>
      </c>
      <c r="F390" s="946">
        <v>0</v>
      </c>
      <c r="G390" s="947"/>
      <c r="H390" s="948"/>
      <c r="I390" s="947"/>
      <c r="J390" s="688"/>
      <c r="K390"/>
      <c r="L390"/>
    </row>
    <row r="391" spans="3:12">
      <c r="C391" s="331" t="s">
        <v>3039</v>
      </c>
      <c r="D391" s="943" t="s">
        <v>3040</v>
      </c>
      <c r="E391" s="945" t="s">
        <v>2318</v>
      </c>
      <c r="F391" s="946">
        <v>0</v>
      </c>
      <c r="G391" s="947"/>
      <c r="H391" s="948"/>
      <c r="I391" s="947"/>
      <c r="J391" s="688"/>
      <c r="K391"/>
      <c r="L391"/>
    </row>
    <row r="392" spans="3:12">
      <c r="C392" s="330"/>
      <c r="D392" s="943"/>
      <c r="E392" s="945"/>
      <c r="F392" s="946"/>
      <c r="G392" s="947"/>
      <c r="H392" s="948"/>
      <c r="I392" s="947"/>
      <c r="J392" s="688"/>
      <c r="K392"/>
      <c r="L392"/>
    </row>
    <row r="393" spans="3:12">
      <c r="C393" s="324">
        <v>5</v>
      </c>
      <c r="D393" s="940" t="s">
        <v>3041</v>
      </c>
      <c r="E393" s="941"/>
      <c r="F393" s="946"/>
      <c r="G393" s="947"/>
      <c r="H393" s="958"/>
      <c r="I393" s="947"/>
      <c r="J393" s="323"/>
      <c r="K393"/>
      <c r="L393"/>
    </row>
    <row r="394" spans="3:12">
      <c r="C394" s="331" t="s">
        <v>3042</v>
      </c>
      <c r="D394" s="943" t="s">
        <v>3043</v>
      </c>
      <c r="E394" s="945" t="s">
        <v>2318</v>
      </c>
      <c r="F394" s="946">
        <v>0</v>
      </c>
      <c r="G394" s="947"/>
      <c r="H394" s="948"/>
      <c r="I394" s="947"/>
      <c r="J394" s="688"/>
      <c r="K394"/>
      <c r="L394"/>
    </row>
    <row r="395" spans="3:12">
      <c r="C395" s="331" t="s">
        <v>3044</v>
      </c>
      <c r="D395" s="943" t="s">
        <v>3045</v>
      </c>
      <c r="E395" s="945" t="s">
        <v>2318</v>
      </c>
      <c r="F395" s="946">
        <v>0</v>
      </c>
      <c r="G395" s="947"/>
      <c r="H395" s="948"/>
      <c r="I395" s="947"/>
      <c r="J395" s="688"/>
      <c r="K395"/>
      <c r="L395"/>
    </row>
    <row r="396" spans="3:12">
      <c r="C396" s="331" t="s">
        <v>3046</v>
      </c>
      <c r="D396" s="943" t="s">
        <v>3047</v>
      </c>
      <c r="E396" s="945" t="s">
        <v>2318</v>
      </c>
      <c r="F396" s="946">
        <v>0</v>
      </c>
      <c r="G396" s="947"/>
      <c r="H396" s="948"/>
      <c r="I396" s="947"/>
      <c r="J396" s="688"/>
      <c r="K396"/>
      <c r="L396"/>
    </row>
    <row r="397" spans="3:12">
      <c r="C397" s="331" t="s">
        <v>3048</v>
      </c>
      <c r="D397" s="943" t="s">
        <v>3049</v>
      </c>
      <c r="E397" s="945" t="s">
        <v>2318</v>
      </c>
      <c r="F397" s="946">
        <v>0</v>
      </c>
      <c r="G397" s="947"/>
      <c r="H397" s="948"/>
      <c r="I397" s="947"/>
      <c r="J397" s="688"/>
      <c r="K397"/>
      <c r="L397"/>
    </row>
    <row r="398" spans="3:12">
      <c r="C398" s="331" t="s">
        <v>3050</v>
      </c>
      <c r="D398" s="943" t="s">
        <v>3051</v>
      </c>
      <c r="E398" s="945" t="s">
        <v>2318</v>
      </c>
      <c r="F398" s="946">
        <v>0</v>
      </c>
      <c r="G398" s="947"/>
      <c r="H398" s="948"/>
      <c r="I398" s="947"/>
      <c r="J398" s="688"/>
      <c r="K398"/>
      <c r="L398"/>
    </row>
    <row r="399" spans="3:12">
      <c r="C399" s="331" t="s">
        <v>3052</v>
      </c>
      <c r="D399" s="943" t="s">
        <v>3053</v>
      </c>
      <c r="E399" s="945" t="s">
        <v>2318</v>
      </c>
      <c r="F399" s="946">
        <v>0</v>
      </c>
      <c r="G399" s="947"/>
      <c r="H399" s="948"/>
      <c r="I399" s="947"/>
      <c r="J399" s="688"/>
      <c r="K399"/>
      <c r="L399"/>
    </row>
    <row r="400" spans="3:12">
      <c r="C400" s="331" t="s">
        <v>3054</v>
      </c>
      <c r="D400" s="943" t="s">
        <v>3055</v>
      </c>
      <c r="E400" s="945" t="s">
        <v>2318</v>
      </c>
      <c r="F400" s="946">
        <v>0</v>
      </c>
      <c r="G400" s="947"/>
      <c r="H400" s="948"/>
      <c r="I400" s="947"/>
      <c r="J400" s="688"/>
      <c r="K400"/>
      <c r="L400"/>
    </row>
    <row r="401" spans="3:12">
      <c r="C401" s="331" t="s">
        <v>3056</v>
      </c>
      <c r="D401" s="943" t="s">
        <v>3057</v>
      </c>
      <c r="E401" s="945" t="s">
        <v>2318</v>
      </c>
      <c r="F401" s="946">
        <v>0</v>
      </c>
      <c r="G401" s="947"/>
      <c r="H401" s="948"/>
      <c r="I401" s="947"/>
      <c r="J401" s="688"/>
      <c r="K401"/>
      <c r="L401"/>
    </row>
    <row r="402" spans="3:12">
      <c r="C402" s="331" t="s">
        <v>3058</v>
      </c>
      <c r="D402" s="943" t="s">
        <v>3059</v>
      </c>
      <c r="E402" s="945" t="s">
        <v>2318</v>
      </c>
      <c r="F402" s="946">
        <v>0</v>
      </c>
      <c r="G402" s="947"/>
      <c r="H402" s="948"/>
      <c r="I402" s="947"/>
      <c r="J402" s="688"/>
      <c r="K402"/>
      <c r="L402"/>
    </row>
    <row r="403" spans="3:12">
      <c r="C403" s="331" t="s">
        <v>3060</v>
      </c>
      <c r="D403" s="943" t="s">
        <v>3061</v>
      </c>
      <c r="E403" s="945" t="s">
        <v>2318</v>
      </c>
      <c r="F403" s="946">
        <v>0</v>
      </c>
      <c r="G403" s="947"/>
      <c r="H403" s="948"/>
      <c r="I403" s="947"/>
      <c r="J403" s="688"/>
      <c r="K403"/>
      <c r="L403"/>
    </row>
    <row r="404" spans="3:12">
      <c r="C404" s="331" t="s">
        <v>3062</v>
      </c>
      <c r="D404" s="943" t="s">
        <v>3063</v>
      </c>
      <c r="E404" s="945" t="s">
        <v>2318</v>
      </c>
      <c r="F404" s="946">
        <v>0</v>
      </c>
      <c r="G404" s="947"/>
      <c r="H404" s="948"/>
      <c r="I404" s="947"/>
      <c r="J404" s="688"/>
      <c r="K404"/>
      <c r="L404"/>
    </row>
    <row r="405" spans="3:12">
      <c r="C405" s="331" t="s">
        <v>3064</v>
      </c>
      <c r="D405" s="943" t="s">
        <v>3065</v>
      </c>
      <c r="E405" s="945" t="s">
        <v>2318</v>
      </c>
      <c r="F405" s="946">
        <v>0</v>
      </c>
      <c r="G405" s="947"/>
      <c r="H405" s="948"/>
      <c r="I405" s="947"/>
      <c r="J405" s="688"/>
      <c r="K405"/>
      <c r="L405"/>
    </row>
    <row r="406" spans="3:12">
      <c r="C406" s="331" t="s">
        <v>3066</v>
      </c>
      <c r="D406" s="943" t="s">
        <v>3067</v>
      </c>
      <c r="E406" s="945" t="s">
        <v>2318</v>
      </c>
      <c r="F406" s="946">
        <v>0</v>
      </c>
      <c r="G406" s="947"/>
      <c r="H406" s="948"/>
      <c r="I406" s="947"/>
      <c r="J406" s="688"/>
      <c r="K406"/>
      <c r="L406"/>
    </row>
    <row r="407" spans="3:12">
      <c r="C407" s="331" t="s">
        <v>3068</v>
      </c>
      <c r="D407" s="943" t="s">
        <v>3069</v>
      </c>
      <c r="E407" s="945" t="s">
        <v>2318</v>
      </c>
      <c r="F407" s="946">
        <v>0</v>
      </c>
      <c r="G407" s="947"/>
      <c r="H407" s="948"/>
      <c r="I407" s="947"/>
      <c r="J407" s="688"/>
      <c r="K407"/>
      <c r="L407"/>
    </row>
    <row r="408" spans="3:12">
      <c r="C408" s="331" t="s">
        <v>3070</v>
      </c>
      <c r="D408" s="943" t="s">
        <v>3071</v>
      </c>
      <c r="E408" s="945" t="s">
        <v>2318</v>
      </c>
      <c r="F408" s="946">
        <v>0</v>
      </c>
      <c r="G408" s="947"/>
      <c r="H408" s="948"/>
      <c r="I408" s="947"/>
      <c r="J408" s="688"/>
      <c r="K408"/>
      <c r="L408"/>
    </row>
    <row r="409" spans="3:12">
      <c r="C409" s="330"/>
      <c r="D409" s="943"/>
      <c r="E409" s="945"/>
      <c r="F409" s="946"/>
      <c r="G409" s="947"/>
      <c r="H409" s="948"/>
      <c r="I409" s="947"/>
      <c r="J409" s="688"/>
      <c r="K409"/>
      <c r="L409"/>
    </row>
    <row r="410" spans="3:12">
      <c r="C410" s="331" t="s">
        <v>3072</v>
      </c>
      <c r="D410" s="943" t="s">
        <v>3073</v>
      </c>
      <c r="E410" s="945" t="s">
        <v>2318</v>
      </c>
      <c r="F410" s="946">
        <v>0</v>
      </c>
      <c r="G410" s="947"/>
      <c r="H410" s="948"/>
      <c r="I410" s="947"/>
      <c r="J410" s="688"/>
      <c r="K410"/>
      <c r="L410"/>
    </row>
    <row r="411" spans="3:12">
      <c r="C411" s="331" t="s">
        <v>3074</v>
      </c>
      <c r="D411" s="943" t="s">
        <v>3075</v>
      </c>
      <c r="E411" s="945" t="s">
        <v>2318</v>
      </c>
      <c r="F411" s="946">
        <v>0</v>
      </c>
      <c r="G411" s="947"/>
      <c r="H411" s="948"/>
      <c r="I411" s="947"/>
      <c r="J411" s="688"/>
      <c r="K411"/>
      <c r="L411"/>
    </row>
    <row r="412" spans="3:12">
      <c r="C412" s="331" t="s">
        <v>3076</v>
      </c>
      <c r="D412" s="943" t="s">
        <v>3077</v>
      </c>
      <c r="E412" s="945" t="s">
        <v>2318</v>
      </c>
      <c r="F412" s="946">
        <v>0</v>
      </c>
      <c r="G412" s="947"/>
      <c r="H412" s="948"/>
      <c r="I412" s="947"/>
      <c r="J412" s="688"/>
      <c r="K412"/>
      <c r="L412"/>
    </row>
    <row r="413" spans="3:12">
      <c r="C413" s="329" t="s">
        <v>3078</v>
      </c>
      <c r="D413" s="328" t="s">
        <v>3079</v>
      </c>
      <c r="E413" s="327" t="s">
        <v>2318</v>
      </c>
      <c r="F413" s="326">
        <v>0</v>
      </c>
      <c r="G413" s="325"/>
      <c r="H413" s="949"/>
      <c r="I413" s="325"/>
      <c r="J413" s="689"/>
      <c r="K413"/>
      <c r="L413"/>
    </row>
    <row r="414" spans="3:12">
      <c r="C414" s="950" t="s">
        <v>3080</v>
      </c>
      <c r="D414" s="951" t="s">
        <v>3081</v>
      </c>
      <c r="E414" s="952" t="s">
        <v>2318</v>
      </c>
      <c r="F414" s="953">
        <v>0</v>
      </c>
      <c r="G414" s="954"/>
      <c r="H414" s="955"/>
      <c r="I414" s="954"/>
      <c r="J414" s="956"/>
      <c r="K414"/>
      <c r="L414"/>
    </row>
    <row r="415" spans="3:12">
      <c r="C415" s="331" t="s">
        <v>3082</v>
      </c>
      <c r="D415" s="943" t="s">
        <v>3083</v>
      </c>
      <c r="E415" s="945" t="s">
        <v>2318</v>
      </c>
      <c r="F415" s="946">
        <v>0</v>
      </c>
      <c r="G415" s="947"/>
      <c r="H415" s="948"/>
      <c r="I415" s="947"/>
      <c r="J415" s="688"/>
      <c r="K415"/>
      <c r="L415"/>
    </row>
    <row r="416" spans="3:12">
      <c r="C416" s="331" t="s">
        <v>3084</v>
      </c>
      <c r="D416" s="943" t="s">
        <v>3085</v>
      </c>
      <c r="E416" s="945" t="s">
        <v>2318</v>
      </c>
      <c r="F416" s="946">
        <v>0</v>
      </c>
      <c r="G416" s="947"/>
      <c r="H416" s="948"/>
      <c r="I416" s="947"/>
      <c r="J416" s="688"/>
      <c r="K416"/>
      <c r="L416"/>
    </row>
    <row r="417" spans="3:12">
      <c r="C417" s="331" t="s">
        <v>3086</v>
      </c>
      <c r="D417" s="943" t="s">
        <v>3087</v>
      </c>
      <c r="E417" s="945" t="s">
        <v>2318</v>
      </c>
      <c r="F417" s="946">
        <v>0</v>
      </c>
      <c r="G417" s="947"/>
      <c r="H417" s="948"/>
      <c r="I417" s="947"/>
      <c r="J417" s="688"/>
      <c r="K417"/>
      <c r="L417"/>
    </row>
    <row r="418" spans="3:12">
      <c r="C418" s="331" t="s">
        <v>3088</v>
      </c>
      <c r="D418" s="943" t="s">
        <v>3089</v>
      </c>
      <c r="E418" s="945" t="s">
        <v>2318</v>
      </c>
      <c r="F418" s="946">
        <v>0</v>
      </c>
      <c r="G418" s="947"/>
      <c r="H418" s="948"/>
      <c r="I418" s="947"/>
      <c r="J418" s="688"/>
      <c r="K418"/>
      <c r="L418"/>
    </row>
    <row r="419" spans="3:12">
      <c r="C419" s="331" t="s">
        <v>3090</v>
      </c>
      <c r="D419" s="943" t="s">
        <v>3091</v>
      </c>
      <c r="E419" s="945" t="s">
        <v>2318</v>
      </c>
      <c r="F419" s="946">
        <v>0</v>
      </c>
      <c r="G419" s="947"/>
      <c r="H419" s="948"/>
      <c r="I419" s="947"/>
      <c r="J419" s="688"/>
      <c r="K419"/>
      <c r="L419"/>
    </row>
    <row r="420" spans="3:12">
      <c r="C420" s="331" t="s">
        <v>3092</v>
      </c>
      <c r="D420" s="943" t="s">
        <v>3093</v>
      </c>
      <c r="E420" s="945" t="s">
        <v>2318</v>
      </c>
      <c r="F420" s="946">
        <v>0</v>
      </c>
      <c r="G420" s="947"/>
      <c r="H420" s="948"/>
      <c r="I420" s="947"/>
      <c r="J420" s="688"/>
      <c r="K420"/>
      <c r="L420"/>
    </row>
    <row r="421" spans="3:12">
      <c r="C421" s="331" t="s">
        <v>3094</v>
      </c>
      <c r="D421" s="943" t="s">
        <v>3095</v>
      </c>
      <c r="E421" s="945" t="s">
        <v>2318</v>
      </c>
      <c r="F421" s="946">
        <v>0</v>
      </c>
      <c r="G421" s="947"/>
      <c r="H421" s="948"/>
      <c r="I421" s="947"/>
      <c r="J421" s="688"/>
      <c r="K421"/>
      <c r="L421"/>
    </row>
    <row r="422" spans="3:12">
      <c r="C422" s="331" t="s">
        <v>3096</v>
      </c>
      <c r="D422" s="943" t="s">
        <v>3097</v>
      </c>
      <c r="E422" s="945" t="s">
        <v>2318</v>
      </c>
      <c r="F422" s="946">
        <v>0</v>
      </c>
      <c r="G422" s="947"/>
      <c r="H422" s="948"/>
      <c r="I422" s="947"/>
      <c r="J422" s="688"/>
      <c r="K422"/>
      <c r="L422"/>
    </row>
    <row r="423" spans="3:12">
      <c r="C423" s="331" t="s">
        <v>3098</v>
      </c>
      <c r="D423" s="943" t="s">
        <v>3099</v>
      </c>
      <c r="E423" s="945" t="s">
        <v>2318</v>
      </c>
      <c r="F423" s="946">
        <v>0</v>
      </c>
      <c r="G423" s="947"/>
      <c r="H423" s="948"/>
      <c r="I423" s="947"/>
      <c r="J423" s="688"/>
      <c r="K423"/>
      <c r="L423"/>
    </row>
    <row r="424" spans="3:12">
      <c r="C424" s="331" t="s">
        <v>3100</v>
      </c>
      <c r="D424" s="943" t="s">
        <v>3101</v>
      </c>
      <c r="E424" s="945" t="s">
        <v>2318</v>
      </c>
      <c r="F424" s="946">
        <v>0</v>
      </c>
      <c r="G424" s="947"/>
      <c r="H424" s="948"/>
      <c r="I424" s="947"/>
      <c r="J424" s="688"/>
      <c r="K424"/>
      <c r="L424"/>
    </row>
    <row r="425" spans="3:12">
      <c r="C425" s="330"/>
      <c r="D425" s="943"/>
      <c r="E425" s="945"/>
      <c r="F425" s="946"/>
      <c r="G425" s="947"/>
      <c r="H425" s="948"/>
      <c r="I425" s="947"/>
      <c r="J425" s="688"/>
      <c r="K425"/>
      <c r="L425"/>
    </row>
    <row r="426" spans="3:12">
      <c r="C426" s="331" t="s">
        <v>3102</v>
      </c>
      <c r="D426" s="943" t="s">
        <v>3103</v>
      </c>
      <c r="E426" s="945" t="s">
        <v>2318</v>
      </c>
      <c r="F426" s="946">
        <v>0</v>
      </c>
      <c r="G426" s="947"/>
      <c r="H426" s="948"/>
      <c r="I426" s="947"/>
      <c r="J426" s="688"/>
      <c r="K426"/>
      <c r="L426"/>
    </row>
    <row r="427" spans="3:12">
      <c r="C427" s="331" t="s">
        <v>3104</v>
      </c>
      <c r="D427" s="943" t="s">
        <v>3105</v>
      </c>
      <c r="E427" s="945" t="s">
        <v>2318</v>
      </c>
      <c r="F427" s="946">
        <v>0</v>
      </c>
      <c r="G427" s="947"/>
      <c r="H427" s="948"/>
      <c r="I427" s="947"/>
      <c r="J427" s="688"/>
      <c r="K427"/>
      <c r="L427"/>
    </row>
    <row r="428" spans="3:12">
      <c r="C428" s="331" t="s">
        <v>3106</v>
      </c>
      <c r="D428" s="943" t="s">
        <v>3107</v>
      </c>
      <c r="E428" s="945" t="s">
        <v>2318</v>
      </c>
      <c r="F428" s="946">
        <v>0</v>
      </c>
      <c r="G428" s="947"/>
      <c r="H428" s="948"/>
      <c r="I428" s="947"/>
      <c r="J428" s="688"/>
      <c r="K428"/>
      <c r="L428"/>
    </row>
    <row r="429" spans="3:12">
      <c r="C429" s="331" t="s">
        <v>3108</v>
      </c>
      <c r="D429" s="943" t="s">
        <v>3109</v>
      </c>
      <c r="E429" s="945" t="s">
        <v>2318</v>
      </c>
      <c r="F429" s="946">
        <v>0</v>
      </c>
      <c r="G429" s="947"/>
      <c r="H429" s="948"/>
      <c r="I429" s="947"/>
      <c r="J429" s="688"/>
      <c r="K429"/>
      <c r="L429"/>
    </row>
    <row r="430" spans="3:12">
      <c r="C430" s="331" t="s">
        <v>3110</v>
      </c>
      <c r="D430" s="943" t="s">
        <v>3111</v>
      </c>
      <c r="E430" s="945" t="s">
        <v>2318</v>
      </c>
      <c r="F430" s="946">
        <v>0</v>
      </c>
      <c r="G430" s="947"/>
      <c r="H430" s="948"/>
      <c r="I430" s="947"/>
      <c r="J430" s="688"/>
      <c r="K430"/>
      <c r="L430"/>
    </row>
    <row r="431" spans="3:12">
      <c r="C431" s="331" t="s">
        <v>3112</v>
      </c>
      <c r="D431" s="943" t="s">
        <v>3113</v>
      </c>
      <c r="E431" s="945" t="s">
        <v>2318</v>
      </c>
      <c r="F431" s="946">
        <v>0</v>
      </c>
      <c r="G431" s="947"/>
      <c r="H431" s="948"/>
      <c r="I431" s="947"/>
      <c r="J431" s="688"/>
      <c r="K431"/>
      <c r="L431"/>
    </row>
    <row r="432" spans="3:12">
      <c r="C432" s="331" t="s">
        <v>3114</v>
      </c>
      <c r="D432" s="943" t="s">
        <v>3115</v>
      </c>
      <c r="E432" s="945" t="s">
        <v>2318</v>
      </c>
      <c r="F432" s="946">
        <v>0</v>
      </c>
      <c r="G432" s="947"/>
      <c r="H432" s="948"/>
      <c r="I432" s="947"/>
      <c r="J432" s="688"/>
      <c r="K432"/>
      <c r="L432"/>
    </row>
    <row r="433" spans="3:12">
      <c r="C433" s="331" t="s">
        <v>3116</v>
      </c>
      <c r="D433" s="943" t="s">
        <v>3117</v>
      </c>
      <c r="E433" s="945" t="s">
        <v>2318</v>
      </c>
      <c r="F433" s="946">
        <v>0</v>
      </c>
      <c r="G433" s="947"/>
      <c r="H433" s="948"/>
      <c r="I433" s="947"/>
      <c r="J433" s="688"/>
      <c r="K433"/>
      <c r="L433"/>
    </row>
    <row r="434" spans="3:12">
      <c r="C434" s="331" t="s">
        <v>3118</v>
      </c>
      <c r="D434" s="943" t="s">
        <v>3119</v>
      </c>
      <c r="E434" s="945" t="s">
        <v>2318</v>
      </c>
      <c r="F434" s="946">
        <v>0</v>
      </c>
      <c r="G434" s="947"/>
      <c r="H434" s="948"/>
      <c r="I434" s="947"/>
      <c r="J434" s="688"/>
      <c r="K434"/>
      <c r="L434"/>
    </row>
    <row r="435" spans="3:12">
      <c r="C435" s="331" t="s">
        <v>3120</v>
      </c>
      <c r="D435" s="943" t="s">
        <v>3121</v>
      </c>
      <c r="E435" s="945" t="s">
        <v>2318</v>
      </c>
      <c r="F435" s="946">
        <v>0</v>
      </c>
      <c r="G435" s="947"/>
      <c r="H435" s="948"/>
      <c r="I435" s="947"/>
      <c r="J435" s="688"/>
      <c r="K435"/>
      <c r="L435"/>
    </row>
    <row r="436" spans="3:12">
      <c r="C436" s="331" t="s">
        <v>3122</v>
      </c>
      <c r="D436" s="943" t="s">
        <v>3123</v>
      </c>
      <c r="E436" s="945" t="s">
        <v>2318</v>
      </c>
      <c r="F436" s="946">
        <v>0</v>
      </c>
      <c r="G436" s="947"/>
      <c r="H436" s="948"/>
      <c r="I436" s="947"/>
      <c r="J436" s="688"/>
      <c r="K436"/>
      <c r="L436"/>
    </row>
    <row r="437" spans="3:12">
      <c r="C437" s="331" t="s">
        <v>3124</v>
      </c>
      <c r="D437" s="943" t="s">
        <v>3125</v>
      </c>
      <c r="E437" s="945" t="s">
        <v>2318</v>
      </c>
      <c r="F437" s="946">
        <v>0</v>
      </c>
      <c r="G437" s="947"/>
      <c r="H437" s="948"/>
      <c r="I437" s="947"/>
      <c r="J437" s="688"/>
      <c r="K437"/>
      <c r="L437"/>
    </row>
    <row r="438" spans="3:12">
      <c r="C438" s="331" t="s">
        <v>3126</v>
      </c>
      <c r="D438" s="943" t="s">
        <v>3127</v>
      </c>
      <c r="E438" s="945" t="s">
        <v>2318</v>
      </c>
      <c r="F438" s="946">
        <v>0</v>
      </c>
      <c r="G438" s="947"/>
      <c r="H438" s="948"/>
      <c r="I438" s="947"/>
      <c r="J438" s="688"/>
      <c r="K438"/>
      <c r="L438"/>
    </row>
    <row r="439" spans="3:12">
      <c r="C439" s="331" t="s">
        <v>3128</v>
      </c>
      <c r="D439" s="943" t="s">
        <v>3129</v>
      </c>
      <c r="E439" s="945" t="s">
        <v>2318</v>
      </c>
      <c r="F439" s="946">
        <v>0</v>
      </c>
      <c r="G439" s="947"/>
      <c r="H439" s="948"/>
      <c r="I439" s="947"/>
      <c r="J439" s="688"/>
      <c r="K439"/>
      <c r="L439"/>
    </row>
    <row r="440" spans="3:12">
      <c r="C440" s="331" t="s">
        <v>3130</v>
      </c>
      <c r="D440" s="943" t="s">
        <v>3131</v>
      </c>
      <c r="E440" s="945" t="s">
        <v>2318</v>
      </c>
      <c r="F440" s="946">
        <v>0</v>
      </c>
      <c r="G440" s="947"/>
      <c r="H440" s="948"/>
      <c r="I440" s="947"/>
      <c r="J440" s="688"/>
      <c r="K440"/>
      <c r="L440"/>
    </row>
    <row r="441" spans="3:12">
      <c r="C441" s="330"/>
      <c r="D441" s="943"/>
      <c r="E441" s="945"/>
      <c r="F441" s="946"/>
      <c r="G441" s="947"/>
      <c r="H441" s="948"/>
      <c r="I441" s="947"/>
      <c r="J441" s="688"/>
      <c r="K441"/>
      <c r="L441"/>
    </row>
    <row r="442" spans="3:12">
      <c r="C442" s="331" t="s">
        <v>3132</v>
      </c>
      <c r="D442" s="943" t="s">
        <v>3133</v>
      </c>
      <c r="E442" s="945" t="s">
        <v>2318</v>
      </c>
      <c r="F442" s="946">
        <v>0</v>
      </c>
      <c r="G442" s="947"/>
      <c r="H442" s="948"/>
      <c r="I442" s="947"/>
      <c r="J442" s="688"/>
      <c r="K442"/>
      <c r="L442"/>
    </row>
    <row r="443" spans="3:12">
      <c r="C443" s="331" t="s">
        <v>3134</v>
      </c>
      <c r="D443" s="943" t="s">
        <v>3135</v>
      </c>
      <c r="E443" s="945" t="s">
        <v>2318</v>
      </c>
      <c r="F443" s="946">
        <v>0</v>
      </c>
      <c r="G443" s="947"/>
      <c r="H443" s="948"/>
      <c r="I443" s="947"/>
      <c r="J443" s="688"/>
      <c r="K443"/>
      <c r="L443"/>
    </row>
    <row r="444" spans="3:12">
      <c r="C444" s="331" t="s">
        <v>3136</v>
      </c>
      <c r="D444" s="943" t="s">
        <v>3137</v>
      </c>
      <c r="E444" s="945" t="s">
        <v>2318</v>
      </c>
      <c r="F444" s="946">
        <v>0</v>
      </c>
      <c r="G444" s="947"/>
      <c r="H444" s="948"/>
      <c r="I444" s="947"/>
      <c r="J444" s="688"/>
      <c r="K444"/>
      <c r="L444"/>
    </row>
    <row r="445" spans="3:12">
      <c r="C445" s="331" t="s">
        <v>3138</v>
      </c>
      <c r="D445" s="943" t="s">
        <v>3139</v>
      </c>
      <c r="E445" s="945" t="s">
        <v>2318</v>
      </c>
      <c r="F445" s="946">
        <v>0</v>
      </c>
      <c r="G445" s="947"/>
      <c r="H445" s="948"/>
      <c r="I445" s="947"/>
      <c r="J445" s="688"/>
      <c r="K445"/>
      <c r="L445"/>
    </row>
    <row r="446" spans="3:12">
      <c r="C446" s="331" t="s">
        <v>3140</v>
      </c>
      <c r="D446" s="943" t="s">
        <v>3141</v>
      </c>
      <c r="E446" s="945" t="s">
        <v>2318</v>
      </c>
      <c r="F446" s="946">
        <v>0</v>
      </c>
      <c r="G446" s="947"/>
      <c r="H446" s="948"/>
      <c r="I446" s="947"/>
      <c r="J446" s="688"/>
      <c r="K446"/>
      <c r="L446"/>
    </row>
    <row r="447" spans="3:12">
      <c r="C447" s="331" t="s">
        <v>3142</v>
      </c>
      <c r="D447" s="943" t="s">
        <v>3143</v>
      </c>
      <c r="E447" s="945" t="s">
        <v>2318</v>
      </c>
      <c r="F447" s="946">
        <v>0</v>
      </c>
      <c r="G447" s="947"/>
      <c r="H447" s="948"/>
      <c r="I447" s="947"/>
      <c r="J447" s="688"/>
      <c r="K447"/>
      <c r="L447"/>
    </row>
    <row r="448" spans="3:12">
      <c r="C448" s="331" t="s">
        <v>3144</v>
      </c>
      <c r="D448" s="943" t="s">
        <v>3145</v>
      </c>
      <c r="E448" s="945" t="s">
        <v>2318</v>
      </c>
      <c r="F448" s="946">
        <v>0</v>
      </c>
      <c r="G448" s="947"/>
      <c r="H448" s="948"/>
      <c r="I448" s="947"/>
      <c r="J448" s="688"/>
      <c r="K448"/>
      <c r="L448"/>
    </row>
    <row r="449" spans="3:12">
      <c r="C449" s="331" t="s">
        <v>3146</v>
      </c>
      <c r="D449" s="943" t="s">
        <v>3147</v>
      </c>
      <c r="E449" s="945" t="s">
        <v>2318</v>
      </c>
      <c r="F449" s="946">
        <v>0</v>
      </c>
      <c r="G449" s="947"/>
      <c r="H449" s="948"/>
      <c r="I449" s="947"/>
      <c r="J449" s="688"/>
      <c r="K449"/>
      <c r="L449"/>
    </row>
    <row r="450" spans="3:12">
      <c r="C450" s="331" t="s">
        <v>3148</v>
      </c>
      <c r="D450" s="943" t="s">
        <v>3149</v>
      </c>
      <c r="E450" s="945" t="s">
        <v>2318</v>
      </c>
      <c r="F450" s="946">
        <v>0</v>
      </c>
      <c r="G450" s="947"/>
      <c r="H450" s="948"/>
      <c r="I450" s="947"/>
      <c r="J450" s="688"/>
      <c r="K450"/>
      <c r="L450"/>
    </row>
    <row r="451" spans="3:12">
      <c r="C451" s="331" t="s">
        <v>3150</v>
      </c>
      <c r="D451" s="943" t="s">
        <v>3151</v>
      </c>
      <c r="E451" s="945" t="s">
        <v>2318</v>
      </c>
      <c r="F451" s="946">
        <v>0</v>
      </c>
      <c r="G451" s="947"/>
      <c r="H451" s="948"/>
      <c r="I451" s="947"/>
      <c r="J451" s="688"/>
      <c r="K451"/>
      <c r="L451"/>
    </row>
    <row r="452" spans="3:12">
      <c r="C452" s="331" t="s">
        <v>3152</v>
      </c>
      <c r="D452" s="943" t="s">
        <v>3153</v>
      </c>
      <c r="E452" s="945" t="s">
        <v>2318</v>
      </c>
      <c r="F452" s="946">
        <v>0</v>
      </c>
      <c r="G452" s="947"/>
      <c r="H452" s="948"/>
      <c r="I452" s="947"/>
      <c r="J452" s="688"/>
      <c r="K452"/>
      <c r="L452"/>
    </row>
    <row r="453" spans="3:12">
      <c r="C453" s="331" t="s">
        <v>3154</v>
      </c>
      <c r="D453" s="943" t="s">
        <v>3155</v>
      </c>
      <c r="E453" s="945" t="s">
        <v>2318</v>
      </c>
      <c r="F453" s="946">
        <v>0</v>
      </c>
      <c r="G453" s="947"/>
      <c r="H453" s="948"/>
      <c r="I453" s="947"/>
      <c r="J453" s="688"/>
      <c r="K453"/>
      <c r="L453"/>
    </row>
    <row r="454" spans="3:12">
      <c r="C454" s="331" t="s">
        <v>3156</v>
      </c>
      <c r="D454" s="943" t="s">
        <v>3157</v>
      </c>
      <c r="E454" s="945" t="s">
        <v>2318</v>
      </c>
      <c r="F454" s="946">
        <v>0</v>
      </c>
      <c r="G454" s="947"/>
      <c r="H454" s="948"/>
      <c r="I454" s="947"/>
      <c r="J454" s="688"/>
      <c r="K454"/>
      <c r="L454"/>
    </row>
    <row r="455" spans="3:12">
      <c r="C455" s="331" t="s">
        <v>3158</v>
      </c>
      <c r="D455" s="943" t="s">
        <v>3159</v>
      </c>
      <c r="E455" s="945" t="s">
        <v>2318</v>
      </c>
      <c r="F455" s="946">
        <v>0</v>
      </c>
      <c r="G455" s="947"/>
      <c r="H455" s="948"/>
      <c r="I455" s="947"/>
      <c r="J455" s="688"/>
      <c r="K455"/>
      <c r="L455"/>
    </row>
    <row r="456" spans="3:12">
      <c r="C456" s="331" t="s">
        <v>3160</v>
      </c>
      <c r="D456" s="943" t="s">
        <v>3161</v>
      </c>
      <c r="E456" s="945" t="s">
        <v>2318</v>
      </c>
      <c r="F456" s="946">
        <v>0</v>
      </c>
      <c r="G456" s="947"/>
      <c r="H456" s="948"/>
      <c r="I456" s="947"/>
      <c r="J456" s="688"/>
      <c r="K456"/>
      <c r="L456"/>
    </row>
    <row r="457" spans="3:12">
      <c r="C457" s="330"/>
      <c r="D457" s="943"/>
      <c r="E457" s="945"/>
      <c r="F457" s="946"/>
      <c r="G457" s="947"/>
      <c r="H457" s="948"/>
      <c r="I457" s="947"/>
      <c r="J457" s="688"/>
      <c r="K457"/>
      <c r="L457"/>
    </row>
    <row r="458" spans="3:12">
      <c r="C458" s="331" t="s">
        <v>3162</v>
      </c>
      <c r="D458" s="943" t="s">
        <v>3163</v>
      </c>
      <c r="E458" s="945" t="s">
        <v>2318</v>
      </c>
      <c r="F458" s="946">
        <v>0</v>
      </c>
      <c r="G458" s="947"/>
      <c r="H458" s="948"/>
      <c r="I458" s="947"/>
      <c r="J458" s="688"/>
      <c r="K458"/>
      <c r="L458"/>
    </row>
    <row r="459" spans="3:12">
      <c r="C459" s="331" t="s">
        <v>3164</v>
      </c>
      <c r="D459" s="943" t="s">
        <v>3165</v>
      </c>
      <c r="E459" s="945" t="s">
        <v>2318</v>
      </c>
      <c r="F459" s="946">
        <v>0</v>
      </c>
      <c r="G459" s="947"/>
      <c r="H459" s="948"/>
      <c r="I459" s="947"/>
      <c r="J459" s="688"/>
      <c r="K459"/>
      <c r="L459"/>
    </row>
    <row r="460" spans="3:12">
      <c r="C460" s="331" t="s">
        <v>3166</v>
      </c>
      <c r="D460" s="943" t="s">
        <v>3167</v>
      </c>
      <c r="E460" s="945" t="s">
        <v>2318</v>
      </c>
      <c r="F460" s="946">
        <v>0</v>
      </c>
      <c r="G460" s="947"/>
      <c r="H460" s="948"/>
      <c r="I460" s="947"/>
      <c r="J460" s="688"/>
      <c r="K460"/>
      <c r="L460"/>
    </row>
    <row r="461" spans="3:12">
      <c r="C461" s="331" t="s">
        <v>3168</v>
      </c>
      <c r="D461" s="943" t="s">
        <v>3169</v>
      </c>
      <c r="E461" s="945" t="s">
        <v>2318</v>
      </c>
      <c r="F461" s="946">
        <v>0</v>
      </c>
      <c r="G461" s="947"/>
      <c r="H461" s="948"/>
      <c r="I461" s="947"/>
      <c r="J461" s="688"/>
      <c r="K461"/>
      <c r="L461"/>
    </row>
    <row r="462" spans="3:12">
      <c r="C462" s="331" t="s">
        <v>3170</v>
      </c>
      <c r="D462" s="943" t="s">
        <v>3171</v>
      </c>
      <c r="E462" s="945" t="s">
        <v>2318</v>
      </c>
      <c r="F462" s="946">
        <v>0</v>
      </c>
      <c r="G462" s="947"/>
      <c r="H462" s="948"/>
      <c r="I462" s="947"/>
      <c r="J462" s="688"/>
      <c r="K462"/>
      <c r="L462"/>
    </row>
    <row r="463" spans="3:12">
      <c r="C463" s="331" t="s">
        <v>3172</v>
      </c>
      <c r="D463" s="943" t="s">
        <v>3173</v>
      </c>
      <c r="E463" s="945" t="s">
        <v>2318</v>
      </c>
      <c r="F463" s="946">
        <v>0</v>
      </c>
      <c r="G463" s="947"/>
      <c r="H463" s="948"/>
      <c r="I463" s="947"/>
      <c r="J463" s="688"/>
      <c r="K463"/>
      <c r="L463"/>
    </row>
    <row r="464" spans="3:12">
      <c r="C464" s="331" t="s">
        <v>3174</v>
      </c>
      <c r="D464" s="943" t="s">
        <v>3175</v>
      </c>
      <c r="E464" s="945" t="s">
        <v>2318</v>
      </c>
      <c r="F464" s="946">
        <v>0</v>
      </c>
      <c r="G464" s="947"/>
      <c r="H464" s="948"/>
      <c r="I464" s="947"/>
      <c r="J464" s="688"/>
      <c r="K464"/>
      <c r="L464"/>
    </row>
    <row r="465" spans="3:12">
      <c r="C465" s="331" t="s">
        <v>3176</v>
      </c>
      <c r="D465" s="943" t="s">
        <v>3177</v>
      </c>
      <c r="E465" s="945" t="s">
        <v>2318</v>
      </c>
      <c r="F465" s="946">
        <v>0</v>
      </c>
      <c r="G465" s="947"/>
      <c r="H465" s="948"/>
      <c r="I465" s="947"/>
      <c r="J465" s="688"/>
      <c r="K465"/>
      <c r="L465"/>
    </row>
    <row r="466" spans="3:12">
      <c r="C466" s="331" t="s">
        <v>3178</v>
      </c>
      <c r="D466" s="943" t="s">
        <v>3179</v>
      </c>
      <c r="E466" s="945" t="s">
        <v>2318</v>
      </c>
      <c r="F466" s="946">
        <v>0</v>
      </c>
      <c r="G466" s="947"/>
      <c r="H466" s="948"/>
      <c r="I466" s="947"/>
      <c r="J466" s="688"/>
      <c r="K466"/>
      <c r="L466"/>
    </row>
    <row r="467" spans="3:12">
      <c r="C467" s="331" t="s">
        <v>3180</v>
      </c>
      <c r="D467" s="943" t="s">
        <v>3181</v>
      </c>
      <c r="E467" s="945" t="s">
        <v>2318</v>
      </c>
      <c r="F467" s="946">
        <v>0</v>
      </c>
      <c r="G467" s="947"/>
      <c r="H467" s="948"/>
      <c r="I467" s="947"/>
      <c r="J467" s="688"/>
      <c r="K467"/>
      <c r="L467"/>
    </row>
    <row r="468" spans="3:12">
      <c r="C468" s="331" t="s">
        <v>3182</v>
      </c>
      <c r="D468" s="943" t="s">
        <v>3183</v>
      </c>
      <c r="E468" s="945" t="s">
        <v>2318</v>
      </c>
      <c r="F468" s="946">
        <v>0</v>
      </c>
      <c r="G468" s="947"/>
      <c r="H468" s="948"/>
      <c r="I468" s="947"/>
      <c r="J468" s="688"/>
      <c r="K468"/>
      <c r="L468"/>
    </row>
    <row r="469" spans="3:12">
      <c r="C469" s="331" t="s">
        <v>3184</v>
      </c>
      <c r="D469" s="943" t="s">
        <v>3185</v>
      </c>
      <c r="E469" s="945" t="s">
        <v>2318</v>
      </c>
      <c r="F469" s="946">
        <v>0</v>
      </c>
      <c r="G469" s="947"/>
      <c r="H469" s="948"/>
      <c r="I469" s="947"/>
      <c r="J469" s="688"/>
      <c r="K469"/>
      <c r="L469"/>
    </row>
    <row r="470" spans="3:12">
      <c r="C470" s="331" t="s">
        <v>3186</v>
      </c>
      <c r="D470" s="943" t="s">
        <v>3187</v>
      </c>
      <c r="E470" s="945" t="s">
        <v>2318</v>
      </c>
      <c r="F470" s="946">
        <v>0</v>
      </c>
      <c r="G470" s="947"/>
      <c r="H470" s="948"/>
      <c r="I470" s="947"/>
      <c r="J470" s="688"/>
      <c r="K470"/>
      <c r="L470"/>
    </row>
    <row r="471" spans="3:12">
      <c r="C471" s="331" t="s">
        <v>3188</v>
      </c>
      <c r="D471" s="943" t="s">
        <v>3189</v>
      </c>
      <c r="E471" s="945" t="s">
        <v>2318</v>
      </c>
      <c r="F471" s="946">
        <v>0</v>
      </c>
      <c r="G471" s="947"/>
      <c r="H471" s="948"/>
      <c r="I471" s="947"/>
      <c r="J471" s="688"/>
      <c r="K471"/>
      <c r="L471"/>
    </row>
    <row r="472" spans="3:12">
      <c r="C472" s="331" t="s">
        <v>3190</v>
      </c>
      <c r="D472" s="943" t="s">
        <v>3191</v>
      </c>
      <c r="E472" s="945" t="s">
        <v>2318</v>
      </c>
      <c r="F472" s="946">
        <v>0</v>
      </c>
      <c r="G472" s="947"/>
      <c r="H472" s="948"/>
      <c r="I472" s="947"/>
      <c r="J472" s="688"/>
      <c r="K472"/>
      <c r="L472"/>
    </row>
    <row r="473" spans="3:12">
      <c r="C473" s="322"/>
      <c r="D473" s="943"/>
      <c r="E473" s="945"/>
      <c r="F473" s="946"/>
      <c r="G473" s="947"/>
      <c r="H473" s="948"/>
      <c r="I473" s="947"/>
      <c r="J473" s="688"/>
      <c r="K473"/>
      <c r="L473"/>
    </row>
    <row r="474" spans="3:12">
      <c r="C474" s="331" t="s">
        <v>3192</v>
      </c>
      <c r="D474" s="943" t="s">
        <v>3193</v>
      </c>
      <c r="E474" s="945" t="s">
        <v>2318</v>
      </c>
      <c r="F474" s="946">
        <v>0</v>
      </c>
      <c r="G474" s="947"/>
      <c r="H474" s="948"/>
      <c r="I474" s="947"/>
      <c r="J474" s="688"/>
      <c r="K474"/>
      <c r="L474"/>
    </row>
    <row r="475" spans="3:12">
      <c r="C475" s="331" t="s">
        <v>3194</v>
      </c>
      <c r="D475" s="943" t="s">
        <v>3195</v>
      </c>
      <c r="E475" s="945" t="s">
        <v>2318</v>
      </c>
      <c r="F475" s="946">
        <v>0</v>
      </c>
      <c r="G475" s="947"/>
      <c r="H475" s="948"/>
      <c r="I475" s="947"/>
      <c r="J475" s="688"/>
      <c r="K475"/>
      <c r="L475"/>
    </row>
    <row r="476" spans="3:12">
      <c r="C476" s="331" t="s">
        <v>3196</v>
      </c>
      <c r="D476" s="943" t="s">
        <v>3197</v>
      </c>
      <c r="E476" s="945" t="s">
        <v>2318</v>
      </c>
      <c r="F476" s="946">
        <v>0</v>
      </c>
      <c r="G476" s="947"/>
      <c r="H476" s="948"/>
      <c r="I476" s="947"/>
      <c r="J476" s="688"/>
      <c r="K476"/>
      <c r="L476"/>
    </row>
    <row r="477" spans="3:12">
      <c r="C477" s="331" t="s">
        <v>3198</v>
      </c>
      <c r="D477" s="943" t="s">
        <v>3199</v>
      </c>
      <c r="E477" s="945" t="s">
        <v>2318</v>
      </c>
      <c r="F477" s="946">
        <v>0</v>
      </c>
      <c r="G477" s="947"/>
      <c r="H477" s="948"/>
      <c r="I477" s="947"/>
      <c r="J477" s="688"/>
      <c r="K477"/>
      <c r="L477"/>
    </row>
    <row r="478" spans="3:12">
      <c r="C478" s="331" t="s">
        <v>3200</v>
      </c>
      <c r="D478" s="943" t="s">
        <v>3201</v>
      </c>
      <c r="E478" s="945" t="s">
        <v>2318</v>
      </c>
      <c r="F478" s="946">
        <v>0</v>
      </c>
      <c r="G478" s="947"/>
      <c r="H478" s="948"/>
      <c r="I478" s="947"/>
      <c r="J478" s="688"/>
      <c r="K478"/>
      <c r="L478"/>
    </row>
    <row r="479" spans="3:12">
      <c r="C479" s="331" t="s">
        <v>3202</v>
      </c>
      <c r="D479" s="943" t="s">
        <v>3203</v>
      </c>
      <c r="E479" s="945" t="s">
        <v>2318</v>
      </c>
      <c r="F479" s="946">
        <v>0</v>
      </c>
      <c r="G479" s="947"/>
      <c r="H479" s="948"/>
      <c r="I479" s="947"/>
      <c r="J479" s="688"/>
      <c r="K479"/>
      <c r="L479"/>
    </row>
    <row r="480" spans="3:12">
      <c r="C480" s="331" t="s">
        <v>3204</v>
      </c>
      <c r="D480" s="943" t="s">
        <v>3205</v>
      </c>
      <c r="E480" s="945" t="s">
        <v>2318</v>
      </c>
      <c r="F480" s="946">
        <v>0</v>
      </c>
      <c r="G480" s="947"/>
      <c r="H480" s="948"/>
      <c r="I480" s="947"/>
      <c r="J480" s="688"/>
      <c r="K480"/>
      <c r="L480"/>
    </row>
    <row r="481" spans="3:17">
      <c r="C481" s="331" t="s">
        <v>3206</v>
      </c>
      <c r="D481" s="943" t="s">
        <v>3207</v>
      </c>
      <c r="E481" s="945" t="s">
        <v>2318</v>
      </c>
      <c r="F481" s="946">
        <v>0</v>
      </c>
      <c r="G481" s="947"/>
      <c r="H481" s="948"/>
      <c r="I481" s="947"/>
      <c r="J481" s="688"/>
      <c r="K481"/>
      <c r="L481"/>
    </row>
    <row r="482" spans="3:17">
      <c r="C482" s="331" t="s">
        <v>3208</v>
      </c>
      <c r="D482" s="943" t="s">
        <v>3209</v>
      </c>
      <c r="E482" s="945" t="s">
        <v>2318</v>
      </c>
      <c r="F482" s="946">
        <v>0</v>
      </c>
      <c r="G482" s="947"/>
      <c r="H482" s="948"/>
      <c r="I482" s="947"/>
      <c r="J482" s="688"/>
      <c r="K482"/>
      <c r="L482"/>
    </row>
    <row r="483" spans="3:17">
      <c r="C483" s="331" t="s">
        <v>3210</v>
      </c>
      <c r="D483" s="943" t="s">
        <v>3211</v>
      </c>
      <c r="E483" s="945" t="s">
        <v>2318</v>
      </c>
      <c r="F483" s="946">
        <v>0</v>
      </c>
      <c r="G483" s="947"/>
      <c r="H483" s="948"/>
      <c r="I483" s="947"/>
      <c r="J483" s="688"/>
      <c r="K483"/>
      <c r="L483"/>
    </row>
    <row r="484" spans="3:17">
      <c r="C484" s="331" t="s">
        <v>3212</v>
      </c>
      <c r="D484" s="943" t="s">
        <v>3213</v>
      </c>
      <c r="E484" s="945" t="s">
        <v>2318</v>
      </c>
      <c r="F484" s="946">
        <v>0</v>
      </c>
      <c r="G484" s="947"/>
      <c r="H484" s="948"/>
      <c r="I484" s="947"/>
      <c r="J484" s="688"/>
      <c r="K484"/>
      <c r="L484"/>
    </row>
    <row r="485" spans="3:17">
      <c r="C485" s="331" t="s">
        <v>3214</v>
      </c>
      <c r="D485" s="943" t="s">
        <v>3215</v>
      </c>
      <c r="E485" s="945" t="s">
        <v>2318</v>
      </c>
      <c r="F485" s="946">
        <v>0</v>
      </c>
      <c r="G485" s="947"/>
      <c r="H485" s="948"/>
      <c r="I485" s="947"/>
      <c r="J485" s="688"/>
      <c r="K485"/>
      <c r="L485"/>
    </row>
    <row r="486" spans="3:17">
      <c r="C486" s="331" t="s">
        <v>3216</v>
      </c>
      <c r="D486" s="943" t="s">
        <v>3217</v>
      </c>
      <c r="E486" s="945" t="s">
        <v>2318</v>
      </c>
      <c r="F486" s="946">
        <v>0</v>
      </c>
      <c r="G486" s="947"/>
      <c r="H486" s="948"/>
      <c r="I486" s="947"/>
      <c r="J486" s="688"/>
      <c r="K486"/>
      <c r="L486"/>
    </row>
    <row r="487" spans="3:17">
      <c r="C487" s="331" t="s">
        <v>3218</v>
      </c>
      <c r="D487" s="943" t="s">
        <v>3219</v>
      </c>
      <c r="E487" s="945" t="s">
        <v>2318</v>
      </c>
      <c r="F487" s="946">
        <v>0</v>
      </c>
      <c r="G487" s="947"/>
      <c r="H487" s="948"/>
      <c r="I487" s="947"/>
      <c r="J487" s="688"/>
      <c r="K487"/>
      <c r="L487"/>
    </row>
    <row r="488" spans="3:17">
      <c r="C488" s="331" t="s">
        <v>3220</v>
      </c>
      <c r="D488" s="943" t="s">
        <v>3221</v>
      </c>
      <c r="E488" s="945" t="s">
        <v>2318</v>
      </c>
      <c r="F488" s="946">
        <v>0</v>
      </c>
      <c r="G488" s="947"/>
      <c r="H488" s="948"/>
      <c r="I488" s="947"/>
      <c r="J488" s="688"/>
      <c r="K488"/>
      <c r="L488"/>
    </row>
    <row r="489" spans="3:17">
      <c r="C489" s="330"/>
      <c r="D489" s="943"/>
      <c r="E489" s="945"/>
      <c r="F489" s="965"/>
      <c r="G489" s="947"/>
      <c r="H489" s="948"/>
      <c r="I489" s="947"/>
      <c r="J489" s="688"/>
      <c r="K489"/>
      <c r="L489"/>
    </row>
    <row r="490" spans="3:17" ht="21" customHeight="1">
      <c r="C490" s="966" t="s">
        <v>3222</v>
      </c>
      <c r="D490" s="967"/>
      <c r="E490" s="967"/>
      <c r="F490" s="967"/>
      <c r="G490" s="967"/>
      <c r="H490" s="974">
        <f>SUM(H5:H489)</f>
        <v>1442403244.9331884</v>
      </c>
      <c r="I490" s="975"/>
      <c r="J490" s="974">
        <f>SUM(J5:J489)</f>
        <v>1442403244.9331884</v>
      </c>
      <c r="K490" s="969"/>
      <c r="L490" s="970"/>
    </row>
    <row r="491" spans="3:17" ht="21" customHeight="1" thickBot="1">
      <c r="C491" s="797" t="s">
        <v>3223</v>
      </c>
      <c r="D491" s="798"/>
      <c r="E491" s="798"/>
      <c r="F491" s="798"/>
      <c r="G491" s="798"/>
      <c r="H491" s="798"/>
      <c r="I491" s="798"/>
      <c r="J491" s="968"/>
      <c r="K491" s="971"/>
      <c r="L491" s="972"/>
      <c r="N491" s="1041"/>
      <c r="O491" s="1041"/>
      <c r="P491" s="1041"/>
      <c r="Q491" s="1041"/>
    </row>
    <row r="492" spans="3:17" ht="15.75" thickTop="1">
      <c r="K492" s="973"/>
      <c r="L492" s="973"/>
    </row>
  </sheetData>
  <mergeCells count="7">
    <mergeCell ref="N491:O491"/>
    <mergeCell ref="P491:Q491"/>
    <mergeCell ref="C1:C2"/>
    <mergeCell ref="D1:D2"/>
    <mergeCell ref="E1:E2"/>
    <mergeCell ref="F1:F2"/>
    <mergeCell ref="L86:M86"/>
  </mergeCells>
  <printOptions horizontalCentered="1"/>
  <pageMargins left="1.299212598425197" right="0.70866141732283472" top="0.74803149606299213" bottom="0.74803149606299213" header="0.31496062992125984" footer="0.31496062992125984"/>
  <pageSetup paperSize="9" scale="52" orientation="portrait" horizontalDpi="4294967293" verticalDpi="4294967293" r:id="rId1"/>
  <rowBreaks count="7" manualBreakCount="7">
    <brk id="47" min="2" max="7" man="1"/>
    <brk id="108" min="2" max="7" man="1"/>
    <brk id="168" min="2" max="7" man="1"/>
    <brk id="262" min="2" max="7" man="1"/>
    <brk id="294" min="2" max="7" man="1"/>
    <brk id="353" min="2" max="7" man="1"/>
    <brk id="413" min="2" max="7" man="1"/>
  </rowBreaks>
  <colBreaks count="1" manualBreakCount="1">
    <brk id="15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2060"/>
    <pageSetUpPr fitToPage="1"/>
  </sheetPr>
  <dimension ref="B1:AK603"/>
  <sheetViews>
    <sheetView topLeftCell="U141" zoomScale="70" zoomScaleNormal="70" workbookViewId="0">
      <selection activeCell="R147" sqref="R147"/>
    </sheetView>
  </sheetViews>
  <sheetFormatPr defaultRowHeight="15"/>
  <cols>
    <col min="1" max="1" width="2" customWidth="1"/>
    <col min="2" max="2" width="4.5703125" customWidth="1"/>
    <col min="3" max="3" width="41.7109375" customWidth="1"/>
    <col min="4" max="4" width="8.28515625" customWidth="1"/>
    <col min="5" max="5" width="10.85546875" customWidth="1"/>
    <col min="6" max="6" width="16.7109375" style="634" customWidth="1"/>
    <col min="7" max="7" width="19.28515625" style="634" customWidth="1"/>
    <col min="8" max="8" width="8" bestFit="1" customWidth="1"/>
    <col min="9" max="9" width="8.7109375" bestFit="1" customWidth="1"/>
    <col min="10" max="13" width="6.7109375" hidden="1" customWidth="1"/>
    <col min="14" max="14" width="4.5703125" customWidth="1"/>
    <col min="15" max="15" width="41.7109375" customWidth="1"/>
    <col min="16" max="16" width="8.28515625" customWidth="1"/>
    <col min="17" max="17" width="11" customWidth="1"/>
    <col min="18" max="18" width="12.140625" customWidth="1"/>
    <col min="19" max="19" width="16" style="634" customWidth="1"/>
    <col min="20" max="20" width="8" bestFit="1" customWidth="1"/>
    <col min="22" max="22" width="4.5703125" customWidth="1"/>
    <col min="23" max="23" width="41.7109375" customWidth="1"/>
    <col min="24" max="24" width="8.28515625" customWidth="1"/>
    <col min="25" max="25" width="11" customWidth="1"/>
    <col min="26" max="26" width="13" customWidth="1"/>
    <col min="27" max="27" width="14.28515625" customWidth="1"/>
    <col min="28" max="28" width="9" bestFit="1" customWidth="1"/>
    <col min="30" max="30" width="4.5703125" customWidth="1"/>
    <col min="31" max="31" width="41.7109375" customWidth="1"/>
    <col min="32" max="32" width="8.28515625" customWidth="1"/>
    <col min="33" max="33" width="11" customWidth="1"/>
    <col min="34" max="34" width="13" customWidth="1"/>
    <col min="35" max="35" width="14.28515625" customWidth="1"/>
    <col min="36" max="36" width="11.5703125" bestFit="1" customWidth="1"/>
    <col min="38" max="38" width="11.5703125" bestFit="1" customWidth="1"/>
    <col min="261" max="261" width="4.5703125" customWidth="1"/>
    <col min="262" max="262" width="41.7109375" customWidth="1"/>
    <col min="263" max="263" width="8.28515625" customWidth="1"/>
    <col min="264" max="264" width="11" customWidth="1"/>
    <col min="265" max="265" width="16.7109375" customWidth="1"/>
    <col min="266" max="266" width="22.85546875" customWidth="1"/>
    <col min="267" max="267" width="8.28515625" customWidth="1"/>
    <col min="268" max="268" width="4.5703125" customWidth="1"/>
    <col min="269" max="269" width="41.7109375" customWidth="1"/>
    <col min="270" max="270" width="8.28515625" customWidth="1"/>
    <col min="271" max="271" width="11" customWidth="1"/>
    <col min="272" max="272" width="16.7109375" customWidth="1"/>
    <col min="273" max="273" width="22.85546875" customWidth="1"/>
    <col min="275" max="275" width="4.5703125" customWidth="1"/>
    <col min="276" max="276" width="41.7109375" customWidth="1"/>
    <col min="277" max="277" width="8.28515625" customWidth="1"/>
    <col min="278" max="278" width="11" customWidth="1"/>
    <col min="279" max="279" width="16.7109375" customWidth="1"/>
    <col min="280" max="280" width="22.85546875" customWidth="1"/>
    <col min="282" max="282" width="4.5703125" customWidth="1"/>
    <col min="283" max="283" width="41.7109375" customWidth="1"/>
    <col min="284" max="284" width="8.28515625" customWidth="1"/>
    <col min="285" max="285" width="11" customWidth="1"/>
    <col min="286" max="286" width="16.7109375" customWidth="1"/>
    <col min="287" max="287" width="22.85546875" customWidth="1"/>
    <col min="289" max="289" width="4.5703125" customWidth="1"/>
    <col min="290" max="290" width="41.7109375" customWidth="1"/>
    <col min="291" max="291" width="8.28515625" customWidth="1"/>
    <col min="292" max="292" width="11" customWidth="1"/>
    <col min="293" max="293" width="16.7109375" customWidth="1"/>
    <col min="294" max="294" width="22.85546875" customWidth="1"/>
    <col min="517" max="517" width="4.5703125" customWidth="1"/>
    <col min="518" max="518" width="41.7109375" customWidth="1"/>
    <col min="519" max="519" width="8.28515625" customWidth="1"/>
    <col min="520" max="520" width="11" customWidth="1"/>
    <col min="521" max="521" width="16.7109375" customWidth="1"/>
    <col min="522" max="522" width="22.85546875" customWidth="1"/>
    <col min="523" max="523" width="8.28515625" customWidth="1"/>
    <col min="524" max="524" width="4.5703125" customWidth="1"/>
    <col min="525" max="525" width="41.7109375" customWidth="1"/>
    <col min="526" max="526" width="8.28515625" customWidth="1"/>
    <col min="527" max="527" width="11" customWidth="1"/>
    <col min="528" max="528" width="16.7109375" customWidth="1"/>
    <col min="529" max="529" width="22.85546875" customWidth="1"/>
    <col min="531" max="531" width="4.5703125" customWidth="1"/>
    <col min="532" max="532" width="41.7109375" customWidth="1"/>
    <col min="533" max="533" width="8.28515625" customWidth="1"/>
    <col min="534" max="534" width="11" customWidth="1"/>
    <col min="535" max="535" width="16.7109375" customWidth="1"/>
    <col min="536" max="536" width="22.85546875" customWidth="1"/>
    <col min="538" max="538" width="4.5703125" customWidth="1"/>
    <col min="539" max="539" width="41.7109375" customWidth="1"/>
    <col min="540" max="540" width="8.28515625" customWidth="1"/>
    <col min="541" max="541" width="11" customWidth="1"/>
    <col min="542" max="542" width="16.7109375" customWidth="1"/>
    <col min="543" max="543" width="22.85546875" customWidth="1"/>
    <col min="545" max="545" width="4.5703125" customWidth="1"/>
    <col min="546" max="546" width="41.7109375" customWidth="1"/>
    <col min="547" max="547" width="8.28515625" customWidth="1"/>
    <col min="548" max="548" width="11" customWidth="1"/>
    <col min="549" max="549" width="16.7109375" customWidth="1"/>
    <col min="550" max="550" width="22.85546875" customWidth="1"/>
    <col min="773" max="773" width="4.5703125" customWidth="1"/>
    <col min="774" max="774" width="41.7109375" customWidth="1"/>
    <col min="775" max="775" width="8.28515625" customWidth="1"/>
    <col min="776" max="776" width="11" customWidth="1"/>
    <col min="777" max="777" width="16.7109375" customWidth="1"/>
    <col min="778" max="778" width="22.85546875" customWidth="1"/>
    <col min="779" max="779" width="8.28515625" customWidth="1"/>
    <col min="780" max="780" width="4.5703125" customWidth="1"/>
    <col min="781" max="781" width="41.7109375" customWidth="1"/>
    <col min="782" max="782" width="8.28515625" customWidth="1"/>
    <col min="783" max="783" width="11" customWidth="1"/>
    <col min="784" max="784" width="16.7109375" customWidth="1"/>
    <col min="785" max="785" width="22.85546875" customWidth="1"/>
    <col min="787" max="787" width="4.5703125" customWidth="1"/>
    <col min="788" max="788" width="41.7109375" customWidth="1"/>
    <col min="789" max="789" width="8.28515625" customWidth="1"/>
    <col min="790" max="790" width="11" customWidth="1"/>
    <col min="791" max="791" width="16.7109375" customWidth="1"/>
    <col min="792" max="792" width="22.85546875" customWidth="1"/>
    <col min="794" max="794" width="4.5703125" customWidth="1"/>
    <col min="795" max="795" width="41.7109375" customWidth="1"/>
    <col min="796" max="796" width="8.28515625" customWidth="1"/>
    <col min="797" max="797" width="11" customWidth="1"/>
    <col min="798" max="798" width="16.7109375" customWidth="1"/>
    <col min="799" max="799" width="22.85546875" customWidth="1"/>
    <col min="801" max="801" width="4.5703125" customWidth="1"/>
    <col min="802" max="802" width="41.7109375" customWidth="1"/>
    <col min="803" max="803" width="8.28515625" customWidth="1"/>
    <col min="804" max="804" width="11" customWidth="1"/>
    <col min="805" max="805" width="16.7109375" customWidth="1"/>
    <col min="806" max="806" width="22.85546875" customWidth="1"/>
    <col min="1029" max="1029" width="4.5703125" customWidth="1"/>
    <col min="1030" max="1030" width="41.7109375" customWidth="1"/>
    <col min="1031" max="1031" width="8.28515625" customWidth="1"/>
    <col min="1032" max="1032" width="11" customWidth="1"/>
    <col min="1033" max="1033" width="16.7109375" customWidth="1"/>
    <col min="1034" max="1034" width="22.85546875" customWidth="1"/>
    <col min="1035" max="1035" width="8.28515625" customWidth="1"/>
    <col min="1036" max="1036" width="4.5703125" customWidth="1"/>
    <col min="1037" max="1037" width="41.7109375" customWidth="1"/>
    <col min="1038" max="1038" width="8.28515625" customWidth="1"/>
    <col min="1039" max="1039" width="11" customWidth="1"/>
    <col min="1040" max="1040" width="16.7109375" customWidth="1"/>
    <col min="1041" max="1041" width="22.85546875" customWidth="1"/>
    <col min="1043" max="1043" width="4.5703125" customWidth="1"/>
    <col min="1044" max="1044" width="41.7109375" customWidth="1"/>
    <col min="1045" max="1045" width="8.28515625" customWidth="1"/>
    <col min="1046" max="1046" width="11" customWidth="1"/>
    <col min="1047" max="1047" width="16.7109375" customWidth="1"/>
    <col min="1048" max="1048" width="22.85546875" customWidth="1"/>
    <col min="1050" max="1050" width="4.5703125" customWidth="1"/>
    <col min="1051" max="1051" width="41.7109375" customWidth="1"/>
    <col min="1052" max="1052" width="8.28515625" customWidth="1"/>
    <col min="1053" max="1053" width="11" customWidth="1"/>
    <col min="1054" max="1054" width="16.7109375" customWidth="1"/>
    <col min="1055" max="1055" width="22.85546875" customWidth="1"/>
    <col min="1057" max="1057" width="4.5703125" customWidth="1"/>
    <col min="1058" max="1058" width="41.7109375" customWidth="1"/>
    <col min="1059" max="1059" width="8.28515625" customWidth="1"/>
    <col min="1060" max="1060" width="11" customWidth="1"/>
    <col min="1061" max="1061" width="16.7109375" customWidth="1"/>
    <col min="1062" max="1062" width="22.85546875" customWidth="1"/>
    <col min="1285" max="1285" width="4.5703125" customWidth="1"/>
    <col min="1286" max="1286" width="41.7109375" customWidth="1"/>
    <col min="1287" max="1287" width="8.28515625" customWidth="1"/>
    <col min="1288" max="1288" width="11" customWidth="1"/>
    <col min="1289" max="1289" width="16.7109375" customWidth="1"/>
    <col min="1290" max="1290" width="22.85546875" customWidth="1"/>
    <col min="1291" max="1291" width="8.28515625" customWidth="1"/>
    <col min="1292" max="1292" width="4.5703125" customWidth="1"/>
    <col min="1293" max="1293" width="41.7109375" customWidth="1"/>
    <col min="1294" max="1294" width="8.28515625" customWidth="1"/>
    <col min="1295" max="1295" width="11" customWidth="1"/>
    <col min="1296" max="1296" width="16.7109375" customWidth="1"/>
    <col min="1297" max="1297" width="22.85546875" customWidth="1"/>
    <col min="1299" max="1299" width="4.5703125" customWidth="1"/>
    <col min="1300" max="1300" width="41.7109375" customWidth="1"/>
    <col min="1301" max="1301" width="8.28515625" customWidth="1"/>
    <col min="1302" max="1302" width="11" customWidth="1"/>
    <col min="1303" max="1303" width="16.7109375" customWidth="1"/>
    <col min="1304" max="1304" width="22.85546875" customWidth="1"/>
    <col min="1306" max="1306" width="4.5703125" customWidth="1"/>
    <col min="1307" max="1307" width="41.7109375" customWidth="1"/>
    <col min="1308" max="1308" width="8.28515625" customWidth="1"/>
    <col min="1309" max="1309" width="11" customWidth="1"/>
    <col min="1310" max="1310" width="16.7109375" customWidth="1"/>
    <col min="1311" max="1311" width="22.85546875" customWidth="1"/>
    <col min="1313" max="1313" width="4.5703125" customWidth="1"/>
    <col min="1314" max="1314" width="41.7109375" customWidth="1"/>
    <col min="1315" max="1315" width="8.28515625" customWidth="1"/>
    <col min="1316" max="1316" width="11" customWidth="1"/>
    <col min="1317" max="1317" width="16.7109375" customWidth="1"/>
    <col min="1318" max="1318" width="22.85546875" customWidth="1"/>
    <col min="1541" max="1541" width="4.5703125" customWidth="1"/>
    <col min="1542" max="1542" width="41.7109375" customWidth="1"/>
    <col min="1543" max="1543" width="8.28515625" customWidth="1"/>
    <col min="1544" max="1544" width="11" customWidth="1"/>
    <col min="1545" max="1545" width="16.7109375" customWidth="1"/>
    <col min="1546" max="1546" width="22.85546875" customWidth="1"/>
    <col min="1547" max="1547" width="8.28515625" customWidth="1"/>
    <col min="1548" max="1548" width="4.5703125" customWidth="1"/>
    <col min="1549" max="1549" width="41.7109375" customWidth="1"/>
    <col min="1550" max="1550" width="8.28515625" customWidth="1"/>
    <col min="1551" max="1551" width="11" customWidth="1"/>
    <col min="1552" max="1552" width="16.7109375" customWidth="1"/>
    <col min="1553" max="1553" width="22.85546875" customWidth="1"/>
    <col min="1555" max="1555" width="4.5703125" customWidth="1"/>
    <col min="1556" max="1556" width="41.7109375" customWidth="1"/>
    <col min="1557" max="1557" width="8.28515625" customWidth="1"/>
    <col min="1558" max="1558" width="11" customWidth="1"/>
    <col min="1559" max="1559" width="16.7109375" customWidth="1"/>
    <col min="1560" max="1560" width="22.85546875" customWidth="1"/>
    <col min="1562" max="1562" width="4.5703125" customWidth="1"/>
    <col min="1563" max="1563" width="41.7109375" customWidth="1"/>
    <col min="1564" max="1564" width="8.28515625" customWidth="1"/>
    <col min="1565" max="1565" width="11" customWidth="1"/>
    <col min="1566" max="1566" width="16.7109375" customWidth="1"/>
    <col min="1567" max="1567" width="22.85546875" customWidth="1"/>
    <col min="1569" max="1569" width="4.5703125" customWidth="1"/>
    <col min="1570" max="1570" width="41.7109375" customWidth="1"/>
    <col min="1571" max="1571" width="8.28515625" customWidth="1"/>
    <col min="1572" max="1572" width="11" customWidth="1"/>
    <col min="1573" max="1573" width="16.7109375" customWidth="1"/>
    <col min="1574" max="1574" width="22.85546875" customWidth="1"/>
    <col min="1797" max="1797" width="4.5703125" customWidth="1"/>
    <col min="1798" max="1798" width="41.7109375" customWidth="1"/>
    <col min="1799" max="1799" width="8.28515625" customWidth="1"/>
    <col min="1800" max="1800" width="11" customWidth="1"/>
    <col min="1801" max="1801" width="16.7109375" customWidth="1"/>
    <col min="1802" max="1802" width="22.85546875" customWidth="1"/>
    <col min="1803" max="1803" width="8.28515625" customWidth="1"/>
    <col min="1804" max="1804" width="4.5703125" customWidth="1"/>
    <col min="1805" max="1805" width="41.7109375" customWidth="1"/>
    <col min="1806" max="1806" width="8.28515625" customWidth="1"/>
    <col min="1807" max="1807" width="11" customWidth="1"/>
    <col min="1808" max="1808" width="16.7109375" customWidth="1"/>
    <col min="1809" max="1809" width="22.85546875" customWidth="1"/>
    <col min="1811" max="1811" width="4.5703125" customWidth="1"/>
    <col min="1812" max="1812" width="41.7109375" customWidth="1"/>
    <col min="1813" max="1813" width="8.28515625" customWidth="1"/>
    <col min="1814" max="1814" width="11" customWidth="1"/>
    <col min="1815" max="1815" width="16.7109375" customWidth="1"/>
    <col min="1816" max="1816" width="22.85546875" customWidth="1"/>
    <col min="1818" max="1818" width="4.5703125" customWidth="1"/>
    <col min="1819" max="1819" width="41.7109375" customWidth="1"/>
    <col min="1820" max="1820" width="8.28515625" customWidth="1"/>
    <col min="1821" max="1821" width="11" customWidth="1"/>
    <col min="1822" max="1822" width="16.7109375" customWidth="1"/>
    <col min="1823" max="1823" width="22.85546875" customWidth="1"/>
    <col min="1825" max="1825" width="4.5703125" customWidth="1"/>
    <col min="1826" max="1826" width="41.7109375" customWidth="1"/>
    <col min="1827" max="1827" width="8.28515625" customWidth="1"/>
    <col min="1828" max="1828" width="11" customWidth="1"/>
    <col min="1829" max="1829" width="16.7109375" customWidth="1"/>
    <col min="1830" max="1830" width="22.85546875" customWidth="1"/>
    <col min="2053" max="2053" width="4.5703125" customWidth="1"/>
    <col min="2054" max="2054" width="41.7109375" customWidth="1"/>
    <col min="2055" max="2055" width="8.28515625" customWidth="1"/>
    <col min="2056" max="2056" width="11" customWidth="1"/>
    <col min="2057" max="2057" width="16.7109375" customWidth="1"/>
    <col min="2058" max="2058" width="22.85546875" customWidth="1"/>
    <col min="2059" max="2059" width="8.28515625" customWidth="1"/>
    <col min="2060" max="2060" width="4.5703125" customWidth="1"/>
    <col min="2061" max="2061" width="41.7109375" customWidth="1"/>
    <col min="2062" max="2062" width="8.28515625" customWidth="1"/>
    <col min="2063" max="2063" width="11" customWidth="1"/>
    <col min="2064" max="2064" width="16.7109375" customWidth="1"/>
    <col min="2065" max="2065" width="22.85546875" customWidth="1"/>
    <col min="2067" max="2067" width="4.5703125" customWidth="1"/>
    <col min="2068" max="2068" width="41.7109375" customWidth="1"/>
    <col min="2069" max="2069" width="8.28515625" customWidth="1"/>
    <col min="2070" max="2070" width="11" customWidth="1"/>
    <col min="2071" max="2071" width="16.7109375" customWidth="1"/>
    <col min="2072" max="2072" width="22.85546875" customWidth="1"/>
    <col min="2074" max="2074" width="4.5703125" customWidth="1"/>
    <col min="2075" max="2075" width="41.7109375" customWidth="1"/>
    <col min="2076" max="2076" width="8.28515625" customWidth="1"/>
    <col min="2077" max="2077" width="11" customWidth="1"/>
    <col min="2078" max="2078" width="16.7109375" customWidth="1"/>
    <col min="2079" max="2079" width="22.85546875" customWidth="1"/>
    <col min="2081" max="2081" width="4.5703125" customWidth="1"/>
    <col min="2082" max="2082" width="41.7109375" customWidth="1"/>
    <col min="2083" max="2083" width="8.28515625" customWidth="1"/>
    <col min="2084" max="2084" width="11" customWidth="1"/>
    <col min="2085" max="2085" width="16.7109375" customWidth="1"/>
    <col min="2086" max="2086" width="22.85546875" customWidth="1"/>
    <col min="2309" max="2309" width="4.5703125" customWidth="1"/>
    <col min="2310" max="2310" width="41.7109375" customWidth="1"/>
    <col min="2311" max="2311" width="8.28515625" customWidth="1"/>
    <col min="2312" max="2312" width="11" customWidth="1"/>
    <col min="2313" max="2313" width="16.7109375" customWidth="1"/>
    <col min="2314" max="2314" width="22.85546875" customWidth="1"/>
    <col min="2315" max="2315" width="8.28515625" customWidth="1"/>
    <col min="2316" max="2316" width="4.5703125" customWidth="1"/>
    <col min="2317" max="2317" width="41.7109375" customWidth="1"/>
    <col min="2318" max="2318" width="8.28515625" customWidth="1"/>
    <col min="2319" max="2319" width="11" customWidth="1"/>
    <col min="2320" max="2320" width="16.7109375" customWidth="1"/>
    <col min="2321" max="2321" width="22.85546875" customWidth="1"/>
    <col min="2323" max="2323" width="4.5703125" customWidth="1"/>
    <col min="2324" max="2324" width="41.7109375" customWidth="1"/>
    <col min="2325" max="2325" width="8.28515625" customWidth="1"/>
    <col min="2326" max="2326" width="11" customWidth="1"/>
    <col min="2327" max="2327" width="16.7109375" customWidth="1"/>
    <col min="2328" max="2328" width="22.85546875" customWidth="1"/>
    <col min="2330" max="2330" width="4.5703125" customWidth="1"/>
    <col min="2331" max="2331" width="41.7109375" customWidth="1"/>
    <col min="2332" max="2332" width="8.28515625" customWidth="1"/>
    <col min="2333" max="2333" width="11" customWidth="1"/>
    <col min="2334" max="2334" width="16.7109375" customWidth="1"/>
    <col min="2335" max="2335" width="22.85546875" customWidth="1"/>
    <col min="2337" max="2337" width="4.5703125" customWidth="1"/>
    <col min="2338" max="2338" width="41.7109375" customWidth="1"/>
    <col min="2339" max="2339" width="8.28515625" customWidth="1"/>
    <col min="2340" max="2340" width="11" customWidth="1"/>
    <col min="2341" max="2341" width="16.7109375" customWidth="1"/>
    <col min="2342" max="2342" width="22.85546875" customWidth="1"/>
    <col min="2565" max="2565" width="4.5703125" customWidth="1"/>
    <col min="2566" max="2566" width="41.7109375" customWidth="1"/>
    <col min="2567" max="2567" width="8.28515625" customWidth="1"/>
    <col min="2568" max="2568" width="11" customWidth="1"/>
    <col min="2569" max="2569" width="16.7109375" customWidth="1"/>
    <col min="2570" max="2570" width="22.85546875" customWidth="1"/>
    <col min="2571" max="2571" width="8.28515625" customWidth="1"/>
    <col min="2572" max="2572" width="4.5703125" customWidth="1"/>
    <col min="2573" max="2573" width="41.7109375" customWidth="1"/>
    <col min="2574" max="2574" width="8.28515625" customWidth="1"/>
    <col min="2575" max="2575" width="11" customWidth="1"/>
    <col min="2576" max="2576" width="16.7109375" customWidth="1"/>
    <col min="2577" max="2577" width="22.85546875" customWidth="1"/>
    <col min="2579" max="2579" width="4.5703125" customWidth="1"/>
    <col min="2580" max="2580" width="41.7109375" customWidth="1"/>
    <col min="2581" max="2581" width="8.28515625" customWidth="1"/>
    <col min="2582" max="2582" width="11" customWidth="1"/>
    <col min="2583" max="2583" width="16.7109375" customWidth="1"/>
    <col min="2584" max="2584" width="22.85546875" customWidth="1"/>
    <col min="2586" max="2586" width="4.5703125" customWidth="1"/>
    <col min="2587" max="2587" width="41.7109375" customWidth="1"/>
    <col min="2588" max="2588" width="8.28515625" customWidth="1"/>
    <col min="2589" max="2589" width="11" customWidth="1"/>
    <col min="2590" max="2590" width="16.7109375" customWidth="1"/>
    <col min="2591" max="2591" width="22.85546875" customWidth="1"/>
    <col min="2593" max="2593" width="4.5703125" customWidth="1"/>
    <col min="2594" max="2594" width="41.7109375" customWidth="1"/>
    <col min="2595" max="2595" width="8.28515625" customWidth="1"/>
    <col min="2596" max="2596" width="11" customWidth="1"/>
    <col min="2597" max="2597" width="16.7109375" customWidth="1"/>
    <col min="2598" max="2598" width="22.85546875" customWidth="1"/>
    <col min="2821" max="2821" width="4.5703125" customWidth="1"/>
    <col min="2822" max="2822" width="41.7109375" customWidth="1"/>
    <col min="2823" max="2823" width="8.28515625" customWidth="1"/>
    <col min="2824" max="2824" width="11" customWidth="1"/>
    <col min="2825" max="2825" width="16.7109375" customWidth="1"/>
    <col min="2826" max="2826" width="22.85546875" customWidth="1"/>
    <col min="2827" max="2827" width="8.28515625" customWidth="1"/>
    <col min="2828" max="2828" width="4.5703125" customWidth="1"/>
    <col min="2829" max="2829" width="41.7109375" customWidth="1"/>
    <col min="2830" max="2830" width="8.28515625" customWidth="1"/>
    <col min="2831" max="2831" width="11" customWidth="1"/>
    <col min="2832" max="2832" width="16.7109375" customWidth="1"/>
    <col min="2833" max="2833" width="22.85546875" customWidth="1"/>
    <col min="2835" max="2835" width="4.5703125" customWidth="1"/>
    <col min="2836" max="2836" width="41.7109375" customWidth="1"/>
    <col min="2837" max="2837" width="8.28515625" customWidth="1"/>
    <col min="2838" max="2838" width="11" customWidth="1"/>
    <col min="2839" max="2839" width="16.7109375" customWidth="1"/>
    <col min="2840" max="2840" width="22.85546875" customWidth="1"/>
    <col min="2842" max="2842" width="4.5703125" customWidth="1"/>
    <col min="2843" max="2843" width="41.7109375" customWidth="1"/>
    <col min="2844" max="2844" width="8.28515625" customWidth="1"/>
    <col min="2845" max="2845" width="11" customWidth="1"/>
    <col min="2846" max="2846" width="16.7109375" customWidth="1"/>
    <col min="2847" max="2847" width="22.85546875" customWidth="1"/>
    <col min="2849" max="2849" width="4.5703125" customWidth="1"/>
    <col min="2850" max="2850" width="41.7109375" customWidth="1"/>
    <col min="2851" max="2851" width="8.28515625" customWidth="1"/>
    <col min="2852" max="2852" width="11" customWidth="1"/>
    <col min="2853" max="2853" width="16.7109375" customWidth="1"/>
    <col min="2854" max="2854" width="22.85546875" customWidth="1"/>
    <col min="3077" max="3077" width="4.5703125" customWidth="1"/>
    <col min="3078" max="3078" width="41.7109375" customWidth="1"/>
    <col min="3079" max="3079" width="8.28515625" customWidth="1"/>
    <col min="3080" max="3080" width="11" customWidth="1"/>
    <col min="3081" max="3081" width="16.7109375" customWidth="1"/>
    <col min="3082" max="3082" width="22.85546875" customWidth="1"/>
    <col min="3083" max="3083" width="8.28515625" customWidth="1"/>
    <col min="3084" max="3084" width="4.5703125" customWidth="1"/>
    <col min="3085" max="3085" width="41.7109375" customWidth="1"/>
    <col min="3086" max="3086" width="8.28515625" customWidth="1"/>
    <col min="3087" max="3087" width="11" customWidth="1"/>
    <col min="3088" max="3088" width="16.7109375" customWidth="1"/>
    <col min="3089" max="3089" width="22.85546875" customWidth="1"/>
    <col min="3091" max="3091" width="4.5703125" customWidth="1"/>
    <col min="3092" max="3092" width="41.7109375" customWidth="1"/>
    <col min="3093" max="3093" width="8.28515625" customWidth="1"/>
    <col min="3094" max="3094" width="11" customWidth="1"/>
    <col min="3095" max="3095" width="16.7109375" customWidth="1"/>
    <col min="3096" max="3096" width="22.85546875" customWidth="1"/>
    <col min="3098" max="3098" width="4.5703125" customWidth="1"/>
    <col min="3099" max="3099" width="41.7109375" customWidth="1"/>
    <col min="3100" max="3100" width="8.28515625" customWidth="1"/>
    <col min="3101" max="3101" width="11" customWidth="1"/>
    <col min="3102" max="3102" width="16.7109375" customWidth="1"/>
    <col min="3103" max="3103" width="22.85546875" customWidth="1"/>
    <col min="3105" max="3105" width="4.5703125" customWidth="1"/>
    <col min="3106" max="3106" width="41.7109375" customWidth="1"/>
    <col min="3107" max="3107" width="8.28515625" customWidth="1"/>
    <col min="3108" max="3108" width="11" customWidth="1"/>
    <col min="3109" max="3109" width="16.7109375" customWidth="1"/>
    <col min="3110" max="3110" width="22.85546875" customWidth="1"/>
    <col min="3333" max="3333" width="4.5703125" customWidth="1"/>
    <col min="3334" max="3334" width="41.7109375" customWidth="1"/>
    <col min="3335" max="3335" width="8.28515625" customWidth="1"/>
    <col min="3336" max="3336" width="11" customWidth="1"/>
    <col min="3337" max="3337" width="16.7109375" customWidth="1"/>
    <col min="3338" max="3338" width="22.85546875" customWidth="1"/>
    <col min="3339" max="3339" width="8.28515625" customWidth="1"/>
    <col min="3340" max="3340" width="4.5703125" customWidth="1"/>
    <col min="3341" max="3341" width="41.7109375" customWidth="1"/>
    <col min="3342" max="3342" width="8.28515625" customWidth="1"/>
    <col min="3343" max="3343" width="11" customWidth="1"/>
    <col min="3344" max="3344" width="16.7109375" customWidth="1"/>
    <col min="3345" max="3345" width="22.85546875" customWidth="1"/>
    <col min="3347" max="3347" width="4.5703125" customWidth="1"/>
    <col min="3348" max="3348" width="41.7109375" customWidth="1"/>
    <col min="3349" max="3349" width="8.28515625" customWidth="1"/>
    <col min="3350" max="3350" width="11" customWidth="1"/>
    <col min="3351" max="3351" width="16.7109375" customWidth="1"/>
    <col min="3352" max="3352" width="22.85546875" customWidth="1"/>
    <col min="3354" max="3354" width="4.5703125" customWidth="1"/>
    <col min="3355" max="3355" width="41.7109375" customWidth="1"/>
    <col min="3356" max="3356" width="8.28515625" customWidth="1"/>
    <col min="3357" max="3357" width="11" customWidth="1"/>
    <col min="3358" max="3358" width="16.7109375" customWidth="1"/>
    <col min="3359" max="3359" width="22.85546875" customWidth="1"/>
    <col min="3361" max="3361" width="4.5703125" customWidth="1"/>
    <col min="3362" max="3362" width="41.7109375" customWidth="1"/>
    <col min="3363" max="3363" width="8.28515625" customWidth="1"/>
    <col min="3364" max="3364" width="11" customWidth="1"/>
    <col min="3365" max="3365" width="16.7109375" customWidth="1"/>
    <col min="3366" max="3366" width="22.85546875" customWidth="1"/>
    <col min="3589" max="3589" width="4.5703125" customWidth="1"/>
    <col min="3590" max="3590" width="41.7109375" customWidth="1"/>
    <col min="3591" max="3591" width="8.28515625" customWidth="1"/>
    <col min="3592" max="3592" width="11" customWidth="1"/>
    <col min="3593" max="3593" width="16.7109375" customWidth="1"/>
    <col min="3594" max="3594" width="22.85546875" customWidth="1"/>
    <col min="3595" max="3595" width="8.28515625" customWidth="1"/>
    <col min="3596" max="3596" width="4.5703125" customWidth="1"/>
    <col min="3597" max="3597" width="41.7109375" customWidth="1"/>
    <col min="3598" max="3598" width="8.28515625" customWidth="1"/>
    <col min="3599" max="3599" width="11" customWidth="1"/>
    <col min="3600" max="3600" width="16.7109375" customWidth="1"/>
    <col min="3601" max="3601" width="22.85546875" customWidth="1"/>
    <col min="3603" max="3603" width="4.5703125" customWidth="1"/>
    <col min="3604" max="3604" width="41.7109375" customWidth="1"/>
    <col min="3605" max="3605" width="8.28515625" customWidth="1"/>
    <col min="3606" max="3606" width="11" customWidth="1"/>
    <col min="3607" max="3607" width="16.7109375" customWidth="1"/>
    <col min="3608" max="3608" width="22.85546875" customWidth="1"/>
    <col min="3610" max="3610" width="4.5703125" customWidth="1"/>
    <col min="3611" max="3611" width="41.7109375" customWidth="1"/>
    <col min="3612" max="3612" width="8.28515625" customWidth="1"/>
    <col min="3613" max="3613" width="11" customWidth="1"/>
    <col min="3614" max="3614" width="16.7109375" customWidth="1"/>
    <col min="3615" max="3615" width="22.85546875" customWidth="1"/>
    <col min="3617" max="3617" width="4.5703125" customWidth="1"/>
    <col min="3618" max="3618" width="41.7109375" customWidth="1"/>
    <col min="3619" max="3619" width="8.28515625" customWidth="1"/>
    <col min="3620" max="3620" width="11" customWidth="1"/>
    <col min="3621" max="3621" width="16.7109375" customWidth="1"/>
    <col min="3622" max="3622" width="22.85546875" customWidth="1"/>
    <col min="3845" max="3845" width="4.5703125" customWidth="1"/>
    <col min="3846" max="3846" width="41.7109375" customWidth="1"/>
    <col min="3847" max="3847" width="8.28515625" customWidth="1"/>
    <col min="3848" max="3848" width="11" customWidth="1"/>
    <col min="3849" max="3849" width="16.7109375" customWidth="1"/>
    <col min="3850" max="3850" width="22.85546875" customWidth="1"/>
    <col min="3851" max="3851" width="8.28515625" customWidth="1"/>
    <col min="3852" max="3852" width="4.5703125" customWidth="1"/>
    <col min="3853" max="3853" width="41.7109375" customWidth="1"/>
    <col min="3854" max="3854" width="8.28515625" customWidth="1"/>
    <col min="3855" max="3855" width="11" customWidth="1"/>
    <col min="3856" max="3856" width="16.7109375" customWidth="1"/>
    <col min="3857" max="3857" width="22.85546875" customWidth="1"/>
    <col min="3859" max="3859" width="4.5703125" customWidth="1"/>
    <col min="3860" max="3860" width="41.7109375" customWidth="1"/>
    <col min="3861" max="3861" width="8.28515625" customWidth="1"/>
    <col min="3862" max="3862" width="11" customWidth="1"/>
    <col min="3863" max="3863" width="16.7109375" customWidth="1"/>
    <col min="3864" max="3864" width="22.85546875" customWidth="1"/>
    <col min="3866" max="3866" width="4.5703125" customWidth="1"/>
    <col min="3867" max="3867" width="41.7109375" customWidth="1"/>
    <col min="3868" max="3868" width="8.28515625" customWidth="1"/>
    <col min="3869" max="3869" width="11" customWidth="1"/>
    <col min="3870" max="3870" width="16.7109375" customWidth="1"/>
    <col min="3871" max="3871" width="22.85546875" customWidth="1"/>
    <col min="3873" max="3873" width="4.5703125" customWidth="1"/>
    <col min="3874" max="3874" width="41.7109375" customWidth="1"/>
    <col min="3875" max="3875" width="8.28515625" customWidth="1"/>
    <col min="3876" max="3876" width="11" customWidth="1"/>
    <col min="3877" max="3877" width="16.7109375" customWidth="1"/>
    <col min="3878" max="3878" width="22.85546875" customWidth="1"/>
    <col min="4101" max="4101" width="4.5703125" customWidth="1"/>
    <col min="4102" max="4102" width="41.7109375" customWidth="1"/>
    <col min="4103" max="4103" width="8.28515625" customWidth="1"/>
    <col min="4104" max="4104" width="11" customWidth="1"/>
    <col min="4105" max="4105" width="16.7109375" customWidth="1"/>
    <col min="4106" max="4106" width="22.85546875" customWidth="1"/>
    <col min="4107" max="4107" width="8.28515625" customWidth="1"/>
    <col min="4108" max="4108" width="4.5703125" customWidth="1"/>
    <col min="4109" max="4109" width="41.7109375" customWidth="1"/>
    <col min="4110" max="4110" width="8.28515625" customWidth="1"/>
    <col min="4111" max="4111" width="11" customWidth="1"/>
    <col min="4112" max="4112" width="16.7109375" customWidth="1"/>
    <col min="4113" max="4113" width="22.85546875" customWidth="1"/>
    <col min="4115" max="4115" width="4.5703125" customWidth="1"/>
    <col min="4116" max="4116" width="41.7109375" customWidth="1"/>
    <col min="4117" max="4117" width="8.28515625" customWidth="1"/>
    <col min="4118" max="4118" width="11" customWidth="1"/>
    <col min="4119" max="4119" width="16.7109375" customWidth="1"/>
    <col min="4120" max="4120" width="22.85546875" customWidth="1"/>
    <col min="4122" max="4122" width="4.5703125" customWidth="1"/>
    <col min="4123" max="4123" width="41.7109375" customWidth="1"/>
    <col min="4124" max="4124" width="8.28515625" customWidth="1"/>
    <col min="4125" max="4125" width="11" customWidth="1"/>
    <col min="4126" max="4126" width="16.7109375" customWidth="1"/>
    <col min="4127" max="4127" width="22.85546875" customWidth="1"/>
    <col min="4129" max="4129" width="4.5703125" customWidth="1"/>
    <col min="4130" max="4130" width="41.7109375" customWidth="1"/>
    <col min="4131" max="4131" width="8.28515625" customWidth="1"/>
    <col min="4132" max="4132" width="11" customWidth="1"/>
    <col min="4133" max="4133" width="16.7109375" customWidth="1"/>
    <col min="4134" max="4134" width="22.85546875" customWidth="1"/>
    <col min="4357" max="4357" width="4.5703125" customWidth="1"/>
    <col min="4358" max="4358" width="41.7109375" customWidth="1"/>
    <col min="4359" max="4359" width="8.28515625" customWidth="1"/>
    <col min="4360" max="4360" width="11" customWidth="1"/>
    <col min="4361" max="4361" width="16.7109375" customWidth="1"/>
    <col min="4362" max="4362" width="22.85546875" customWidth="1"/>
    <col min="4363" max="4363" width="8.28515625" customWidth="1"/>
    <col min="4364" max="4364" width="4.5703125" customWidth="1"/>
    <col min="4365" max="4365" width="41.7109375" customWidth="1"/>
    <col min="4366" max="4366" width="8.28515625" customWidth="1"/>
    <col min="4367" max="4367" width="11" customWidth="1"/>
    <col min="4368" max="4368" width="16.7109375" customWidth="1"/>
    <col min="4369" max="4369" width="22.85546875" customWidth="1"/>
    <col min="4371" max="4371" width="4.5703125" customWidth="1"/>
    <col min="4372" max="4372" width="41.7109375" customWidth="1"/>
    <col min="4373" max="4373" width="8.28515625" customWidth="1"/>
    <col min="4374" max="4374" width="11" customWidth="1"/>
    <col min="4375" max="4375" width="16.7109375" customWidth="1"/>
    <col min="4376" max="4376" width="22.85546875" customWidth="1"/>
    <col min="4378" max="4378" width="4.5703125" customWidth="1"/>
    <col min="4379" max="4379" width="41.7109375" customWidth="1"/>
    <col min="4380" max="4380" width="8.28515625" customWidth="1"/>
    <col min="4381" max="4381" width="11" customWidth="1"/>
    <col min="4382" max="4382" width="16.7109375" customWidth="1"/>
    <col min="4383" max="4383" width="22.85546875" customWidth="1"/>
    <col min="4385" max="4385" width="4.5703125" customWidth="1"/>
    <col min="4386" max="4386" width="41.7109375" customWidth="1"/>
    <col min="4387" max="4387" width="8.28515625" customWidth="1"/>
    <col min="4388" max="4388" width="11" customWidth="1"/>
    <col min="4389" max="4389" width="16.7109375" customWidth="1"/>
    <col min="4390" max="4390" width="22.85546875" customWidth="1"/>
    <col min="4613" max="4613" width="4.5703125" customWidth="1"/>
    <col min="4614" max="4614" width="41.7109375" customWidth="1"/>
    <col min="4615" max="4615" width="8.28515625" customWidth="1"/>
    <col min="4616" max="4616" width="11" customWidth="1"/>
    <col min="4617" max="4617" width="16.7109375" customWidth="1"/>
    <col min="4618" max="4618" width="22.85546875" customWidth="1"/>
    <col min="4619" max="4619" width="8.28515625" customWidth="1"/>
    <col min="4620" max="4620" width="4.5703125" customWidth="1"/>
    <col min="4621" max="4621" width="41.7109375" customWidth="1"/>
    <col min="4622" max="4622" width="8.28515625" customWidth="1"/>
    <col min="4623" max="4623" width="11" customWidth="1"/>
    <col min="4624" max="4624" width="16.7109375" customWidth="1"/>
    <col min="4625" max="4625" width="22.85546875" customWidth="1"/>
    <col min="4627" max="4627" width="4.5703125" customWidth="1"/>
    <col min="4628" max="4628" width="41.7109375" customWidth="1"/>
    <col min="4629" max="4629" width="8.28515625" customWidth="1"/>
    <col min="4630" max="4630" width="11" customWidth="1"/>
    <col min="4631" max="4631" width="16.7109375" customWidth="1"/>
    <col min="4632" max="4632" width="22.85546875" customWidth="1"/>
    <col min="4634" max="4634" width="4.5703125" customWidth="1"/>
    <col min="4635" max="4635" width="41.7109375" customWidth="1"/>
    <col min="4636" max="4636" width="8.28515625" customWidth="1"/>
    <col min="4637" max="4637" width="11" customWidth="1"/>
    <col min="4638" max="4638" width="16.7109375" customWidth="1"/>
    <col min="4639" max="4639" width="22.85546875" customWidth="1"/>
    <col min="4641" max="4641" width="4.5703125" customWidth="1"/>
    <col min="4642" max="4642" width="41.7109375" customWidth="1"/>
    <col min="4643" max="4643" width="8.28515625" customWidth="1"/>
    <col min="4644" max="4644" width="11" customWidth="1"/>
    <col min="4645" max="4645" width="16.7109375" customWidth="1"/>
    <col min="4646" max="4646" width="22.85546875" customWidth="1"/>
    <col min="4869" max="4869" width="4.5703125" customWidth="1"/>
    <col min="4870" max="4870" width="41.7109375" customWidth="1"/>
    <col min="4871" max="4871" width="8.28515625" customWidth="1"/>
    <col min="4872" max="4872" width="11" customWidth="1"/>
    <col min="4873" max="4873" width="16.7109375" customWidth="1"/>
    <col min="4874" max="4874" width="22.85546875" customWidth="1"/>
    <col min="4875" max="4875" width="8.28515625" customWidth="1"/>
    <col min="4876" max="4876" width="4.5703125" customWidth="1"/>
    <col min="4877" max="4877" width="41.7109375" customWidth="1"/>
    <col min="4878" max="4878" width="8.28515625" customWidth="1"/>
    <col min="4879" max="4879" width="11" customWidth="1"/>
    <col min="4880" max="4880" width="16.7109375" customWidth="1"/>
    <col min="4881" max="4881" width="22.85546875" customWidth="1"/>
    <col min="4883" max="4883" width="4.5703125" customWidth="1"/>
    <col min="4884" max="4884" width="41.7109375" customWidth="1"/>
    <col min="4885" max="4885" width="8.28515625" customWidth="1"/>
    <col min="4886" max="4886" width="11" customWidth="1"/>
    <col min="4887" max="4887" width="16.7109375" customWidth="1"/>
    <col min="4888" max="4888" width="22.85546875" customWidth="1"/>
    <col min="4890" max="4890" width="4.5703125" customWidth="1"/>
    <col min="4891" max="4891" width="41.7109375" customWidth="1"/>
    <col min="4892" max="4892" width="8.28515625" customWidth="1"/>
    <col min="4893" max="4893" width="11" customWidth="1"/>
    <col min="4894" max="4894" width="16.7109375" customWidth="1"/>
    <col min="4895" max="4895" width="22.85546875" customWidth="1"/>
    <col min="4897" max="4897" width="4.5703125" customWidth="1"/>
    <col min="4898" max="4898" width="41.7109375" customWidth="1"/>
    <col min="4899" max="4899" width="8.28515625" customWidth="1"/>
    <col min="4900" max="4900" width="11" customWidth="1"/>
    <col min="4901" max="4901" width="16.7109375" customWidth="1"/>
    <col min="4902" max="4902" width="22.85546875" customWidth="1"/>
    <col min="5125" max="5125" width="4.5703125" customWidth="1"/>
    <col min="5126" max="5126" width="41.7109375" customWidth="1"/>
    <col min="5127" max="5127" width="8.28515625" customWidth="1"/>
    <col min="5128" max="5128" width="11" customWidth="1"/>
    <col min="5129" max="5129" width="16.7109375" customWidth="1"/>
    <col min="5130" max="5130" width="22.85546875" customWidth="1"/>
    <col min="5131" max="5131" width="8.28515625" customWidth="1"/>
    <col min="5132" max="5132" width="4.5703125" customWidth="1"/>
    <col min="5133" max="5133" width="41.7109375" customWidth="1"/>
    <col min="5134" max="5134" width="8.28515625" customWidth="1"/>
    <col min="5135" max="5135" width="11" customWidth="1"/>
    <col min="5136" max="5136" width="16.7109375" customWidth="1"/>
    <col min="5137" max="5137" width="22.85546875" customWidth="1"/>
    <col min="5139" max="5139" width="4.5703125" customWidth="1"/>
    <col min="5140" max="5140" width="41.7109375" customWidth="1"/>
    <col min="5141" max="5141" width="8.28515625" customWidth="1"/>
    <col min="5142" max="5142" width="11" customWidth="1"/>
    <col min="5143" max="5143" width="16.7109375" customWidth="1"/>
    <col min="5144" max="5144" width="22.85546875" customWidth="1"/>
    <col min="5146" max="5146" width="4.5703125" customWidth="1"/>
    <col min="5147" max="5147" width="41.7109375" customWidth="1"/>
    <col min="5148" max="5148" width="8.28515625" customWidth="1"/>
    <col min="5149" max="5149" width="11" customWidth="1"/>
    <col min="5150" max="5150" width="16.7109375" customWidth="1"/>
    <col min="5151" max="5151" width="22.85546875" customWidth="1"/>
    <col min="5153" max="5153" width="4.5703125" customWidth="1"/>
    <col min="5154" max="5154" width="41.7109375" customWidth="1"/>
    <col min="5155" max="5155" width="8.28515625" customWidth="1"/>
    <col min="5156" max="5156" width="11" customWidth="1"/>
    <col min="5157" max="5157" width="16.7109375" customWidth="1"/>
    <col min="5158" max="5158" width="22.85546875" customWidth="1"/>
    <col min="5381" max="5381" width="4.5703125" customWidth="1"/>
    <col min="5382" max="5382" width="41.7109375" customWidth="1"/>
    <col min="5383" max="5383" width="8.28515625" customWidth="1"/>
    <col min="5384" max="5384" width="11" customWidth="1"/>
    <col min="5385" max="5385" width="16.7109375" customWidth="1"/>
    <col min="5386" max="5386" width="22.85546875" customWidth="1"/>
    <col min="5387" max="5387" width="8.28515625" customWidth="1"/>
    <col min="5388" max="5388" width="4.5703125" customWidth="1"/>
    <col min="5389" max="5389" width="41.7109375" customWidth="1"/>
    <col min="5390" max="5390" width="8.28515625" customWidth="1"/>
    <col min="5391" max="5391" width="11" customWidth="1"/>
    <col min="5392" max="5392" width="16.7109375" customWidth="1"/>
    <col min="5393" max="5393" width="22.85546875" customWidth="1"/>
    <col min="5395" max="5395" width="4.5703125" customWidth="1"/>
    <col min="5396" max="5396" width="41.7109375" customWidth="1"/>
    <col min="5397" max="5397" width="8.28515625" customWidth="1"/>
    <col min="5398" max="5398" width="11" customWidth="1"/>
    <col min="5399" max="5399" width="16.7109375" customWidth="1"/>
    <col min="5400" max="5400" width="22.85546875" customWidth="1"/>
    <col min="5402" max="5402" width="4.5703125" customWidth="1"/>
    <col min="5403" max="5403" width="41.7109375" customWidth="1"/>
    <col min="5404" max="5404" width="8.28515625" customWidth="1"/>
    <col min="5405" max="5405" width="11" customWidth="1"/>
    <col min="5406" max="5406" width="16.7109375" customWidth="1"/>
    <col min="5407" max="5407" width="22.85546875" customWidth="1"/>
    <col min="5409" max="5409" width="4.5703125" customWidth="1"/>
    <col min="5410" max="5410" width="41.7109375" customWidth="1"/>
    <col min="5411" max="5411" width="8.28515625" customWidth="1"/>
    <col min="5412" max="5412" width="11" customWidth="1"/>
    <col min="5413" max="5413" width="16.7109375" customWidth="1"/>
    <col min="5414" max="5414" width="22.85546875" customWidth="1"/>
    <col min="5637" max="5637" width="4.5703125" customWidth="1"/>
    <col min="5638" max="5638" width="41.7109375" customWidth="1"/>
    <col min="5639" max="5639" width="8.28515625" customWidth="1"/>
    <col min="5640" max="5640" width="11" customWidth="1"/>
    <col min="5641" max="5641" width="16.7109375" customWidth="1"/>
    <col min="5642" max="5642" width="22.85546875" customWidth="1"/>
    <col min="5643" max="5643" width="8.28515625" customWidth="1"/>
    <col min="5644" max="5644" width="4.5703125" customWidth="1"/>
    <col min="5645" max="5645" width="41.7109375" customWidth="1"/>
    <col min="5646" max="5646" width="8.28515625" customWidth="1"/>
    <col min="5647" max="5647" width="11" customWidth="1"/>
    <col min="5648" max="5648" width="16.7109375" customWidth="1"/>
    <col min="5649" max="5649" width="22.85546875" customWidth="1"/>
    <col min="5651" max="5651" width="4.5703125" customWidth="1"/>
    <col min="5652" max="5652" width="41.7109375" customWidth="1"/>
    <col min="5653" max="5653" width="8.28515625" customWidth="1"/>
    <col min="5654" max="5654" width="11" customWidth="1"/>
    <col min="5655" max="5655" width="16.7109375" customWidth="1"/>
    <col min="5656" max="5656" width="22.85546875" customWidth="1"/>
    <col min="5658" max="5658" width="4.5703125" customWidth="1"/>
    <col min="5659" max="5659" width="41.7109375" customWidth="1"/>
    <col min="5660" max="5660" width="8.28515625" customWidth="1"/>
    <col min="5661" max="5661" width="11" customWidth="1"/>
    <col min="5662" max="5662" width="16.7109375" customWidth="1"/>
    <col min="5663" max="5663" width="22.85546875" customWidth="1"/>
    <col min="5665" max="5665" width="4.5703125" customWidth="1"/>
    <col min="5666" max="5666" width="41.7109375" customWidth="1"/>
    <col min="5667" max="5667" width="8.28515625" customWidth="1"/>
    <col min="5668" max="5668" width="11" customWidth="1"/>
    <col min="5669" max="5669" width="16.7109375" customWidth="1"/>
    <col min="5670" max="5670" width="22.85546875" customWidth="1"/>
    <col min="5893" max="5893" width="4.5703125" customWidth="1"/>
    <col min="5894" max="5894" width="41.7109375" customWidth="1"/>
    <col min="5895" max="5895" width="8.28515625" customWidth="1"/>
    <col min="5896" max="5896" width="11" customWidth="1"/>
    <col min="5897" max="5897" width="16.7109375" customWidth="1"/>
    <col min="5898" max="5898" width="22.85546875" customWidth="1"/>
    <col min="5899" max="5899" width="8.28515625" customWidth="1"/>
    <col min="5900" max="5900" width="4.5703125" customWidth="1"/>
    <col min="5901" max="5901" width="41.7109375" customWidth="1"/>
    <col min="5902" max="5902" width="8.28515625" customWidth="1"/>
    <col min="5903" max="5903" width="11" customWidth="1"/>
    <col min="5904" max="5904" width="16.7109375" customWidth="1"/>
    <col min="5905" max="5905" width="22.85546875" customWidth="1"/>
    <col min="5907" max="5907" width="4.5703125" customWidth="1"/>
    <col min="5908" max="5908" width="41.7109375" customWidth="1"/>
    <col min="5909" max="5909" width="8.28515625" customWidth="1"/>
    <col min="5910" max="5910" width="11" customWidth="1"/>
    <col min="5911" max="5911" width="16.7109375" customWidth="1"/>
    <col min="5912" max="5912" width="22.85546875" customWidth="1"/>
    <col min="5914" max="5914" width="4.5703125" customWidth="1"/>
    <col min="5915" max="5915" width="41.7109375" customWidth="1"/>
    <col min="5916" max="5916" width="8.28515625" customWidth="1"/>
    <col min="5917" max="5917" width="11" customWidth="1"/>
    <col min="5918" max="5918" width="16.7109375" customWidth="1"/>
    <col min="5919" max="5919" width="22.85546875" customWidth="1"/>
    <col min="5921" max="5921" width="4.5703125" customWidth="1"/>
    <col min="5922" max="5922" width="41.7109375" customWidth="1"/>
    <col min="5923" max="5923" width="8.28515625" customWidth="1"/>
    <col min="5924" max="5924" width="11" customWidth="1"/>
    <col min="5925" max="5925" width="16.7109375" customWidth="1"/>
    <col min="5926" max="5926" width="22.85546875" customWidth="1"/>
    <col min="6149" max="6149" width="4.5703125" customWidth="1"/>
    <col min="6150" max="6150" width="41.7109375" customWidth="1"/>
    <col min="6151" max="6151" width="8.28515625" customWidth="1"/>
    <col min="6152" max="6152" width="11" customWidth="1"/>
    <col min="6153" max="6153" width="16.7109375" customWidth="1"/>
    <col min="6154" max="6154" width="22.85546875" customWidth="1"/>
    <col min="6155" max="6155" width="8.28515625" customWidth="1"/>
    <col min="6156" max="6156" width="4.5703125" customWidth="1"/>
    <col min="6157" max="6157" width="41.7109375" customWidth="1"/>
    <col min="6158" max="6158" width="8.28515625" customWidth="1"/>
    <col min="6159" max="6159" width="11" customWidth="1"/>
    <col min="6160" max="6160" width="16.7109375" customWidth="1"/>
    <col min="6161" max="6161" width="22.85546875" customWidth="1"/>
    <col min="6163" max="6163" width="4.5703125" customWidth="1"/>
    <col min="6164" max="6164" width="41.7109375" customWidth="1"/>
    <col min="6165" max="6165" width="8.28515625" customWidth="1"/>
    <col min="6166" max="6166" width="11" customWidth="1"/>
    <col min="6167" max="6167" width="16.7109375" customWidth="1"/>
    <col min="6168" max="6168" width="22.85546875" customWidth="1"/>
    <col min="6170" max="6170" width="4.5703125" customWidth="1"/>
    <col min="6171" max="6171" width="41.7109375" customWidth="1"/>
    <col min="6172" max="6172" width="8.28515625" customWidth="1"/>
    <col min="6173" max="6173" width="11" customWidth="1"/>
    <col min="6174" max="6174" width="16.7109375" customWidth="1"/>
    <col min="6175" max="6175" width="22.85546875" customWidth="1"/>
    <col min="6177" max="6177" width="4.5703125" customWidth="1"/>
    <col min="6178" max="6178" width="41.7109375" customWidth="1"/>
    <col min="6179" max="6179" width="8.28515625" customWidth="1"/>
    <col min="6180" max="6180" width="11" customWidth="1"/>
    <col min="6181" max="6181" width="16.7109375" customWidth="1"/>
    <col min="6182" max="6182" width="22.85546875" customWidth="1"/>
    <col min="6405" max="6405" width="4.5703125" customWidth="1"/>
    <col min="6406" max="6406" width="41.7109375" customWidth="1"/>
    <col min="6407" max="6407" width="8.28515625" customWidth="1"/>
    <col min="6408" max="6408" width="11" customWidth="1"/>
    <col min="6409" max="6409" width="16.7109375" customWidth="1"/>
    <col min="6410" max="6410" width="22.85546875" customWidth="1"/>
    <col min="6411" max="6411" width="8.28515625" customWidth="1"/>
    <col min="6412" max="6412" width="4.5703125" customWidth="1"/>
    <col min="6413" max="6413" width="41.7109375" customWidth="1"/>
    <col min="6414" max="6414" width="8.28515625" customWidth="1"/>
    <col min="6415" max="6415" width="11" customWidth="1"/>
    <col min="6416" max="6416" width="16.7109375" customWidth="1"/>
    <col min="6417" max="6417" width="22.85546875" customWidth="1"/>
    <col min="6419" max="6419" width="4.5703125" customWidth="1"/>
    <col min="6420" max="6420" width="41.7109375" customWidth="1"/>
    <col min="6421" max="6421" width="8.28515625" customWidth="1"/>
    <col min="6422" max="6422" width="11" customWidth="1"/>
    <col min="6423" max="6423" width="16.7109375" customWidth="1"/>
    <col min="6424" max="6424" width="22.85546875" customWidth="1"/>
    <col min="6426" max="6426" width="4.5703125" customWidth="1"/>
    <col min="6427" max="6427" width="41.7109375" customWidth="1"/>
    <col min="6428" max="6428" width="8.28515625" customWidth="1"/>
    <col min="6429" max="6429" width="11" customWidth="1"/>
    <col min="6430" max="6430" width="16.7109375" customWidth="1"/>
    <col min="6431" max="6431" width="22.85546875" customWidth="1"/>
    <col min="6433" max="6433" width="4.5703125" customWidth="1"/>
    <col min="6434" max="6434" width="41.7109375" customWidth="1"/>
    <col min="6435" max="6435" width="8.28515625" customWidth="1"/>
    <col min="6436" max="6436" width="11" customWidth="1"/>
    <col min="6437" max="6437" width="16.7109375" customWidth="1"/>
    <col min="6438" max="6438" width="22.85546875" customWidth="1"/>
    <col min="6661" max="6661" width="4.5703125" customWidth="1"/>
    <col min="6662" max="6662" width="41.7109375" customWidth="1"/>
    <col min="6663" max="6663" width="8.28515625" customWidth="1"/>
    <col min="6664" max="6664" width="11" customWidth="1"/>
    <col min="6665" max="6665" width="16.7109375" customWidth="1"/>
    <col min="6666" max="6666" width="22.85546875" customWidth="1"/>
    <col min="6667" max="6667" width="8.28515625" customWidth="1"/>
    <col min="6668" max="6668" width="4.5703125" customWidth="1"/>
    <col min="6669" max="6669" width="41.7109375" customWidth="1"/>
    <col min="6670" max="6670" width="8.28515625" customWidth="1"/>
    <col min="6671" max="6671" width="11" customWidth="1"/>
    <col min="6672" max="6672" width="16.7109375" customWidth="1"/>
    <col min="6673" max="6673" width="22.85546875" customWidth="1"/>
    <col min="6675" max="6675" width="4.5703125" customWidth="1"/>
    <col min="6676" max="6676" width="41.7109375" customWidth="1"/>
    <col min="6677" max="6677" width="8.28515625" customWidth="1"/>
    <col min="6678" max="6678" width="11" customWidth="1"/>
    <col min="6679" max="6679" width="16.7109375" customWidth="1"/>
    <col min="6680" max="6680" width="22.85546875" customWidth="1"/>
    <col min="6682" max="6682" width="4.5703125" customWidth="1"/>
    <col min="6683" max="6683" width="41.7109375" customWidth="1"/>
    <col min="6684" max="6684" width="8.28515625" customWidth="1"/>
    <col min="6685" max="6685" width="11" customWidth="1"/>
    <col min="6686" max="6686" width="16.7109375" customWidth="1"/>
    <col min="6687" max="6687" width="22.85546875" customWidth="1"/>
    <col min="6689" max="6689" width="4.5703125" customWidth="1"/>
    <col min="6690" max="6690" width="41.7109375" customWidth="1"/>
    <col min="6691" max="6691" width="8.28515625" customWidth="1"/>
    <col min="6692" max="6692" width="11" customWidth="1"/>
    <col min="6693" max="6693" width="16.7109375" customWidth="1"/>
    <col min="6694" max="6694" width="22.85546875" customWidth="1"/>
    <col min="6917" max="6917" width="4.5703125" customWidth="1"/>
    <col min="6918" max="6918" width="41.7109375" customWidth="1"/>
    <col min="6919" max="6919" width="8.28515625" customWidth="1"/>
    <col min="6920" max="6920" width="11" customWidth="1"/>
    <col min="6921" max="6921" width="16.7109375" customWidth="1"/>
    <col min="6922" max="6922" width="22.85546875" customWidth="1"/>
    <col min="6923" max="6923" width="8.28515625" customWidth="1"/>
    <col min="6924" max="6924" width="4.5703125" customWidth="1"/>
    <col min="6925" max="6925" width="41.7109375" customWidth="1"/>
    <col min="6926" max="6926" width="8.28515625" customWidth="1"/>
    <col min="6927" max="6927" width="11" customWidth="1"/>
    <col min="6928" max="6928" width="16.7109375" customWidth="1"/>
    <col min="6929" max="6929" width="22.85546875" customWidth="1"/>
    <col min="6931" max="6931" width="4.5703125" customWidth="1"/>
    <col min="6932" max="6932" width="41.7109375" customWidth="1"/>
    <col min="6933" max="6933" width="8.28515625" customWidth="1"/>
    <col min="6934" max="6934" width="11" customWidth="1"/>
    <col min="6935" max="6935" width="16.7109375" customWidth="1"/>
    <col min="6936" max="6936" width="22.85546875" customWidth="1"/>
    <col min="6938" max="6938" width="4.5703125" customWidth="1"/>
    <col min="6939" max="6939" width="41.7109375" customWidth="1"/>
    <col min="6940" max="6940" width="8.28515625" customWidth="1"/>
    <col min="6941" max="6941" width="11" customWidth="1"/>
    <col min="6942" max="6942" width="16.7109375" customWidth="1"/>
    <col min="6943" max="6943" width="22.85546875" customWidth="1"/>
    <col min="6945" max="6945" width="4.5703125" customWidth="1"/>
    <col min="6946" max="6946" width="41.7109375" customWidth="1"/>
    <col min="6947" max="6947" width="8.28515625" customWidth="1"/>
    <col min="6948" max="6948" width="11" customWidth="1"/>
    <col min="6949" max="6949" width="16.7109375" customWidth="1"/>
    <col min="6950" max="6950" width="22.85546875" customWidth="1"/>
    <col min="7173" max="7173" width="4.5703125" customWidth="1"/>
    <col min="7174" max="7174" width="41.7109375" customWidth="1"/>
    <col min="7175" max="7175" width="8.28515625" customWidth="1"/>
    <col min="7176" max="7176" width="11" customWidth="1"/>
    <col min="7177" max="7177" width="16.7109375" customWidth="1"/>
    <col min="7178" max="7178" width="22.85546875" customWidth="1"/>
    <col min="7179" max="7179" width="8.28515625" customWidth="1"/>
    <col min="7180" max="7180" width="4.5703125" customWidth="1"/>
    <col min="7181" max="7181" width="41.7109375" customWidth="1"/>
    <col min="7182" max="7182" width="8.28515625" customWidth="1"/>
    <col min="7183" max="7183" width="11" customWidth="1"/>
    <col min="7184" max="7184" width="16.7109375" customWidth="1"/>
    <col min="7185" max="7185" width="22.85546875" customWidth="1"/>
    <col min="7187" max="7187" width="4.5703125" customWidth="1"/>
    <col min="7188" max="7188" width="41.7109375" customWidth="1"/>
    <col min="7189" max="7189" width="8.28515625" customWidth="1"/>
    <col min="7190" max="7190" width="11" customWidth="1"/>
    <col min="7191" max="7191" width="16.7109375" customWidth="1"/>
    <col min="7192" max="7192" width="22.85546875" customWidth="1"/>
    <col min="7194" max="7194" width="4.5703125" customWidth="1"/>
    <col min="7195" max="7195" width="41.7109375" customWidth="1"/>
    <col min="7196" max="7196" width="8.28515625" customWidth="1"/>
    <col min="7197" max="7197" width="11" customWidth="1"/>
    <col min="7198" max="7198" width="16.7109375" customWidth="1"/>
    <col min="7199" max="7199" width="22.85546875" customWidth="1"/>
    <col min="7201" max="7201" width="4.5703125" customWidth="1"/>
    <col min="7202" max="7202" width="41.7109375" customWidth="1"/>
    <col min="7203" max="7203" width="8.28515625" customWidth="1"/>
    <col min="7204" max="7204" width="11" customWidth="1"/>
    <col min="7205" max="7205" width="16.7109375" customWidth="1"/>
    <col min="7206" max="7206" width="22.85546875" customWidth="1"/>
    <col min="7429" max="7429" width="4.5703125" customWidth="1"/>
    <col min="7430" max="7430" width="41.7109375" customWidth="1"/>
    <col min="7431" max="7431" width="8.28515625" customWidth="1"/>
    <col min="7432" max="7432" width="11" customWidth="1"/>
    <col min="7433" max="7433" width="16.7109375" customWidth="1"/>
    <col min="7434" max="7434" width="22.85546875" customWidth="1"/>
    <col min="7435" max="7435" width="8.28515625" customWidth="1"/>
    <col min="7436" max="7436" width="4.5703125" customWidth="1"/>
    <col min="7437" max="7437" width="41.7109375" customWidth="1"/>
    <col min="7438" max="7438" width="8.28515625" customWidth="1"/>
    <col min="7439" max="7439" width="11" customWidth="1"/>
    <col min="7440" max="7440" width="16.7109375" customWidth="1"/>
    <col min="7441" max="7441" width="22.85546875" customWidth="1"/>
    <col min="7443" max="7443" width="4.5703125" customWidth="1"/>
    <col min="7444" max="7444" width="41.7109375" customWidth="1"/>
    <col min="7445" max="7445" width="8.28515625" customWidth="1"/>
    <col min="7446" max="7446" width="11" customWidth="1"/>
    <col min="7447" max="7447" width="16.7109375" customWidth="1"/>
    <col min="7448" max="7448" width="22.85546875" customWidth="1"/>
    <col min="7450" max="7450" width="4.5703125" customWidth="1"/>
    <col min="7451" max="7451" width="41.7109375" customWidth="1"/>
    <col min="7452" max="7452" width="8.28515625" customWidth="1"/>
    <col min="7453" max="7453" width="11" customWidth="1"/>
    <col min="7454" max="7454" width="16.7109375" customWidth="1"/>
    <col min="7455" max="7455" width="22.85546875" customWidth="1"/>
    <col min="7457" max="7457" width="4.5703125" customWidth="1"/>
    <col min="7458" max="7458" width="41.7109375" customWidth="1"/>
    <col min="7459" max="7459" width="8.28515625" customWidth="1"/>
    <col min="7460" max="7460" width="11" customWidth="1"/>
    <col min="7461" max="7461" width="16.7109375" customWidth="1"/>
    <col min="7462" max="7462" width="22.85546875" customWidth="1"/>
    <col min="7685" max="7685" width="4.5703125" customWidth="1"/>
    <col min="7686" max="7686" width="41.7109375" customWidth="1"/>
    <col min="7687" max="7687" width="8.28515625" customWidth="1"/>
    <col min="7688" max="7688" width="11" customWidth="1"/>
    <col min="7689" max="7689" width="16.7109375" customWidth="1"/>
    <col min="7690" max="7690" width="22.85546875" customWidth="1"/>
    <col min="7691" max="7691" width="8.28515625" customWidth="1"/>
    <col min="7692" max="7692" width="4.5703125" customWidth="1"/>
    <col min="7693" max="7693" width="41.7109375" customWidth="1"/>
    <col min="7694" max="7694" width="8.28515625" customWidth="1"/>
    <col min="7695" max="7695" width="11" customWidth="1"/>
    <col min="7696" max="7696" width="16.7109375" customWidth="1"/>
    <col min="7697" max="7697" width="22.85546875" customWidth="1"/>
    <col min="7699" max="7699" width="4.5703125" customWidth="1"/>
    <col min="7700" max="7700" width="41.7109375" customWidth="1"/>
    <col min="7701" max="7701" width="8.28515625" customWidth="1"/>
    <col min="7702" max="7702" width="11" customWidth="1"/>
    <col min="7703" max="7703" width="16.7109375" customWidth="1"/>
    <col min="7704" max="7704" width="22.85546875" customWidth="1"/>
    <col min="7706" max="7706" width="4.5703125" customWidth="1"/>
    <col min="7707" max="7707" width="41.7109375" customWidth="1"/>
    <col min="7708" max="7708" width="8.28515625" customWidth="1"/>
    <col min="7709" max="7709" width="11" customWidth="1"/>
    <col min="7710" max="7710" width="16.7109375" customWidth="1"/>
    <col min="7711" max="7711" width="22.85546875" customWidth="1"/>
    <col min="7713" max="7713" width="4.5703125" customWidth="1"/>
    <col min="7714" max="7714" width="41.7109375" customWidth="1"/>
    <col min="7715" max="7715" width="8.28515625" customWidth="1"/>
    <col min="7716" max="7716" width="11" customWidth="1"/>
    <col min="7717" max="7717" width="16.7109375" customWidth="1"/>
    <col min="7718" max="7718" width="22.85546875" customWidth="1"/>
    <col min="7941" max="7941" width="4.5703125" customWidth="1"/>
    <col min="7942" max="7942" width="41.7109375" customWidth="1"/>
    <col min="7943" max="7943" width="8.28515625" customWidth="1"/>
    <col min="7944" max="7944" width="11" customWidth="1"/>
    <col min="7945" max="7945" width="16.7109375" customWidth="1"/>
    <col min="7946" max="7946" width="22.85546875" customWidth="1"/>
    <col min="7947" max="7947" width="8.28515625" customWidth="1"/>
    <col min="7948" max="7948" width="4.5703125" customWidth="1"/>
    <col min="7949" max="7949" width="41.7109375" customWidth="1"/>
    <col min="7950" max="7950" width="8.28515625" customWidth="1"/>
    <col min="7951" max="7951" width="11" customWidth="1"/>
    <col min="7952" max="7952" width="16.7109375" customWidth="1"/>
    <col min="7953" max="7953" width="22.85546875" customWidth="1"/>
    <col min="7955" max="7955" width="4.5703125" customWidth="1"/>
    <col min="7956" max="7956" width="41.7109375" customWidth="1"/>
    <col min="7957" max="7957" width="8.28515625" customWidth="1"/>
    <col min="7958" max="7958" width="11" customWidth="1"/>
    <col min="7959" max="7959" width="16.7109375" customWidth="1"/>
    <col min="7960" max="7960" width="22.85546875" customWidth="1"/>
    <col min="7962" max="7962" width="4.5703125" customWidth="1"/>
    <col min="7963" max="7963" width="41.7109375" customWidth="1"/>
    <col min="7964" max="7964" width="8.28515625" customWidth="1"/>
    <col min="7965" max="7965" width="11" customWidth="1"/>
    <col min="7966" max="7966" width="16.7109375" customWidth="1"/>
    <col min="7967" max="7967" width="22.85546875" customWidth="1"/>
    <col min="7969" max="7969" width="4.5703125" customWidth="1"/>
    <col min="7970" max="7970" width="41.7109375" customWidth="1"/>
    <col min="7971" max="7971" width="8.28515625" customWidth="1"/>
    <col min="7972" max="7972" width="11" customWidth="1"/>
    <col min="7973" max="7973" width="16.7109375" customWidth="1"/>
    <col min="7974" max="7974" width="22.85546875" customWidth="1"/>
    <col min="8197" max="8197" width="4.5703125" customWidth="1"/>
    <col min="8198" max="8198" width="41.7109375" customWidth="1"/>
    <col min="8199" max="8199" width="8.28515625" customWidth="1"/>
    <col min="8200" max="8200" width="11" customWidth="1"/>
    <col min="8201" max="8201" width="16.7109375" customWidth="1"/>
    <col min="8202" max="8202" width="22.85546875" customWidth="1"/>
    <col min="8203" max="8203" width="8.28515625" customWidth="1"/>
    <col min="8204" max="8204" width="4.5703125" customWidth="1"/>
    <col min="8205" max="8205" width="41.7109375" customWidth="1"/>
    <col min="8206" max="8206" width="8.28515625" customWidth="1"/>
    <col min="8207" max="8207" width="11" customWidth="1"/>
    <col min="8208" max="8208" width="16.7109375" customWidth="1"/>
    <col min="8209" max="8209" width="22.85546875" customWidth="1"/>
    <col min="8211" max="8211" width="4.5703125" customWidth="1"/>
    <col min="8212" max="8212" width="41.7109375" customWidth="1"/>
    <col min="8213" max="8213" width="8.28515625" customWidth="1"/>
    <col min="8214" max="8214" width="11" customWidth="1"/>
    <col min="8215" max="8215" width="16.7109375" customWidth="1"/>
    <col min="8216" max="8216" width="22.85546875" customWidth="1"/>
    <col min="8218" max="8218" width="4.5703125" customWidth="1"/>
    <col min="8219" max="8219" width="41.7109375" customWidth="1"/>
    <col min="8220" max="8220" width="8.28515625" customWidth="1"/>
    <col min="8221" max="8221" width="11" customWidth="1"/>
    <col min="8222" max="8222" width="16.7109375" customWidth="1"/>
    <col min="8223" max="8223" width="22.85546875" customWidth="1"/>
    <col min="8225" max="8225" width="4.5703125" customWidth="1"/>
    <col min="8226" max="8226" width="41.7109375" customWidth="1"/>
    <col min="8227" max="8227" width="8.28515625" customWidth="1"/>
    <col min="8228" max="8228" width="11" customWidth="1"/>
    <col min="8229" max="8229" width="16.7109375" customWidth="1"/>
    <col min="8230" max="8230" width="22.85546875" customWidth="1"/>
    <col min="8453" max="8453" width="4.5703125" customWidth="1"/>
    <col min="8454" max="8454" width="41.7109375" customWidth="1"/>
    <col min="8455" max="8455" width="8.28515625" customWidth="1"/>
    <col min="8456" max="8456" width="11" customWidth="1"/>
    <col min="8457" max="8457" width="16.7109375" customWidth="1"/>
    <col min="8458" max="8458" width="22.85546875" customWidth="1"/>
    <col min="8459" max="8459" width="8.28515625" customWidth="1"/>
    <col min="8460" max="8460" width="4.5703125" customWidth="1"/>
    <col min="8461" max="8461" width="41.7109375" customWidth="1"/>
    <col min="8462" max="8462" width="8.28515625" customWidth="1"/>
    <col min="8463" max="8463" width="11" customWidth="1"/>
    <col min="8464" max="8464" width="16.7109375" customWidth="1"/>
    <col min="8465" max="8465" width="22.85546875" customWidth="1"/>
    <col min="8467" max="8467" width="4.5703125" customWidth="1"/>
    <col min="8468" max="8468" width="41.7109375" customWidth="1"/>
    <col min="8469" max="8469" width="8.28515625" customWidth="1"/>
    <col min="8470" max="8470" width="11" customWidth="1"/>
    <col min="8471" max="8471" width="16.7109375" customWidth="1"/>
    <col min="8472" max="8472" width="22.85546875" customWidth="1"/>
    <col min="8474" max="8474" width="4.5703125" customWidth="1"/>
    <col min="8475" max="8475" width="41.7109375" customWidth="1"/>
    <col min="8476" max="8476" width="8.28515625" customWidth="1"/>
    <col min="8477" max="8477" width="11" customWidth="1"/>
    <col min="8478" max="8478" width="16.7109375" customWidth="1"/>
    <col min="8479" max="8479" width="22.85546875" customWidth="1"/>
    <col min="8481" max="8481" width="4.5703125" customWidth="1"/>
    <col min="8482" max="8482" width="41.7109375" customWidth="1"/>
    <col min="8483" max="8483" width="8.28515625" customWidth="1"/>
    <col min="8484" max="8484" width="11" customWidth="1"/>
    <col min="8485" max="8485" width="16.7109375" customWidth="1"/>
    <col min="8486" max="8486" width="22.85546875" customWidth="1"/>
    <col min="8709" max="8709" width="4.5703125" customWidth="1"/>
    <col min="8710" max="8710" width="41.7109375" customWidth="1"/>
    <col min="8711" max="8711" width="8.28515625" customWidth="1"/>
    <col min="8712" max="8712" width="11" customWidth="1"/>
    <col min="8713" max="8713" width="16.7109375" customWidth="1"/>
    <col min="8714" max="8714" width="22.85546875" customWidth="1"/>
    <col min="8715" max="8715" width="8.28515625" customWidth="1"/>
    <col min="8716" max="8716" width="4.5703125" customWidth="1"/>
    <col min="8717" max="8717" width="41.7109375" customWidth="1"/>
    <col min="8718" max="8718" width="8.28515625" customWidth="1"/>
    <col min="8719" max="8719" width="11" customWidth="1"/>
    <col min="8720" max="8720" width="16.7109375" customWidth="1"/>
    <col min="8721" max="8721" width="22.85546875" customWidth="1"/>
    <col min="8723" max="8723" width="4.5703125" customWidth="1"/>
    <col min="8724" max="8724" width="41.7109375" customWidth="1"/>
    <col min="8725" max="8725" width="8.28515625" customWidth="1"/>
    <col min="8726" max="8726" width="11" customWidth="1"/>
    <col min="8727" max="8727" width="16.7109375" customWidth="1"/>
    <col min="8728" max="8728" width="22.85546875" customWidth="1"/>
    <col min="8730" max="8730" width="4.5703125" customWidth="1"/>
    <col min="8731" max="8731" width="41.7109375" customWidth="1"/>
    <col min="8732" max="8732" width="8.28515625" customWidth="1"/>
    <col min="8733" max="8733" width="11" customWidth="1"/>
    <col min="8734" max="8734" width="16.7109375" customWidth="1"/>
    <col min="8735" max="8735" width="22.85546875" customWidth="1"/>
    <col min="8737" max="8737" width="4.5703125" customWidth="1"/>
    <col min="8738" max="8738" width="41.7109375" customWidth="1"/>
    <col min="8739" max="8739" width="8.28515625" customWidth="1"/>
    <col min="8740" max="8740" width="11" customWidth="1"/>
    <col min="8741" max="8741" width="16.7109375" customWidth="1"/>
    <col min="8742" max="8742" width="22.85546875" customWidth="1"/>
    <col min="8965" max="8965" width="4.5703125" customWidth="1"/>
    <col min="8966" max="8966" width="41.7109375" customWidth="1"/>
    <col min="8967" max="8967" width="8.28515625" customWidth="1"/>
    <col min="8968" max="8968" width="11" customWidth="1"/>
    <col min="8969" max="8969" width="16.7109375" customWidth="1"/>
    <col min="8970" max="8970" width="22.85546875" customWidth="1"/>
    <col min="8971" max="8971" width="8.28515625" customWidth="1"/>
    <col min="8972" max="8972" width="4.5703125" customWidth="1"/>
    <col min="8973" max="8973" width="41.7109375" customWidth="1"/>
    <col min="8974" max="8974" width="8.28515625" customWidth="1"/>
    <col min="8975" max="8975" width="11" customWidth="1"/>
    <col min="8976" max="8976" width="16.7109375" customWidth="1"/>
    <col min="8977" max="8977" width="22.85546875" customWidth="1"/>
    <col min="8979" max="8979" width="4.5703125" customWidth="1"/>
    <col min="8980" max="8980" width="41.7109375" customWidth="1"/>
    <col min="8981" max="8981" width="8.28515625" customWidth="1"/>
    <col min="8982" max="8982" width="11" customWidth="1"/>
    <col min="8983" max="8983" width="16.7109375" customWidth="1"/>
    <col min="8984" max="8984" width="22.85546875" customWidth="1"/>
    <col min="8986" max="8986" width="4.5703125" customWidth="1"/>
    <col min="8987" max="8987" width="41.7109375" customWidth="1"/>
    <col min="8988" max="8988" width="8.28515625" customWidth="1"/>
    <col min="8989" max="8989" width="11" customWidth="1"/>
    <col min="8990" max="8990" width="16.7109375" customWidth="1"/>
    <col min="8991" max="8991" width="22.85546875" customWidth="1"/>
    <col min="8993" max="8993" width="4.5703125" customWidth="1"/>
    <col min="8994" max="8994" width="41.7109375" customWidth="1"/>
    <col min="8995" max="8995" width="8.28515625" customWidth="1"/>
    <col min="8996" max="8996" width="11" customWidth="1"/>
    <col min="8997" max="8997" width="16.7109375" customWidth="1"/>
    <col min="8998" max="8998" width="22.85546875" customWidth="1"/>
    <col min="9221" max="9221" width="4.5703125" customWidth="1"/>
    <col min="9222" max="9222" width="41.7109375" customWidth="1"/>
    <col min="9223" max="9223" width="8.28515625" customWidth="1"/>
    <col min="9224" max="9224" width="11" customWidth="1"/>
    <col min="9225" max="9225" width="16.7109375" customWidth="1"/>
    <col min="9226" max="9226" width="22.85546875" customWidth="1"/>
    <col min="9227" max="9227" width="8.28515625" customWidth="1"/>
    <col min="9228" max="9228" width="4.5703125" customWidth="1"/>
    <col min="9229" max="9229" width="41.7109375" customWidth="1"/>
    <col min="9230" max="9230" width="8.28515625" customWidth="1"/>
    <col min="9231" max="9231" width="11" customWidth="1"/>
    <col min="9232" max="9232" width="16.7109375" customWidth="1"/>
    <col min="9233" max="9233" width="22.85546875" customWidth="1"/>
    <col min="9235" max="9235" width="4.5703125" customWidth="1"/>
    <col min="9236" max="9236" width="41.7109375" customWidth="1"/>
    <col min="9237" max="9237" width="8.28515625" customWidth="1"/>
    <col min="9238" max="9238" width="11" customWidth="1"/>
    <col min="9239" max="9239" width="16.7109375" customWidth="1"/>
    <col min="9240" max="9240" width="22.85546875" customWidth="1"/>
    <col min="9242" max="9242" width="4.5703125" customWidth="1"/>
    <col min="9243" max="9243" width="41.7109375" customWidth="1"/>
    <col min="9244" max="9244" width="8.28515625" customWidth="1"/>
    <col min="9245" max="9245" width="11" customWidth="1"/>
    <col min="9246" max="9246" width="16.7109375" customWidth="1"/>
    <col min="9247" max="9247" width="22.85546875" customWidth="1"/>
    <col min="9249" max="9249" width="4.5703125" customWidth="1"/>
    <col min="9250" max="9250" width="41.7109375" customWidth="1"/>
    <col min="9251" max="9251" width="8.28515625" customWidth="1"/>
    <col min="9252" max="9252" width="11" customWidth="1"/>
    <col min="9253" max="9253" width="16.7109375" customWidth="1"/>
    <col min="9254" max="9254" width="22.85546875" customWidth="1"/>
    <col min="9477" max="9477" width="4.5703125" customWidth="1"/>
    <col min="9478" max="9478" width="41.7109375" customWidth="1"/>
    <col min="9479" max="9479" width="8.28515625" customWidth="1"/>
    <col min="9480" max="9480" width="11" customWidth="1"/>
    <col min="9481" max="9481" width="16.7109375" customWidth="1"/>
    <col min="9482" max="9482" width="22.85546875" customWidth="1"/>
    <col min="9483" max="9483" width="8.28515625" customWidth="1"/>
    <col min="9484" max="9484" width="4.5703125" customWidth="1"/>
    <col min="9485" max="9485" width="41.7109375" customWidth="1"/>
    <col min="9486" max="9486" width="8.28515625" customWidth="1"/>
    <col min="9487" max="9487" width="11" customWidth="1"/>
    <col min="9488" max="9488" width="16.7109375" customWidth="1"/>
    <col min="9489" max="9489" width="22.85546875" customWidth="1"/>
    <col min="9491" max="9491" width="4.5703125" customWidth="1"/>
    <col min="9492" max="9492" width="41.7109375" customWidth="1"/>
    <col min="9493" max="9493" width="8.28515625" customWidth="1"/>
    <col min="9494" max="9494" width="11" customWidth="1"/>
    <col min="9495" max="9495" width="16.7109375" customWidth="1"/>
    <col min="9496" max="9496" width="22.85546875" customWidth="1"/>
    <col min="9498" max="9498" width="4.5703125" customWidth="1"/>
    <col min="9499" max="9499" width="41.7109375" customWidth="1"/>
    <col min="9500" max="9500" width="8.28515625" customWidth="1"/>
    <col min="9501" max="9501" width="11" customWidth="1"/>
    <col min="9502" max="9502" width="16.7109375" customWidth="1"/>
    <col min="9503" max="9503" width="22.85546875" customWidth="1"/>
    <col min="9505" max="9505" width="4.5703125" customWidth="1"/>
    <col min="9506" max="9506" width="41.7109375" customWidth="1"/>
    <col min="9507" max="9507" width="8.28515625" customWidth="1"/>
    <col min="9508" max="9508" width="11" customWidth="1"/>
    <col min="9509" max="9509" width="16.7109375" customWidth="1"/>
    <col min="9510" max="9510" width="22.85546875" customWidth="1"/>
    <col min="9733" max="9733" width="4.5703125" customWidth="1"/>
    <col min="9734" max="9734" width="41.7109375" customWidth="1"/>
    <col min="9735" max="9735" width="8.28515625" customWidth="1"/>
    <col min="9736" max="9736" width="11" customWidth="1"/>
    <col min="9737" max="9737" width="16.7109375" customWidth="1"/>
    <col min="9738" max="9738" width="22.85546875" customWidth="1"/>
    <col min="9739" max="9739" width="8.28515625" customWidth="1"/>
    <col min="9740" max="9740" width="4.5703125" customWidth="1"/>
    <col min="9741" max="9741" width="41.7109375" customWidth="1"/>
    <col min="9742" max="9742" width="8.28515625" customWidth="1"/>
    <col min="9743" max="9743" width="11" customWidth="1"/>
    <col min="9744" max="9744" width="16.7109375" customWidth="1"/>
    <col min="9745" max="9745" width="22.85546875" customWidth="1"/>
    <col min="9747" max="9747" width="4.5703125" customWidth="1"/>
    <col min="9748" max="9748" width="41.7109375" customWidth="1"/>
    <col min="9749" max="9749" width="8.28515625" customWidth="1"/>
    <col min="9750" max="9750" width="11" customWidth="1"/>
    <col min="9751" max="9751" width="16.7109375" customWidth="1"/>
    <col min="9752" max="9752" width="22.85546875" customWidth="1"/>
    <col min="9754" max="9754" width="4.5703125" customWidth="1"/>
    <col min="9755" max="9755" width="41.7109375" customWidth="1"/>
    <col min="9756" max="9756" width="8.28515625" customWidth="1"/>
    <col min="9757" max="9757" width="11" customWidth="1"/>
    <col min="9758" max="9758" width="16.7109375" customWidth="1"/>
    <col min="9759" max="9759" width="22.85546875" customWidth="1"/>
    <col min="9761" max="9761" width="4.5703125" customWidth="1"/>
    <col min="9762" max="9762" width="41.7109375" customWidth="1"/>
    <col min="9763" max="9763" width="8.28515625" customWidth="1"/>
    <col min="9764" max="9764" width="11" customWidth="1"/>
    <col min="9765" max="9765" width="16.7109375" customWidth="1"/>
    <col min="9766" max="9766" width="22.85546875" customWidth="1"/>
    <col min="9989" max="9989" width="4.5703125" customWidth="1"/>
    <col min="9990" max="9990" width="41.7109375" customWidth="1"/>
    <col min="9991" max="9991" width="8.28515625" customWidth="1"/>
    <col min="9992" max="9992" width="11" customWidth="1"/>
    <col min="9993" max="9993" width="16.7109375" customWidth="1"/>
    <col min="9994" max="9994" width="22.85546875" customWidth="1"/>
    <col min="9995" max="9995" width="8.28515625" customWidth="1"/>
    <col min="9996" max="9996" width="4.5703125" customWidth="1"/>
    <col min="9997" max="9997" width="41.7109375" customWidth="1"/>
    <col min="9998" max="9998" width="8.28515625" customWidth="1"/>
    <col min="9999" max="9999" width="11" customWidth="1"/>
    <col min="10000" max="10000" width="16.7109375" customWidth="1"/>
    <col min="10001" max="10001" width="22.85546875" customWidth="1"/>
    <col min="10003" max="10003" width="4.5703125" customWidth="1"/>
    <col min="10004" max="10004" width="41.7109375" customWidth="1"/>
    <col min="10005" max="10005" width="8.28515625" customWidth="1"/>
    <col min="10006" max="10006" width="11" customWidth="1"/>
    <col min="10007" max="10007" width="16.7109375" customWidth="1"/>
    <col min="10008" max="10008" width="22.85546875" customWidth="1"/>
    <col min="10010" max="10010" width="4.5703125" customWidth="1"/>
    <col min="10011" max="10011" width="41.7109375" customWidth="1"/>
    <col min="10012" max="10012" width="8.28515625" customWidth="1"/>
    <col min="10013" max="10013" width="11" customWidth="1"/>
    <col min="10014" max="10014" width="16.7109375" customWidth="1"/>
    <col min="10015" max="10015" width="22.85546875" customWidth="1"/>
    <col min="10017" max="10017" width="4.5703125" customWidth="1"/>
    <col min="10018" max="10018" width="41.7109375" customWidth="1"/>
    <col min="10019" max="10019" width="8.28515625" customWidth="1"/>
    <col min="10020" max="10020" width="11" customWidth="1"/>
    <col min="10021" max="10021" width="16.7109375" customWidth="1"/>
    <col min="10022" max="10022" width="22.85546875" customWidth="1"/>
    <col min="10245" max="10245" width="4.5703125" customWidth="1"/>
    <col min="10246" max="10246" width="41.7109375" customWidth="1"/>
    <col min="10247" max="10247" width="8.28515625" customWidth="1"/>
    <col min="10248" max="10248" width="11" customWidth="1"/>
    <col min="10249" max="10249" width="16.7109375" customWidth="1"/>
    <col min="10250" max="10250" width="22.85546875" customWidth="1"/>
    <col min="10251" max="10251" width="8.28515625" customWidth="1"/>
    <col min="10252" max="10252" width="4.5703125" customWidth="1"/>
    <col min="10253" max="10253" width="41.7109375" customWidth="1"/>
    <col min="10254" max="10254" width="8.28515625" customWidth="1"/>
    <col min="10255" max="10255" width="11" customWidth="1"/>
    <col min="10256" max="10256" width="16.7109375" customWidth="1"/>
    <col min="10257" max="10257" width="22.85546875" customWidth="1"/>
    <col min="10259" max="10259" width="4.5703125" customWidth="1"/>
    <col min="10260" max="10260" width="41.7109375" customWidth="1"/>
    <col min="10261" max="10261" width="8.28515625" customWidth="1"/>
    <col min="10262" max="10262" width="11" customWidth="1"/>
    <col min="10263" max="10263" width="16.7109375" customWidth="1"/>
    <col min="10264" max="10264" width="22.85546875" customWidth="1"/>
    <col min="10266" max="10266" width="4.5703125" customWidth="1"/>
    <col min="10267" max="10267" width="41.7109375" customWidth="1"/>
    <col min="10268" max="10268" width="8.28515625" customWidth="1"/>
    <col min="10269" max="10269" width="11" customWidth="1"/>
    <col min="10270" max="10270" width="16.7109375" customWidth="1"/>
    <col min="10271" max="10271" width="22.85546875" customWidth="1"/>
    <col min="10273" max="10273" width="4.5703125" customWidth="1"/>
    <col min="10274" max="10274" width="41.7109375" customWidth="1"/>
    <col min="10275" max="10275" width="8.28515625" customWidth="1"/>
    <col min="10276" max="10276" width="11" customWidth="1"/>
    <col min="10277" max="10277" width="16.7109375" customWidth="1"/>
    <col min="10278" max="10278" width="22.85546875" customWidth="1"/>
    <col min="10501" max="10501" width="4.5703125" customWidth="1"/>
    <col min="10502" max="10502" width="41.7109375" customWidth="1"/>
    <col min="10503" max="10503" width="8.28515625" customWidth="1"/>
    <col min="10504" max="10504" width="11" customWidth="1"/>
    <col min="10505" max="10505" width="16.7109375" customWidth="1"/>
    <col min="10506" max="10506" width="22.85546875" customWidth="1"/>
    <col min="10507" max="10507" width="8.28515625" customWidth="1"/>
    <col min="10508" max="10508" width="4.5703125" customWidth="1"/>
    <col min="10509" max="10509" width="41.7109375" customWidth="1"/>
    <col min="10510" max="10510" width="8.28515625" customWidth="1"/>
    <col min="10511" max="10511" width="11" customWidth="1"/>
    <col min="10512" max="10512" width="16.7109375" customWidth="1"/>
    <col min="10513" max="10513" width="22.85546875" customWidth="1"/>
    <col min="10515" max="10515" width="4.5703125" customWidth="1"/>
    <col min="10516" max="10516" width="41.7109375" customWidth="1"/>
    <col min="10517" max="10517" width="8.28515625" customWidth="1"/>
    <col min="10518" max="10518" width="11" customWidth="1"/>
    <col min="10519" max="10519" width="16.7109375" customWidth="1"/>
    <col min="10520" max="10520" width="22.85546875" customWidth="1"/>
    <col min="10522" max="10522" width="4.5703125" customWidth="1"/>
    <col min="10523" max="10523" width="41.7109375" customWidth="1"/>
    <col min="10524" max="10524" width="8.28515625" customWidth="1"/>
    <col min="10525" max="10525" width="11" customWidth="1"/>
    <col min="10526" max="10526" width="16.7109375" customWidth="1"/>
    <col min="10527" max="10527" width="22.85546875" customWidth="1"/>
    <col min="10529" max="10529" width="4.5703125" customWidth="1"/>
    <col min="10530" max="10530" width="41.7109375" customWidth="1"/>
    <col min="10531" max="10531" width="8.28515625" customWidth="1"/>
    <col min="10532" max="10532" width="11" customWidth="1"/>
    <col min="10533" max="10533" width="16.7109375" customWidth="1"/>
    <col min="10534" max="10534" width="22.85546875" customWidth="1"/>
    <col min="10757" max="10757" width="4.5703125" customWidth="1"/>
    <col min="10758" max="10758" width="41.7109375" customWidth="1"/>
    <col min="10759" max="10759" width="8.28515625" customWidth="1"/>
    <col min="10760" max="10760" width="11" customWidth="1"/>
    <col min="10761" max="10761" width="16.7109375" customWidth="1"/>
    <col min="10762" max="10762" width="22.85546875" customWidth="1"/>
    <col min="10763" max="10763" width="8.28515625" customWidth="1"/>
    <col min="10764" max="10764" width="4.5703125" customWidth="1"/>
    <col min="10765" max="10765" width="41.7109375" customWidth="1"/>
    <col min="10766" max="10766" width="8.28515625" customWidth="1"/>
    <col min="10767" max="10767" width="11" customWidth="1"/>
    <col min="10768" max="10768" width="16.7109375" customWidth="1"/>
    <col min="10769" max="10769" width="22.85546875" customWidth="1"/>
    <col min="10771" max="10771" width="4.5703125" customWidth="1"/>
    <col min="10772" max="10772" width="41.7109375" customWidth="1"/>
    <col min="10773" max="10773" width="8.28515625" customWidth="1"/>
    <col min="10774" max="10774" width="11" customWidth="1"/>
    <col min="10775" max="10775" width="16.7109375" customWidth="1"/>
    <col min="10776" max="10776" width="22.85546875" customWidth="1"/>
    <col min="10778" max="10778" width="4.5703125" customWidth="1"/>
    <col min="10779" max="10779" width="41.7109375" customWidth="1"/>
    <col min="10780" max="10780" width="8.28515625" customWidth="1"/>
    <col min="10781" max="10781" width="11" customWidth="1"/>
    <col min="10782" max="10782" width="16.7109375" customWidth="1"/>
    <col min="10783" max="10783" width="22.85546875" customWidth="1"/>
    <col min="10785" max="10785" width="4.5703125" customWidth="1"/>
    <col min="10786" max="10786" width="41.7109375" customWidth="1"/>
    <col min="10787" max="10787" width="8.28515625" customWidth="1"/>
    <col min="10788" max="10788" width="11" customWidth="1"/>
    <col min="10789" max="10789" width="16.7109375" customWidth="1"/>
    <col min="10790" max="10790" width="22.85546875" customWidth="1"/>
    <col min="11013" max="11013" width="4.5703125" customWidth="1"/>
    <col min="11014" max="11014" width="41.7109375" customWidth="1"/>
    <col min="11015" max="11015" width="8.28515625" customWidth="1"/>
    <col min="11016" max="11016" width="11" customWidth="1"/>
    <col min="11017" max="11017" width="16.7109375" customWidth="1"/>
    <col min="11018" max="11018" width="22.85546875" customWidth="1"/>
    <col min="11019" max="11019" width="8.28515625" customWidth="1"/>
    <col min="11020" max="11020" width="4.5703125" customWidth="1"/>
    <col min="11021" max="11021" width="41.7109375" customWidth="1"/>
    <col min="11022" max="11022" width="8.28515625" customWidth="1"/>
    <col min="11023" max="11023" width="11" customWidth="1"/>
    <col min="11024" max="11024" width="16.7109375" customWidth="1"/>
    <col min="11025" max="11025" width="22.85546875" customWidth="1"/>
    <col min="11027" max="11027" width="4.5703125" customWidth="1"/>
    <col min="11028" max="11028" width="41.7109375" customWidth="1"/>
    <col min="11029" max="11029" width="8.28515625" customWidth="1"/>
    <col min="11030" max="11030" width="11" customWidth="1"/>
    <col min="11031" max="11031" width="16.7109375" customWidth="1"/>
    <col min="11032" max="11032" width="22.85546875" customWidth="1"/>
    <col min="11034" max="11034" width="4.5703125" customWidth="1"/>
    <col min="11035" max="11035" width="41.7109375" customWidth="1"/>
    <col min="11036" max="11036" width="8.28515625" customWidth="1"/>
    <col min="11037" max="11037" width="11" customWidth="1"/>
    <col min="11038" max="11038" width="16.7109375" customWidth="1"/>
    <col min="11039" max="11039" width="22.85546875" customWidth="1"/>
    <col min="11041" max="11041" width="4.5703125" customWidth="1"/>
    <col min="11042" max="11042" width="41.7109375" customWidth="1"/>
    <col min="11043" max="11043" width="8.28515625" customWidth="1"/>
    <col min="11044" max="11044" width="11" customWidth="1"/>
    <col min="11045" max="11045" width="16.7109375" customWidth="1"/>
    <col min="11046" max="11046" width="22.85546875" customWidth="1"/>
    <col min="11269" max="11269" width="4.5703125" customWidth="1"/>
    <col min="11270" max="11270" width="41.7109375" customWidth="1"/>
    <col min="11271" max="11271" width="8.28515625" customWidth="1"/>
    <col min="11272" max="11272" width="11" customWidth="1"/>
    <col min="11273" max="11273" width="16.7109375" customWidth="1"/>
    <col min="11274" max="11274" width="22.85546875" customWidth="1"/>
    <col min="11275" max="11275" width="8.28515625" customWidth="1"/>
    <col min="11276" max="11276" width="4.5703125" customWidth="1"/>
    <col min="11277" max="11277" width="41.7109375" customWidth="1"/>
    <col min="11278" max="11278" width="8.28515625" customWidth="1"/>
    <col min="11279" max="11279" width="11" customWidth="1"/>
    <col min="11280" max="11280" width="16.7109375" customWidth="1"/>
    <col min="11281" max="11281" width="22.85546875" customWidth="1"/>
    <col min="11283" max="11283" width="4.5703125" customWidth="1"/>
    <col min="11284" max="11284" width="41.7109375" customWidth="1"/>
    <col min="11285" max="11285" width="8.28515625" customWidth="1"/>
    <col min="11286" max="11286" width="11" customWidth="1"/>
    <col min="11287" max="11287" width="16.7109375" customWidth="1"/>
    <col min="11288" max="11288" width="22.85546875" customWidth="1"/>
    <col min="11290" max="11290" width="4.5703125" customWidth="1"/>
    <col min="11291" max="11291" width="41.7109375" customWidth="1"/>
    <col min="11292" max="11292" width="8.28515625" customWidth="1"/>
    <col min="11293" max="11293" width="11" customWidth="1"/>
    <col min="11294" max="11294" width="16.7109375" customWidth="1"/>
    <col min="11295" max="11295" width="22.85546875" customWidth="1"/>
    <col min="11297" max="11297" width="4.5703125" customWidth="1"/>
    <col min="11298" max="11298" width="41.7109375" customWidth="1"/>
    <col min="11299" max="11299" width="8.28515625" customWidth="1"/>
    <col min="11300" max="11300" width="11" customWidth="1"/>
    <col min="11301" max="11301" width="16.7109375" customWidth="1"/>
    <col min="11302" max="11302" width="22.85546875" customWidth="1"/>
    <col min="11525" max="11525" width="4.5703125" customWidth="1"/>
    <col min="11526" max="11526" width="41.7109375" customWidth="1"/>
    <col min="11527" max="11527" width="8.28515625" customWidth="1"/>
    <col min="11528" max="11528" width="11" customWidth="1"/>
    <col min="11529" max="11529" width="16.7109375" customWidth="1"/>
    <col min="11530" max="11530" width="22.85546875" customWidth="1"/>
    <col min="11531" max="11531" width="8.28515625" customWidth="1"/>
    <col min="11532" max="11532" width="4.5703125" customWidth="1"/>
    <col min="11533" max="11533" width="41.7109375" customWidth="1"/>
    <col min="11534" max="11534" width="8.28515625" customWidth="1"/>
    <col min="11535" max="11535" width="11" customWidth="1"/>
    <col min="11536" max="11536" width="16.7109375" customWidth="1"/>
    <col min="11537" max="11537" width="22.85546875" customWidth="1"/>
    <col min="11539" max="11539" width="4.5703125" customWidth="1"/>
    <col min="11540" max="11540" width="41.7109375" customWidth="1"/>
    <col min="11541" max="11541" width="8.28515625" customWidth="1"/>
    <col min="11542" max="11542" width="11" customWidth="1"/>
    <col min="11543" max="11543" width="16.7109375" customWidth="1"/>
    <col min="11544" max="11544" width="22.85546875" customWidth="1"/>
    <col min="11546" max="11546" width="4.5703125" customWidth="1"/>
    <col min="11547" max="11547" width="41.7109375" customWidth="1"/>
    <col min="11548" max="11548" width="8.28515625" customWidth="1"/>
    <col min="11549" max="11549" width="11" customWidth="1"/>
    <col min="11550" max="11550" width="16.7109375" customWidth="1"/>
    <col min="11551" max="11551" width="22.85546875" customWidth="1"/>
    <col min="11553" max="11553" width="4.5703125" customWidth="1"/>
    <col min="11554" max="11554" width="41.7109375" customWidth="1"/>
    <col min="11555" max="11555" width="8.28515625" customWidth="1"/>
    <col min="11556" max="11556" width="11" customWidth="1"/>
    <col min="11557" max="11557" width="16.7109375" customWidth="1"/>
    <col min="11558" max="11558" width="22.85546875" customWidth="1"/>
    <col min="11781" max="11781" width="4.5703125" customWidth="1"/>
    <col min="11782" max="11782" width="41.7109375" customWidth="1"/>
    <col min="11783" max="11783" width="8.28515625" customWidth="1"/>
    <col min="11784" max="11784" width="11" customWidth="1"/>
    <col min="11785" max="11785" width="16.7109375" customWidth="1"/>
    <col min="11786" max="11786" width="22.85546875" customWidth="1"/>
    <col min="11787" max="11787" width="8.28515625" customWidth="1"/>
    <col min="11788" max="11788" width="4.5703125" customWidth="1"/>
    <col min="11789" max="11789" width="41.7109375" customWidth="1"/>
    <col min="11790" max="11790" width="8.28515625" customWidth="1"/>
    <col min="11791" max="11791" width="11" customWidth="1"/>
    <col min="11792" max="11792" width="16.7109375" customWidth="1"/>
    <col min="11793" max="11793" width="22.85546875" customWidth="1"/>
    <col min="11795" max="11795" width="4.5703125" customWidth="1"/>
    <col min="11796" max="11796" width="41.7109375" customWidth="1"/>
    <col min="11797" max="11797" width="8.28515625" customWidth="1"/>
    <col min="11798" max="11798" width="11" customWidth="1"/>
    <col min="11799" max="11799" width="16.7109375" customWidth="1"/>
    <col min="11800" max="11800" width="22.85546875" customWidth="1"/>
    <col min="11802" max="11802" width="4.5703125" customWidth="1"/>
    <col min="11803" max="11803" width="41.7109375" customWidth="1"/>
    <col min="11804" max="11804" width="8.28515625" customWidth="1"/>
    <col min="11805" max="11805" width="11" customWidth="1"/>
    <col min="11806" max="11806" width="16.7109375" customWidth="1"/>
    <col min="11807" max="11807" width="22.85546875" customWidth="1"/>
    <col min="11809" max="11809" width="4.5703125" customWidth="1"/>
    <col min="11810" max="11810" width="41.7109375" customWidth="1"/>
    <col min="11811" max="11811" width="8.28515625" customWidth="1"/>
    <col min="11812" max="11812" width="11" customWidth="1"/>
    <col min="11813" max="11813" width="16.7109375" customWidth="1"/>
    <col min="11814" max="11814" width="22.85546875" customWidth="1"/>
    <col min="12037" max="12037" width="4.5703125" customWidth="1"/>
    <col min="12038" max="12038" width="41.7109375" customWidth="1"/>
    <col min="12039" max="12039" width="8.28515625" customWidth="1"/>
    <col min="12040" max="12040" width="11" customWidth="1"/>
    <col min="12041" max="12041" width="16.7109375" customWidth="1"/>
    <col min="12042" max="12042" width="22.85546875" customWidth="1"/>
    <col min="12043" max="12043" width="8.28515625" customWidth="1"/>
    <col min="12044" max="12044" width="4.5703125" customWidth="1"/>
    <col min="12045" max="12045" width="41.7109375" customWidth="1"/>
    <col min="12046" max="12046" width="8.28515625" customWidth="1"/>
    <col min="12047" max="12047" width="11" customWidth="1"/>
    <col min="12048" max="12048" width="16.7109375" customWidth="1"/>
    <col min="12049" max="12049" width="22.85546875" customWidth="1"/>
    <col min="12051" max="12051" width="4.5703125" customWidth="1"/>
    <col min="12052" max="12052" width="41.7109375" customWidth="1"/>
    <col min="12053" max="12053" width="8.28515625" customWidth="1"/>
    <col min="12054" max="12054" width="11" customWidth="1"/>
    <col min="12055" max="12055" width="16.7109375" customWidth="1"/>
    <col min="12056" max="12056" width="22.85546875" customWidth="1"/>
    <col min="12058" max="12058" width="4.5703125" customWidth="1"/>
    <col min="12059" max="12059" width="41.7109375" customWidth="1"/>
    <col min="12060" max="12060" width="8.28515625" customWidth="1"/>
    <col min="12061" max="12061" width="11" customWidth="1"/>
    <col min="12062" max="12062" width="16.7109375" customWidth="1"/>
    <col min="12063" max="12063" width="22.85546875" customWidth="1"/>
    <col min="12065" max="12065" width="4.5703125" customWidth="1"/>
    <col min="12066" max="12066" width="41.7109375" customWidth="1"/>
    <col min="12067" max="12067" width="8.28515625" customWidth="1"/>
    <col min="12068" max="12068" width="11" customWidth="1"/>
    <col min="12069" max="12069" width="16.7109375" customWidth="1"/>
    <col min="12070" max="12070" width="22.85546875" customWidth="1"/>
    <col min="12293" max="12293" width="4.5703125" customWidth="1"/>
    <col min="12294" max="12294" width="41.7109375" customWidth="1"/>
    <col min="12295" max="12295" width="8.28515625" customWidth="1"/>
    <col min="12296" max="12296" width="11" customWidth="1"/>
    <col min="12297" max="12297" width="16.7109375" customWidth="1"/>
    <col min="12298" max="12298" width="22.85546875" customWidth="1"/>
    <col min="12299" max="12299" width="8.28515625" customWidth="1"/>
    <col min="12300" max="12300" width="4.5703125" customWidth="1"/>
    <col min="12301" max="12301" width="41.7109375" customWidth="1"/>
    <col min="12302" max="12302" width="8.28515625" customWidth="1"/>
    <col min="12303" max="12303" width="11" customWidth="1"/>
    <col min="12304" max="12304" width="16.7109375" customWidth="1"/>
    <col min="12305" max="12305" width="22.85546875" customWidth="1"/>
    <col min="12307" max="12307" width="4.5703125" customWidth="1"/>
    <col min="12308" max="12308" width="41.7109375" customWidth="1"/>
    <col min="12309" max="12309" width="8.28515625" customWidth="1"/>
    <col min="12310" max="12310" width="11" customWidth="1"/>
    <col min="12311" max="12311" width="16.7109375" customWidth="1"/>
    <col min="12312" max="12312" width="22.85546875" customWidth="1"/>
    <col min="12314" max="12314" width="4.5703125" customWidth="1"/>
    <col min="12315" max="12315" width="41.7109375" customWidth="1"/>
    <col min="12316" max="12316" width="8.28515625" customWidth="1"/>
    <col min="12317" max="12317" width="11" customWidth="1"/>
    <col min="12318" max="12318" width="16.7109375" customWidth="1"/>
    <col min="12319" max="12319" width="22.85546875" customWidth="1"/>
    <col min="12321" max="12321" width="4.5703125" customWidth="1"/>
    <col min="12322" max="12322" width="41.7109375" customWidth="1"/>
    <col min="12323" max="12323" width="8.28515625" customWidth="1"/>
    <col min="12324" max="12324" width="11" customWidth="1"/>
    <col min="12325" max="12325" width="16.7109375" customWidth="1"/>
    <col min="12326" max="12326" width="22.85546875" customWidth="1"/>
    <col min="12549" max="12549" width="4.5703125" customWidth="1"/>
    <col min="12550" max="12550" width="41.7109375" customWidth="1"/>
    <col min="12551" max="12551" width="8.28515625" customWidth="1"/>
    <col min="12552" max="12552" width="11" customWidth="1"/>
    <col min="12553" max="12553" width="16.7109375" customWidth="1"/>
    <col min="12554" max="12554" width="22.85546875" customWidth="1"/>
    <col min="12555" max="12555" width="8.28515625" customWidth="1"/>
    <col min="12556" max="12556" width="4.5703125" customWidth="1"/>
    <col min="12557" max="12557" width="41.7109375" customWidth="1"/>
    <col min="12558" max="12558" width="8.28515625" customWidth="1"/>
    <col min="12559" max="12559" width="11" customWidth="1"/>
    <col min="12560" max="12560" width="16.7109375" customWidth="1"/>
    <col min="12561" max="12561" width="22.85546875" customWidth="1"/>
    <col min="12563" max="12563" width="4.5703125" customWidth="1"/>
    <col min="12564" max="12564" width="41.7109375" customWidth="1"/>
    <col min="12565" max="12565" width="8.28515625" customWidth="1"/>
    <col min="12566" max="12566" width="11" customWidth="1"/>
    <col min="12567" max="12567" width="16.7109375" customWidth="1"/>
    <col min="12568" max="12568" width="22.85546875" customWidth="1"/>
    <col min="12570" max="12570" width="4.5703125" customWidth="1"/>
    <col min="12571" max="12571" width="41.7109375" customWidth="1"/>
    <col min="12572" max="12572" width="8.28515625" customWidth="1"/>
    <col min="12573" max="12573" width="11" customWidth="1"/>
    <col min="12574" max="12574" width="16.7109375" customWidth="1"/>
    <col min="12575" max="12575" width="22.85546875" customWidth="1"/>
    <col min="12577" max="12577" width="4.5703125" customWidth="1"/>
    <col min="12578" max="12578" width="41.7109375" customWidth="1"/>
    <col min="12579" max="12579" width="8.28515625" customWidth="1"/>
    <col min="12580" max="12580" width="11" customWidth="1"/>
    <col min="12581" max="12581" width="16.7109375" customWidth="1"/>
    <col min="12582" max="12582" width="22.85546875" customWidth="1"/>
    <col min="12805" max="12805" width="4.5703125" customWidth="1"/>
    <col min="12806" max="12806" width="41.7109375" customWidth="1"/>
    <col min="12807" max="12807" width="8.28515625" customWidth="1"/>
    <col min="12808" max="12808" width="11" customWidth="1"/>
    <col min="12809" max="12809" width="16.7109375" customWidth="1"/>
    <col min="12810" max="12810" width="22.85546875" customWidth="1"/>
    <col min="12811" max="12811" width="8.28515625" customWidth="1"/>
    <col min="12812" max="12812" width="4.5703125" customWidth="1"/>
    <col min="12813" max="12813" width="41.7109375" customWidth="1"/>
    <col min="12814" max="12814" width="8.28515625" customWidth="1"/>
    <col min="12815" max="12815" width="11" customWidth="1"/>
    <col min="12816" max="12816" width="16.7109375" customWidth="1"/>
    <col min="12817" max="12817" width="22.85546875" customWidth="1"/>
    <col min="12819" max="12819" width="4.5703125" customWidth="1"/>
    <col min="12820" max="12820" width="41.7109375" customWidth="1"/>
    <col min="12821" max="12821" width="8.28515625" customWidth="1"/>
    <col min="12822" max="12822" width="11" customWidth="1"/>
    <col min="12823" max="12823" width="16.7109375" customWidth="1"/>
    <col min="12824" max="12824" width="22.85546875" customWidth="1"/>
    <col min="12826" max="12826" width="4.5703125" customWidth="1"/>
    <col min="12827" max="12827" width="41.7109375" customWidth="1"/>
    <col min="12828" max="12828" width="8.28515625" customWidth="1"/>
    <col min="12829" max="12829" width="11" customWidth="1"/>
    <col min="12830" max="12830" width="16.7109375" customWidth="1"/>
    <col min="12831" max="12831" width="22.85546875" customWidth="1"/>
    <col min="12833" max="12833" width="4.5703125" customWidth="1"/>
    <col min="12834" max="12834" width="41.7109375" customWidth="1"/>
    <col min="12835" max="12835" width="8.28515625" customWidth="1"/>
    <col min="12836" max="12836" width="11" customWidth="1"/>
    <col min="12837" max="12837" width="16.7109375" customWidth="1"/>
    <col min="12838" max="12838" width="22.85546875" customWidth="1"/>
    <col min="13061" max="13061" width="4.5703125" customWidth="1"/>
    <col min="13062" max="13062" width="41.7109375" customWidth="1"/>
    <col min="13063" max="13063" width="8.28515625" customWidth="1"/>
    <col min="13064" max="13064" width="11" customWidth="1"/>
    <col min="13065" max="13065" width="16.7109375" customWidth="1"/>
    <col min="13066" max="13066" width="22.85546875" customWidth="1"/>
    <col min="13067" max="13067" width="8.28515625" customWidth="1"/>
    <col min="13068" max="13068" width="4.5703125" customWidth="1"/>
    <col min="13069" max="13069" width="41.7109375" customWidth="1"/>
    <col min="13070" max="13070" width="8.28515625" customWidth="1"/>
    <col min="13071" max="13071" width="11" customWidth="1"/>
    <col min="13072" max="13072" width="16.7109375" customWidth="1"/>
    <col min="13073" max="13073" width="22.85546875" customWidth="1"/>
    <col min="13075" max="13075" width="4.5703125" customWidth="1"/>
    <col min="13076" max="13076" width="41.7109375" customWidth="1"/>
    <col min="13077" max="13077" width="8.28515625" customWidth="1"/>
    <col min="13078" max="13078" width="11" customWidth="1"/>
    <col min="13079" max="13079" width="16.7109375" customWidth="1"/>
    <col min="13080" max="13080" width="22.85546875" customWidth="1"/>
    <col min="13082" max="13082" width="4.5703125" customWidth="1"/>
    <col min="13083" max="13083" width="41.7109375" customWidth="1"/>
    <col min="13084" max="13084" width="8.28515625" customWidth="1"/>
    <col min="13085" max="13085" width="11" customWidth="1"/>
    <col min="13086" max="13086" width="16.7109375" customWidth="1"/>
    <col min="13087" max="13087" width="22.85546875" customWidth="1"/>
    <col min="13089" max="13089" width="4.5703125" customWidth="1"/>
    <col min="13090" max="13090" width="41.7109375" customWidth="1"/>
    <col min="13091" max="13091" width="8.28515625" customWidth="1"/>
    <col min="13092" max="13092" width="11" customWidth="1"/>
    <col min="13093" max="13093" width="16.7109375" customWidth="1"/>
    <col min="13094" max="13094" width="22.85546875" customWidth="1"/>
    <col min="13317" max="13317" width="4.5703125" customWidth="1"/>
    <col min="13318" max="13318" width="41.7109375" customWidth="1"/>
    <col min="13319" max="13319" width="8.28515625" customWidth="1"/>
    <col min="13320" max="13320" width="11" customWidth="1"/>
    <col min="13321" max="13321" width="16.7109375" customWidth="1"/>
    <col min="13322" max="13322" width="22.85546875" customWidth="1"/>
    <col min="13323" max="13323" width="8.28515625" customWidth="1"/>
    <col min="13324" max="13324" width="4.5703125" customWidth="1"/>
    <col min="13325" max="13325" width="41.7109375" customWidth="1"/>
    <col min="13326" max="13326" width="8.28515625" customWidth="1"/>
    <col min="13327" max="13327" width="11" customWidth="1"/>
    <col min="13328" max="13328" width="16.7109375" customWidth="1"/>
    <col min="13329" max="13329" width="22.85546875" customWidth="1"/>
    <col min="13331" max="13331" width="4.5703125" customWidth="1"/>
    <col min="13332" max="13332" width="41.7109375" customWidth="1"/>
    <col min="13333" max="13333" width="8.28515625" customWidth="1"/>
    <col min="13334" max="13334" width="11" customWidth="1"/>
    <col min="13335" max="13335" width="16.7109375" customWidth="1"/>
    <col min="13336" max="13336" width="22.85546875" customWidth="1"/>
    <col min="13338" max="13338" width="4.5703125" customWidth="1"/>
    <col min="13339" max="13339" width="41.7109375" customWidth="1"/>
    <col min="13340" max="13340" width="8.28515625" customWidth="1"/>
    <col min="13341" max="13341" width="11" customWidth="1"/>
    <col min="13342" max="13342" width="16.7109375" customWidth="1"/>
    <col min="13343" max="13343" width="22.85546875" customWidth="1"/>
    <col min="13345" max="13345" width="4.5703125" customWidth="1"/>
    <col min="13346" max="13346" width="41.7109375" customWidth="1"/>
    <col min="13347" max="13347" width="8.28515625" customWidth="1"/>
    <col min="13348" max="13348" width="11" customWidth="1"/>
    <col min="13349" max="13349" width="16.7109375" customWidth="1"/>
    <col min="13350" max="13350" width="22.85546875" customWidth="1"/>
    <col min="13573" max="13573" width="4.5703125" customWidth="1"/>
    <col min="13574" max="13574" width="41.7109375" customWidth="1"/>
    <col min="13575" max="13575" width="8.28515625" customWidth="1"/>
    <col min="13576" max="13576" width="11" customWidth="1"/>
    <col min="13577" max="13577" width="16.7109375" customWidth="1"/>
    <col min="13578" max="13578" width="22.85546875" customWidth="1"/>
    <col min="13579" max="13579" width="8.28515625" customWidth="1"/>
    <col min="13580" max="13580" width="4.5703125" customWidth="1"/>
    <col min="13581" max="13581" width="41.7109375" customWidth="1"/>
    <col min="13582" max="13582" width="8.28515625" customWidth="1"/>
    <col min="13583" max="13583" width="11" customWidth="1"/>
    <col min="13584" max="13584" width="16.7109375" customWidth="1"/>
    <col min="13585" max="13585" width="22.85546875" customWidth="1"/>
    <col min="13587" max="13587" width="4.5703125" customWidth="1"/>
    <col min="13588" max="13588" width="41.7109375" customWidth="1"/>
    <col min="13589" max="13589" width="8.28515625" customWidth="1"/>
    <col min="13590" max="13590" width="11" customWidth="1"/>
    <col min="13591" max="13591" width="16.7109375" customWidth="1"/>
    <col min="13592" max="13592" width="22.85546875" customWidth="1"/>
    <col min="13594" max="13594" width="4.5703125" customWidth="1"/>
    <col min="13595" max="13595" width="41.7109375" customWidth="1"/>
    <col min="13596" max="13596" width="8.28515625" customWidth="1"/>
    <col min="13597" max="13597" width="11" customWidth="1"/>
    <col min="13598" max="13598" width="16.7109375" customWidth="1"/>
    <col min="13599" max="13599" width="22.85546875" customWidth="1"/>
    <col min="13601" max="13601" width="4.5703125" customWidth="1"/>
    <col min="13602" max="13602" width="41.7109375" customWidth="1"/>
    <col min="13603" max="13603" width="8.28515625" customWidth="1"/>
    <col min="13604" max="13604" width="11" customWidth="1"/>
    <col min="13605" max="13605" width="16.7109375" customWidth="1"/>
    <col min="13606" max="13606" width="22.85546875" customWidth="1"/>
    <col min="13829" max="13829" width="4.5703125" customWidth="1"/>
    <col min="13830" max="13830" width="41.7109375" customWidth="1"/>
    <col min="13831" max="13831" width="8.28515625" customWidth="1"/>
    <col min="13832" max="13832" width="11" customWidth="1"/>
    <col min="13833" max="13833" width="16.7109375" customWidth="1"/>
    <col min="13834" max="13834" width="22.85546875" customWidth="1"/>
    <col min="13835" max="13835" width="8.28515625" customWidth="1"/>
    <col min="13836" max="13836" width="4.5703125" customWidth="1"/>
    <col min="13837" max="13837" width="41.7109375" customWidth="1"/>
    <col min="13838" max="13838" width="8.28515625" customWidth="1"/>
    <col min="13839" max="13839" width="11" customWidth="1"/>
    <col min="13840" max="13840" width="16.7109375" customWidth="1"/>
    <col min="13841" max="13841" width="22.85546875" customWidth="1"/>
    <col min="13843" max="13843" width="4.5703125" customWidth="1"/>
    <col min="13844" max="13844" width="41.7109375" customWidth="1"/>
    <col min="13845" max="13845" width="8.28515625" customWidth="1"/>
    <col min="13846" max="13846" width="11" customWidth="1"/>
    <col min="13847" max="13847" width="16.7109375" customWidth="1"/>
    <col min="13848" max="13848" width="22.85546875" customWidth="1"/>
    <col min="13850" max="13850" width="4.5703125" customWidth="1"/>
    <col min="13851" max="13851" width="41.7109375" customWidth="1"/>
    <col min="13852" max="13852" width="8.28515625" customWidth="1"/>
    <col min="13853" max="13853" width="11" customWidth="1"/>
    <col min="13854" max="13854" width="16.7109375" customWidth="1"/>
    <col min="13855" max="13855" width="22.85546875" customWidth="1"/>
    <col min="13857" max="13857" width="4.5703125" customWidth="1"/>
    <col min="13858" max="13858" width="41.7109375" customWidth="1"/>
    <col min="13859" max="13859" width="8.28515625" customWidth="1"/>
    <col min="13860" max="13860" width="11" customWidth="1"/>
    <col min="13861" max="13861" width="16.7109375" customWidth="1"/>
    <col min="13862" max="13862" width="22.85546875" customWidth="1"/>
    <col min="14085" max="14085" width="4.5703125" customWidth="1"/>
    <col min="14086" max="14086" width="41.7109375" customWidth="1"/>
    <col min="14087" max="14087" width="8.28515625" customWidth="1"/>
    <col min="14088" max="14088" width="11" customWidth="1"/>
    <col min="14089" max="14089" width="16.7109375" customWidth="1"/>
    <col min="14090" max="14090" width="22.85546875" customWidth="1"/>
    <col min="14091" max="14091" width="8.28515625" customWidth="1"/>
    <col min="14092" max="14092" width="4.5703125" customWidth="1"/>
    <col min="14093" max="14093" width="41.7109375" customWidth="1"/>
    <col min="14094" max="14094" width="8.28515625" customWidth="1"/>
    <col min="14095" max="14095" width="11" customWidth="1"/>
    <col min="14096" max="14096" width="16.7109375" customWidth="1"/>
    <col min="14097" max="14097" width="22.85546875" customWidth="1"/>
    <col min="14099" max="14099" width="4.5703125" customWidth="1"/>
    <col min="14100" max="14100" width="41.7109375" customWidth="1"/>
    <col min="14101" max="14101" width="8.28515625" customWidth="1"/>
    <col min="14102" max="14102" width="11" customWidth="1"/>
    <col min="14103" max="14103" width="16.7109375" customWidth="1"/>
    <col min="14104" max="14104" width="22.85546875" customWidth="1"/>
    <col min="14106" max="14106" width="4.5703125" customWidth="1"/>
    <col min="14107" max="14107" width="41.7109375" customWidth="1"/>
    <col min="14108" max="14108" width="8.28515625" customWidth="1"/>
    <col min="14109" max="14109" width="11" customWidth="1"/>
    <col min="14110" max="14110" width="16.7109375" customWidth="1"/>
    <col min="14111" max="14111" width="22.85546875" customWidth="1"/>
    <col min="14113" max="14113" width="4.5703125" customWidth="1"/>
    <col min="14114" max="14114" width="41.7109375" customWidth="1"/>
    <col min="14115" max="14115" width="8.28515625" customWidth="1"/>
    <col min="14116" max="14116" width="11" customWidth="1"/>
    <col min="14117" max="14117" width="16.7109375" customWidth="1"/>
    <col min="14118" max="14118" width="22.85546875" customWidth="1"/>
    <col min="14341" max="14341" width="4.5703125" customWidth="1"/>
    <col min="14342" max="14342" width="41.7109375" customWidth="1"/>
    <col min="14343" max="14343" width="8.28515625" customWidth="1"/>
    <col min="14344" max="14344" width="11" customWidth="1"/>
    <col min="14345" max="14345" width="16.7109375" customWidth="1"/>
    <col min="14346" max="14346" width="22.85546875" customWidth="1"/>
    <col min="14347" max="14347" width="8.28515625" customWidth="1"/>
    <col min="14348" max="14348" width="4.5703125" customWidth="1"/>
    <col min="14349" max="14349" width="41.7109375" customWidth="1"/>
    <col min="14350" max="14350" width="8.28515625" customWidth="1"/>
    <col min="14351" max="14351" width="11" customWidth="1"/>
    <col min="14352" max="14352" width="16.7109375" customWidth="1"/>
    <col min="14353" max="14353" width="22.85546875" customWidth="1"/>
    <col min="14355" max="14355" width="4.5703125" customWidth="1"/>
    <col min="14356" max="14356" width="41.7109375" customWidth="1"/>
    <col min="14357" max="14357" width="8.28515625" customWidth="1"/>
    <col min="14358" max="14358" width="11" customWidth="1"/>
    <col min="14359" max="14359" width="16.7109375" customWidth="1"/>
    <col min="14360" max="14360" width="22.85546875" customWidth="1"/>
    <col min="14362" max="14362" width="4.5703125" customWidth="1"/>
    <col min="14363" max="14363" width="41.7109375" customWidth="1"/>
    <col min="14364" max="14364" width="8.28515625" customWidth="1"/>
    <col min="14365" max="14365" width="11" customWidth="1"/>
    <col min="14366" max="14366" width="16.7109375" customWidth="1"/>
    <col min="14367" max="14367" width="22.85546875" customWidth="1"/>
    <col min="14369" max="14369" width="4.5703125" customWidth="1"/>
    <col min="14370" max="14370" width="41.7109375" customWidth="1"/>
    <col min="14371" max="14371" width="8.28515625" customWidth="1"/>
    <col min="14372" max="14372" width="11" customWidth="1"/>
    <col min="14373" max="14373" width="16.7109375" customWidth="1"/>
    <col min="14374" max="14374" width="22.85546875" customWidth="1"/>
    <col min="14597" max="14597" width="4.5703125" customWidth="1"/>
    <col min="14598" max="14598" width="41.7109375" customWidth="1"/>
    <col min="14599" max="14599" width="8.28515625" customWidth="1"/>
    <col min="14600" max="14600" width="11" customWidth="1"/>
    <col min="14601" max="14601" width="16.7109375" customWidth="1"/>
    <col min="14602" max="14602" width="22.85546875" customWidth="1"/>
    <col min="14603" max="14603" width="8.28515625" customWidth="1"/>
    <col min="14604" max="14604" width="4.5703125" customWidth="1"/>
    <col min="14605" max="14605" width="41.7109375" customWidth="1"/>
    <col min="14606" max="14606" width="8.28515625" customWidth="1"/>
    <col min="14607" max="14607" width="11" customWidth="1"/>
    <col min="14608" max="14608" width="16.7109375" customWidth="1"/>
    <col min="14609" max="14609" width="22.85546875" customWidth="1"/>
    <col min="14611" max="14611" width="4.5703125" customWidth="1"/>
    <col min="14612" max="14612" width="41.7109375" customWidth="1"/>
    <col min="14613" max="14613" width="8.28515625" customWidth="1"/>
    <col min="14614" max="14614" width="11" customWidth="1"/>
    <col min="14615" max="14615" width="16.7109375" customWidth="1"/>
    <col min="14616" max="14616" width="22.85546875" customWidth="1"/>
    <col min="14618" max="14618" width="4.5703125" customWidth="1"/>
    <col min="14619" max="14619" width="41.7109375" customWidth="1"/>
    <col min="14620" max="14620" width="8.28515625" customWidth="1"/>
    <col min="14621" max="14621" width="11" customWidth="1"/>
    <col min="14622" max="14622" width="16.7109375" customWidth="1"/>
    <col min="14623" max="14623" width="22.85546875" customWidth="1"/>
    <col min="14625" max="14625" width="4.5703125" customWidth="1"/>
    <col min="14626" max="14626" width="41.7109375" customWidth="1"/>
    <col min="14627" max="14627" width="8.28515625" customWidth="1"/>
    <col min="14628" max="14628" width="11" customWidth="1"/>
    <col min="14629" max="14629" width="16.7109375" customWidth="1"/>
    <col min="14630" max="14630" width="22.85546875" customWidth="1"/>
    <col min="14853" max="14853" width="4.5703125" customWidth="1"/>
    <col min="14854" max="14854" width="41.7109375" customWidth="1"/>
    <col min="14855" max="14855" width="8.28515625" customWidth="1"/>
    <col min="14856" max="14856" width="11" customWidth="1"/>
    <col min="14857" max="14857" width="16.7109375" customWidth="1"/>
    <col min="14858" max="14858" width="22.85546875" customWidth="1"/>
    <col min="14859" max="14859" width="8.28515625" customWidth="1"/>
    <col min="14860" max="14860" width="4.5703125" customWidth="1"/>
    <col min="14861" max="14861" width="41.7109375" customWidth="1"/>
    <col min="14862" max="14862" width="8.28515625" customWidth="1"/>
    <col min="14863" max="14863" width="11" customWidth="1"/>
    <col min="14864" max="14864" width="16.7109375" customWidth="1"/>
    <col min="14865" max="14865" width="22.85546875" customWidth="1"/>
    <col min="14867" max="14867" width="4.5703125" customWidth="1"/>
    <col min="14868" max="14868" width="41.7109375" customWidth="1"/>
    <col min="14869" max="14869" width="8.28515625" customWidth="1"/>
    <col min="14870" max="14870" width="11" customWidth="1"/>
    <col min="14871" max="14871" width="16.7109375" customWidth="1"/>
    <col min="14872" max="14872" width="22.85546875" customWidth="1"/>
    <col min="14874" max="14874" width="4.5703125" customWidth="1"/>
    <col min="14875" max="14875" width="41.7109375" customWidth="1"/>
    <col min="14876" max="14876" width="8.28515625" customWidth="1"/>
    <col min="14877" max="14877" width="11" customWidth="1"/>
    <col min="14878" max="14878" width="16.7109375" customWidth="1"/>
    <col min="14879" max="14879" width="22.85546875" customWidth="1"/>
    <col min="14881" max="14881" width="4.5703125" customWidth="1"/>
    <col min="14882" max="14882" width="41.7109375" customWidth="1"/>
    <col min="14883" max="14883" width="8.28515625" customWidth="1"/>
    <col min="14884" max="14884" width="11" customWidth="1"/>
    <col min="14885" max="14885" width="16.7109375" customWidth="1"/>
    <col min="14886" max="14886" width="22.85546875" customWidth="1"/>
    <col min="15109" max="15109" width="4.5703125" customWidth="1"/>
    <col min="15110" max="15110" width="41.7109375" customWidth="1"/>
    <col min="15111" max="15111" width="8.28515625" customWidth="1"/>
    <col min="15112" max="15112" width="11" customWidth="1"/>
    <col min="15113" max="15113" width="16.7109375" customWidth="1"/>
    <col min="15114" max="15114" width="22.85546875" customWidth="1"/>
    <col min="15115" max="15115" width="8.28515625" customWidth="1"/>
    <col min="15116" max="15116" width="4.5703125" customWidth="1"/>
    <col min="15117" max="15117" width="41.7109375" customWidth="1"/>
    <col min="15118" max="15118" width="8.28515625" customWidth="1"/>
    <col min="15119" max="15119" width="11" customWidth="1"/>
    <col min="15120" max="15120" width="16.7109375" customWidth="1"/>
    <col min="15121" max="15121" width="22.85546875" customWidth="1"/>
    <col min="15123" max="15123" width="4.5703125" customWidth="1"/>
    <col min="15124" max="15124" width="41.7109375" customWidth="1"/>
    <col min="15125" max="15125" width="8.28515625" customWidth="1"/>
    <col min="15126" max="15126" width="11" customWidth="1"/>
    <col min="15127" max="15127" width="16.7109375" customWidth="1"/>
    <col min="15128" max="15128" width="22.85546875" customWidth="1"/>
    <col min="15130" max="15130" width="4.5703125" customWidth="1"/>
    <col min="15131" max="15131" width="41.7109375" customWidth="1"/>
    <col min="15132" max="15132" width="8.28515625" customWidth="1"/>
    <col min="15133" max="15133" width="11" customWidth="1"/>
    <col min="15134" max="15134" width="16.7109375" customWidth="1"/>
    <col min="15135" max="15135" width="22.85546875" customWidth="1"/>
    <col min="15137" max="15137" width="4.5703125" customWidth="1"/>
    <col min="15138" max="15138" width="41.7109375" customWidth="1"/>
    <col min="15139" max="15139" width="8.28515625" customWidth="1"/>
    <col min="15140" max="15140" width="11" customWidth="1"/>
    <col min="15141" max="15141" width="16.7109375" customWidth="1"/>
    <col min="15142" max="15142" width="22.85546875" customWidth="1"/>
    <col min="15365" max="15365" width="4.5703125" customWidth="1"/>
    <col min="15366" max="15366" width="41.7109375" customWidth="1"/>
    <col min="15367" max="15367" width="8.28515625" customWidth="1"/>
    <col min="15368" max="15368" width="11" customWidth="1"/>
    <col min="15369" max="15369" width="16.7109375" customWidth="1"/>
    <col min="15370" max="15370" width="22.85546875" customWidth="1"/>
    <col min="15371" max="15371" width="8.28515625" customWidth="1"/>
    <col min="15372" max="15372" width="4.5703125" customWidth="1"/>
    <col min="15373" max="15373" width="41.7109375" customWidth="1"/>
    <col min="15374" max="15374" width="8.28515625" customWidth="1"/>
    <col min="15375" max="15375" width="11" customWidth="1"/>
    <col min="15376" max="15376" width="16.7109375" customWidth="1"/>
    <col min="15377" max="15377" width="22.85546875" customWidth="1"/>
    <col min="15379" max="15379" width="4.5703125" customWidth="1"/>
    <col min="15380" max="15380" width="41.7109375" customWidth="1"/>
    <col min="15381" max="15381" width="8.28515625" customWidth="1"/>
    <col min="15382" max="15382" width="11" customWidth="1"/>
    <col min="15383" max="15383" width="16.7109375" customWidth="1"/>
    <col min="15384" max="15384" width="22.85546875" customWidth="1"/>
    <col min="15386" max="15386" width="4.5703125" customWidth="1"/>
    <col min="15387" max="15387" width="41.7109375" customWidth="1"/>
    <col min="15388" max="15388" width="8.28515625" customWidth="1"/>
    <col min="15389" max="15389" width="11" customWidth="1"/>
    <col min="15390" max="15390" width="16.7109375" customWidth="1"/>
    <col min="15391" max="15391" width="22.85546875" customWidth="1"/>
    <col min="15393" max="15393" width="4.5703125" customWidth="1"/>
    <col min="15394" max="15394" width="41.7109375" customWidth="1"/>
    <col min="15395" max="15395" width="8.28515625" customWidth="1"/>
    <col min="15396" max="15396" width="11" customWidth="1"/>
    <col min="15397" max="15397" width="16.7109375" customWidth="1"/>
    <col min="15398" max="15398" width="22.85546875" customWidth="1"/>
    <col min="15621" max="15621" width="4.5703125" customWidth="1"/>
    <col min="15622" max="15622" width="41.7109375" customWidth="1"/>
    <col min="15623" max="15623" width="8.28515625" customWidth="1"/>
    <col min="15624" max="15624" width="11" customWidth="1"/>
    <col min="15625" max="15625" width="16.7109375" customWidth="1"/>
    <col min="15626" max="15626" width="22.85546875" customWidth="1"/>
    <col min="15627" max="15627" width="8.28515625" customWidth="1"/>
    <col min="15628" max="15628" width="4.5703125" customWidth="1"/>
    <col min="15629" max="15629" width="41.7109375" customWidth="1"/>
    <col min="15630" max="15630" width="8.28515625" customWidth="1"/>
    <col min="15631" max="15631" width="11" customWidth="1"/>
    <col min="15632" max="15632" width="16.7109375" customWidth="1"/>
    <col min="15633" max="15633" width="22.85546875" customWidth="1"/>
    <col min="15635" max="15635" width="4.5703125" customWidth="1"/>
    <col min="15636" max="15636" width="41.7109375" customWidth="1"/>
    <col min="15637" max="15637" width="8.28515625" customWidth="1"/>
    <col min="15638" max="15638" width="11" customWidth="1"/>
    <col min="15639" max="15639" width="16.7109375" customWidth="1"/>
    <col min="15640" max="15640" width="22.85546875" customWidth="1"/>
    <col min="15642" max="15642" width="4.5703125" customWidth="1"/>
    <col min="15643" max="15643" width="41.7109375" customWidth="1"/>
    <col min="15644" max="15644" width="8.28515625" customWidth="1"/>
    <col min="15645" max="15645" width="11" customWidth="1"/>
    <col min="15646" max="15646" width="16.7109375" customWidth="1"/>
    <col min="15647" max="15647" width="22.85546875" customWidth="1"/>
    <col min="15649" max="15649" width="4.5703125" customWidth="1"/>
    <col min="15650" max="15650" width="41.7109375" customWidth="1"/>
    <col min="15651" max="15651" width="8.28515625" customWidth="1"/>
    <col min="15652" max="15652" width="11" customWidth="1"/>
    <col min="15653" max="15653" width="16.7109375" customWidth="1"/>
    <col min="15654" max="15654" width="22.85546875" customWidth="1"/>
    <col min="15877" max="15877" width="4.5703125" customWidth="1"/>
    <col min="15878" max="15878" width="41.7109375" customWidth="1"/>
    <col min="15879" max="15879" width="8.28515625" customWidth="1"/>
    <col min="15880" max="15880" width="11" customWidth="1"/>
    <col min="15881" max="15881" width="16.7109375" customWidth="1"/>
    <col min="15882" max="15882" width="22.85546875" customWidth="1"/>
    <col min="15883" max="15883" width="8.28515625" customWidth="1"/>
    <col min="15884" max="15884" width="4.5703125" customWidth="1"/>
    <col min="15885" max="15885" width="41.7109375" customWidth="1"/>
    <col min="15886" max="15886" width="8.28515625" customWidth="1"/>
    <col min="15887" max="15887" width="11" customWidth="1"/>
    <col min="15888" max="15888" width="16.7109375" customWidth="1"/>
    <col min="15889" max="15889" width="22.85546875" customWidth="1"/>
    <col min="15891" max="15891" width="4.5703125" customWidth="1"/>
    <col min="15892" max="15892" width="41.7109375" customWidth="1"/>
    <col min="15893" max="15893" width="8.28515625" customWidth="1"/>
    <col min="15894" max="15894" width="11" customWidth="1"/>
    <col min="15895" max="15895" width="16.7109375" customWidth="1"/>
    <col min="15896" max="15896" width="22.85546875" customWidth="1"/>
    <col min="15898" max="15898" width="4.5703125" customWidth="1"/>
    <col min="15899" max="15899" width="41.7109375" customWidth="1"/>
    <col min="15900" max="15900" width="8.28515625" customWidth="1"/>
    <col min="15901" max="15901" width="11" customWidth="1"/>
    <col min="15902" max="15902" width="16.7109375" customWidth="1"/>
    <col min="15903" max="15903" width="22.85546875" customWidth="1"/>
    <col min="15905" max="15905" width="4.5703125" customWidth="1"/>
    <col min="15906" max="15906" width="41.7109375" customWidth="1"/>
    <col min="15907" max="15907" width="8.28515625" customWidth="1"/>
    <col min="15908" max="15908" width="11" customWidth="1"/>
    <col min="15909" max="15909" width="16.7109375" customWidth="1"/>
    <col min="15910" max="15910" width="22.85546875" customWidth="1"/>
    <col min="16133" max="16133" width="4.5703125" customWidth="1"/>
    <col min="16134" max="16134" width="41.7109375" customWidth="1"/>
    <col min="16135" max="16135" width="8.28515625" customWidth="1"/>
    <col min="16136" max="16136" width="11" customWidth="1"/>
    <col min="16137" max="16137" width="16.7109375" customWidth="1"/>
    <col min="16138" max="16138" width="22.85546875" customWidth="1"/>
    <col min="16139" max="16139" width="8.28515625" customWidth="1"/>
    <col min="16140" max="16140" width="4.5703125" customWidth="1"/>
    <col min="16141" max="16141" width="41.7109375" customWidth="1"/>
    <col min="16142" max="16142" width="8.28515625" customWidth="1"/>
    <col min="16143" max="16143" width="11" customWidth="1"/>
    <col min="16144" max="16144" width="16.7109375" customWidth="1"/>
    <col min="16145" max="16145" width="22.85546875" customWidth="1"/>
    <col min="16147" max="16147" width="4.5703125" customWidth="1"/>
    <col min="16148" max="16148" width="41.7109375" customWidth="1"/>
    <col min="16149" max="16149" width="8.28515625" customWidth="1"/>
    <col min="16150" max="16150" width="11" customWidth="1"/>
    <col min="16151" max="16151" width="16.7109375" customWidth="1"/>
    <col min="16152" max="16152" width="22.85546875" customWidth="1"/>
    <col min="16154" max="16154" width="4.5703125" customWidth="1"/>
    <col min="16155" max="16155" width="41.7109375" customWidth="1"/>
    <col min="16156" max="16156" width="8.28515625" customWidth="1"/>
    <col min="16157" max="16157" width="11" customWidth="1"/>
    <col min="16158" max="16158" width="16.7109375" customWidth="1"/>
    <col min="16159" max="16159" width="22.85546875" customWidth="1"/>
    <col min="16161" max="16161" width="4.5703125" customWidth="1"/>
    <col min="16162" max="16162" width="41.7109375" customWidth="1"/>
    <col min="16163" max="16163" width="8.28515625" customWidth="1"/>
    <col min="16164" max="16164" width="11" customWidth="1"/>
    <col min="16165" max="16165" width="16.7109375" customWidth="1"/>
    <col min="16166" max="16166" width="22.85546875" customWidth="1"/>
  </cols>
  <sheetData>
    <row r="1" spans="2:18" ht="15.75" hidden="1" customHeight="1" thickBot="1">
      <c r="B1" s="1041" t="s">
        <v>2204</v>
      </c>
      <c r="C1" s="1041"/>
      <c r="D1" s="1041"/>
      <c r="E1" s="1041"/>
      <c r="F1" s="1041"/>
      <c r="G1" s="1041"/>
    </row>
    <row r="2" spans="2:18" ht="15.75" hidden="1" customHeight="1" thickBot="1">
      <c r="B2" s="1041" t="s">
        <v>2205</v>
      </c>
      <c r="C2" s="1041"/>
      <c r="D2" s="1041"/>
      <c r="E2" s="1041"/>
      <c r="F2" s="1041"/>
      <c r="G2" s="1041"/>
    </row>
    <row r="3" spans="2:18" ht="15.75" hidden="1" customHeight="1" thickBot="1"/>
    <row r="4" spans="2:18" ht="15.75" hidden="1" customHeight="1" thickBot="1">
      <c r="F4" s="634" t="s">
        <v>2206</v>
      </c>
      <c r="G4" s="634" t="s">
        <v>2088</v>
      </c>
    </row>
    <row r="5" spans="2:18" ht="15.75" hidden="1" customHeight="1" thickBot="1">
      <c r="B5" t="s">
        <v>10</v>
      </c>
      <c r="C5" t="s">
        <v>2079</v>
      </c>
      <c r="D5" t="s">
        <v>2087</v>
      </c>
      <c r="E5" t="s">
        <v>2080</v>
      </c>
      <c r="F5" s="634" t="s">
        <v>2087</v>
      </c>
      <c r="G5" s="634" t="s">
        <v>2206</v>
      </c>
    </row>
    <row r="6" spans="2:18" ht="15.75" hidden="1" customHeight="1" thickBot="1">
      <c r="F6" s="634" t="s">
        <v>2207</v>
      </c>
      <c r="G6" s="634" t="s">
        <v>2207</v>
      </c>
    </row>
    <row r="7" spans="2:18" ht="17.25" hidden="1" customHeight="1" thickTop="1" thickBot="1">
      <c r="B7">
        <v>1</v>
      </c>
      <c r="C7" t="s">
        <v>2208</v>
      </c>
      <c r="D7" t="s">
        <v>74</v>
      </c>
      <c r="E7">
        <v>1</v>
      </c>
      <c r="F7" s="634">
        <v>36574500</v>
      </c>
      <c r="G7" s="634">
        <f>E7*F7</f>
        <v>36574500</v>
      </c>
      <c r="P7" s="1041" t="s">
        <v>2209</v>
      </c>
      <c r="Q7" s="1041"/>
      <c r="R7">
        <v>29008.6</v>
      </c>
    </row>
    <row r="8" spans="2:18" ht="16.5" hidden="1" customHeight="1" thickBot="1">
      <c r="P8" s="1041" t="s">
        <v>2210</v>
      </c>
      <c r="Q8" s="1041"/>
      <c r="R8">
        <v>35835.300000000003</v>
      </c>
    </row>
    <row r="9" spans="2:18" ht="16.5" hidden="1" customHeight="1" thickBot="1">
      <c r="B9">
        <f>B7+1</f>
        <v>2</v>
      </c>
      <c r="C9" t="s">
        <v>2211</v>
      </c>
      <c r="D9" t="s">
        <v>2212</v>
      </c>
      <c r="E9" t="e">
        <f>#REF!</f>
        <v>#REF!</v>
      </c>
      <c r="F9" s="634">
        <v>3500000</v>
      </c>
      <c r="G9" s="634" t="e">
        <f>E9*F9</f>
        <v>#REF!</v>
      </c>
      <c r="P9" s="1041" t="s">
        <v>2213</v>
      </c>
      <c r="Q9" s="1041"/>
    </row>
    <row r="10" spans="2:18" ht="16.5" hidden="1" customHeight="1" thickBot="1">
      <c r="P10" s="1041" t="s">
        <v>2214</v>
      </c>
      <c r="Q10" s="1041"/>
    </row>
    <row r="11" spans="2:18" ht="16.5" hidden="1" customHeight="1" thickBot="1">
      <c r="B11">
        <f>B9+1</f>
        <v>3</v>
      </c>
      <c r="C11" t="s">
        <v>2215</v>
      </c>
      <c r="D11" t="s">
        <v>779</v>
      </c>
      <c r="E11">
        <v>0</v>
      </c>
      <c r="F11" s="634">
        <v>2000000</v>
      </c>
      <c r="G11" s="634">
        <f>E11*F11</f>
        <v>0</v>
      </c>
      <c r="P11" s="1041" t="s">
        <v>2216</v>
      </c>
      <c r="Q11" s="1041"/>
    </row>
    <row r="12" spans="2:18" ht="16.5" hidden="1" customHeight="1" thickBot="1">
      <c r="P12" s="1041" t="s">
        <v>2217</v>
      </c>
      <c r="Q12" s="1041"/>
    </row>
    <row r="13" spans="2:18" ht="16.5" hidden="1" customHeight="1" thickBot="1">
      <c r="B13">
        <f>B11+1</f>
        <v>4</v>
      </c>
      <c r="C13" t="s">
        <v>2218</v>
      </c>
      <c r="D13" t="s">
        <v>779</v>
      </c>
      <c r="E13">
        <v>0</v>
      </c>
      <c r="F13" s="634">
        <v>2000000</v>
      </c>
      <c r="G13" s="634">
        <f>E13*F13</f>
        <v>0</v>
      </c>
      <c r="P13" s="1041" t="s">
        <v>2219</v>
      </c>
      <c r="Q13" s="1041"/>
    </row>
    <row r="14" spans="2:18" ht="16.5" hidden="1" customHeight="1" thickBot="1">
      <c r="P14" s="1041" t="s">
        <v>2220</v>
      </c>
      <c r="Q14" s="1041"/>
    </row>
    <row r="15" spans="2:18" ht="16.5" hidden="1" customHeight="1" thickBot="1">
      <c r="B15">
        <f>B13+1</f>
        <v>5</v>
      </c>
      <c r="C15" t="s">
        <v>2221</v>
      </c>
      <c r="D15" t="s">
        <v>74</v>
      </c>
      <c r="E15">
        <v>1</v>
      </c>
      <c r="F15" s="634">
        <v>359040000</v>
      </c>
      <c r="G15" s="634">
        <f>E15*F15</f>
        <v>359040000</v>
      </c>
      <c r="P15" s="1041" t="s">
        <v>2222</v>
      </c>
      <c r="Q15" s="1041"/>
    </row>
    <row r="16" spans="2:18" ht="16.5" hidden="1" customHeight="1" thickBot="1">
      <c r="P16" s="1041" t="s">
        <v>2223</v>
      </c>
      <c r="Q16" s="1041"/>
    </row>
    <row r="17" spans="2:36" ht="16.5" hidden="1" customHeight="1" thickBot="1">
      <c r="B17">
        <f>B15+1</f>
        <v>6</v>
      </c>
      <c r="C17" t="s">
        <v>2224</v>
      </c>
      <c r="D17" t="s">
        <v>2089</v>
      </c>
      <c r="E17" t="e">
        <f>#REF!</f>
        <v>#REF!</v>
      </c>
      <c r="F17" s="634">
        <v>2619302.4</v>
      </c>
      <c r="G17" s="634" t="e">
        <f>E17*F17</f>
        <v>#REF!</v>
      </c>
      <c r="P17" s="1041" t="s">
        <v>2225</v>
      </c>
      <c r="Q17" s="1041"/>
    </row>
    <row r="18" spans="2:36" ht="16.5" hidden="1" customHeight="1" thickBot="1">
      <c r="P18" s="1041" t="s">
        <v>2226</v>
      </c>
      <c r="Q18" s="1041"/>
    </row>
    <row r="19" spans="2:36" ht="15.75" hidden="1" customHeight="1" thickBot="1">
      <c r="B19">
        <f>B17+1</f>
        <v>7</v>
      </c>
      <c r="C19" t="s">
        <v>2227</v>
      </c>
      <c r="D19" t="s">
        <v>2089</v>
      </c>
      <c r="E19" t="e">
        <f>E17</f>
        <v>#REF!</v>
      </c>
      <c r="F19" s="634">
        <v>1773365.95</v>
      </c>
      <c r="G19" s="634" t="e">
        <f>E19*F19</f>
        <v>#REF!</v>
      </c>
    </row>
    <row r="20" spans="2:36" ht="15.75" hidden="1" customHeight="1" thickBot="1">
      <c r="G20" s="634" t="e">
        <f>SUM(G7:G19)</f>
        <v>#REF!</v>
      </c>
    </row>
    <row r="21" spans="2:36" ht="15.75" hidden="1" customHeight="1" thickBot="1"/>
    <row r="22" spans="2:36" ht="15" hidden="1" customHeight="1">
      <c r="B22" s="1041" t="s">
        <v>2228</v>
      </c>
      <c r="C22" s="1041"/>
      <c r="D22" s="1041"/>
      <c r="E22" s="1041"/>
      <c r="F22" s="1041"/>
      <c r="G22" s="1041"/>
      <c r="N22" s="1041" t="s">
        <v>2228</v>
      </c>
      <c r="O22" s="1041"/>
      <c r="P22" s="1041"/>
      <c r="Q22" s="1041"/>
      <c r="R22" s="1041"/>
      <c r="S22" s="1041"/>
      <c r="V22" s="1041" t="s">
        <v>2228</v>
      </c>
      <c r="W22" s="1041"/>
      <c r="X22" s="1041"/>
      <c r="Y22" s="1041"/>
      <c r="Z22" s="1041"/>
      <c r="AA22" s="1041"/>
      <c r="AD22" s="1041" t="s">
        <v>2228</v>
      </c>
      <c r="AE22" s="1041"/>
      <c r="AF22" s="1041"/>
      <c r="AG22" s="1041"/>
      <c r="AH22" s="1041"/>
      <c r="AI22" s="1041"/>
    </row>
    <row r="23" spans="2:36" ht="15" hidden="1" customHeight="1" thickBot="1">
      <c r="B23" t="s">
        <v>2229</v>
      </c>
      <c r="N23" t="s">
        <v>2230</v>
      </c>
      <c r="V23" t="s">
        <v>2231</v>
      </c>
      <c r="AD23" t="s">
        <v>2232</v>
      </c>
    </row>
    <row r="24" spans="2:36" ht="15" hidden="1" customHeight="1">
      <c r="F24" s="634" t="s">
        <v>2206</v>
      </c>
      <c r="G24" s="634" t="s">
        <v>2088</v>
      </c>
      <c r="R24" t="s">
        <v>2206</v>
      </c>
      <c r="S24" s="634" t="s">
        <v>2088</v>
      </c>
      <c r="Z24" t="s">
        <v>2206</v>
      </c>
      <c r="AA24" t="s">
        <v>2088</v>
      </c>
      <c r="AH24" t="s">
        <v>2206</v>
      </c>
      <c r="AI24" t="s">
        <v>2088</v>
      </c>
    </row>
    <row r="25" spans="2:36" ht="15" hidden="1" customHeight="1">
      <c r="B25" t="s">
        <v>10</v>
      </c>
      <c r="C25" t="s">
        <v>2079</v>
      </c>
      <c r="D25" t="s">
        <v>2087</v>
      </c>
      <c r="E25" t="s">
        <v>2080</v>
      </c>
      <c r="F25" s="634" t="s">
        <v>2087</v>
      </c>
      <c r="G25" s="634" t="s">
        <v>2206</v>
      </c>
      <c r="N25" t="s">
        <v>10</v>
      </c>
      <c r="O25" t="s">
        <v>2079</v>
      </c>
      <c r="P25" t="s">
        <v>2087</v>
      </c>
      <c r="Q25" t="s">
        <v>2080</v>
      </c>
      <c r="R25" t="s">
        <v>2087</v>
      </c>
      <c r="S25" s="634" t="s">
        <v>2206</v>
      </c>
      <c r="V25" t="s">
        <v>10</v>
      </c>
      <c r="W25" t="s">
        <v>2079</v>
      </c>
      <c r="X25" t="s">
        <v>2087</v>
      </c>
      <c r="Y25" t="s">
        <v>2080</v>
      </c>
      <c r="Z25" t="s">
        <v>2087</v>
      </c>
      <c r="AA25" t="s">
        <v>2206</v>
      </c>
      <c r="AD25" t="s">
        <v>10</v>
      </c>
      <c r="AE25" t="s">
        <v>2079</v>
      </c>
      <c r="AF25" t="s">
        <v>2087</v>
      </c>
      <c r="AG25" t="s">
        <v>2080</v>
      </c>
      <c r="AH25" t="s">
        <v>2087</v>
      </c>
      <c r="AI25" t="s">
        <v>2206</v>
      </c>
    </row>
    <row r="26" spans="2:36" ht="15" hidden="1" customHeight="1" thickBot="1">
      <c r="F26" s="634" t="s">
        <v>2207</v>
      </c>
      <c r="G26" s="634" t="s">
        <v>2207</v>
      </c>
      <c r="R26" t="s">
        <v>2207</v>
      </c>
      <c r="S26" s="634" t="s">
        <v>2207</v>
      </c>
      <c r="Z26" t="s">
        <v>2207</v>
      </c>
      <c r="AA26" t="s">
        <v>2207</v>
      </c>
      <c r="AH26" t="s">
        <v>2207</v>
      </c>
      <c r="AI26" t="s">
        <v>2207</v>
      </c>
    </row>
    <row r="27" spans="2:36" ht="15" hidden="1" customHeight="1" thickTop="1">
      <c r="C27" t="s">
        <v>2233</v>
      </c>
      <c r="O27" t="s">
        <v>2233</v>
      </c>
      <c r="W27" t="s">
        <v>2233</v>
      </c>
      <c r="AE27" t="s">
        <v>2233</v>
      </c>
    </row>
    <row r="28" spans="2:36" ht="15" hidden="1" customHeight="1">
      <c r="B28">
        <v>1</v>
      </c>
      <c r="C28" t="s">
        <v>2234</v>
      </c>
      <c r="N28">
        <v>1</v>
      </c>
      <c r="O28" t="s">
        <v>2234</v>
      </c>
      <c r="V28">
        <v>1</v>
      </c>
      <c r="W28" t="s">
        <v>2234</v>
      </c>
      <c r="AD28">
        <v>1</v>
      </c>
      <c r="AE28" t="s">
        <v>2234</v>
      </c>
    </row>
    <row r="29" spans="2:36" ht="15" hidden="1" customHeight="1">
      <c r="B29" t="s">
        <v>721</v>
      </c>
      <c r="C29" t="s">
        <v>2235</v>
      </c>
      <c r="D29" t="s">
        <v>2236</v>
      </c>
      <c r="E29" t="e">
        <f>#REF!</f>
        <v>#REF!</v>
      </c>
      <c r="F29" s="634">
        <v>95400</v>
      </c>
      <c r="G29" s="634" t="e">
        <f>E29*F29</f>
        <v>#REF!</v>
      </c>
      <c r="N29" t="s">
        <v>721</v>
      </c>
      <c r="O29" t="s">
        <v>2235</v>
      </c>
      <c r="P29" t="str">
        <f>$D$29</f>
        <v>m³</v>
      </c>
      <c r="Q29" t="e">
        <f>#REF!</f>
        <v>#REF!</v>
      </c>
      <c r="R29">
        <f>$F$29</f>
        <v>95400</v>
      </c>
      <c r="S29" s="634" t="e">
        <f>Q29*R29</f>
        <v>#REF!</v>
      </c>
      <c r="V29" t="s">
        <v>721</v>
      </c>
      <c r="W29" t="s">
        <v>2235</v>
      </c>
      <c r="X29" t="str">
        <f>$D$29</f>
        <v>m³</v>
      </c>
      <c r="Y29" t="e">
        <f>#REF!</f>
        <v>#REF!</v>
      </c>
      <c r="Z29">
        <f>$F$29</f>
        <v>95400</v>
      </c>
      <c r="AA29" t="e">
        <f>Y29*Z29</f>
        <v>#REF!</v>
      </c>
      <c r="AD29" t="s">
        <v>721</v>
      </c>
      <c r="AE29" t="s">
        <v>2235</v>
      </c>
      <c r="AF29" t="str">
        <f>$D$29</f>
        <v>m³</v>
      </c>
      <c r="AG29" t="e">
        <f>#REF!</f>
        <v>#REF!</v>
      </c>
      <c r="AH29">
        <f>$F$29</f>
        <v>95400</v>
      </c>
      <c r="AI29" t="e">
        <f>AG29*AH29</f>
        <v>#REF!</v>
      </c>
    </row>
    <row r="30" spans="2:36" ht="15" hidden="1" customHeight="1">
      <c r="B30" t="s">
        <v>2166</v>
      </c>
      <c r="C30" t="s">
        <v>2237</v>
      </c>
      <c r="D30" t="s">
        <v>2236</v>
      </c>
      <c r="E30" t="e">
        <f>#REF!</f>
        <v>#REF!</v>
      </c>
      <c r="F30" s="634">
        <v>37680</v>
      </c>
      <c r="G30" s="634" t="e">
        <f>E30*F30</f>
        <v>#REF!</v>
      </c>
      <c r="N30" t="s">
        <v>2166</v>
      </c>
      <c r="O30" t="s">
        <v>2237</v>
      </c>
      <c r="P30" t="str">
        <f>$D$30</f>
        <v>m³</v>
      </c>
      <c r="Q30" t="e">
        <f>#REF!</f>
        <v>#REF!</v>
      </c>
      <c r="R30">
        <f>$F$30</f>
        <v>37680</v>
      </c>
      <c r="S30" s="634" t="e">
        <f>Q30*R30</f>
        <v>#REF!</v>
      </c>
      <c r="V30" t="s">
        <v>2166</v>
      </c>
      <c r="W30" t="s">
        <v>2237</v>
      </c>
      <c r="X30" t="str">
        <f>$D$30</f>
        <v>m³</v>
      </c>
      <c r="Y30" t="e">
        <f>#REF!</f>
        <v>#REF!</v>
      </c>
      <c r="Z30">
        <f>$F$30</f>
        <v>37680</v>
      </c>
      <c r="AA30" t="e">
        <f>Y30*Z30</f>
        <v>#REF!</v>
      </c>
      <c r="AD30" t="s">
        <v>2166</v>
      </c>
      <c r="AE30" t="s">
        <v>2237</v>
      </c>
      <c r="AF30" t="str">
        <f>$D$30</f>
        <v>m³</v>
      </c>
      <c r="AG30" t="e">
        <f>#REF!</f>
        <v>#REF!</v>
      </c>
      <c r="AH30">
        <f>$F$30</f>
        <v>37680</v>
      </c>
      <c r="AI30" t="e">
        <f>AG30*AH30</f>
        <v>#REF!</v>
      </c>
    </row>
    <row r="31" spans="2:36" ht="15" hidden="1" customHeight="1"/>
    <row r="32" spans="2:36" ht="15" hidden="1" customHeight="1">
      <c r="B32">
        <v>2</v>
      </c>
      <c r="C32" t="s">
        <v>2238</v>
      </c>
      <c r="H32" t="s">
        <v>2239</v>
      </c>
      <c r="N32">
        <v>2</v>
      </c>
      <c r="O32" t="s">
        <v>2238</v>
      </c>
      <c r="T32" t="s">
        <v>2239</v>
      </c>
      <c r="V32">
        <v>2</v>
      </c>
      <c r="W32" t="s">
        <v>2238</v>
      </c>
      <c r="AB32" t="s">
        <v>2239</v>
      </c>
      <c r="AD32">
        <v>2</v>
      </c>
      <c r="AE32" t="s">
        <v>2238</v>
      </c>
      <c r="AJ32" t="s">
        <v>2239</v>
      </c>
    </row>
    <row r="33" spans="2:37" ht="15" hidden="1" customHeight="1">
      <c r="B33" t="s">
        <v>721</v>
      </c>
      <c r="C33" t="s">
        <v>2240</v>
      </c>
      <c r="D33" t="s">
        <v>2236</v>
      </c>
      <c r="E33" t="e">
        <f>#REF!</f>
        <v>#REF!</v>
      </c>
      <c r="F33" s="634">
        <v>168600</v>
      </c>
      <c r="G33" s="634" t="e">
        <f t="shared" ref="G33:G38" si="0">E33*F33</f>
        <v>#REF!</v>
      </c>
      <c r="H33">
        <v>1400</v>
      </c>
      <c r="I33" t="e">
        <f t="shared" ref="I33:I38" si="1">E33*H33</f>
        <v>#REF!</v>
      </c>
      <c r="N33" t="s">
        <v>721</v>
      </c>
      <c r="O33" t="s">
        <v>2240</v>
      </c>
      <c r="P33" t="str">
        <f>$D$33</f>
        <v>m³</v>
      </c>
      <c r="Q33" t="e">
        <f>#REF!</f>
        <v>#REF!</v>
      </c>
      <c r="R33">
        <f>$F$33</f>
        <v>168600</v>
      </c>
      <c r="S33" s="634" t="e">
        <f t="shared" ref="S33:S38" si="2">Q33*R33</f>
        <v>#REF!</v>
      </c>
      <c r="T33">
        <v>1400</v>
      </c>
      <c r="U33" t="e">
        <f t="shared" ref="U33:U38" si="3">Q33*T33</f>
        <v>#REF!</v>
      </c>
      <c r="V33" t="s">
        <v>721</v>
      </c>
      <c r="W33" t="s">
        <v>2240</v>
      </c>
      <c r="X33" t="str">
        <f>$D$33</f>
        <v>m³</v>
      </c>
      <c r="Y33" t="e">
        <f>#REF!</f>
        <v>#REF!</v>
      </c>
      <c r="Z33">
        <f>$F$33</f>
        <v>168600</v>
      </c>
      <c r="AA33" t="e">
        <f t="shared" ref="AA33:AA38" si="4">Y33*Z33</f>
        <v>#REF!</v>
      </c>
      <c r="AB33">
        <v>1400</v>
      </c>
      <c r="AC33" t="e">
        <f t="shared" ref="AC33:AC38" si="5">Y33*AB33</f>
        <v>#REF!</v>
      </c>
      <c r="AD33" t="s">
        <v>721</v>
      </c>
      <c r="AE33" t="s">
        <v>2240</v>
      </c>
      <c r="AF33" t="str">
        <f>$D$33</f>
        <v>m³</v>
      </c>
      <c r="AG33" t="e">
        <f>#REF!</f>
        <v>#REF!</v>
      </c>
      <c r="AH33">
        <f>$F$33</f>
        <v>168600</v>
      </c>
      <c r="AI33" t="e">
        <f t="shared" ref="AI33:AI38" si="6">AG33*AH33</f>
        <v>#REF!</v>
      </c>
      <c r="AJ33">
        <v>1400</v>
      </c>
      <c r="AK33" t="e">
        <f t="shared" ref="AK33:AK38" si="7">AG33*AJ33</f>
        <v>#REF!</v>
      </c>
    </row>
    <row r="34" spans="2:37" ht="15" hidden="1" customHeight="1">
      <c r="B34" t="s">
        <v>2166</v>
      </c>
      <c r="C34" t="s">
        <v>2241</v>
      </c>
      <c r="D34" t="s">
        <v>2236</v>
      </c>
      <c r="E34" t="e">
        <f>#REF!</f>
        <v>#REF!</v>
      </c>
      <c r="F34" s="634">
        <v>921940</v>
      </c>
      <c r="G34" s="634" t="e">
        <f t="shared" si="0"/>
        <v>#REF!</v>
      </c>
      <c r="H34">
        <v>2200</v>
      </c>
      <c r="I34" t="e">
        <f t="shared" si="1"/>
        <v>#REF!</v>
      </c>
      <c r="N34" t="s">
        <v>2166</v>
      </c>
      <c r="O34" t="s">
        <v>2241</v>
      </c>
      <c r="P34" t="str">
        <f>$D$34</f>
        <v>m³</v>
      </c>
      <c r="Q34" t="e">
        <f>#REF!</f>
        <v>#REF!</v>
      </c>
      <c r="R34">
        <f>$F$34</f>
        <v>921940</v>
      </c>
      <c r="S34" s="634" t="e">
        <f t="shared" si="2"/>
        <v>#REF!</v>
      </c>
      <c r="T34">
        <v>2200</v>
      </c>
      <c r="U34" t="e">
        <f t="shared" si="3"/>
        <v>#REF!</v>
      </c>
      <c r="V34" t="s">
        <v>2166</v>
      </c>
      <c r="W34" t="s">
        <v>2241</v>
      </c>
      <c r="X34" t="str">
        <f>$D$34</f>
        <v>m³</v>
      </c>
      <c r="Y34" t="e">
        <f>#REF!</f>
        <v>#REF!</v>
      </c>
      <c r="Z34">
        <f>$F$34</f>
        <v>921940</v>
      </c>
      <c r="AA34" t="e">
        <f t="shared" si="4"/>
        <v>#REF!</v>
      </c>
      <c r="AB34">
        <v>2200</v>
      </c>
      <c r="AC34" t="e">
        <f t="shared" si="5"/>
        <v>#REF!</v>
      </c>
      <c r="AD34" t="s">
        <v>2166</v>
      </c>
      <c r="AE34" t="s">
        <v>2241</v>
      </c>
      <c r="AF34" t="str">
        <f>$D$34</f>
        <v>m³</v>
      </c>
      <c r="AG34" t="e">
        <f>#REF!</f>
        <v>#REF!</v>
      </c>
      <c r="AH34">
        <f>$F$34</f>
        <v>921940</v>
      </c>
      <c r="AI34" t="e">
        <f t="shared" si="6"/>
        <v>#REF!</v>
      </c>
      <c r="AJ34">
        <v>2200</v>
      </c>
      <c r="AK34" t="e">
        <f t="shared" si="7"/>
        <v>#REF!</v>
      </c>
    </row>
    <row r="35" spans="2:37" ht="15" hidden="1" customHeight="1">
      <c r="B35" t="s">
        <v>2168</v>
      </c>
      <c r="C35" t="s">
        <v>2242</v>
      </c>
      <c r="D35" t="s">
        <v>2236</v>
      </c>
      <c r="E35" t="e">
        <f>#REF!</f>
        <v>#REF!</v>
      </c>
      <c r="F35" s="634">
        <v>984570</v>
      </c>
      <c r="G35" s="634" t="e">
        <f t="shared" si="0"/>
        <v>#REF!</v>
      </c>
      <c r="H35">
        <v>2400</v>
      </c>
      <c r="I35" t="e">
        <f t="shared" si="1"/>
        <v>#REF!</v>
      </c>
      <c r="N35" t="s">
        <v>2168</v>
      </c>
      <c r="O35" t="s">
        <v>2242</v>
      </c>
      <c r="P35" t="str">
        <f>$D$35</f>
        <v>m³</v>
      </c>
      <c r="Q35" t="e">
        <f>#REF!</f>
        <v>#REF!</v>
      </c>
      <c r="R35">
        <f>$F$35</f>
        <v>984570</v>
      </c>
      <c r="S35" s="634" t="e">
        <f t="shared" si="2"/>
        <v>#REF!</v>
      </c>
      <c r="T35">
        <v>2400</v>
      </c>
      <c r="U35" t="e">
        <f t="shared" si="3"/>
        <v>#REF!</v>
      </c>
      <c r="V35" t="s">
        <v>2168</v>
      </c>
      <c r="W35" t="s">
        <v>2242</v>
      </c>
      <c r="X35" t="str">
        <f>$D$35</f>
        <v>m³</v>
      </c>
      <c r="Y35" t="e">
        <f>#REF!</f>
        <v>#REF!</v>
      </c>
      <c r="Z35">
        <f>$F$35</f>
        <v>984570</v>
      </c>
      <c r="AA35" t="e">
        <f t="shared" si="4"/>
        <v>#REF!</v>
      </c>
      <c r="AB35">
        <v>2400</v>
      </c>
      <c r="AC35" t="e">
        <f t="shared" si="5"/>
        <v>#REF!</v>
      </c>
      <c r="AD35" t="s">
        <v>2168</v>
      </c>
      <c r="AE35" t="s">
        <v>2242</v>
      </c>
      <c r="AF35" t="str">
        <f>$D$35</f>
        <v>m³</v>
      </c>
      <c r="AG35" t="e">
        <f>#REF!</f>
        <v>#REF!</v>
      </c>
      <c r="AH35">
        <f>$F$35</f>
        <v>984570</v>
      </c>
      <c r="AI35" t="e">
        <f t="shared" si="6"/>
        <v>#REF!</v>
      </c>
      <c r="AJ35">
        <v>2400</v>
      </c>
      <c r="AK35" t="e">
        <f t="shared" si="7"/>
        <v>#REF!</v>
      </c>
    </row>
    <row r="36" spans="2:37" ht="15" hidden="1" customHeight="1">
      <c r="B36" t="s">
        <v>2170</v>
      </c>
      <c r="C36" t="s">
        <v>2243</v>
      </c>
      <c r="D36" t="s">
        <v>1</v>
      </c>
      <c r="E36" t="e">
        <f>#REF!</f>
        <v>#REF!</v>
      </c>
      <c r="F36" s="634">
        <v>21480</v>
      </c>
      <c r="G36" s="634" t="e">
        <f t="shared" si="0"/>
        <v>#REF!</v>
      </c>
      <c r="H36">
        <v>1</v>
      </c>
      <c r="I36" t="e">
        <f t="shared" si="1"/>
        <v>#REF!</v>
      </c>
      <c r="N36" t="s">
        <v>2170</v>
      </c>
      <c r="O36" t="s">
        <v>2243</v>
      </c>
      <c r="P36" t="str">
        <f>$D$36</f>
        <v>kg</v>
      </c>
      <c r="Q36" t="e">
        <f>#REF!</f>
        <v>#REF!</v>
      </c>
      <c r="R36">
        <f>$F$36</f>
        <v>21480</v>
      </c>
      <c r="S36" s="634" t="e">
        <f t="shared" si="2"/>
        <v>#REF!</v>
      </c>
      <c r="T36">
        <v>1</v>
      </c>
      <c r="U36" t="e">
        <f t="shared" si="3"/>
        <v>#REF!</v>
      </c>
      <c r="V36" t="s">
        <v>2170</v>
      </c>
      <c r="W36" t="s">
        <v>2243</v>
      </c>
      <c r="X36" t="str">
        <f>$D$36</f>
        <v>kg</v>
      </c>
      <c r="Y36" t="e">
        <f>#REF!</f>
        <v>#REF!</v>
      </c>
      <c r="Z36">
        <f>$F$36</f>
        <v>21480</v>
      </c>
      <c r="AA36" t="e">
        <f t="shared" si="4"/>
        <v>#REF!</v>
      </c>
      <c r="AB36">
        <v>1</v>
      </c>
      <c r="AC36" t="e">
        <f t="shared" si="5"/>
        <v>#REF!</v>
      </c>
      <c r="AD36" t="s">
        <v>2170</v>
      </c>
      <c r="AE36" t="s">
        <v>2243</v>
      </c>
      <c r="AF36" t="str">
        <f>$D$36</f>
        <v>kg</v>
      </c>
      <c r="AG36" t="e">
        <f>#REF!</f>
        <v>#REF!</v>
      </c>
      <c r="AH36">
        <f>$F$36</f>
        <v>21480</v>
      </c>
      <c r="AI36" t="e">
        <f t="shared" si="6"/>
        <v>#REF!</v>
      </c>
      <c r="AJ36">
        <v>1</v>
      </c>
      <c r="AK36" t="e">
        <f t="shared" si="7"/>
        <v>#REF!</v>
      </c>
    </row>
    <row r="37" spans="2:37" ht="15" hidden="1" customHeight="1">
      <c r="B37" t="s">
        <v>2172</v>
      </c>
      <c r="C37" t="s">
        <v>2244</v>
      </c>
      <c r="D37" t="s">
        <v>2245</v>
      </c>
      <c r="E37" t="e">
        <f>#REF!</f>
        <v>#REF!</v>
      </c>
      <c r="F37" s="634">
        <v>225680</v>
      </c>
      <c r="G37" s="634" t="e">
        <f t="shared" si="0"/>
        <v>#REF!</v>
      </c>
      <c r="H37">
        <v>40</v>
      </c>
      <c r="I37" t="e">
        <f t="shared" si="1"/>
        <v>#REF!</v>
      </c>
      <c r="N37" t="s">
        <v>2172</v>
      </c>
      <c r="O37" t="s">
        <v>2244</v>
      </c>
      <c r="P37" t="str">
        <f>$D$37</f>
        <v>m²</v>
      </c>
      <c r="Q37" t="e">
        <f>#REF!</f>
        <v>#REF!</v>
      </c>
      <c r="R37">
        <f>$F$37</f>
        <v>225680</v>
      </c>
      <c r="S37" s="634" t="e">
        <f t="shared" si="2"/>
        <v>#REF!</v>
      </c>
      <c r="T37">
        <v>40</v>
      </c>
      <c r="U37" t="e">
        <f t="shared" si="3"/>
        <v>#REF!</v>
      </c>
      <c r="V37" t="s">
        <v>2172</v>
      </c>
      <c r="W37" t="s">
        <v>2244</v>
      </c>
      <c r="X37" t="str">
        <f>$D$37</f>
        <v>m²</v>
      </c>
      <c r="Y37" t="e">
        <f>#REF!</f>
        <v>#REF!</v>
      </c>
      <c r="Z37">
        <f>$F$37</f>
        <v>225680</v>
      </c>
      <c r="AA37" t="e">
        <f t="shared" si="4"/>
        <v>#REF!</v>
      </c>
      <c r="AB37">
        <v>40</v>
      </c>
      <c r="AC37" t="e">
        <f t="shared" si="5"/>
        <v>#REF!</v>
      </c>
      <c r="AD37" t="s">
        <v>2172</v>
      </c>
      <c r="AE37" t="s">
        <v>2244</v>
      </c>
      <c r="AF37" t="str">
        <f>$D$37</f>
        <v>m²</v>
      </c>
      <c r="AG37" t="e">
        <f>#REF!</f>
        <v>#REF!</v>
      </c>
      <c r="AH37">
        <f>$F$37</f>
        <v>225680</v>
      </c>
      <c r="AI37" t="e">
        <f t="shared" si="6"/>
        <v>#REF!</v>
      </c>
      <c r="AJ37">
        <v>40</v>
      </c>
      <c r="AK37" t="e">
        <f t="shared" si="7"/>
        <v>#REF!</v>
      </c>
    </row>
    <row r="38" spans="2:37" ht="15" hidden="1" customHeight="1">
      <c r="B38" t="s">
        <v>2174</v>
      </c>
      <c r="C38" t="s">
        <v>2246</v>
      </c>
      <c r="D38" t="s">
        <v>226</v>
      </c>
      <c r="E38">
        <v>4</v>
      </c>
      <c r="F38" s="634">
        <v>4005.37</v>
      </c>
      <c r="G38" s="634">
        <f t="shared" si="0"/>
        <v>16021.48</v>
      </c>
      <c r="H38">
        <v>2.5</v>
      </c>
      <c r="I38">
        <f t="shared" si="1"/>
        <v>10</v>
      </c>
      <c r="N38" t="s">
        <v>2174</v>
      </c>
      <c r="O38" t="s">
        <v>2246</v>
      </c>
      <c r="P38" t="str">
        <f>$D$38</f>
        <v>bh</v>
      </c>
      <c r="Q38">
        <v>4</v>
      </c>
      <c r="R38">
        <f>$F$38</f>
        <v>4005.37</v>
      </c>
      <c r="S38" s="634">
        <f t="shared" si="2"/>
        <v>16021.48</v>
      </c>
      <c r="T38">
        <v>2.5</v>
      </c>
      <c r="U38">
        <f t="shared" si="3"/>
        <v>10</v>
      </c>
      <c r="V38" t="s">
        <v>2174</v>
      </c>
      <c r="W38" t="s">
        <v>2246</v>
      </c>
      <c r="X38" t="str">
        <f>$D$38</f>
        <v>bh</v>
      </c>
      <c r="Y38">
        <v>4</v>
      </c>
      <c r="Z38">
        <f>$F$38</f>
        <v>4005.37</v>
      </c>
      <c r="AA38">
        <f t="shared" si="4"/>
        <v>16021.48</v>
      </c>
      <c r="AB38">
        <v>2.5</v>
      </c>
      <c r="AC38">
        <f t="shared" si="5"/>
        <v>10</v>
      </c>
      <c r="AD38" t="s">
        <v>2174</v>
      </c>
      <c r="AE38" t="s">
        <v>2246</v>
      </c>
      <c r="AF38" t="str">
        <f>$D$38</f>
        <v>bh</v>
      </c>
      <c r="AG38">
        <v>4</v>
      </c>
      <c r="AH38">
        <f>$F$38</f>
        <v>4005.37</v>
      </c>
      <c r="AI38">
        <f t="shared" si="6"/>
        <v>16021.48</v>
      </c>
      <c r="AJ38">
        <v>2.5</v>
      </c>
      <c r="AK38">
        <f t="shared" si="7"/>
        <v>10</v>
      </c>
    </row>
    <row r="39" spans="2:37" ht="15" hidden="1" customHeight="1">
      <c r="I39" t="e">
        <f>SUM(I33:I38)</f>
        <v>#REF!</v>
      </c>
      <c r="U39" t="e">
        <f>SUM(U33:U38)</f>
        <v>#REF!</v>
      </c>
      <c r="AC39" t="e">
        <f>SUM(AC33:AC38)</f>
        <v>#REF!</v>
      </c>
      <c r="AK39" t="e">
        <f>SUM(AK33:AK38)</f>
        <v>#REF!</v>
      </c>
    </row>
    <row r="40" spans="2:37" ht="15" hidden="1" customHeight="1">
      <c r="B40">
        <v>3</v>
      </c>
      <c r="C40" t="s">
        <v>2086</v>
      </c>
      <c r="N40">
        <v>3</v>
      </c>
      <c r="O40" t="s">
        <v>2086</v>
      </c>
      <c r="V40">
        <v>3</v>
      </c>
      <c r="W40" t="s">
        <v>2086</v>
      </c>
      <c r="AD40">
        <v>3</v>
      </c>
      <c r="AE40" t="s">
        <v>2086</v>
      </c>
    </row>
    <row r="41" spans="2:37" ht="15" hidden="1" customHeight="1">
      <c r="B41" t="s">
        <v>721</v>
      </c>
      <c r="C41" t="s">
        <v>2247</v>
      </c>
      <c r="D41" t="s">
        <v>226</v>
      </c>
      <c r="E41">
        <v>4</v>
      </c>
      <c r="F41" s="634">
        <v>75838.842142857146</v>
      </c>
      <c r="G41" s="634">
        <f t="shared" ref="G41:G46" si="8">E41*F41</f>
        <v>303355.36857142858</v>
      </c>
      <c r="N41" t="s">
        <v>721</v>
      </c>
      <c r="O41" t="s">
        <v>2247</v>
      </c>
      <c r="P41" t="str">
        <f>$D$41</f>
        <v>bh</v>
      </c>
      <c r="Q41">
        <v>4</v>
      </c>
      <c r="R41">
        <f>$F$41</f>
        <v>75838.842142857146</v>
      </c>
      <c r="S41" s="634">
        <f t="shared" ref="S41:S46" si="9">Q41*R41</f>
        <v>303355.36857142858</v>
      </c>
      <c r="V41" t="s">
        <v>721</v>
      </c>
      <c r="W41" t="s">
        <v>2247</v>
      </c>
      <c r="X41" t="str">
        <f>$D$41</f>
        <v>bh</v>
      </c>
      <c r="Y41">
        <v>4</v>
      </c>
      <c r="Z41">
        <f>$F$41</f>
        <v>75838.842142857146</v>
      </c>
      <c r="AA41">
        <f t="shared" ref="AA41:AA46" si="10">Y41*Z41</f>
        <v>303355.36857142858</v>
      </c>
      <c r="AD41" t="s">
        <v>721</v>
      </c>
      <c r="AE41" t="s">
        <v>2247</v>
      </c>
      <c r="AF41" t="str">
        <f>$D$41</f>
        <v>bh</v>
      </c>
      <c r="AG41">
        <v>4</v>
      </c>
      <c r="AH41">
        <f>$F$41</f>
        <v>75838.842142857146</v>
      </c>
      <c r="AI41">
        <f t="shared" ref="AI41:AI46" si="11">AG41*AH41</f>
        <v>303355.36857142858</v>
      </c>
    </row>
    <row r="42" spans="2:37" ht="15" hidden="1" customHeight="1">
      <c r="B42" t="s">
        <v>2166</v>
      </c>
      <c r="C42" t="s">
        <v>2085</v>
      </c>
      <c r="D42" t="s">
        <v>1</v>
      </c>
      <c r="E42" t="e">
        <f>I39</f>
        <v>#REF!</v>
      </c>
      <c r="F42" s="634">
        <v>312.5</v>
      </c>
      <c r="G42" s="634" t="e">
        <f t="shared" si="8"/>
        <v>#REF!</v>
      </c>
      <c r="N42" t="s">
        <v>2166</v>
      </c>
      <c r="O42" t="s">
        <v>2085</v>
      </c>
      <c r="P42" t="str">
        <f>$D$42</f>
        <v>kg</v>
      </c>
      <c r="Q42" t="e">
        <f>U39</f>
        <v>#REF!</v>
      </c>
      <c r="R42">
        <f>$F$42</f>
        <v>312.5</v>
      </c>
      <c r="S42" s="634" t="e">
        <f t="shared" si="9"/>
        <v>#REF!</v>
      </c>
      <c r="V42" t="s">
        <v>2166</v>
      </c>
      <c r="W42" t="s">
        <v>2085</v>
      </c>
      <c r="X42" t="str">
        <f>$D$42</f>
        <v>kg</v>
      </c>
      <c r="Y42" t="e">
        <f>AC39</f>
        <v>#REF!</v>
      </c>
      <c r="Z42">
        <f>$F$42</f>
        <v>312.5</v>
      </c>
      <c r="AA42" t="e">
        <f t="shared" si="10"/>
        <v>#REF!</v>
      </c>
      <c r="AD42" t="s">
        <v>2166</v>
      </c>
      <c r="AE42" t="s">
        <v>2085</v>
      </c>
      <c r="AF42" t="str">
        <f>$D$42</f>
        <v>kg</v>
      </c>
      <c r="AG42" t="e">
        <f>AK39</f>
        <v>#REF!</v>
      </c>
      <c r="AH42">
        <f>$F$42</f>
        <v>312.5</v>
      </c>
      <c r="AI42" t="e">
        <f t="shared" si="11"/>
        <v>#REF!</v>
      </c>
    </row>
    <row r="43" spans="2:37" ht="15" hidden="1" customHeight="1">
      <c r="B43" t="s">
        <v>2168</v>
      </c>
      <c r="C43" t="s">
        <v>2248</v>
      </c>
      <c r="D43" t="s">
        <v>226</v>
      </c>
      <c r="E43">
        <v>4</v>
      </c>
      <c r="F43" s="634">
        <v>47994.804749999996</v>
      </c>
      <c r="G43" s="634">
        <f t="shared" si="8"/>
        <v>191979.21899999998</v>
      </c>
      <c r="N43" t="s">
        <v>2168</v>
      </c>
      <c r="O43" t="s">
        <v>2249</v>
      </c>
      <c r="P43" t="str">
        <f>$D$43</f>
        <v>bh</v>
      </c>
      <c r="Q43">
        <v>4</v>
      </c>
      <c r="R43">
        <f>$F$43</f>
        <v>47994.804749999996</v>
      </c>
      <c r="S43" s="634">
        <f t="shared" si="9"/>
        <v>191979.21899999998</v>
      </c>
      <c r="V43" t="s">
        <v>2168</v>
      </c>
      <c r="W43" t="s">
        <v>2249</v>
      </c>
      <c r="X43" t="str">
        <f>$D$43</f>
        <v>bh</v>
      </c>
      <c r="Y43">
        <v>4</v>
      </c>
      <c r="Z43">
        <f>$F$43</f>
        <v>47994.804749999996</v>
      </c>
      <c r="AA43">
        <f t="shared" si="10"/>
        <v>191979.21899999998</v>
      </c>
      <c r="AD43" t="s">
        <v>2168</v>
      </c>
      <c r="AE43" t="s">
        <v>2249</v>
      </c>
      <c r="AF43" t="str">
        <f>$D$43</f>
        <v>bh</v>
      </c>
      <c r="AG43">
        <v>4</v>
      </c>
      <c r="AH43">
        <f>$F$43</f>
        <v>47994.804749999996</v>
      </c>
      <c r="AI43">
        <f t="shared" si="11"/>
        <v>191979.21899999998</v>
      </c>
    </row>
    <row r="44" spans="2:37" ht="15" hidden="1" customHeight="1">
      <c r="B44" t="s">
        <v>2170</v>
      </c>
      <c r="C44" t="s">
        <v>2250</v>
      </c>
      <c r="D44" t="s">
        <v>74</v>
      </c>
      <c r="E44">
        <v>1</v>
      </c>
      <c r="F44" s="634">
        <v>382862.9</v>
      </c>
      <c r="G44" s="634">
        <f t="shared" si="8"/>
        <v>382862.9</v>
      </c>
      <c r="N44" t="s">
        <v>2170</v>
      </c>
      <c r="O44" t="s">
        <v>2250</v>
      </c>
      <c r="P44" t="str">
        <f>$D$44</f>
        <v>Ls</v>
      </c>
      <c r="Q44">
        <v>360</v>
      </c>
      <c r="R44">
        <f>$F$44</f>
        <v>382862.9</v>
      </c>
      <c r="S44" s="634">
        <f t="shared" si="9"/>
        <v>137830644</v>
      </c>
      <c r="V44" t="s">
        <v>2170</v>
      </c>
      <c r="W44" t="s">
        <v>2250</v>
      </c>
      <c r="X44" t="str">
        <f>$D$44</f>
        <v>Ls</v>
      </c>
      <c r="Y44">
        <f>'[53]Volume Tower'!$E$104</f>
        <v>440</v>
      </c>
      <c r="Z44">
        <f>$F$44</f>
        <v>382862.9</v>
      </c>
      <c r="AA44">
        <f t="shared" si="10"/>
        <v>168459676</v>
      </c>
      <c r="AD44" t="s">
        <v>2170</v>
      </c>
      <c r="AE44" t="s">
        <v>2250</v>
      </c>
      <c r="AF44" t="str">
        <f>$D$44</f>
        <v>Ls</v>
      </c>
      <c r="AG44">
        <f>'[53]Volume Tower'!$E$112</f>
        <v>503</v>
      </c>
      <c r="AH44">
        <f>$F$44</f>
        <v>382862.9</v>
      </c>
      <c r="AI44">
        <f t="shared" si="11"/>
        <v>192580038.70000002</v>
      </c>
    </row>
    <row r="45" spans="2:37" ht="15" hidden="1" customHeight="1">
      <c r="B45" t="s">
        <v>2172</v>
      </c>
      <c r="C45" t="s">
        <v>2251</v>
      </c>
      <c r="D45" t="s">
        <v>455</v>
      </c>
      <c r="E45">
        <v>1</v>
      </c>
      <c r="F45" s="634">
        <v>1307000</v>
      </c>
      <c r="G45" s="634">
        <f t="shared" si="8"/>
        <v>1307000</v>
      </c>
      <c r="N45" t="s">
        <v>2172</v>
      </c>
      <c r="O45" t="s">
        <v>2251</v>
      </c>
      <c r="P45" t="str">
        <f>$D$45</f>
        <v>set</v>
      </c>
      <c r="Q45">
        <v>1</v>
      </c>
      <c r="R45">
        <f>$F$45</f>
        <v>1307000</v>
      </c>
      <c r="S45" s="634">
        <f t="shared" si="9"/>
        <v>1307000</v>
      </c>
      <c r="V45" t="s">
        <v>2172</v>
      </c>
      <c r="W45" t="s">
        <v>2251</v>
      </c>
      <c r="X45" t="str">
        <f>$D$45</f>
        <v>set</v>
      </c>
      <c r="Y45">
        <v>1</v>
      </c>
      <c r="Z45">
        <f>$F$45</f>
        <v>1307000</v>
      </c>
      <c r="AA45">
        <f t="shared" si="10"/>
        <v>1307000</v>
      </c>
      <c r="AD45" t="s">
        <v>2172</v>
      </c>
      <c r="AE45" t="s">
        <v>2251</v>
      </c>
      <c r="AF45" t="str">
        <f>$D$45</f>
        <v>set</v>
      </c>
      <c r="AG45">
        <v>1</v>
      </c>
      <c r="AH45">
        <f>$F$45</f>
        <v>1307000</v>
      </c>
      <c r="AI45">
        <f t="shared" si="11"/>
        <v>1307000</v>
      </c>
    </row>
    <row r="46" spans="2:37" ht="15" hidden="1" customHeight="1">
      <c r="B46" t="s">
        <v>2174</v>
      </c>
      <c r="C46" t="s">
        <v>2252</v>
      </c>
      <c r="D46" t="s">
        <v>455</v>
      </c>
      <c r="E46">
        <v>1</v>
      </c>
      <c r="F46" s="634">
        <v>300000</v>
      </c>
      <c r="G46" s="634">
        <f t="shared" si="8"/>
        <v>300000</v>
      </c>
      <c r="N46" t="s">
        <v>2174</v>
      </c>
      <c r="O46" t="s">
        <v>2252</v>
      </c>
      <c r="P46" t="str">
        <f>$D$46</f>
        <v>set</v>
      </c>
      <c r="Q46">
        <v>1</v>
      </c>
      <c r="R46">
        <f>$F$46</f>
        <v>300000</v>
      </c>
      <c r="S46" s="634">
        <f t="shared" si="9"/>
        <v>300000</v>
      </c>
      <c r="V46" t="s">
        <v>2174</v>
      </c>
      <c r="W46" t="s">
        <v>2252</v>
      </c>
      <c r="X46" t="str">
        <f>$D$46</f>
        <v>set</v>
      </c>
      <c r="Y46">
        <v>1</v>
      </c>
      <c r="Z46">
        <f>$F$46</f>
        <v>300000</v>
      </c>
      <c r="AA46">
        <f t="shared" si="10"/>
        <v>300000</v>
      </c>
      <c r="AD46" t="s">
        <v>2174</v>
      </c>
      <c r="AE46" t="s">
        <v>2252</v>
      </c>
      <c r="AF46" t="str">
        <f>$D$46</f>
        <v>set</v>
      </c>
      <c r="AG46">
        <v>1</v>
      </c>
      <c r="AH46">
        <f>$F$46</f>
        <v>300000</v>
      </c>
      <c r="AI46">
        <f t="shared" si="11"/>
        <v>300000</v>
      </c>
    </row>
    <row r="47" spans="2:37" ht="15" hidden="1" customHeight="1" thickBot="1">
      <c r="C47" s="1041" t="s">
        <v>2253</v>
      </c>
      <c r="D47" s="1041"/>
      <c r="E47" s="1041"/>
      <c r="F47" s="1041"/>
      <c r="G47" s="634" t="e">
        <f>SUM(G29:G46)</f>
        <v>#REF!</v>
      </c>
      <c r="O47" s="1041" t="s">
        <v>2253</v>
      </c>
      <c r="P47" s="1041"/>
      <c r="Q47" s="1041"/>
      <c r="R47" s="1041"/>
      <c r="S47" s="634" t="e">
        <f>SUM(S29:S46)</f>
        <v>#REF!</v>
      </c>
      <c r="W47" s="1041" t="s">
        <v>2253</v>
      </c>
      <c r="X47" s="1041"/>
      <c r="Y47" s="1041"/>
      <c r="Z47" s="1041"/>
      <c r="AA47" t="e">
        <f>SUM(AA29:AA46)</f>
        <v>#REF!</v>
      </c>
      <c r="AE47" s="1041" t="s">
        <v>2253</v>
      </c>
      <c r="AF47" s="1041"/>
      <c r="AG47" s="1041"/>
      <c r="AH47" s="1041"/>
      <c r="AI47" t="e">
        <f>SUM(AI29:AI46)</f>
        <v>#REF!</v>
      </c>
    </row>
    <row r="48" spans="2:37" ht="15" hidden="1" customHeight="1" thickBot="1"/>
    <row r="49" spans="2:37" ht="15" hidden="1" customHeight="1" thickBot="1">
      <c r="B49" t="s">
        <v>2229</v>
      </c>
      <c r="N49" t="s">
        <v>2230</v>
      </c>
      <c r="V49" t="s">
        <v>2231</v>
      </c>
      <c r="AD49" t="s">
        <v>2254</v>
      </c>
    </row>
    <row r="50" spans="2:37" ht="15" hidden="1" customHeight="1">
      <c r="C50" t="s">
        <v>2255</v>
      </c>
      <c r="O50" t="s">
        <v>2255</v>
      </c>
      <c r="W50" t="s">
        <v>2255</v>
      </c>
      <c r="AE50" t="s">
        <v>2255</v>
      </c>
    </row>
    <row r="51" spans="2:37" ht="15" hidden="1" customHeight="1">
      <c r="B51">
        <v>1</v>
      </c>
      <c r="C51" t="s">
        <v>2234</v>
      </c>
      <c r="N51">
        <v>1</v>
      </c>
      <c r="O51" t="s">
        <v>2234</v>
      </c>
      <c r="V51">
        <v>1</v>
      </c>
      <c r="W51" t="s">
        <v>2234</v>
      </c>
      <c r="AD51">
        <v>1</v>
      </c>
      <c r="AE51" t="s">
        <v>2234</v>
      </c>
    </row>
    <row r="52" spans="2:37" ht="15" hidden="1" customHeight="1">
      <c r="B52" t="s">
        <v>721</v>
      </c>
      <c r="C52" t="s">
        <v>2235</v>
      </c>
      <c r="D52" t="str">
        <f>$D$29</f>
        <v>m³</v>
      </c>
      <c r="E52" t="e">
        <f>#REF!</f>
        <v>#REF!</v>
      </c>
      <c r="F52" s="634">
        <f>$F$29</f>
        <v>95400</v>
      </c>
      <c r="G52" s="634" t="e">
        <f>E52*F52</f>
        <v>#REF!</v>
      </c>
      <c r="N52" t="s">
        <v>721</v>
      </c>
      <c r="O52" t="s">
        <v>2235</v>
      </c>
      <c r="P52" t="str">
        <f>$D$29</f>
        <v>m³</v>
      </c>
      <c r="Q52" t="e">
        <f>#REF!</f>
        <v>#REF!</v>
      </c>
      <c r="R52">
        <f>$F$29</f>
        <v>95400</v>
      </c>
      <c r="S52" s="634" t="e">
        <f>Q52*R52</f>
        <v>#REF!</v>
      </c>
      <c r="V52" t="s">
        <v>721</v>
      </c>
      <c r="W52" t="s">
        <v>2235</v>
      </c>
      <c r="X52" t="str">
        <f>$D$29</f>
        <v>m³</v>
      </c>
      <c r="Y52" t="e">
        <f>#REF!</f>
        <v>#REF!</v>
      </c>
      <c r="Z52">
        <f>$F$29</f>
        <v>95400</v>
      </c>
      <c r="AA52" t="e">
        <f>Y52*Z52</f>
        <v>#REF!</v>
      </c>
      <c r="AD52" t="s">
        <v>721</v>
      </c>
      <c r="AE52" t="s">
        <v>2235</v>
      </c>
      <c r="AF52" t="str">
        <f>$D$29</f>
        <v>m³</v>
      </c>
      <c r="AG52" t="e">
        <f>#REF!</f>
        <v>#REF!</v>
      </c>
      <c r="AH52">
        <f>$F$29</f>
        <v>95400</v>
      </c>
      <c r="AI52" t="e">
        <f>AG52*AH52</f>
        <v>#REF!</v>
      </c>
    </row>
    <row r="53" spans="2:37" ht="15" hidden="1" customHeight="1">
      <c r="B53" t="s">
        <v>2166</v>
      </c>
      <c r="C53" t="s">
        <v>2237</v>
      </c>
      <c r="D53" t="str">
        <f>$D$30</f>
        <v>m³</v>
      </c>
      <c r="E53" t="e">
        <f>#REF!</f>
        <v>#REF!</v>
      </c>
      <c r="F53" s="634">
        <f>$F$30</f>
        <v>37680</v>
      </c>
      <c r="G53" s="634" t="e">
        <f>E53*F53</f>
        <v>#REF!</v>
      </c>
      <c r="N53" t="s">
        <v>2166</v>
      </c>
      <c r="O53" t="s">
        <v>2237</v>
      </c>
      <c r="P53" t="str">
        <f>$D$30</f>
        <v>m³</v>
      </c>
      <c r="Q53" t="e">
        <f>#REF!</f>
        <v>#REF!</v>
      </c>
      <c r="R53">
        <f>$F$30</f>
        <v>37680</v>
      </c>
      <c r="S53" s="634" t="e">
        <f>Q53*R53</f>
        <v>#REF!</v>
      </c>
      <c r="V53" t="s">
        <v>2166</v>
      </c>
      <c r="W53" t="s">
        <v>2237</v>
      </c>
      <c r="X53" t="str">
        <f>$D$30</f>
        <v>m³</v>
      </c>
      <c r="Y53" t="e">
        <f>#REF!</f>
        <v>#REF!</v>
      </c>
      <c r="Z53">
        <f>$F$30</f>
        <v>37680</v>
      </c>
      <c r="AA53" t="e">
        <f>Y53*Z53</f>
        <v>#REF!</v>
      </c>
      <c r="AD53" t="s">
        <v>2166</v>
      </c>
      <c r="AE53" t="s">
        <v>2237</v>
      </c>
      <c r="AF53" t="str">
        <f>$D$30</f>
        <v>m³</v>
      </c>
      <c r="AG53" t="e">
        <f>#REF!</f>
        <v>#REF!</v>
      </c>
      <c r="AH53">
        <f>$F$30</f>
        <v>37680</v>
      </c>
      <c r="AI53" t="e">
        <f>AG53*AH53</f>
        <v>#REF!</v>
      </c>
    </row>
    <row r="54" spans="2:37" ht="15" hidden="1" customHeight="1"/>
    <row r="55" spans="2:37" ht="15" hidden="1" customHeight="1">
      <c r="B55">
        <v>2</v>
      </c>
      <c r="C55" t="s">
        <v>2238</v>
      </c>
      <c r="H55" t="s">
        <v>2239</v>
      </c>
      <c r="N55">
        <v>2</v>
      </c>
      <c r="O55" t="s">
        <v>2238</v>
      </c>
      <c r="T55" t="s">
        <v>2239</v>
      </c>
      <c r="V55">
        <v>2</v>
      </c>
      <c r="W55" t="s">
        <v>2238</v>
      </c>
      <c r="AB55" t="s">
        <v>2239</v>
      </c>
      <c r="AD55">
        <v>2</v>
      </c>
      <c r="AE55" t="s">
        <v>2238</v>
      </c>
      <c r="AJ55" t="s">
        <v>2239</v>
      </c>
    </row>
    <row r="56" spans="2:37" ht="15" hidden="1" customHeight="1">
      <c r="B56" t="s">
        <v>721</v>
      </c>
      <c r="C56" t="s">
        <v>2240</v>
      </c>
      <c r="D56" t="str">
        <f>$D$33</f>
        <v>m³</v>
      </c>
      <c r="E56" t="e">
        <f>#REF!</f>
        <v>#REF!</v>
      </c>
      <c r="F56" s="634">
        <f>$F$33</f>
        <v>168600</v>
      </c>
      <c r="G56" s="634" t="e">
        <f t="shared" ref="G56:G61" si="12">E56*F56</f>
        <v>#REF!</v>
      </c>
      <c r="H56">
        <v>1400</v>
      </c>
      <c r="I56" t="e">
        <f t="shared" ref="I56:I61" si="13">E56*H56</f>
        <v>#REF!</v>
      </c>
      <c r="N56" t="s">
        <v>721</v>
      </c>
      <c r="O56" t="s">
        <v>2240</v>
      </c>
      <c r="P56" t="str">
        <f>$D$33</f>
        <v>m³</v>
      </c>
      <c r="Q56" t="e">
        <f>#REF!</f>
        <v>#REF!</v>
      </c>
      <c r="R56">
        <f>$F$33</f>
        <v>168600</v>
      </c>
      <c r="S56" s="634" t="e">
        <f t="shared" ref="S56:S61" si="14">Q56*R56</f>
        <v>#REF!</v>
      </c>
      <c r="T56">
        <v>1400</v>
      </c>
      <c r="U56" t="e">
        <f t="shared" ref="U56:U61" si="15">Q56*T56</f>
        <v>#REF!</v>
      </c>
      <c r="V56" t="s">
        <v>721</v>
      </c>
      <c r="W56" t="s">
        <v>2240</v>
      </c>
      <c r="X56" t="str">
        <f>$D$33</f>
        <v>m³</v>
      </c>
      <c r="Y56" t="e">
        <f>#REF!</f>
        <v>#REF!</v>
      </c>
      <c r="Z56">
        <f>$F$33</f>
        <v>168600</v>
      </c>
      <c r="AA56" t="e">
        <f t="shared" ref="AA56:AA61" si="16">Y56*Z56</f>
        <v>#REF!</v>
      </c>
      <c r="AB56">
        <v>1400</v>
      </c>
      <c r="AC56" t="e">
        <f t="shared" ref="AC56:AC61" si="17">Y56*AB56</f>
        <v>#REF!</v>
      </c>
      <c r="AD56" t="s">
        <v>721</v>
      </c>
      <c r="AE56" t="s">
        <v>2240</v>
      </c>
      <c r="AF56" t="str">
        <f>$D$33</f>
        <v>m³</v>
      </c>
      <c r="AG56" t="e">
        <f>#REF!</f>
        <v>#REF!</v>
      </c>
      <c r="AH56">
        <f>$F$33</f>
        <v>168600</v>
      </c>
      <c r="AI56" t="e">
        <f t="shared" ref="AI56:AI61" si="18">AG56*AH56</f>
        <v>#REF!</v>
      </c>
      <c r="AJ56">
        <v>1400</v>
      </c>
      <c r="AK56" t="e">
        <f t="shared" ref="AK56:AK61" si="19">AG56*AJ56</f>
        <v>#REF!</v>
      </c>
    </row>
    <row r="57" spans="2:37" ht="15" hidden="1" customHeight="1">
      <c r="B57" t="s">
        <v>2166</v>
      </c>
      <c r="C57" t="s">
        <v>2241</v>
      </c>
      <c r="D57" t="str">
        <f>$D$34</f>
        <v>m³</v>
      </c>
      <c r="E57" t="e">
        <f>#REF!</f>
        <v>#REF!</v>
      </c>
      <c r="F57" s="634">
        <f>$F$34</f>
        <v>921940</v>
      </c>
      <c r="G57" s="634" t="e">
        <f t="shared" si="12"/>
        <v>#REF!</v>
      </c>
      <c r="H57">
        <v>2200</v>
      </c>
      <c r="I57" t="e">
        <f t="shared" si="13"/>
        <v>#REF!</v>
      </c>
      <c r="N57" t="s">
        <v>2166</v>
      </c>
      <c r="O57" t="s">
        <v>2241</v>
      </c>
      <c r="P57" t="str">
        <f>$D$34</f>
        <v>m³</v>
      </c>
      <c r="Q57" t="e">
        <f>#REF!</f>
        <v>#REF!</v>
      </c>
      <c r="R57">
        <f>$F$34</f>
        <v>921940</v>
      </c>
      <c r="S57" s="634" t="e">
        <f t="shared" si="14"/>
        <v>#REF!</v>
      </c>
      <c r="T57">
        <v>2200</v>
      </c>
      <c r="U57" t="e">
        <f t="shared" si="15"/>
        <v>#REF!</v>
      </c>
      <c r="V57" t="s">
        <v>2166</v>
      </c>
      <c r="W57" t="s">
        <v>2241</v>
      </c>
      <c r="X57" t="str">
        <f>$D$34</f>
        <v>m³</v>
      </c>
      <c r="Y57" t="e">
        <f>#REF!</f>
        <v>#REF!</v>
      </c>
      <c r="Z57">
        <f>$F$34</f>
        <v>921940</v>
      </c>
      <c r="AA57" t="e">
        <f t="shared" si="16"/>
        <v>#REF!</v>
      </c>
      <c r="AB57">
        <v>2200</v>
      </c>
      <c r="AC57" t="e">
        <f t="shared" si="17"/>
        <v>#REF!</v>
      </c>
      <c r="AD57" t="s">
        <v>2166</v>
      </c>
      <c r="AE57" t="s">
        <v>2241</v>
      </c>
      <c r="AF57" t="str">
        <f>$D$34</f>
        <v>m³</v>
      </c>
      <c r="AG57" t="e">
        <f>#REF!</f>
        <v>#REF!</v>
      </c>
      <c r="AH57">
        <f>$F$34</f>
        <v>921940</v>
      </c>
      <c r="AI57" t="e">
        <f t="shared" si="18"/>
        <v>#REF!</v>
      </c>
      <c r="AJ57">
        <v>2200</v>
      </c>
      <c r="AK57" t="e">
        <f t="shared" si="19"/>
        <v>#REF!</v>
      </c>
    </row>
    <row r="58" spans="2:37" ht="15" hidden="1" customHeight="1">
      <c r="B58" t="s">
        <v>2168</v>
      </c>
      <c r="C58" t="s">
        <v>2242</v>
      </c>
      <c r="D58" t="str">
        <f>$D$35</f>
        <v>m³</v>
      </c>
      <c r="E58" t="e">
        <f>#REF!</f>
        <v>#REF!</v>
      </c>
      <c r="F58" s="634">
        <f>$F$35</f>
        <v>984570</v>
      </c>
      <c r="G58" s="634" t="e">
        <f t="shared" si="12"/>
        <v>#REF!</v>
      </c>
      <c r="H58">
        <v>2400</v>
      </c>
      <c r="I58" t="e">
        <f t="shared" si="13"/>
        <v>#REF!</v>
      </c>
      <c r="N58" t="s">
        <v>2168</v>
      </c>
      <c r="O58" t="s">
        <v>2242</v>
      </c>
      <c r="P58" t="str">
        <f>$D$35</f>
        <v>m³</v>
      </c>
      <c r="Q58" t="e">
        <f>#REF!</f>
        <v>#REF!</v>
      </c>
      <c r="R58">
        <f>$F$35</f>
        <v>984570</v>
      </c>
      <c r="S58" s="634" t="e">
        <f t="shared" si="14"/>
        <v>#REF!</v>
      </c>
      <c r="T58">
        <v>2400</v>
      </c>
      <c r="U58" t="e">
        <f t="shared" si="15"/>
        <v>#REF!</v>
      </c>
      <c r="V58" t="s">
        <v>2168</v>
      </c>
      <c r="W58" t="s">
        <v>2242</v>
      </c>
      <c r="X58" t="str">
        <f>$D$35</f>
        <v>m³</v>
      </c>
      <c r="Y58" t="e">
        <f>#REF!</f>
        <v>#REF!</v>
      </c>
      <c r="Z58">
        <f>$F$35</f>
        <v>984570</v>
      </c>
      <c r="AA58" t="e">
        <f t="shared" si="16"/>
        <v>#REF!</v>
      </c>
      <c r="AB58">
        <v>2400</v>
      </c>
      <c r="AC58" t="e">
        <f t="shared" si="17"/>
        <v>#REF!</v>
      </c>
      <c r="AD58" t="s">
        <v>2168</v>
      </c>
      <c r="AE58" t="s">
        <v>2242</v>
      </c>
      <c r="AF58" t="str">
        <f>$D$35</f>
        <v>m³</v>
      </c>
      <c r="AG58" t="e">
        <f>#REF!</f>
        <v>#REF!</v>
      </c>
      <c r="AH58">
        <f>$F$35</f>
        <v>984570</v>
      </c>
      <c r="AI58" t="e">
        <f t="shared" si="18"/>
        <v>#REF!</v>
      </c>
      <c r="AJ58">
        <v>2400</v>
      </c>
      <c r="AK58" t="e">
        <f t="shared" si="19"/>
        <v>#REF!</v>
      </c>
    </row>
    <row r="59" spans="2:37" ht="15" hidden="1" customHeight="1">
      <c r="B59" t="s">
        <v>2170</v>
      </c>
      <c r="C59" t="s">
        <v>2243</v>
      </c>
      <c r="D59" t="str">
        <f>$D$36</f>
        <v>kg</v>
      </c>
      <c r="E59" t="e">
        <f>#REF!</f>
        <v>#REF!</v>
      </c>
      <c r="F59" s="634">
        <f>$F$36</f>
        <v>21480</v>
      </c>
      <c r="G59" s="634" t="e">
        <f t="shared" si="12"/>
        <v>#REF!</v>
      </c>
      <c r="H59">
        <v>1</v>
      </c>
      <c r="I59" t="e">
        <f t="shared" si="13"/>
        <v>#REF!</v>
      </c>
      <c r="N59" t="s">
        <v>2170</v>
      </c>
      <c r="O59" t="s">
        <v>2243</v>
      </c>
      <c r="P59" t="str">
        <f>$D$36</f>
        <v>kg</v>
      </c>
      <c r="Q59" t="e">
        <f>#REF!</f>
        <v>#REF!</v>
      </c>
      <c r="R59">
        <f>$F$36</f>
        <v>21480</v>
      </c>
      <c r="S59" s="634" t="e">
        <f t="shared" si="14"/>
        <v>#REF!</v>
      </c>
      <c r="T59">
        <v>1</v>
      </c>
      <c r="U59" t="e">
        <f t="shared" si="15"/>
        <v>#REF!</v>
      </c>
      <c r="V59" t="s">
        <v>2170</v>
      </c>
      <c r="W59" t="s">
        <v>2243</v>
      </c>
      <c r="X59" t="str">
        <f>$D$36</f>
        <v>kg</v>
      </c>
      <c r="Y59" t="e">
        <f>#REF!</f>
        <v>#REF!</v>
      </c>
      <c r="Z59">
        <f>$F$36</f>
        <v>21480</v>
      </c>
      <c r="AA59" t="e">
        <f t="shared" si="16"/>
        <v>#REF!</v>
      </c>
      <c r="AB59">
        <v>1</v>
      </c>
      <c r="AC59" t="e">
        <f t="shared" si="17"/>
        <v>#REF!</v>
      </c>
      <c r="AD59" t="s">
        <v>2170</v>
      </c>
      <c r="AE59" t="s">
        <v>2243</v>
      </c>
      <c r="AF59" t="str">
        <f>$D$36</f>
        <v>kg</v>
      </c>
      <c r="AG59" t="e">
        <f>#REF!</f>
        <v>#REF!</v>
      </c>
      <c r="AH59">
        <f>$F$36</f>
        <v>21480</v>
      </c>
      <c r="AI59" t="e">
        <f t="shared" si="18"/>
        <v>#REF!</v>
      </c>
      <c r="AJ59">
        <v>1</v>
      </c>
      <c r="AK59" t="e">
        <f t="shared" si="19"/>
        <v>#REF!</v>
      </c>
    </row>
    <row r="60" spans="2:37" ht="15" hidden="1" customHeight="1">
      <c r="B60" t="s">
        <v>2172</v>
      </c>
      <c r="C60" t="s">
        <v>2244</v>
      </c>
      <c r="D60" t="str">
        <f>$D$37</f>
        <v>m²</v>
      </c>
      <c r="E60" t="e">
        <f>#REF!</f>
        <v>#REF!</v>
      </c>
      <c r="F60" s="634">
        <f>$F$37</f>
        <v>225680</v>
      </c>
      <c r="G60" s="634" t="e">
        <f t="shared" si="12"/>
        <v>#REF!</v>
      </c>
      <c r="H60">
        <v>40</v>
      </c>
      <c r="I60" t="e">
        <f t="shared" si="13"/>
        <v>#REF!</v>
      </c>
      <c r="N60" t="s">
        <v>2172</v>
      </c>
      <c r="O60" t="s">
        <v>2244</v>
      </c>
      <c r="P60" t="str">
        <f>$D$37</f>
        <v>m²</v>
      </c>
      <c r="Q60" t="e">
        <f>#REF!</f>
        <v>#REF!</v>
      </c>
      <c r="R60">
        <f>$F$37</f>
        <v>225680</v>
      </c>
      <c r="S60" s="634" t="e">
        <f t="shared" si="14"/>
        <v>#REF!</v>
      </c>
      <c r="T60">
        <v>40</v>
      </c>
      <c r="U60" t="e">
        <f t="shared" si="15"/>
        <v>#REF!</v>
      </c>
      <c r="V60" t="s">
        <v>2172</v>
      </c>
      <c r="W60" t="s">
        <v>2244</v>
      </c>
      <c r="X60" t="str">
        <f>$D$37</f>
        <v>m²</v>
      </c>
      <c r="Y60" t="e">
        <f>#REF!</f>
        <v>#REF!</v>
      </c>
      <c r="Z60">
        <f>$F$37</f>
        <v>225680</v>
      </c>
      <c r="AA60" t="e">
        <f t="shared" si="16"/>
        <v>#REF!</v>
      </c>
      <c r="AB60">
        <v>40</v>
      </c>
      <c r="AC60" t="e">
        <f t="shared" si="17"/>
        <v>#REF!</v>
      </c>
      <c r="AD60" t="s">
        <v>2172</v>
      </c>
      <c r="AE60" t="s">
        <v>2244</v>
      </c>
      <c r="AF60" t="str">
        <f>$D$37</f>
        <v>m²</v>
      </c>
      <c r="AG60" t="e">
        <f>#REF!</f>
        <v>#REF!</v>
      </c>
      <c r="AH60">
        <f>$F$37</f>
        <v>225680</v>
      </c>
      <c r="AI60" t="e">
        <f t="shared" si="18"/>
        <v>#REF!</v>
      </c>
      <c r="AJ60">
        <v>40</v>
      </c>
      <c r="AK60" t="e">
        <f t="shared" si="19"/>
        <v>#REF!</v>
      </c>
    </row>
    <row r="61" spans="2:37" ht="15" hidden="1" customHeight="1">
      <c r="B61" t="s">
        <v>2174</v>
      </c>
      <c r="C61" t="s">
        <v>2246</v>
      </c>
      <c r="D61" t="str">
        <f>$D$38</f>
        <v>bh</v>
      </c>
      <c r="E61">
        <v>4</v>
      </c>
      <c r="F61" s="634">
        <f>$F$38</f>
        <v>4005.37</v>
      </c>
      <c r="G61" s="634">
        <f t="shared" si="12"/>
        <v>16021.48</v>
      </c>
      <c r="H61">
        <v>2.5</v>
      </c>
      <c r="I61">
        <f t="shared" si="13"/>
        <v>10</v>
      </c>
      <c r="N61" t="s">
        <v>2174</v>
      </c>
      <c r="O61" t="s">
        <v>2246</v>
      </c>
      <c r="P61" t="str">
        <f>$D$38</f>
        <v>bh</v>
      </c>
      <c r="Q61">
        <v>4</v>
      </c>
      <c r="R61">
        <f>$F$38</f>
        <v>4005.37</v>
      </c>
      <c r="S61" s="634">
        <f t="shared" si="14"/>
        <v>16021.48</v>
      </c>
      <c r="T61">
        <v>2.5</v>
      </c>
      <c r="U61">
        <f t="shared" si="15"/>
        <v>10</v>
      </c>
      <c r="V61" t="s">
        <v>2174</v>
      </c>
      <c r="W61" t="s">
        <v>2246</v>
      </c>
      <c r="X61" t="str">
        <f>$D$38</f>
        <v>bh</v>
      </c>
      <c r="Y61">
        <v>4</v>
      </c>
      <c r="Z61">
        <f>$F$38</f>
        <v>4005.37</v>
      </c>
      <c r="AA61">
        <f t="shared" si="16"/>
        <v>16021.48</v>
      </c>
      <c r="AB61">
        <v>2.5</v>
      </c>
      <c r="AC61">
        <f t="shared" si="17"/>
        <v>10</v>
      </c>
      <c r="AD61" t="s">
        <v>2174</v>
      </c>
      <c r="AE61" t="s">
        <v>2246</v>
      </c>
      <c r="AF61" t="str">
        <f>$D$38</f>
        <v>bh</v>
      </c>
      <c r="AG61">
        <v>4</v>
      </c>
      <c r="AH61">
        <f>$F$38</f>
        <v>4005.37</v>
      </c>
      <c r="AI61">
        <f t="shared" si="18"/>
        <v>16021.48</v>
      </c>
      <c r="AJ61">
        <v>2.5</v>
      </c>
      <c r="AK61">
        <f t="shared" si="19"/>
        <v>10</v>
      </c>
    </row>
    <row r="62" spans="2:37" ht="15" hidden="1" customHeight="1">
      <c r="I62" t="e">
        <f>SUM(I56:I61)</f>
        <v>#REF!</v>
      </c>
      <c r="U62" t="e">
        <f>SUM(U56:U61)</f>
        <v>#REF!</v>
      </c>
      <c r="AC62" t="e">
        <f>SUM(AC56:AC61)</f>
        <v>#REF!</v>
      </c>
      <c r="AK62" t="e">
        <f>SUM(AK56:AK61)</f>
        <v>#REF!</v>
      </c>
    </row>
    <row r="63" spans="2:37" ht="15" hidden="1" customHeight="1">
      <c r="B63">
        <v>3</v>
      </c>
      <c r="C63" t="s">
        <v>2086</v>
      </c>
      <c r="N63">
        <v>3</v>
      </c>
      <c r="O63" t="s">
        <v>2086</v>
      </c>
      <c r="V63">
        <v>3</v>
      </c>
      <c r="W63" t="s">
        <v>2086</v>
      </c>
      <c r="AD63">
        <v>3</v>
      </c>
      <c r="AE63" t="s">
        <v>2086</v>
      </c>
    </row>
    <row r="64" spans="2:37" ht="15" hidden="1" customHeight="1">
      <c r="B64" t="s">
        <v>721</v>
      </c>
      <c r="C64" t="s">
        <v>2247</v>
      </c>
      <c r="D64" t="str">
        <f>$D$41</f>
        <v>bh</v>
      </c>
      <c r="E64">
        <v>4</v>
      </c>
      <c r="F64" s="634">
        <f>$F$41</f>
        <v>75838.842142857146</v>
      </c>
      <c r="G64" s="634">
        <f t="shared" ref="G64:G69" si="20">E64*F64</f>
        <v>303355.36857142858</v>
      </c>
      <c r="N64" t="s">
        <v>721</v>
      </c>
      <c r="O64" t="s">
        <v>2247</v>
      </c>
      <c r="P64" t="str">
        <f>$D$41</f>
        <v>bh</v>
      </c>
      <c r="Q64">
        <v>4</v>
      </c>
      <c r="R64">
        <f>$F$41</f>
        <v>75838.842142857146</v>
      </c>
      <c r="S64" s="634">
        <f t="shared" ref="S64:S69" si="21">Q64*R64</f>
        <v>303355.36857142858</v>
      </c>
      <c r="V64" t="s">
        <v>721</v>
      </c>
      <c r="W64" t="s">
        <v>2247</v>
      </c>
      <c r="X64" t="str">
        <f>$D$41</f>
        <v>bh</v>
      </c>
      <c r="Y64">
        <v>4</v>
      </c>
      <c r="Z64">
        <f>$F$41</f>
        <v>75838.842142857146</v>
      </c>
      <c r="AA64">
        <f t="shared" ref="AA64:AA69" si="22">Y64*Z64</f>
        <v>303355.36857142858</v>
      </c>
      <c r="AD64" t="s">
        <v>721</v>
      </c>
      <c r="AE64" t="s">
        <v>2247</v>
      </c>
      <c r="AF64" t="str">
        <f>$D$41</f>
        <v>bh</v>
      </c>
      <c r="AG64">
        <v>4</v>
      </c>
      <c r="AH64">
        <f>$F$41</f>
        <v>75838.842142857146</v>
      </c>
      <c r="AI64">
        <f t="shared" ref="AI64:AI69" si="23">AG64*AH64</f>
        <v>303355.36857142858</v>
      </c>
    </row>
    <row r="65" spans="2:37" ht="15" hidden="1" customHeight="1">
      <c r="B65" t="s">
        <v>2166</v>
      </c>
      <c r="C65" t="s">
        <v>2085</v>
      </c>
      <c r="D65" t="str">
        <f>$D$42</f>
        <v>kg</v>
      </c>
      <c r="E65" t="e">
        <f>I62</f>
        <v>#REF!</v>
      </c>
      <c r="F65" s="634">
        <f>$F$42</f>
        <v>312.5</v>
      </c>
      <c r="G65" s="634" t="e">
        <f t="shared" si="20"/>
        <v>#REF!</v>
      </c>
      <c r="N65" t="s">
        <v>2166</v>
      </c>
      <c r="O65" t="s">
        <v>2085</v>
      </c>
      <c r="P65" t="str">
        <f>$D$42</f>
        <v>kg</v>
      </c>
      <c r="Q65" t="e">
        <f>U62</f>
        <v>#REF!</v>
      </c>
      <c r="R65">
        <f>$F$42</f>
        <v>312.5</v>
      </c>
      <c r="S65" s="634" t="e">
        <f t="shared" si="21"/>
        <v>#REF!</v>
      </c>
      <c r="V65" t="s">
        <v>2166</v>
      </c>
      <c r="W65" t="s">
        <v>2085</v>
      </c>
      <c r="X65" t="str">
        <f>$D$42</f>
        <v>kg</v>
      </c>
      <c r="Y65" t="e">
        <f>AC62</f>
        <v>#REF!</v>
      </c>
      <c r="Z65">
        <f>$F$42</f>
        <v>312.5</v>
      </c>
      <c r="AA65" t="e">
        <f t="shared" si="22"/>
        <v>#REF!</v>
      </c>
      <c r="AD65" t="s">
        <v>2166</v>
      </c>
      <c r="AE65" t="s">
        <v>2085</v>
      </c>
      <c r="AF65" t="str">
        <f>$D$42</f>
        <v>kg</v>
      </c>
      <c r="AG65" t="e">
        <f>AK62</f>
        <v>#REF!</v>
      </c>
      <c r="AH65">
        <f>$F$42</f>
        <v>312.5</v>
      </c>
      <c r="AI65" t="e">
        <f t="shared" si="23"/>
        <v>#REF!</v>
      </c>
    </row>
    <row r="66" spans="2:37" ht="15" hidden="1" customHeight="1">
      <c r="B66" t="s">
        <v>2168</v>
      </c>
      <c r="C66" t="s">
        <v>2249</v>
      </c>
      <c r="D66" t="str">
        <f>$D$43</f>
        <v>bh</v>
      </c>
      <c r="E66">
        <v>4</v>
      </c>
      <c r="F66" s="634">
        <f>$F$43</f>
        <v>47994.804749999996</v>
      </c>
      <c r="G66" s="634">
        <f t="shared" si="20"/>
        <v>191979.21899999998</v>
      </c>
      <c r="N66" t="s">
        <v>2168</v>
      </c>
      <c r="O66" t="s">
        <v>2249</v>
      </c>
      <c r="P66" t="str">
        <f>$D$43</f>
        <v>bh</v>
      </c>
      <c r="Q66">
        <v>4</v>
      </c>
      <c r="R66">
        <f>$F$43</f>
        <v>47994.804749999996</v>
      </c>
      <c r="S66" s="634">
        <f t="shared" si="21"/>
        <v>191979.21899999998</v>
      </c>
      <c r="V66" t="s">
        <v>2168</v>
      </c>
      <c r="W66" t="s">
        <v>2249</v>
      </c>
      <c r="X66" t="str">
        <f>$D$43</f>
        <v>bh</v>
      </c>
      <c r="Y66">
        <v>4</v>
      </c>
      <c r="Z66">
        <f>$F$43</f>
        <v>47994.804749999996</v>
      </c>
      <c r="AA66">
        <f t="shared" si="22"/>
        <v>191979.21899999998</v>
      </c>
      <c r="AD66" t="s">
        <v>2168</v>
      </c>
      <c r="AE66" t="s">
        <v>2249</v>
      </c>
      <c r="AF66" t="str">
        <f>$D$43</f>
        <v>bh</v>
      </c>
      <c r="AG66">
        <v>4</v>
      </c>
      <c r="AH66">
        <f>$F$43</f>
        <v>47994.804749999996</v>
      </c>
      <c r="AI66">
        <f t="shared" si="23"/>
        <v>191979.21899999998</v>
      </c>
    </row>
    <row r="67" spans="2:37" ht="15" hidden="1" customHeight="1">
      <c r="B67" t="s">
        <v>2170</v>
      </c>
      <c r="C67" t="s">
        <v>2250</v>
      </c>
      <c r="D67" t="str">
        <f>$D$44</f>
        <v>Ls</v>
      </c>
      <c r="E67">
        <f>'[53]Volume Tower'!$E$88</f>
        <v>167</v>
      </c>
      <c r="F67" s="634">
        <f>$F$44</f>
        <v>382862.9</v>
      </c>
      <c r="G67" s="634">
        <f t="shared" si="20"/>
        <v>63938104.300000004</v>
      </c>
      <c r="N67" t="s">
        <v>2170</v>
      </c>
      <c r="O67" t="s">
        <v>2250</v>
      </c>
      <c r="P67" t="str">
        <f>$D$44</f>
        <v>Ls</v>
      </c>
      <c r="Q67">
        <f>'[53]Volume Tower'!$E$96</f>
        <v>345</v>
      </c>
      <c r="R67">
        <f>$F$44</f>
        <v>382862.9</v>
      </c>
      <c r="S67" s="634">
        <f t="shared" si="21"/>
        <v>132087700.50000001</v>
      </c>
      <c r="V67" t="s">
        <v>2170</v>
      </c>
      <c r="W67" t="s">
        <v>2250</v>
      </c>
      <c r="X67" t="str">
        <f>$D$44</f>
        <v>Ls</v>
      </c>
      <c r="Y67">
        <f>'[53]Volume Tower'!$E$104</f>
        <v>440</v>
      </c>
      <c r="Z67">
        <f>$F$44</f>
        <v>382862.9</v>
      </c>
      <c r="AA67">
        <f t="shared" si="22"/>
        <v>168459676</v>
      </c>
      <c r="AD67" t="s">
        <v>2170</v>
      </c>
      <c r="AE67" t="s">
        <v>2250</v>
      </c>
      <c r="AF67" t="str">
        <f>$D$44</f>
        <v>Ls</v>
      </c>
      <c r="AG67">
        <f>'[53]Volume Tower'!$E$112</f>
        <v>503</v>
      </c>
      <c r="AH67">
        <f>$F$44</f>
        <v>382862.9</v>
      </c>
      <c r="AI67">
        <f t="shared" si="23"/>
        <v>192580038.70000002</v>
      </c>
    </row>
    <row r="68" spans="2:37" ht="15" hidden="1" customHeight="1">
      <c r="B68" t="s">
        <v>2172</v>
      </c>
      <c r="C68" t="s">
        <v>2251</v>
      </c>
      <c r="D68" t="str">
        <f>$D$45</f>
        <v>set</v>
      </c>
      <c r="E68">
        <v>1</v>
      </c>
      <c r="F68" s="634">
        <f>$F$45</f>
        <v>1307000</v>
      </c>
      <c r="G68" s="634">
        <f t="shared" si="20"/>
        <v>1307000</v>
      </c>
      <c r="N68" t="s">
        <v>2172</v>
      </c>
      <c r="O68" t="s">
        <v>2251</v>
      </c>
      <c r="P68" t="str">
        <f>$D$45</f>
        <v>set</v>
      </c>
      <c r="Q68">
        <v>1</v>
      </c>
      <c r="R68">
        <f>$F$45</f>
        <v>1307000</v>
      </c>
      <c r="S68" s="634">
        <f t="shared" si="21"/>
        <v>1307000</v>
      </c>
      <c r="V68" t="s">
        <v>2172</v>
      </c>
      <c r="W68" t="s">
        <v>2251</v>
      </c>
      <c r="X68" t="str">
        <f>$D$45</f>
        <v>set</v>
      </c>
      <c r="Y68">
        <v>1</v>
      </c>
      <c r="Z68">
        <f>$F$45</f>
        <v>1307000</v>
      </c>
      <c r="AA68">
        <f t="shared" si="22"/>
        <v>1307000</v>
      </c>
      <c r="AD68" t="s">
        <v>2172</v>
      </c>
      <c r="AE68" t="s">
        <v>2251</v>
      </c>
      <c r="AF68" t="str">
        <f>$D$45</f>
        <v>set</v>
      </c>
      <c r="AG68">
        <v>1</v>
      </c>
      <c r="AH68">
        <f>$F$45</f>
        <v>1307000</v>
      </c>
      <c r="AI68">
        <f t="shared" si="23"/>
        <v>1307000</v>
      </c>
    </row>
    <row r="69" spans="2:37" ht="15" hidden="1" customHeight="1">
      <c r="B69" t="s">
        <v>2174</v>
      </c>
      <c r="C69" t="s">
        <v>2252</v>
      </c>
      <c r="D69" t="str">
        <f>$D$46</f>
        <v>set</v>
      </c>
      <c r="E69">
        <v>1</v>
      </c>
      <c r="F69" s="634">
        <f>$F$46</f>
        <v>300000</v>
      </c>
      <c r="G69" s="634">
        <f t="shared" si="20"/>
        <v>300000</v>
      </c>
      <c r="N69" t="s">
        <v>2174</v>
      </c>
      <c r="O69" t="s">
        <v>2252</v>
      </c>
      <c r="P69" t="str">
        <f>$D$46</f>
        <v>set</v>
      </c>
      <c r="Q69">
        <v>1</v>
      </c>
      <c r="R69">
        <f>$F$46</f>
        <v>300000</v>
      </c>
      <c r="S69" s="634">
        <f t="shared" si="21"/>
        <v>300000</v>
      </c>
      <c r="V69" t="s">
        <v>2174</v>
      </c>
      <c r="W69" t="s">
        <v>2252</v>
      </c>
      <c r="X69" t="str">
        <f>$D$46</f>
        <v>set</v>
      </c>
      <c r="Y69">
        <v>1</v>
      </c>
      <c r="Z69">
        <f>$F$46</f>
        <v>300000</v>
      </c>
      <c r="AA69">
        <f t="shared" si="22"/>
        <v>300000</v>
      </c>
      <c r="AD69" t="s">
        <v>2174</v>
      </c>
      <c r="AE69" t="s">
        <v>2252</v>
      </c>
      <c r="AF69" t="str">
        <f>$D$46</f>
        <v>set</v>
      </c>
      <c r="AG69">
        <v>1</v>
      </c>
      <c r="AH69">
        <f>$F$46</f>
        <v>300000</v>
      </c>
      <c r="AI69">
        <f t="shared" si="23"/>
        <v>300000</v>
      </c>
    </row>
    <row r="70" spans="2:37" ht="15" hidden="1" customHeight="1" thickBot="1">
      <c r="C70" s="1041" t="s">
        <v>2256</v>
      </c>
      <c r="D70" s="1041"/>
      <c r="E70" s="1041"/>
      <c r="F70" s="1041"/>
      <c r="G70" s="634" t="e">
        <f>SUM(G52:G69)</f>
        <v>#REF!</v>
      </c>
      <c r="O70" s="1041" t="s">
        <v>2256</v>
      </c>
      <c r="P70" s="1041"/>
      <c r="Q70" s="1041"/>
      <c r="R70" s="1041"/>
      <c r="S70" s="634" t="e">
        <f>SUM(S52:S69)</f>
        <v>#REF!</v>
      </c>
      <c r="W70" s="1041" t="s">
        <v>2256</v>
      </c>
      <c r="X70" s="1041"/>
      <c r="Y70" s="1041"/>
      <c r="Z70" s="1041"/>
      <c r="AA70" t="e">
        <f>SUM(AA52:AA69)</f>
        <v>#REF!</v>
      </c>
      <c r="AE70" s="1041" t="s">
        <v>2256</v>
      </c>
      <c r="AF70" s="1041"/>
      <c r="AG70" s="1041"/>
      <c r="AH70" s="1041"/>
      <c r="AI70" t="e">
        <f>SUM(AI52:AI69)</f>
        <v>#REF!</v>
      </c>
    </row>
    <row r="71" spans="2:37" ht="15" hidden="1" customHeight="1" thickBot="1"/>
    <row r="72" spans="2:37" ht="15" hidden="1" customHeight="1" thickBot="1">
      <c r="B72" t="s">
        <v>2229</v>
      </c>
      <c r="N72" t="s">
        <v>2230</v>
      </c>
      <c r="V72" t="s">
        <v>2231</v>
      </c>
      <c r="AD72" t="s">
        <v>2254</v>
      </c>
    </row>
    <row r="73" spans="2:37" ht="15" hidden="1" customHeight="1">
      <c r="C73" t="s">
        <v>2257</v>
      </c>
      <c r="O73" t="s">
        <v>2257</v>
      </c>
      <c r="W73" t="s">
        <v>2257</v>
      </c>
      <c r="AE73" t="s">
        <v>2257</v>
      </c>
    </row>
    <row r="74" spans="2:37" ht="15" hidden="1" customHeight="1">
      <c r="B74">
        <v>1</v>
      </c>
      <c r="C74" t="s">
        <v>2234</v>
      </c>
      <c r="N74">
        <v>1</v>
      </c>
      <c r="O74" t="s">
        <v>2234</v>
      </c>
      <c r="V74">
        <v>1</v>
      </c>
      <c r="W74" t="s">
        <v>2234</v>
      </c>
      <c r="AD74">
        <v>1</v>
      </c>
      <c r="AE74" t="s">
        <v>2234</v>
      </c>
    </row>
    <row r="75" spans="2:37" ht="15" hidden="1" customHeight="1">
      <c r="B75" t="s">
        <v>721</v>
      </c>
      <c r="C75" t="s">
        <v>2235</v>
      </c>
      <c r="D75" t="str">
        <f>$D$29</f>
        <v>m³</v>
      </c>
      <c r="E75" t="e">
        <f>#REF!</f>
        <v>#REF!</v>
      </c>
      <c r="F75" s="634">
        <f>$F$29</f>
        <v>95400</v>
      </c>
      <c r="G75" s="634" t="e">
        <f>E75*F75</f>
        <v>#REF!</v>
      </c>
      <c r="N75" t="s">
        <v>721</v>
      </c>
      <c r="O75" t="s">
        <v>2235</v>
      </c>
      <c r="P75" t="str">
        <f>$D$29</f>
        <v>m³</v>
      </c>
      <c r="Q75" t="e">
        <f>#REF!</f>
        <v>#REF!</v>
      </c>
      <c r="R75">
        <f>$F$29</f>
        <v>95400</v>
      </c>
      <c r="S75" s="634" t="e">
        <f>Q75*R75</f>
        <v>#REF!</v>
      </c>
      <c r="V75" t="s">
        <v>721</v>
      </c>
      <c r="W75" t="s">
        <v>2235</v>
      </c>
      <c r="X75" t="str">
        <f>$D$29</f>
        <v>m³</v>
      </c>
      <c r="Y75" t="e">
        <f>#REF!</f>
        <v>#REF!</v>
      </c>
      <c r="Z75">
        <f>$F$29</f>
        <v>95400</v>
      </c>
      <c r="AA75" t="e">
        <f>Y75*Z75</f>
        <v>#REF!</v>
      </c>
      <c r="AD75" t="s">
        <v>721</v>
      </c>
      <c r="AE75" t="s">
        <v>2235</v>
      </c>
      <c r="AF75" t="str">
        <f>$D$29</f>
        <v>m³</v>
      </c>
      <c r="AG75" t="e">
        <f>#REF!</f>
        <v>#REF!</v>
      </c>
      <c r="AH75">
        <f>$F$29</f>
        <v>95400</v>
      </c>
      <c r="AI75" t="e">
        <f>AG75*AH75</f>
        <v>#REF!</v>
      </c>
    </row>
    <row r="76" spans="2:37" ht="15" hidden="1" customHeight="1">
      <c r="B76" t="s">
        <v>2166</v>
      </c>
      <c r="C76" t="s">
        <v>2237</v>
      </c>
      <c r="D76" t="str">
        <f>$D$30</f>
        <v>m³</v>
      </c>
      <c r="E76" t="e">
        <f>#REF!</f>
        <v>#REF!</v>
      </c>
      <c r="F76" s="634">
        <f>$F$30</f>
        <v>37680</v>
      </c>
      <c r="G76" s="634" t="e">
        <f>E76*F76</f>
        <v>#REF!</v>
      </c>
      <c r="N76" t="s">
        <v>2166</v>
      </c>
      <c r="O76" t="s">
        <v>2237</v>
      </c>
      <c r="P76" t="str">
        <f>$D$30</f>
        <v>m³</v>
      </c>
      <c r="Q76" t="e">
        <f>#REF!</f>
        <v>#REF!</v>
      </c>
      <c r="R76">
        <f>$F$30</f>
        <v>37680</v>
      </c>
      <c r="S76" s="634" t="e">
        <f>Q76*R76</f>
        <v>#REF!</v>
      </c>
      <c r="V76" t="s">
        <v>2166</v>
      </c>
      <c r="W76" t="s">
        <v>2237</v>
      </c>
      <c r="X76" t="str">
        <f>$D$30</f>
        <v>m³</v>
      </c>
      <c r="Y76" t="e">
        <f>#REF!</f>
        <v>#REF!</v>
      </c>
      <c r="Z76">
        <f>$F$30</f>
        <v>37680</v>
      </c>
      <c r="AA76" t="e">
        <f>Y76*Z76</f>
        <v>#REF!</v>
      </c>
      <c r="AD76" t="s">
        <v>2166</v>
      </c>
      <c r="AE76" t="s">
        <v>2237</v>
      </c>
      <c r="AF76" t="str">
        <f>$D$30</f>
        <v>m³</v>
      </c>
      <c r="AG76" t="e">
        <f>#REF!</f>
        <v>#REF!</v>
      </c>
      <c r="AH76">
        <f>$F$30</f>
        <v>37680</v>
      </c>
      <c r="AI76" t="e">
        <f>AG76*AH76</f>
        <v>#REF!</v>
      </c>
    </row>
    <row r="77" spans="2:37" ht="15" hidden="1" customHeight="1"/>
    <row r="78" spans="2:37" ht="15" hidden="1" customHeight="1">
      <c r="B78">
        <v>2</v>
      </c>
      <c r="C78" t="s">
        <v>2238</v>
      </c>
      <c r="H78" t="s">
        <v>2239</v>
      </c>
      <c r="N78">
        <v>2</v>
      </c>
      <c r="O78" t="s">
        <v>2238</v>
      </c>
      <c r="T78" t="s">
        <v>2239</v>
      </c>
      <c r="V78">
        <v>2</v>
      </c>
      <c r="W78" t="s">
        <v>2238</v>
      </c>
      <c r="AB78" t="s">
        <v>2239</v>
      </c>
      <c r="AD78">
        <v>2</v>
      </c>
      <c r="AE78" t="s">
        <v>2238</v>
      </c>
      <c r="AJ78" t="s">
        <v>2239</v>
      </c>
    </row>
    <row r="79" spans="2:37" ht="15" hidden="1" customHeight="1">
      <c r="B79" t="s">
        <v>721</v>
      </c>
      <c r="C79" t="s">
        <v>2240</v>
      </c>
      <c r="D79" t="str">
        <f>$D$33</f>
        <v>m³</v>
      </c>
      <c r="E79" t="e">
        <f>#REF!</f>
        <v>#REF!</v>
      </c>
      <c r="F79" s="634">
        <f>$F$33</f>
        <v>168600</v>
      </c>
      <c r="G79" s="634" t="e">
        <f t="shared" ref="G79:G84" si="24">E79*F79</f>
        <v>#REF!</v>
      </c>
      <c r="H79">
        <v>1400</v>
      </c>
      <c r="I79" t="e">
        <f t="shared" ref="I79:I84" si="25">E79*H79</f>
        <v>#REF!</v>
      </c>
      <c r="N79" t="s">
        <v>721</v>
      </c>
      <c r="O79" t="s">
        <v>2240</v>
      </c>
      <c r="P79" t="str">
        <f>$D$33</f>
        <v>m³</v>
      </c>
      <c r="Q79" t="e">
        <f>#REF!</f>
        <v>#REF!</v>
      </c>
      <c r="R79">
        <f>$F$33</f>
        <v>168600</v>
      </c>
      <c r="S79" s="634" t="e">
        <f t="shared" ref="S79:S84" si="26">Q79*R79</f>
        <v>#REF!</v>
      </c>
      <c r="T79">
        <v>1400</v>
      </c>
      <c r="U79" t="e">
        <f t="shared" ref="U79:U84" si="27">Q79*T79</f>
        <v>#REF!</v>
      </c>
      <c r="V79" t="s">
        <v>721</v>
      </c>
      <c r="W79" t="s">
        <v>2240</v>
      </c>
      <c r="X79" t="str">
        <f>$D$33</f>
        <v>m³</v>
      </c>
      <c r="Y79" t="e">
        <f>#REF!</f>
        <v>#REF!</v>
      </c>
      <c r="Z79">
        <f>$F$33</f>
        <v>168600</v>
      </c>
      <c r="AA79" t="e">
        <f t="shared" ref="AA79:AA84" si="28">Y79*Z79</f>
        <v>#REF!</v>
      </c>
      <c r="AB79">
        <v>1400</v>
      </c>
      <c r="AC79" t="e">
        <f t="shared" ref="AC79:AC84" si="29">Y79*AB79</f>
        <v>#REF!</v>
      </c>
      <c r="AD79" t="s">
        <v>721</v>
      </c>
      <c r="AE79" t="s">
        <v>2240</v>
      </c>
      <c r="AF79" t="str">
        <f>$D$33</f>
        <v>m³</v>
      </c>
      <c r="AG79" t="e">
        <f>#REF!</f>
        <v>#REF!</v>
      </c>
      <c r="AH79">
        <f>$F$33</f>
        <v>168600</v>
      </c>
      <c r="AI79" t="e">
        <f t="shared" ref="AI79:AI84" si="30">AG79*AH79</f>
        <v>#REF!</v>
      </c>
      <c r="AJ79">
        <v>1400</v>
      </c>
      <c r="AK79" t="e">
        <f t="shared" ref="AK79:AK84" si="31">AG79*AJ79</f>
        <v>#REF!</v>
      </c>
    </row>
    <row r="80" spans="2:37" ht="15" hidden="1" customHeight="1">
      <c r="B80" t="s">
        <v>2166</v>
      </c>
      <c r="C80" t="s">
        <v>2241</v>
      </c>
      <c r="D80" t="str">
        <f>$D$34</f>
        <v>m³</v>
      </c>
      <c r="E80" t="e">
        <f>#REF!</f>
        <v>#REF!</v>
      </c>
      <c r="F80" s="634">
        <f>$F$34</f>
        <v>921940</v>
      </c>
      <c r="G80" s="634" t="e">
        <f t="shared" si="24"/>
        <v>#REF!</v>
      </c>
      <c r="H80">
        <v>2200</v>
      </c>
      <c r="I80" t="e">
        <f t="shared" si="25"/>
        <v>#REF!</v>
      </c>
      <c r="N80" t="s">
        <v>2166</v>
      </c>
      <c r="O80" t="s">
        <v>2241</v>
      </c>
      <c r="P80" t="str">
        <f>$D$34</f>
        <v>m³</v>
      </c>
      <c r="Q80" t="e">
        <f>#REF!</f>
        <v>#REF!</v>
      </c>
      <c r="R80">
        <f>$F$34</f>
        <v>921940</v>
      </c>
      <c r="S80" s="634" t="e">
        <f t="shared" si="26"/>
        <v>#REF!</v>
      </c>
      <c r="T80">
        <v>2200</v>
      </c>
      <c r="U80" t="e">
        <f t="shared" si="27"/>
        <v>#REF!</v>
      </c>
      <c r="V80" t="s">
        <v>2166</v>
      </c>
      <c r="W80" t="s">
        <v>2241</v>
      </c>
      <c r="X80" t="str">
        <f>$D$34</f>
        <v>m³</v>
      </c>
      <c r="Y80" t="e">
        <f>#REF!</f>
        <v>#REF!</v>
      </c>
      <c r="Z80">
        <f>$F$34</f>
        <v>921940</v>
      </c>
      <c r="AA80" t="e">
        <f t="shared" si="28"/>
        <v>#REF!</v>
      </c>
      <c r="AB80">
        <v>2200</v>
      </c>
      <c r="AC80" t="e">
        <f t="shared" si="29"/>
        <v>#REF!</v>
      </c>
      <c r="AD80" t="s">
        <v>2166</v>
      </c>
      <c r="AE80" t="s">
        <v>2241</v>
      </c>
      <c r="AF80" t="str">
        <f>$D$34</f>
        <v>m³</v>
      </c>
      <c r="AG80" t="e">
        <f>#REF!</f>
        <v>#REF!</v>
      </c>
      <c r="AH80">
        <f>$F$34</f>
        <v>921940</v>
      </c>
      <c r="AI80" t="e">
        <f t="shared" si="30"/>
        <v>#REF!</v>
      </c>
      <c r="AJ80">
        <v>2200</v>
      </c>
      <c r="AK80" t="e">
        <f t="shared" si="31"/>
        <v>#REF!</v>
      </c>
    </row>
    <row r="81" spans="2:37" ht="15" hidden="1" customHeight="1">
      <c r="B81" t="s">
        <v>2168</v>
      </c>
      <c r="C81" t="s">
        <v>2242</v>
      </c>
      <c r="D81" t="str">
        <f>$D$35</f>
        <v>m³</v>
      </c>
      <c r="E81" t="e">
        <f>#REF!</f>
        <v>#REF!</v>
      </c>
      <c r="F81" s="634">
        <f>$F$35</f>
        <v>984570</v>
      </c>
      <c r="G81" s="634" t="e">
        <f t="shared" si="24"/>
        <v>#REF!</v>
      </c>
      <c r="H81">
        <v>2400</v>
      </c>
      <c r="I81" t="e">
        <f t="shared" si="25"/>
        <v>#REF!</v>
      </c>
      <c r="N81" t="s">
        <v>2168</v>
      </c>
      <c r="O81" t="s">
        <v>2242</v>
      </c>
      <c r="P81" t="str">
        <f>$D$35</f>
        <v>m³</v>
      </c>
      <c r="Q81" t="e">
        <f>#REF!</f>
        <v>#REF!</v>
      </c>
      <c r="R81">
        <f>$F$35</f>
        <v>984570</v>
      </c>
      <c r="S81" s="634" t="e">
        <f t="shared" si="26"/>
        <v>#REF!</v>
      </c>
      <c r="T81">
        <v>2400</v>
      </c>
      <c r="U81" t="e">
        <f t="shared" si="27"/>
        <v>#REF!</v>
      </c>
      <c r="V81" t="s">
        <v>2168</v>
      </c>
      <c r="W81" t="s">
        <v>2242</v>
      </c>
      <c r="X81" t="str">
        <f>$D$35</f>
        <v>m³</v>
      </c>
      <c r="Y81" t="e">
        <f>#REF!</f>
        <v>#REF!</v>
      </c>
      <c r="Z81">
        <f>$F$35</f>
        <v>984570</v>
      </c>
      <c r="AA81" t="e">
        <f t="shared" si="28"/>
        <v>#REF!</v>
      </c>
      <c r="AB81">
        <v>2400</v>
      </c>
      <c r="AC81" t="e">
        <f t="shared" si="29"/>
        <v>#REF!</v>
      </c>
      <c r="AD81" t="s">
        <v>2168</v>
      </c>
      <c r="AE81" t="s">
        <v>2242</v>
      </c>
      <c r="AF81" t="str">
        <f>$D$35</f>
        <v>m³</v>
      </c>
      <c r="AG81" t="e">
        <f>#REF!</f>
        <v>#REF!</v>
      </c>
      <c r="AH81">
        <f>$F$35</f>
        <v>984570</v>
      </c>
      <c r="AI81" t="e">
        <f t="shared" si="30"/>
        <v>#REF!</v>
      </c>
      <c r="AJ81">
        <v>2400</v>
      </c>
      <c r="AK81" t="e">
        <f t="shared" si="31"/>
        <v>#REF!</v>
      </c>
    </row>
    <row r="82" spans="2:37" ht="15" hidden="1" customHeight="1">
      <c r="B82" t="s">
        <v>2170</v>
      </c>
      <c r="C82" t="s">
        <v>2243</v>
      </c>
      <c r="D82" t="str">
        <f>$D$36</f>
        <v>kg</v>
      </c>
      <c r="E82" t="e">
        <f>#REF!</f>
        <v>#REF!</v>
      </c>
      <c r="F82" s="634">
        <f>$F$36</f>
        <v>21480</v>
      </c>
      <c r="G82" s="634" t="e">
        <f t="shared" si="24"/>
        <v>#REF!</v>
      </c>
      <c r="H82">
        <v>1</v>
      </c>
      <c r="I82" t="e">
        <f t="shared" si="25"/>
        <v>#REF!</v>
      </c>
      <c r="N82" t="s">
        <v>2170</v>
      </c>
      <c r="O82" t="s">
        <v>2243</v>
      </c>
      <c r="P82" t="str">
        <f>$D$36</f>
        <v>kg</v>
      </c>
      <c r="Q82" t="e">
        <f>#REF!</f>
        <v>#REF!</v>
      </c>
      <c r="R82">
        <f>$F$36</f>
        <v>21480</v>
      </c>
      <c r="S82" s="634" t="e">
        <f t="shared" si="26"/>
        <v>#REF!</v>
      </c>
      <c r="T82">
        <v>1</v>
      </c>
      <c r="U82" t="e">
        <f t="shared" si="27"/>
        <v>#REF!</v>
      </c>
      <c r="V82" t="s">
        <v>2170</v>
      </c>
      <c r="W82" t="s">
        <v>2243</v>
      </c>
      <c r="X82" t="str">
        <f>$D$36</f>
        <v>kg</v>
      </c>
      <c r="Y82" t="e">
        <f>#REF!</f>
        <v>#REF!</v>
      </c>
      <c r="Z82">
        <f>$F$36</f>
        <v>21480</v>
      </c>
      <c r="AA82" t="e">
        <f t="shared" si="28"/>
        <v>#REF!</v>
      </c>
      <c r="AB82">
        <v>1</v>
      </c>
      <c r="AC82" t="e">
        <f t="shared" si="29"/>
        <v>#REF!</v>
      </c>
      <c r="AD82" t="s">
        <v>2170</v>
      </c>
      <c r="AE82" t="s">
        <v>2243</v>
      </c>
      <c r="AF82" t="str">
        <f>$D$36</f>
        <v>kg</v>
      </c>
      <c r="AG82" t="e">
        <f>#REF!</f>
        <v>#REF!</v>
      </c>
      <c r="AH82">
        <f>$F$36</f>
        <v>21480</v>
      </c>
      <c r="AI82" t="e">
        <f t="shared" si="30"/>
        <v>#REF!</v>
      </c>
      <c r="AJ82">
        <v>1</v>
      </c>
      <c r="AK82" t="e">
        <f t="shared" si="31"/>
        <v>#REF!</v>
      </c>
    </row>
    <row r="83" spans="2:37" ht="15" hidden="1" customHeight="1">
      <c r="B83" t="s">
        <v>2172</v>
      </c>
      <c r="C83" t="s">
        <v>2244</v>
      </c>
      <c r="D83" t="str">
        <f>$D$37</f>
        <v>m²</v>
      </c>
      <c r="E83" t="e">
        <f>#REF!</f>
        <v>#REF!</v>
      </c>
      <c r="F83" s="634">
        <f>$F$37</f>
        <v>225680</v>
      </c>
      <c r="G83" s="634" t="e">
        <f t="shared" si="24"/>
        <v>#REF!</v>
      </c>
      <c r="H83">
        <v>40</v>
      </c>
      <c r="I83" t="e">
        <f t="shared" si="25"/>
        <v>#REF!</v>
      </c>
      <c r="N83" t="s">
        <v>2172</v>
      </c>
      <c r="O83" t="s">
        <v>2244</v>
      </c>
      <c r="P83" t="str">
        <f>$D$37</f>
        <v>m²</v>
      </c>
      <c r="Q83" t="e">
        <f>#REF!</f>
        <v>#REF!</v>
      </c>
      <c r="R83">
        <f>$F$37</f>
        <v>225680</v>
      </c>
      <c r="S83" s="634" t="e">
        <f t="shared" si="26"/>
        <v>#REF!</v>
      </c>
      <c r="T83">
        <v>40</v>
      </c>
      <c r="U83" t="e">
        <f t="shared" si="27"/>
        <v>#REF!</v>
      </c>
      <c r="V83" t="s">
        <v>2172</v>
      </c>
      <c r="W83" t="s">
        <v>2244</v>
      </c>
      <c r="X83" t="str">
        <f>$D$37</f>
        <v>m²</v>
      </c>
      <c r="Y83" t="e">
        <f>#REF!</f>
        <v>#REF!</v>
      </c>
      <c r="Z83">
        <f>$F$37</f>
        <v>225680</v>
      </c>
      <c r="AA83" t="e">
        <f t="shared" si="28"/>
        <v>#REF!</v>
      </c>
      <c r="AB83">
        <v>40</v>
      </c>
      <c r="AC83" t="e">
        <f t="shared" si="29"/>
        <v>#REF!</v>
      </c>
      <c r="AD83" t="s">
        <v>2172</v>
      </c>
      <c r="AE83" t="s">
        <v>2244</v>
      </c>
      <c r="AF83" t="str">
        <f>$D$37</f>
        <v>m²</v>
      </c>
      <c r="AG83" t="e">
        <f>#REF!</f>
        <v>#REF!</v>
      </c>
      <c r="AH83">
        <f>$F$37</f>
        <v>225680</v>
      </c>
      <c r="AI83" t="e">
        <f t="shared" si="30"/>
        <v>#REF!</v>
      </c>
      <c r="AJ83">
        <v>40</v>
      </c>
      <c r="AK83" t="e">
        <f t="shared" si="31"/>
        <v>#REF!</v>
      </c>
    </row>
    <row r="84" spans="2:37" ht="15" hidden="1" customHeight="1">
      <c r="B84" t="s">
        <v>2174</v>
      </c>
      <c r="C84" t="s">
        <v>2246</v>
      </c>
      <c r="D84" t="str">
        <f>$D$38</f>
        <v>bh</v>
      </c>
      <c r="E84">
        <v>4</v>
      </c>
      <c r="F84" s="634">
        <f>$F$38</f>
        <v>4005.37</v>
      </c>
      <c r="G84" s="634">
        <f t="shared" si="24"/>
        <v>16021.48</v>
      </c>
      <c r="H84">
        <v>2.5</v>
      </c>
      <c r="I84">
        <f t="shared" si="25"/>
        <v>10</v>
      </c>
      <c r="N84" t="s">
        <v>2174</v>
      </c>
      <c r="O84" t="s">
        <v>2246</v>
      </c>
      <c r="P84" t="str">
        <f>$D$38</f>
        <v>bh</v>
      </c>
      <c r="Q84">
        <v>4</v>
      </c>
      <c r="R84">
        <f>$F$38</f>
        <v>4005.37</v>
      </c>
      <c r="S84" s="634">
        <f t="shared" si="26"/>
        <v>16021.48</v>
      </c>
      <c r="T84">
        <v>2.5</v>
      </c>
      <c r="U84">
        <f t="shared" si="27"/>
        <v>10</v>
      </c>
      <c r="V84" t="s">
        <v>2174</v>
      </c>
      <c r="W84" t="s">
        <v>2246</v>
      </c>
      <c r="X84" t="str">
        <f>$D$38</f>
        <v>bh</v>
      </c>
      <c r="Y84">
        <v>4</v>
      </c>
      <c r="Z84">
        <f>$F$38</f>
        <v>4005.37</v>
      </c>
      <c r="AA84">
        <f t="shared" si="28"/>
        <v>16021.48</v>
      </c>
      <c r="AB84">
        <v>2.5</v>
      </c>
      <c r="AC84">
        <f t="shared" si="29"/>
        <v>10</v>
      </c>
      <c r="AD84" t="s">
        <v>2174</v>
      </c>
      <c r="AE84" t="s">
        <v>2246</v>
      </c>
      <c r="AF84" t="str">
        <f>$D$38</f>
        <v>bh</v>
      </c>
      <c r="AG84">
        <v>4</v>
      </c>
      <c r="AH84">
        <f>$F$38</f>
        <v>4005.37</v>
      </c>
      <c r="AI84">
        <f t="shared" si="30"/>
        <v>16021.48</v>
      </c>
      <c r="AJ84">
        <v>2.5</v>
      </c>
      <c r="AK84">
        <f t="shared" si="31"/>
        <v>10</v>
      </c>
    </row>
    <row r="85" spans="2:37" ht="15" hidden="1" customHeight="1">
      <c r="I85" t="e">
        <f>SUM(I79:I84)</f>
        <v>#REF!</v>
      </c>
      <c r="U85" t="e">
        <f>SUM(U79:U84)</f>
        <v>#REF!</v>
      </c>
      <c r="AC85" t="e">
        <f>SUM(AC79:AC84)</f>
        <v>#REF!</v>
      </c>
      <c r="AK85" t="e">
        <f>SUM(AK79:AK84)</f>
        <v>#REF!</v>
      </c>
    </row>
    <row r="86" spans="2:37" ht="15" hidden="1" customHeight="1">
      <c r="B86">
        <v>3</v>
      </c>
      <c r="C86" t="s">
        <v>2086</v>
      </c>
      <c r="N86">
        <v>3</v>
      </c>
      <c r="O86" t="s">
        <v>2086</v>
      </c>
      <c r="V86">
        <v>3</v>
      </c>
      <c r="W86" t="s">
        <v>2086</v>
      </c>
      <c r="AD86">
        <v>3</v>
      </c>
      <c r="AE86" t="s">
        <v>2086</v>
      </c>
    </row>
    <row r="87" spans="2:37" ht="15" hidden="1" customHeight="1">
      <c r="B87" t="s">
        <v>721</v>
      </c>
      <c r="C87" t="s">
        <v>2247</v>
      </c>
      <c r="D87" t="str">
        <f>$D$41</f>
        <v>bh</v>
      </c>
      <c r="E87">
        <v>4</v>
      </c>
      <c r="F87" s="634">
        <f>$F$41</f>
        <v>75838.842142857146</v>
      </c>
      <c r="G87" s="634">
        <f t="shared" ref="G87:G92" si="32">E87*F87</f>
        <v>303355.36857142858</v>
      </c>
      <c r="N87" t="s">
        <v>721</v>
      </c>
      <c r="O87" t="s">
        <v>2247</v>
      </c>
      <c r="P87" t="str">
        <f>$D$41</f>
        <v>bh</v>
      </c>
      <c r="Q87">
        <v>4</v>
      </c>
      <c r="R87">
        <f>$F$41</f>
        <v>75838.842142857146</v>
      </c>
      <c r="S87" s="634">
        <f t="shared" ref="S87:S92" si="33">Q87*R87</f>
        <v>303355.36857142858</v>
      </c>
      <c r="V87" t="s">
        <v>721</v>
      </c>
      <c r="W87" t="s">
        <v>2247</v>
      </c>
      <c r="X87" t="str">
        <f>$D$41</f>
        <v>bh</v>
      </c>
      <c r="Y87">
        <v>4</v>
      </c>
      <c r="Z87">
        <f>$F$41</f>
        <v>75838.842142857146</v>
      </c>
      <c r="AA87">
        <f t="shared" ref="AA87:AA92" si="34">Y87*Z87</f>
        <v>303355.36857142858</v>
      </c>
      <c r="AD87" t="s">
        <v>721</v>
      </c>
      <c r="AE87" t="s">
        <v>2247</v>
      </c>
      <c r="AF87" t="str">
        <f>$D$41</f>
        <v>bh</v>
      </c>
      <c r="AG87">
        <v>4</v>
      </c>
      <c r="AH87">
        <f>$F$41</f>
        <v>75838.842142857146</v>
      </c>
      <c r="AI87">
        <f t="shared" ref="AI87:AI92" si="35">AG87*AH87</f>
        <v>303355.36857142858</v>
      </c>
    </row>
    <row r="88" spans="2:37" ht="15" hidden="1" customHeight="1">
      <c r="B88" t="s">
        <v>2166</v>
      </c>
      <c r="C88" t="s">
        <v>2085</v>
      </c>
      <c r="D88" t="str">
        <f>$D$42</f>
        <v>kg</v>
      </c>
      <c r="E88" t="e">
        <f>I85</f>
        <v>#REF!</v>
      </c>
      <c r="F88" s="634">
        <f>$F$42</f>
        <v>312.5</v>
      </c>
      <c r="G88" s="634" t="e">
        <f t="shared" si="32"/>
        <v>#REF!</v>
      </c>
      <c r="N88" t="s">
        <v>2166</v>
      </c>
      <c r="O88" t="s">
        <v>2085</v>
      </c>
      <c r="P88" t="str">
        <f>$D$42</f>
        <v>kg</v>
      </c>
      <c r="Q88" t="e">
        <f>U85</f>
        <v>#REF!</v>
      </c>
      <c r="R88">
        <f>$F$42</f>
        <v>312.5</v>
      </c>
      <c r="S88" s="634" t="e">
        <f t="shared" si="33"/>
        <v>#REF!</v>
      </c>
      <c r="V88" t="s">
        <v>2166</v>
      </c>
      <c r="W88" t="s">
        <v>2085</v>
      </c>
      <c r="X88" t="str">
        <f>$D$42</f>
        <v>kg</v>
      </c>
      <c r="Y88" t="e">
        <f>AC85</f>
        <v>#REF!</v>
      </c>
      <c r="Z88">
        <f>$F$42</f>
        <v>312.5</v>
      </c>
      <c r="AA88" t="e">
        <f t="shared" si="34"/>
        <v>#REF!</v>
      </c>
      <c r="AD88" t="s">
        <v>2166</v>
      </c>
      <c r="AE88" t="s">
        <v>2085</v>
      </c>
      <c r="AF88" t="str">
        <f>$D$42</f>
        <v>kg</v>
      </c>
      <c r="AG88" t="e">
        <f>AK85</f>
        <v>#REF!</v>
      </c>
      <c r="AH88">
        <f>$F$42</f>
        <v>312.5</v>
      </c>
      <c r="AI88" t="e">
        <f t="shared" si="35"/>
        <v>#REF!</v>
      </c>
    </row>
    <row r="89" spans="2:37" ht="15" hidden="1" customHeight="1">
      <c r="B89" t="s">
        <v>2168</v>
      </c>
      <c r="C89" t="s">
        <v>2249</v>
      </c>
      <c r="D89" t="str">
        <f>$D$43</f>
        <v>bh</v>
      </c>
      <c r="E89">
        <v>4</v>
      </c>
      <c r="F89" s="634">
        <f>$F$43</f>
        <v>47994.804749999996</v>
      </c>
      <c r="G89" s="634">
        <f t="shared" si="32"/>
        <v>191979.21899999998</v>
      </c>
      <c r="N89" t="s">
        <v>2168</v>
      </c>
      <c r="O89" t="s">
        <v>2249</v>
      </c>
      <c r="P89" t="str">
        <f>$D$43</f>
        <v>bh</v>
      </c>
      <c r="Q89">
        <v>4</v>
      </c>
      <c r="R89">
        <f>$F$43</f>
        <v>47994.804749999996</v>
      </c>
      <c r="S89" s="634">
        <f t="shared" si="33"/>
        <v>191979.21899999998</v>
      </c>
      <c r="V89" t="s">
        <v>2168</v>
      </c>
      <c r="W89" t="s">
        <v>2249</v>
      </c>
      <c r="X89" t="str">
        <f>$D$43</f>
        <v>bh</v>
      </c>
      <c r="Y89">
        <v>4</v>
      </c>
      <c r="Z89">
        <f>$F$43</f>
        <v>47994.804749999996</v>
      </c>
      <c r="AA89">
        <f t="shared" si="34"/>
        <v>191979.21899999998</v>
      </c>
      <c r="AD89" t="s">
        <v>2168</v>
      </c>
      <c r="AE89" t="s">
        <v>2249</v>
      </c>
      <c r="AF89" t="str">
        <f>$D$43</f>
        <v>bh</v>
      </c>
      <c r="AG89">
        <v>4</v>
      </c>
      <c r="AH89">
        <f>$F$43</f>
        <v>47994.804749999996</v>
      </c>
      <c r="AI89">
        <f t="shared" si="35"/>
        <v>191979.21899999998</v>
      </c>
    </row>
    <row r="90" spans="2:37" ht="15" hidden="1" customHeight="1">
      <c r="B90" t="s">
        <v>2170</v>
      </c>
      <c r="C90" t="s">
        <v>2250</v>
      </c>
      <c r="D90" t="str">
        <f>$D$44</f>
        <v>Ls</v>
      </c>
      <c r="E90">
        <f>'[53]Volume Tower'!$E$88</f>
        <v>167</v>
      </c>
      <c r="F90" s="634">
        <f>$F$44</f>
        <v>382862.9</v>
      </c>
      <c r="G90" s="634">
        <f t="shared" si="32"/>
        <v>63938104.300000004</v>
      </c>
      <c r="N90" t="s">
        <v>2170</v>
      </c>
      <c r="O90" t="s">
        <v>2250</v>
      </c>
      <c r="P90" t="str">
        <f>$D$44</f>
        <v>Ls</v>
      </c>
      <c r="Q90">
        <f>'[53]Volume Tower'!$E$96</f>
        <v>345</v>
      </c>
      <c r="R90">
        <f>$F$44</f>
        <v>382862.9</v>
      </c>
      <c r="S90" s="634">
        <f t="shared" si="33"/>
        <v>132087700.50000001</v>
      </c>
      <c r="V90" t="s">
        <v>2170</v>
      </c>
      <c r="W90" t="s">
        <v>2250</v>
      </c>
      <c r="X90" t="str">
        <f>$D$44</f>
        <v>Ls</v>
      </c>
      <c r="Y90">
        <f>'[53]Volume Tower'!$E$104</f>
        <v>440</v>
      </c>
      <c r="Z90">
        <f>$F$44</f>
        <v>382862.9</v>
      </c>
      <c r="AA90">
        <f t="shared" si="34"/>
        <v>168459676</v>
      </c>
      <c r="AD90" t="s">
        <v>2170</v>
      </c>
      <c r="AE90" t="s">
        <v>2250</v>
      </c>
      <c r="AF90" t="str">
        <f>$D$44</f>
        <v>Ls</v>
      </c>
      <c r="AG90">
        <f>'[53]Volume Tower'!$E$112</f>
        <v>503</v>
      </c>
      <c r="AH90">
        <f>$F$44</f>
        <v>382862.9</v>
      </c>
      <c r="AI90">
        <f t="shared" si="35"/>
        <v>192580038.70000002</v>
      </c>
    </row>
    <row r="91" spans="2:37" ht="15" hidden="1" customHeight="1">
      <c r="B91" t="s">
        <v>2172</v>
      </c>
      <c r="C91" t="s">
        <v>2251</v>
      </c>
      <c r="D91" t="str">
        <f>$D$45</f>
        <v>set</v>
      </c>
      <c r="E91">
        <v>1</v>
      </c>
      <c r="F91" s="634">
        <f>$F$45</f>
        <v>1307000</v>
      </c>
      <c r="G91" s="634">
        <f t="shared" si="32"/>
        <v>1307000</v>
      </c>
      <c r="N91" t="s">
        <v>2172</v>
      </c>
      <c r="O91" t="s">
        <v>2251</v>
      </c>
      <c r="P91" t="str">
        <f>$D$45</f>
        <v>set</v>
      </c>
      <c r="Q91">
        <v>1</v>
      </c>
      <c r="R91">
        <f>$F$45</f>
        <v>1307000</v>
      </c>
      <c r="S91" s="634">
        <f t="shared" si="33"/>
        <v>1307000</v>
      </c>
      <c r="V91" t="s">
        <v>2172</v>
      </c>
      <c r="W91" t="s">
        <v>2251</v>
      </c>
      <c r="X91" t="str">
        <f>$D$45</f>
        <v>set</v>
      </c>
      <c r="Y91">
        <v>1</v>
      </c>
      <c r="Z91">
        <f>$F$45</f>
        <v>1307000</v>
      </c>
      <c r="AA91">
        <f t="shared" si="34"/>
        <v>1307000</v>
      </c>
      <c r="AD91" t="s">
        <v>2172</v>
      </c>
      <c r="AE91" t="s">
        <v>2251</v>
      </c>
      <c r="AF91" t="str">
        <f>$D$45</f>
        <v>set</v>
      </c>
      <c r="AG91">
        <v>1</v>
      </c>
      <c r="AH91">
        <f>$F$45</f>
        <v>1307000</v>
      </c>
      <c r="AI91">
        <f t="shared" si="35"/>
        <v>1307000</v>
      </c>
    </row>
    <row r="92" spans="2:37" ht="15" hidden="1" customHeight="1">
      <c r="B92" t="s">
        <v>2174</v>
      </c>
      <c r="C92" t="s">
        <v>2252</v>
      </c>
      <c r="D92" t="str">
        <f>$D$46</f>
        <v>set</v>
      </c>
      <c r="E92">
        <v>1</v>
      </c>
      <c r="F92" s="634">
        <f>$F$46</f>
        <v>300000</v>
      </c>
      <c r="G92" s="634">
        <f t="shared" si="32"/>
        <v>300000</v>
      </c>
      <c r="N92" t="s">
        <v>2174</v>
      </c>
      <c r="O92" t="s">
        <v>2252</v>
      </c>
      <c r="P92" t="str">
        <f>$D$46</f>
        <v>set</v>
      </c>
      <c r="Q92">
        <v>1</v>
      </c>
      <c r="R92">
        <f>$F$46</f>
        <v>300000</v>
      </c>
      <c r="S92" s="634">
        <f t="shared" si="33"/>
        <v>300000</v>
      </c>
      <c r="V92" t="s">
        <v>2174</v>
      </c>
      <c r="W92" t="s">
        <v>2252</v>
      </c>
      <c r="X92" t="str">
        <f>$D$46</f>
        <v>set</v>
      </c>
      <c r="Y92">
        <v>1</v>
      </c>
      <c r="Z92">
        <f>$F$46</f>
        <v>300000</v>
      </c>
      <c r="AA92">
        <f t="shared" si="34"/>
        <v>300000</v>
      </c>
      <c r="AD92" t="s">
        <v>2174</v>
      </c>
      <c r="AE92" t="s">
        <v>2252</v>
      </c>
      <c r="AF92" t="str">
        <f>$D$46</f>
        <v>set</v>
      </c>
      <c r="AG92">
        <v>1</v>
      </c>
      <c r="AH92">
        <f>$F$46</f>
        <v>300000</v>
      </c>
      <c r="AI92">
        <f t="shared" si="35"/>
        <v>300000</v>
      </c>
    </row>
    <row r="93" spans="2:37" ht="15" hidden="1" customHeight="1" thickBot="1">
      <c r="C93" s="1041" t="s">
        <v>2258</v>
      </c>
      <c r="D93" s="1041"/>
      <c r="E93" s="1041"/>
      <c r="F93" s="1041"/>
      <c r="G93" s="634" t="e">
        <f>SUM(G75:G92)</f>
        <v>#REF!</v>
      </c>
      <c r="O93" s="1041" t="s">
        <v>2258</v>
      </c>
      <c r="P93" s="1041"/>
      <c r="Q93" s="1041"/>
      <c r="R93" s="1041"/>
      <c r="S93" s="634" t="e">
        <f>SUM(S75:S92)</f>
        <v>#REF!</v>
      </c>
      <c r="W93" s="1041" t="s">
        <v>2258</v>
      </c>
      <c r="X93" s="1041"/>
      <c r="Y93" s="1041"/>
      <c r="Z93" s="1041"/>
      <c r="AA93" t="e">
        <f>SUM(AA75:AA92)</f>
        <v>#REF!</v>
      </c>
      <c r="AE93" s="1041" t="s">
        <v>2258</v>
      </c>
      <c r="AF93" s="1041"/>
      <c r="AG93" s="1041"/>
      <c r="AH93" s="1041"/>
      <c r="AI93" t="e">
        <f>SUM(AI75:AI92)</f>
        <v>#REF!</v>
      </c>
    </row>
    <row r="94" spans="2:37" ht="15" hidden="1" customHeight="1" thickBot="1"/>
    <row r="95" spans="2:37" ht="15" hidden="1" customHeight="1" thickBot="1">
      <c r="B95" t="s">
        <v>2229</v>
      </c>
      <c r="N95" t="s">
        <v>2230</v>
      </c>
      <c r="V95" t="s">
        <v>2231</v>
      </c>
      <c r="AD95" t="s">
        <v>2254</v>
      </c>
    </row>
    <row r="96" spans="2:37" ht="15" hidden="1" customHeight="1">
      <c r="C96" t="s">
        <v>2259</v>
      </c>
      <c r="O96" t="s">
        <v>2259</v>
      </c>
      <c r="W96" t="s">
        <v>2259</v>
      </c>
      <c r="AE96" t="s">
        <v>2259</v>
      </c>
    </row>
    <row r="97" spans="2:37" ht="15" hidden="1" customHeight="1">
      <c r="B97">
        <v>1</v>
      </c>
      <c r="C97" t="s">
        <v>2234</v>
      </c>
      <c r="N97">
        <v>1</v>
      </c>
      <c r="O97" t="s">
        <v>2234</v>
      </c>
      <c r="V97">
        <v>1</v>
      </c>
      <c r="W97" t="s">
        <v>2234</v>
      </c>
      <c r="AD97">
        <v>1</v>
      </c>
      <c r="AE97" t="s">
        <v>2234</v>
      </c>
    </row>
    <row r="98" spans="2:37" ht="15" hidden="1" customHeight="1">
      <c r="B98" t="s">
        <v>721</v>
      </c>
      <c r="C98" t="s">
        <v>2235</v>
      </c>
      <c r="D98" t="str">
        <f>$D$29</f>
        <v>m³</v>
      </c>
      <c r="E98" t="e">
        <f>#REF!</f>
        <v>#REF!</v>
      </c>
      <c r="F98" s="634">
        <f>$F$29</f>
        <v>95400</v>
      </c>
      <c r="G98" s="634" t="e">
        <f>E98*F98</f>
        <v>#REF!</v>
      </c>
      <c r="N98" t="s">
        <v>721</v>
      </c>
      <c r="O98" t="s">
        <v>2235</v>
      </c>
      <c r="P98" t="str">
        <f>$D$29</f>
        <v>m³</v>
      </c>
      <c r="Q98" t="e">
        <f>#REF!</f>
        <v>#REF!</v>
      </c>
      <c r="R98">
        <f>$F$29</f>
        <v>95400</v>
      </c>
      <c r="S98" s="634" t="e">
        <f>Q98*R98</f>
        <v>#REF!</v>
      </c>
      <c r="V98" t="s">
        <v>721</v>
      </c>
      <c r="W98" t="s">
        <v>2235</v>
      </c>
      <c r="X98" t="str">
        <f>$D$29</f>
        <v>m³</v>
      </c>
      <c r="Y98" t="e">
        <f>#REF!</f>
        <v>#REF!</v>
      </c>
      <c r="Z98">
        <f>$F$29</f>
        <v>95400</v>
      </c>
      <c r="AA98" t="e">
        <f>Y98*Z98</f>
        <v>#REF!</v>
      </c>
      <c r="AD98" t="s">
        <v>721</v>
      </c>
      <c r="AE98" t="s">
        <v>2235</v>
      </c>
      <c r="AF98" t="str">
        <f>$D$29</f>
        <v>m³</v>
      </c>
      <c r="AG98" t="e">
        <f>#REF!</f>
        <v>#REF!</v>
      </c>
      <c r="AH98">
        <f>$F$29</f>
        <v>95400</v>
      </c>
      <c r="AI98" t="e">
        <f>AG98*AH98</f>
        <v>#REF!</v>
      </c>
    </row>
    <row r="99" spans="2:37" ht="15" hidden="1" customHeight="1">
      <c r="B99" t="s">
        <v>2166</v>
      </c>
      <c r="C99" t="s">
        <v>2237</v>
      </c>
      <c r="D99" t="str">
        <f>$D$30</f>
        <v>m³</v>
      </c>
      <c r="E99" t="e">
        <f>#REF!</f>
        <v>#REF!</v>
      </c>
      <c r="F99" s="634">
        <f>$F$30</f>
        <v>37680</v>
      </c>
      <c r="G99" s="634" t="e">
        <f>E99*F99</f>
        <v>#REF!</v>
      </c>
      <c r="N99" t="s">
        <v>2166</v>
      </c>
      <c r="O99" t="s">
        <v>2237</v>
      </c>
      <c r="P99" t="str">
        <f>$D$30</f>
        <v>m³</v>
      </c>
      <c r="Q99" t="e">
        <f>#REF!</f>
        <v>#REF!</v>
      </c>
      <c r="R99">
        <f>$F$30</f>
        <v>37680</v>
      </c>
      <c r="S99" s="634" t="e">
        <f>Q99*R99</f>
        <v>#REF!</v>
      </c>
      <c r="V99" t="s">
        <v>2166</v>
      </c>
      <c r="W99" t="s">
        <v>2237</v>
      </c>
      <c r="X99" t="str">
        <f>$D$30</f>
        <v>m³</v>
      </c>
      <c r="Y99" t="e">
        <f>#REF!</f>
        <v>#REF!</v>
      </c>
      <c r="Z99">
        <f>$F$30</f>
        <v>37680</v>
      </c>
      <c r="AA99" t="e">
        <f>Y99*Z99</f>
        <v>#REF!</v>
      </c>
      <c r="AD99" t="s">
        <v>2166</v>
      </c>
      <c r="AE99" t="s">
        <v>2237</v>
      </c>
      <c r="AF99" t="str">
        <f>$D$30</f>
        <v>m³</v>
      </c>
      <c r="AG99" t="e">
        <f>#REF!</f>
        <v>#REF!</v>
      </c>
      <c r="AH99">
        <f>$F$30</f>
        <v>37680</v>
      </c>
      <c r="AI99" t="e">
        <f>AG99*AH99</f>
        <v>#REF!</v>
      </c>
    </row>
    <row r="100" spans="2:37" ht="15" hidden="1" customHeight="1"/>
    <row r="101" spans="2:37" ht="15" hidden="1" customHeight="1">
      <c r="B101">
        <v>2</v>
      </c>
      <c r="C101" t="s">
        <v>2238</v>
      </c>
      <c r="H101" t="s">
        <v>2239</v>
      </c>
      <c r="N101">
        <v>2</v>
      </c>
      <c r="O101" t="s">
        <v>2238</v>
      </c>
      <c r="T101" t="s">
        <v>2239</v>
      </c>
      <c r="V101">
        <v>2</v>
      </c>
      <c r="W101" t="s">
        <v>2238</v>
      </c>
      <c r="AB101" t="s">
        <v>2239</v>
      </c>
      <c r="AD101">
        <v>2</v>
      </c>
      <c r="AE101" t="s">
        <v>2238</v>
      </c>
      <c r="AJ101" t="s">
        <v>2239</v>
      </c>
    </row>
    <row r="102" spans="2:37" ht="15" hidden="1" customHeight="1">
      <c r="B102" t="s">
        <v>721</v>
      </c>
      <c r="C102" t="s">
        <v>2240</v>
      </c>
      <c r="D102" t="str">
        <f>$D$33</f>
        <v>m³</v>
      </c>
      <c r="E102" t="e">
        <f>#REF!</f>
        <v>#REF!</v>
      </c>
      <c r="F102" s="634">
        <f>$F$33</f>
        <v>168600</v>
      </c>
      <c r="G102" s="634" t="e">
        <f t="shared" ref="G102:G107" si="36">E102*F102</f>
        <v>#REF!</v>
      </c>
      <c r="H102">
        <v>1400</v>
      </c>
      <c r="I102" t="e">
        <f t="shared" ref="I102:I107" si="37">E102*H102</f>
        <v>#REF!</v>
      </c>
      <c r="N102" t="s">
        <v>721</v>
      </c>
      <c r="O102" t="s">
        <v>2240</v>
      </c>
      <c r="P102" t="str">
        <f>$D$33</f>
        <v>m³</v>
      </c>
      <c r="Q102" t="e">
        <f>#REF!</f>
        <v>#REF!</v>
      </c>
      <c r="R102">
        <f>$F$33</f>
        <v>168600</v>
      </c>
      <c r="S102" s="634" t="e">
        <f t="shared" ref="S102:S107" si="38">Q102*R102</f>
        <v>#REF!</v>
      </c>
      <c r="T102">
        <v>1400</v>
      </c>
      <c r="U102" t="e">
        <f t="shared" ref="U102:U107" si="39">Q102*T102</f>
        <v>#REF!</v>
      </c>
      <c r="V102" t="s">
        <v>721</v>
      </c>
      <c r="W102" t="s">
        <v>2240</v>
      </c>
      <c r="X102" t="str">
        <f>$D$33</f>
        <v>m³</v>
      </c>
      <c r="Y102" t="e">
        <f>#REF!</f>
        <v>#REF!</v>
      </c>
      <c r="Z102">
        <f>$F$33</f>
        <v>168600</v>
      </c>
      <c r="AA102" t="e">
        <f t="shared" ref="AA102:AA107" si="40">Y102*Z102</f>
        <v>#REF!</v>
      </c>
      <c r="AB102">
        <v>1400</v>
      </c>
      <c r="AC102" t="e">
        <f t="shared" ref="AC102:AC107" si="41">Y102*AB102</f>
        <v>#REF!</v>
      </c>
      <c r="AD102" t="s">
        <v>721</v>
      </c>
      <c r="AE102" t="s">
        <v>2240</v>
      </c>
      <c r="AF102" t="str">
        <f>$D$33</f>
        <v>m³</v>
      </c>
      <c r="AG102" t="e">
        <f>#REF!</f>
        <v>#REF!</v>
      </c>
      <c r="AH102">
        <f>$F$33</f>
        <v>168600</v>
      </c>
      <c r="AI102" t="e">
        <f t="shared" ref="AI102:AI107" si="42">AG102*AH102</f>
        <v>#REF!</v>
      </c>
      <c r="AJ102">
        <v>1400</v>
      </c>
      <c r="AK102" t="e">
        <f t="shared" ref="AK102:AK107" si="43">AG102*AJ102</f>
        <v>#REF!</v>
      </c>
    </row>
    <row r="103" spans="2:37" ht="15" hidden="1" customHeight="1">
      <c r="B103" t="s">
        <v>2166</v>
      </c>
      <c r="C103" t="s">
        <v>2241</v>
      </c>
      <c r="D103" t="str">
        <f>$D$34</f>
        <v>m³</v>
      </c>
      <c r="E103" t="e">
        <f>#REF!</f>
        <v>#REF!</v>
      </c>
      <c r="F103" s="634">
        <f>$F$34</f>
        <v>921940</v>
      </c>
      <c r="G103" s="634" t="e">
        <f t="shared" si="36"/>
        <v>#REF!</v>
      </c>
      <c r="H103">
        <v>2200</v>
      </c>
      <c r="I103" t="e">
        <f t="shared" si="37"/>
        <v>#REF!</v>
      </c>
      <c r="N103" t="s">
        <v>2166</v>
      </c>
      <c r="O103" t="s">
        <v>2241</v>
      </c>
      <c r="P103" t="str">
        <f>$D$34</f>
        <v>m³</v>
      </c>
      <c r="Q103" t="e">
        <f>#REF!</f>
        <v>#REF!</v>
      </c>
      <c r="R103">
        <f>$F$34</f>
        <v>921940</v>
      </c>
      <c r="S103" s="634" t="e">
        <f t="shared" si="38"/>
        <v>#REF!</v>
      </c>
      <c r="T103">
        <v>2200</v>
      </c>
      <c r="U103" t="e">
        <f t="shared" si="39"/>
        <v>#REF!</v>
      </c>
      <c r="V103" t="s">
        <v>2166</v>
      </c>
      <c r="W103" t="s">
        <v>2241</v>
      </c>
      <c r="X103" t="str">
        <f>$D$34</f>
        <v>m³</v>
      </c>
      <c r="Y103" t="e">
        <f>#REF!</f>
        <v>#REF!</v>
      </c>
      <c r="Z103">
        <f>$F$34</f>
        <v>921940</v>
      </c>
      <c r="AA103" t="e">
        <f t="shared" si="40"/>
        <v>#REF!</v>
      </c>
      <c r="AB103">
        <v>2200</v>
      </c>
      <c r="AC103" t="e">
        <f t="shared" si="41"/>
        <v>#REF!</v>
      </c>
      <c r="AD103" t="s">
        <v>2166</v>
      </c>
      <c r="AE103" t="s">
        <v>2241</v>
      </c>
      <c r="AF103" t="str">
        <f>$D$34</f>
        <v>m³</v>
      </c>
      <c r="AG103" t="e">
        <f>#REF!</f>
        <v>#REF!</v>
      </c>
      <c r="AH103">
        <f>$F$34</f>
        <v>921940</v>
      </c>
      <c r="AI103" t="e">
        <f t="shared" si="42"/>
        <v>#REF!</v>
      </c>
      <c r="AJ103">
        <v>2200</v>
      </c>
      <c r="AK103" t="e">
        <f t="shared" si="43"/>
        <v>#REF!</v>
      </c>
    </row>
    <row r="104" spans="2:37" ht="15" hidden="1" customHeight="1">
      <c r="B104" t="s">
        <v>2168</v>
      </c>
      <c r="C104" t="s">
        <v>2242</v>
      </c>
      <c r="D104" t="str">
        <f>$D$35</f>
        <v>m³</v>
      </c>
      <c r="E104" t="e">
        <f>#REF!</f>
        <v>#REF!</v>
      </c>
      <c r="F104" s="634">
        <f>$F$35</f>
        <v>984570</v>
      </c>
      <c r="G104" s="634" t="e">
        <f t="shared" si="36"/>
        <v>#REF!</v>
      </c>
      <c r="H104">
        <v>2400</v>
      </c>
      <c r="I104" t="e">
        <f t="shared" si="37"/>
        <v>#REF!</v>
      </c>
      <c r="N104" t="s">
        <v>2168</v>
      </c>
      <c r="O104" t="s">
        <v>2242</v>
      </c>
      <c r="P104" t="str">
        <f>$D$35</f>
        <v>m³</v>
      </c>
      <c r="Q104" t="e">
        <f>#REF!</f>
        <v>#REF!</v>
      </c>
      <c r="R104">
        <f>$F$35</f>
        <v>984570</v>
      </c>
      <c r="S104" s="634" t="e">
        <f t="shared" si="38"/>
        <v>#REF!</v>
      </c>
      <c r="T104">
        <v>2400</v>
      </c>
      <c r="U104" t="e">
        <f t="shared" si="39"/>
        <v>#REF!</v>
      </c>
      <c r="V104" t="s">
        <v>2168</v>
      </c>
      <c r="W104" t="s">
        <v>2242</v>
      </c>
      <c r="X104" t="str">
        <f>$D$35</f>
        <v>m³</v>
      </c>
      <c r="Y104" t="e">
        <f>#REF!</f>
        <v>#REF!</v>
      </c>
      <c r="Z104">
        <f>$F$35</f>
        <v>984570</v>
      </c>
      <c r="AA104" t="e">
        <f t="shared" si="40"/>
        <v>#REF!</v>
      </c>
      <c r="AB104">
        <v>2400</v>
      </c>
      <c r="AC104" t="e">
        <f t="shared" si="41"/>
        <v>#REF!</v>
      </c>
      <c r="AD104" t="s">
        <v>2168</v>
      </c>
      <c r="AE104" t="s">
        <v>2242</v>
      </c>
      <c r="AF104" t="str">
        <f>$D$35</f>
        <v>m³</v>
      </c>
      <c r="AG104" t="e">
        <f>#REF!</f>
        <v>#REF!</v>
      </c>
      <c r="AH104">
        <f>$F$35</f>
        <v>984570</v>
      </c>
      <c r="AI104" t="e">
        <f t="shared" si="42"/>
        <v>#REF!</v>
      </c>
      <c r="AJ104">
        <v>2400</v>
      </c>
      <c r="AK104" t="e">
        <f t="shared" si="43"/>
        <v>#REF!</v>
      </c>
    </row>
    <row r="105" spans="2:37" ht="15" hidden="1" customHeight="1">
      <c r="B105" t="s">
        <v>2170</v>
      </c>
      <c r="C105" t="s">
        <v>2243</v>
      </c>
      <c r="D105" t="str">
        <f>$D$36</f>
        <v>kg</v>
      </c>
      <c r="E105" t="e">
        <f>#REF!</f>
        <v>#REF!</v>
      </c>
      <c r="F105" s="634">
        <f>$F$36</f>
        <v>21480</v>
      </c>
      <c r="G105" s="634" t="e">
        <f t="shared" si="36"/>
        <v>#REF!</v>
      </c>
      <c r="H105">
        <v>1</v>
      </c>
      <c r="I105" t="e">
        <f t="shared" si="37"/>
        <v>#REF!</v>
      </c>
      <c r="N105" t="s">
        <v>2170</v>
      </c>
      <c r="O105" t="s">
        <v>2243</v>
      </c>
      <c r="P105" t="str">
        <f>$D$36</f>
        <v>kg</v>
      </c>
      <c r="Q105" t="e">
        <f>#REF!</f>
        <v>#REF!</v>
      </c>
      <c r="R105">
        <f>$F$36</f>
        <v>21480</v>
      </c>
      <c r="S105" s="634" t="e">
        <f t="shared" si="38"/>
        <v>#REF!</v>
      </c>
      <c r="T105">
        <v>1</v>
      </c>
      <c r="U105" t="e">
        <f t="shared" si="39"/>
        <v>#REF!</v>
      </c>
      <c r="V105" t="s">
        <v>2170</v>
      </c>
      <c r="W105" t="s">
        <v>2243</v>
      </c>
      <c r="X105" t="str">
        <f>$D$36</f>
        <v>kg</v>
      </c>
      <c r="Y105" t="e">
        <f>#REF!</f>
        <v>#REF!</v>
      </c>
      <c r="Z105">
        <f>$F$36</f>
        <v>21480</v>
      </c>
      <c r="AA105" t="e">
        <f t="shared" si="40"/>
        <v>#REF!</v>
      </c>
      <c r="AB105">
        <v>1</v>
      </c>
      <c r="AC105" t="e">
        <f t="shared" si="41"/>
        <v>#REF!</v>
      </c>
      <c r="AD105" t="s">
        <v>2170</v>
      </c>
      <c r="AE105" t="s">
        <v>2243</v>
      </c>
      <c r="AF105" t="str">
        <f>$D$36</f>
        <v>kg</v>
      </c>
      <c r="AG105" t="e">
        <f>#REF!</f>
        <v>#REF!</v>
      </c>
      <c r="AH105">
        <f>$F$36</f>
        <v>21480</v>
      </c>
      <c r="AI105" t="e">
        <f t="shared" si="42"/>
        <v>#REF!</v>
      </c>
      <c r="AJ105">
        <v>1</v>
      </c>
      <c r="AK105" t="e">
        <f t="shared" si="43"/>
        <v>#REF!</v>
      </c>
    </row>
    <row r="106" spans="2:37" ht="15" hidden="1" customHeight="1">
      <c r="B106" t="s">
        <v>2172</v>
      </c>
      <c r="C106" t="s">
        <v>2244</v>
      </c>
      <c r="D106" t="str">
        <f>$D$37</f>
        <v>m²</v>
      </c>
      <c r="E106" t="e">
        <f>#REF!</f>
        <v>#REF!</v>
      </c>
      <c r="F106" s="634">
        <f>$F$37</f>
        <v>225680</v>
      </c>
      <c r="G106" s="634" t="e">
        <f t="shared" si="36"/>
        <v>#REF!</v>
      </c>
      <c r="H106">
        <v>40</v>
      </c>
      <c r="I106" t="e">
        <f t="shared" si="37"/>
        <v>#REF!</v>
      </c>
      <c r="N106" t="s">
        <v>2172</v>
      </c>
      <c r="O106" t="s">
        <v>2244</v>
      </c>
      <c r="P106" t="str">
        <f>$D$37</f>
        <v>m²</v>
      </c>
      <c r="Q106" t="e">
        <f>#REF!</f>
        <v>#REF!</v>
      </c>
      <c r="R106">
        <f>$F$37</f>
        <v>225680</v>
      </c>
      <c r="S106" s="634" t="e">
        <f t="shared" si="38"/>
        <v>#REF!</v>
      </c>
      <c r="T106">
        <v>40</v>
      </c>
      <c r="U106" t="e">
        <f t="shared" si="39"/>
        <v>#REF!</v>
      </c>
      <c r="V106" t="s">
        <v>2172</v>
      </c>
      <c r="W106" t="s">
        <v>2244</v>
      </c>
      <c r="X106" t="str">
        <f>$D$37</f>
        <v>m²</v>
      </c>
      <c r="Y106" t="e">
        <f>#REF!</f>
        <v>#REF!</v>
      </c>
      <c r="Z106">
        <f>$F$37</f>
        <v>225680</v>
      </c>
      <c r="AA106" t="e">
        <f t="shared" si="40"/>
        <v>#REF!</v>
      </c>
      <c r="AB106">
        <v>40</v>
      </c>
      <c r="AC106" t="e">
        <f t="shared" si="41"/>
        <v>#REF!</v>
      </c>
      <c r="AD106" t="s">
        <v>2172</v>
      </c>
      <c r="AE106" t="s">
        <v>2244</v>
      </c>
      <c r="AF106" t="str">
        <f>$D$37</f>
        <v>m²</v>
      </c>
      <c r="AG106" t="e">
        <f>#REF!</f>
        <v>#REF!</v>
      </c>
      <c r="AH106">
        <f>$F$37</f>
        <v>225680</v>
      </c>
      <c r="AI106" t="e">
        <f t="shared" si="42"/>
        <v>#REF!</v>
      </c>
      <c r="AJ106">
        <v>40</v>
      </c>
      <c r="AK106" t="e">
        <f t="shared" si="43"/>
        <v>#REF!</v>
      </c>
    </row>
    <row r="107" spans="2:37" ht="15" hidden="1" customHeight="1">
      <c r="B107" t="s">
        <v>2174</v>
      </c>
      <c r="C107" t="s">
        <v>2246</v>
      </c>
      <c r="D107" t="str">
        <f>$D$38</f>
        <v>bh</v>
      </c>
      <c r="E107">
        <v>4</v>
      </c>
      <c r="F107" s="634">
        <f>$F$38</f>
        <v>4005.37</v>
      </c>
      <c r="G107" s="634">
        <f t="shared" si="36"/>
        <v>16021.48</v>
      </c>
      <c r="H107">
        <v>2.5</v>
      </c>
      <c r="I107">
        <f t="shared" si="37"/>
        <v>10</v>
      </c>
      <c r="N107" t="s">
        <v>2174</v>
      </c>
      <c r="O107" t="s">
        <v>2246</v>
      </c>
      <c r="P107" t="str">
        <f>$D$38</f>
        <v>bh</v>
      </c>
      <c r="Q107">
        <v>4</v>
      </c>
      <c r="R107">
        <f>$F$38</f>
        <v>4005.37</v>
      </c>
      <c r="S107" s="634">
        <f t="shared" si="38"/>
        <v>16021.48</v>
      </c>
      <c r="T107">
        <v>2.5</v>
      </c>
      <c r="U107">
        <f t="shared" si="39"/>
        <v>10</v>
      </c>
      <c r="V107" t="s">
        <v>2174</v>
      </c>
      <c r="W107" t="s">
        <v>2246</v>
      </c>
      <c r="X107" t="str">
        <f>$D$38</f>
        <v>bh</v>
      </c>
      <c r="Y107">
        <v>4</v>
      </c>
      <c r="Z107">
        <f>$F$38</f>
        <v>4005.37</v>
      </c>
      <c r="AA107">
        <f t="shared" si="40"/>
        <v>16021.48</v>
      </c>
      <c r="AB107">
        <v>2.5</v>
      </c>
      <c r="AC107">
        <f t="shared" si="41"/>
        <v>10</v>
      </c>
      <c r="AD107" t="s">
        <v>2174</v>
      </c>
      <c r="AE107" t="s">
        <v>2246</v>
      </c>
      <c r="AF107" t="str">
        <f>$D$38</f>
        <v>bh</v>
      </c>
      <c r="AG107">
        <v>4</v>
      </c>
      <c r="AH107">
        <f>$F$38</f>
        <v>4005.37</v>
      </c>
      <c r="AI107">
        <f t="shared" si="42"/>
        <v>16021.48</v>
      </c>
      <c r="AJ107">
        <v>2.5</v>
      </c>
      <c r="AK107">
        <f t="shared" si="43"/>
        <v>10</v>
      </c>
    </row>
    <row r="108" spans="2:37" ht="15" hidden="1" customHeight="1">
      <c r="I108" t="e">
        <f>SUM(I102:I107)</f>
        <v>#REF!</v>
      </c>
      <c r="U108" t="e">
        <f>SUM(U102:U107)</f>
        <v>#REF!</v>
      </c>
      <c r="AC108" t="e">
        <f>SUM(AC102:AC107)</f>
        <v>#REF!</v>
      </c>
      <c r="AK108" t="e">
        <f>SUM(AK102:AK107)</f>
        <v>#REF!</v>
      </c>
    </row>
    <row r="109" spans="2:37" ht="15" hidden="1" customHeight="1">
      <c r="B109">
        <v>3</v>
      </c>
      <c r="C109" t="s">
        <v>2086</v>
      </c>
      <c r="N109">
        <v>3</v>
      </c>
      <c r="O109" t="s">
        <v>2086</v>
      </c>
      <c r="V109">
        <v>3</v>
      </c>
      <c r="W109" t="s">
        <v>2086</v>
      </c>
      <c r="AD109">
        <v>3</v>
      </c>
      <c r="AE109" t="s">
        <v>2086</v>
      </c>
    </row>
    <row r="110" spans="2:37" ht="15" hidden="1" customHeight="1">
      <c r="B110" t="s">
        <v>721</v>
      </c>
      <c r="C110" t="s">
        <v>2247</v>
      </c>
      <c r="D110" t="str">
        <f>$D$41</f>
        <v>bh</v>
      </c>
      <c r="E110">
        <v>4</v>
      </c>
      <c r="F110" s="634">
        <f>$F$41</f>
        <v>75838.842142857146</v>
      </c>
      <c r="G110" s="634">
        <f t="shared" ref="G110:G115" si="44">E110*F110</f>
        <v>303355.36857142858</v>
      </c>
      <c r="N110" t="s">
        <v>721</v>
      </c>
      <c r="O110" t="s">
        <v>2247</v>
      </c>
      <c r="P110" t="str">
        <f>$D$41</f>
        <v>bh</v>
      </c>
      <c r="Q110">
        <v>4</v>
      </c>
      <c r="R110">
        <f>$F$41</f>
        <v>75838.842142857146</v>
      </c>
      <c r="S110" s="634">
        <f t="shared" ref="S110:S115" si="45">Q110*R110</f>
        <v>303355.36857142858</v>
      </c>
      <c r="V110" t="s">
        <v>721</v>
      </c>
      <c r="W110" t="s">
        <v>2247</v>
      </c>
      <c r="X110" t="str">
        <f>$D$41</f>
        <v>bh</v>
      </c>
      <c r="Y110">
        <v>4</v>
      </c>
      <c r="Z110">
        <f>$F$41</f>
        <v>75838.842142857146</v>
      </c>
      <c r="AA110">
        <f t="shared" ref="AA110:AA115" si="46">Y110*Z110</f>
        <v>303355.36857142858</v>
      </c>
      <c r="AD110" t="s">
        <v>721</v>
      </c>
      <c r="AE110" t="s">
        <v>2247</v>
      </c>
      <c r="AF110" t="str">
        <f>$D$41</f>
        <v>bh</v>
      </c>
      <c r="AG110">
        <v>4</v>
      </c>
      <c r="AH110">
        <f>$F$41</f>
        <v>75838.842142857146</v>
      </c>
      <c r="AI110">
        <f t="shared" ref="AI110:AI115" si="47">AG110*AH110</f>
        <v>303355.36857142858</v>
      </c>
    </row>
    <row r="111" spans="2:37" ht="15" hidden="1" customHeight="1">
      <c r="B111" t="s">
        <v>2166</v>
      </c>
      <c r="C111" t="s">
        <v>2085</v>
      </c>
      <c r="D111" t="str">
        <f>$D$42</f>
        <v>kg</v>
      </c>
      <c r="E111" t="e">
        <f>I108</f>
        <v>#REF!</v>
      </c>
      <c r="F111" s="634">
        <f>$F$42</f>
        <v>312.5</v>
      </c>
      <c r="G111" s="634" t="e">
        <f t="shared" si="44"/>
        <v>#REF!</v>
      </c>
      <c r="N111" t="s">
        <v>2166</v>
      </c>
      <c r="O111" t="s">
        <v>2085</v>
      </c>
      <c r="P111" t="str">
        <f>$D$42</f>
        <v>kg</v>
      </c>
      <c r="Q111" t="e">
        <f>U108</f>
        <v>#REF!</v>
      </c>
      <c r="R111">
        <f>$F$42</f>
        <v>312.5</v>
      </c>
      <c r="S111" s="634" t="e">
        <f t="shared" si="45"/>
        <v>#REF!</v>
      </c>
      <c r="V111" t="s">
        <v>2166</v>
      </c>
      <c r="W111" t="s">
        <v>2085</v>
      </c>
      <c r="X111" t="str">
        <f>$D$42</f>
        <v>kg</v>
      </c>
      <c r="Y111" t="e">
        <f>AC108</f>
        <v>#REF!</v>
      </c>
      <c r="Z111">
        <f>$F$42</f>
        <v>312.5</v>
      </c>
      <c r="AA111" t="e">
        <f t="shared" si="46"/>
        <v>#REF!</v>
      </c>
      <c r="AD111" t="s">
        <v>2166</v>
      </c>
      <c r="AE111" t="s">
        <v>2085</v>
      </c>
      <c r="AF111" t="str">
        <f>$D$42</f>
        <v>kg</v>
      </c>
      <c r="AG111" t="e">
        <f>AK108</f>
        <v>#REF!</v>
      </c>
      <c r="AH111">
        <f>$F$42</f>
        <v>312.5</v>
      </c>
      <c r="AI111" t="e">
        <f t="shared" si="47"/>
        <v>#REF!</v>
      </c>
    </row>
    <row r="112" spans="2:37" ht="15" hidden="1" customHeight="1">
      <c r="B112" t="s">
        <v>2168</v>
      </c>
      <c r="C112" t="s">
        <v>2249</v>
      </c>
      <c r="D112" t="str">
        <f>$D$43</f>
        <v>bh</v>
      </c>
      <c r="E112">
        <v>4</v>
      </c>
      <c r="F112" s="634">
        <f>$F$43</f>
        <v>47994.804749999996</v>
      </c>
      <c r="G112" s="634">
        <f t="shared" si="44"/>
        <v>191979.21899999998</v>
      </c>
      <c r="N112" t="s">
        <v>2168</v>
      </c>
      <c r="O112" t="s">
        <v>2249</v>
      </c>
      <c r="P112" t="str">
        <f>$D$43</f>
        <v>bh</v>
      </c>
      <c r="Q112">
        <v>4</v>
      </c>
      <c r="R112">
        <f>$F$43</f>
        <v>47994.804749999996</v>
      </c>
      <c r="S112" s="634">
        <f t="shared" si="45"/>
        <v>191979.21899999998</v>
      </c>
      <c r="V112" t="s">
        <v>2168</v>
      </c>
      <c r="W112" t="s">
        <v>2249</v>
      </c>
      <c r="X112" t="str">
        <f>$D$43</f>
        <v>bh</v>
      </c>
      <c r="Y112">
        <v>4</v>
      </c>
      <c r="Z112">
        <f>$F$43</f>
        <v>47994.804749999996</v>
      </c>
      <c r="AA112">
        <f t="shared" si="46"/>
        <v>191979.21899999998</v>
      </c>
      <c r="AD112" t="s">
        <v>2168</v>
      </c>
      <c r="AE112" t="s">
        <v>2249</v>
      </c>
      <c r="AF112" t="str">
        <f>$D$43</f>
        <v>bh</v>
      </c>
      <c r="AG112">
        <v>4</v>
      </c>
      <c r="AH112">
        <f>$F$43</f>
        <v>47994.804749999996</v>
      </c>
      <c r="AI112">
        <f t="shared" si="47"/>
        <v>191979.21899999998</v>
      </c>
    </row>
    <row r="113" spans="2:37" ht="15" hidden="1" customHeight="1">
      <c r="B113" t="s">
        <v>2170</v>
      </c>
      <c r="C113" t="s">
        <v>2250</v>
      </c>
      <c r="D113" t="str">
        <f>$D$44</f>
        <v>Ls</v>
      </c>
      <c r="E113">
        <f>'[53]Volume Tower'!$E$88</f>
        <v>167</v>
      </c>
      <c r="F113" s="634">
        <f>$F$44</f>
        <v>382862.9</v>
      </c>
      <c r="G113" s="634">
        <f t="shared" si="44"/>
        <v>63938104.300000004</v>
      </c>
      <c r="N113" t="s">
        <v>2170</v>
      </c>
      <c r="O113" t="s">
        <v>2250</v>
      </c>
      <c r="P113" t="str">
        <f>$D$44</f>
        <v>Ls</v>
      </c>
      <c r="Q113">
        <f>'[53]Volume Tower'!$E$96</f>
        <v>345</v>
      </c>
      <c r="R113">
        <f>$F$44</f>
        <v>382862.9</v>
      </c>
      <c r="S113" s="634">
        <f t="shared" si="45"/>
        <v>132087700.50000001</v>
      </c>
      <c r="V113" t="s">
        <v>2170</v>
      </c>
      <c r="W113" t="s">
        <v>2250</v>
      </c>
      <c r="X113" t="str">
        <f>$D$44</f>
        <v>Ls</v>
      </c>
      <c r="Y113">
        <f>'[53]Volume Tower'!$E$104</f>
        <v>440</v>
      </c>
      <c r="Z113">
        <f>$F$44</f>
        <v>382862.9</v>
      </c>
      <c r="AA113">
        <f t="shared" si="46"/>
        <v>168459676</v>
      </c>
      <c r="AD113" t="s">
        <v>2170</v>
      </c>
      <c r="AE113" t="s">
        <v>2250</v>
      </c>
      <c r="AF113" t="str">
        <f>$D$44</f>
        <v>Ls</v>
      </c>
      <c r="AG113">
        <f>'[53]Volume Tower'!$E$112</f>
        <v>503</v>
      </c>
      <c r="AH113">
        <f>$F$44</f>
        <v>382862.9</v>
      </c>
      <c r="AI113">
        <f t="shared" si="47"/>
        <v>192580038.70000002</v>
      </c>
    </row>
    <row r="114" spans="2:37" ht="15" hidden="1" customHeight="1">
      <c r="B114" t="s">
        <v>2172</v>
      </c>
      <c r="C114" t="s">
        <v>2251</v>
      </c>
      <c r="D114" t="str">
        <f>$D$45</f>
        <v>set</v>
      </c>
      <c r="E114">
        <v>1</v>
      </c>
      <c r="F114" s="634">
        <f>$F$45</f>
        <v>1307000</v>
      </c>
      <c r="G114" s="634">
        <f t="shared" si="44"/>
        <v>1307000</v>
      </c>
      <c r="N114" t="s">
        <v>2172</v>
      </c>
      <c r="O114" t="s">
        <v>2251</v>
      </c>
      <c r="P114" t="str">
        <f>$D$45</f>
        <v>set</v>
      </c>
      <c r="Q114">
        <v>1</v>
      </c>
      <c r="R114">
        <f>$F$45</f>
        <v>1307000</v>
      </c>
      <c r="S114" s="634">
        <f t="shared" si="45"/>
        <v>1307000</v>
      </c>
      <c r="V114" t="s">
        <v>2172</v>
      </c>
      <c r="W114" t="s">
        <v>2251</v>
      </c>
      <c r="X114" t="str">
        <f>$D$45</f>
        <v>set</v>
      </c>
      <c r="Y114">
        <v>1</v>
      </c>
      <c r="Z114">
        <f>$F$45</f>
        <v>1307000</v>
      </c>
      <c r="AA114">
        <f t="shared" si="46"/>
        <v>1307000</v>
      </c>
      <c r="AD114" t="s">
        <v>2172</v>
      </c>
      <c r="AE114" t="s">
        <v>2251</v>
      </c>
      <c r="AF114" t="str">
        <f>$D$45</f>
        <v>set</v>
      </c>
      <c r="AG114">
        <v>1</v>
      </c>
      <c r="AH114">
        <f>$F$45</f>
        <v>1307000</v>
      </c>
      <c r="AI114">
        <f t="shared" si="47"/>
        <v>1307000</v>
      </c>
    </row>
    <row r="115" spans="2:37" ht="15" hidden="1" customHeight="1">
      <c r="B115" t="s">
        <v>2174</v>
      </c>
      <c r="C115" t="s">
        <v>2252</v>
      </c>
      <c r="D115" t="str">
        <f>$D$46</f>
        <v>set</v>
      </c>
      <c r="E115">
        <v>1</v>
      </c>
      <c r="F115" s="634">
        <f>$F$46</f>
        <v>300000</v>
      </c>
      <c r="G115" s="634">
        <f t="shared" si="44"/>
        <v>300000</v>
      </c>
      <c r="N115" t="s">
        <v>2174</v>
      </c>
      <c r="O115" t="s">
        <v>2252</v>
      </c>
      <c r="P115" t="str">
        <f>$D$46</f>
        <v>set</v>
      </c>
      <c r="Q115">
        <v>1</v>
      </c>
      <c r="R115">
        <f>$F$46</f>
        <v>300000</v>
      </c>
      <c r="S115" s="634">
        <f t="shared" si="45"/>
        <v>300000</v>
      </c>
      <c r="V115" t="s">
        <v>2174</v>
      </c>
      <c r="W115" t="s">
        <v>2252</v>
      </c>
      <c r="X115" t="str">
        <f>$D$46</f>
        <v>set</v>
      </c>
      <c r="Y115">
        <v>1</v>
      </c>
      <c r="Z115">
        <f>$F$46</f>
        <v>300000</v>
      </c>
      <c r="AA115">
        <f t="shared" si="46"/>
        <v>300000</v>
      </c>
      <c r="AD115" t="s">
        <v>2174</v>
      </c>
      <c r="AE115" t="s">
        <v>2252</v>
      </c>
      <c r="AF115" t="str">
        <f>$D$46</f>
        <v>set</v>
      </c>
      <c r="AG115">
        <v>1</v>
      </c>
      <c r="AH115">
        <f>$F$46</f>
        <v>300000</v>
      </c>
      <c r="AI115">
        <f t="shared" si="47"/>
        <v>300000</v>
      </c>
    </row>
    <row r="116" spans="2:37" ht="15" hidden="1" customHeight="1" thickBot="1">
      <c r="C116" s="1041" t="s">
        <v>2260</v>
      </c>
      <c r="D116" s="1041"/>
      <c r="E116" s="1041"/>
      <c r="F116" s="1041"/>
      <c r="G116" s="634" t="e">
        <f>SUM(G98:G115)</f>
        <v>#REF!</v>
      </c>
      <c r="O116" s="1041" t="s">
        <v>2260</v>
      </c>
      <c r="P116" s="1041"/>
      <c r="Q116" s="1041"/>
      <c r="R116" s="1041"/>
      <c r="S116" s="634" t="e">
        <f>SUM(S98:S115)</f>
        <v>#REF!</v>
      </c>
      <c r="W116" s="1041" t="s">
        <v>2260</v>
      </c>
      <c r="X116" s="1041"/>
      <c r="Y116" s="1041"/>
      <c r="Z116" s="1041"/>
      <c r="AA116" t="e">
        <f>SUM(AA98:AA115)</f>
        <v>#REF!</v>
      </c>
      <c r="AE116" s="1041" t="s">
        <v>2260</v>
      </c>
      <c r="AF116" s="1041"/>
      <c r="AG116" s="1041"/>
      <c r="AH116" s="1041"/>
      <c r="AI116" t="e">
        <f>SUM(AI98:AI115)</f>
        <v>#REF!</v>
      </c>
    </row>
    <row r="117" spans="2:37" ht="15" hidden="1" customHeight="1" thickBot="1"/>
    <row r="118" spans="2:37" ht="15" hidden="1" customHeight="1" thickBot="1">
      <c r="B118" t="s">
        <v>2229</v>
      </c>
      <c r="N118" t="s">
        <v>2230</v>
      </c>
      <c r="V118" t="s">
        <v>2231</v>
      </c>
      <c r="AD118" t="s">
        <v>2254</v>
      </c>
    </row>
    <row r="119" spans="2:37" ht="15" hidden="1" customHeight="1">
      <c r="C119" t="s">
        <v>2261</v>
      </c>
      <c r="O119" t="s">
        <v>2261</v>
      </c>
      <c r="W119" t="s">
        <v>2261</v>
      </c>
      <c r="AE119" t="s">
        <v>2261</v>
      </c>
    </row>
    <row r="120" spans="2:37" ht="15" hidden="1" customHeight="1">
      <c r="B120">
        <v>1</v>
      </c>
      <c r="C120" t="s">
        <v>2234</v>
      </c>
      <c r="N120">
        <v>1</v>
      </c>
      <c r="O120" t="s">
        <v>2234</v>
      </c>
      <c r="V120">
        <v>1</v>
      </c>
      <c r="W120" t="s">
        <v>2234</v>
      </c>
      <c r="AD120">
        <v>1</v>
      </c>
      <c r="AE120" t="s">
        <v>2234</v>
      </c>
    </row>
    <row r="121" spans="2:37" ht="15" hidden="1" customHeight="1">
      <c r="B121" t="s">
        <v>721</v>
      </c>
      <c r="C121" t="s">
        <v>2235</v>
      </c>
      <c r="D121" t="str">
        <f>$D$29</f>
        <v>m³</v>
      </c>
      <c r="E121" t="e">
        <f>#REF!</f>
        <v>#REF!</v>
      </c>
      <c r="F121" s="634">
        <f>$F$29</f>
        <v>95400</v>
      </c>
      <c r="G121" s="634" t="e">
        <f>E121*F121</f>
        <v>#REF!</v>
      </c>
      <c r="N121" t="s">
        <v>721</v>
      </c>
      <c r="O121" t="s">
        <v>2235</v>
      </c>
      <c r="P121" t="str">
        <f>$D$29</f>
        <v>m³</v>
      </c>
      <c r="Q121" t="e">
        <f>#REF!</f>
        <v>#REF!</v>
      </c>
      <c r="R121">
        <f>$F$29</f>
        <v>95400</v>
      </c>
      <c r="S121" s="634" t="e">
        <f>Q121*R121</f>
        <v>#REF!</v>
      </c>
      <c r="V121" t="s">
        <v>721</v>
      </c>
      <c r="W121" t="s">
        <v>2235</v>
      </c>
      <c r="X121" t="str">
        <f>$D$29</f>
        <v>m³</v>
      </c>
      <c r="Y121" t="e">
        <f>#REF!</f>
        <v>#REF!</v>
      </c>
      <c r="Z121">
        <f>$F$29</f>
        <v>95400</v>
      </c>
      <c r="AA121" t="e">
        <f>Y121*Z121</f>
        <v>#REF!</v>
      </c>
      <c r="AD121" t="s">
        <v>721</v>
      </c>
      <c r="AE121" t="s">
        <v>2235</v>
      </c>
      <c r="AF121" t="str">
        <f>$D$29</f>
        <v>m³</v>
      </c>
      <c r="AG121" t="e">
        <f>#REF!</f>
        <v>#REF!</v>
      </c>
      <c r="AH121">
        <f>$F$29</f>
        <v>95400</v>
      </c>
      <c r="AI121" t="e">
        <f>AG121*AH121</f>
        <v>#REF!</v>
      </c>
    </row>
    <row r="122" spans="2:37" ht="15" hidden="1" customHeight="1">
      <c r="B122" t="s">
        <v>2166</v>
      </c>
      <c r="C122" t="s">
        <v>2237</v>
      </c>
      <c r="D122" t="str">
        <f>$D$30</f>
        <v>m³</v>
      </c>
      <c r="E122" t="e">
        <f>#REF!</f>
        <v>#REF!</v>
      </c>
      <c r="F122" s="634">
        <f>$F$30</f>
        <v>37680</v>
      </c>
      <c r="G122" s="634" t="e">
        <f>E122*F122</f>
        <v>#REF!</v>
      </c>
      <c r="N122" t="s">
        <v>2166</v>
      </c>
      <c r="O122" t="s">
        <v>2237</v>
      </c>
      <c r="P122" t="str">
        <f>$D$30</f>
        <v>m³</v>
      </c>
      <c r="Q122" t="e">
        <f>#REF!</f>
        <v>#REF!</v>
      </c>
      <c r="R122">
        <f>$F$30</f>
        <v>37680</v>
      </c>
      <c r="S122" s="634" t="e">
        <f>Q122*R122</f>
        <v>#REF!</v>
      </c>
      <c r="V122" t="s">
        <v>2166</v>
      </c>
      <c r="W122" t="s">
        <v>2237</v>
      </c>
      <c r="X122" t="str">
        <f>$D$30</f>
        <v>m³</v>
      </c>
      <c r="Y122" t="e">
        <f>#REF!</f>
        <v>#REF!</v>
      </c>
      <c r="Z122">
        <f>$F$30</f>
        <v>37680</v>
      </c>
      <c r="AA122" t="e">
        <f>Y122*Z122</f>
        <v>#REF!</v>
      </c>
      <c r="AD122" t="s">
        <v>2166</v>
      </c>
      <c r="AE122" t="s">
        <v>2237</v>
      </c>
      <c r="AF122" t="str">
        <f>$D$30</f>
        <v>m³</v>
      </c>
      <c r="AG122" t="e">
        <f>#REF!</f>
        <v>#REF!</v>
      </c>
      <c r="AH122">
        <f>$F$30</f>
        <v>37680</v>
      </c>
      <c r="AI122" t="e">
        <f>AG122*AH122</f>
        <v>#REF!</v>
      </c>
    </row>
    <row r="123" spans="2:37" ht="15" hidden="1" customHeight="1"/>
    <row r="124" spans="2:37" ht="15" hidden="1" customHeight="1">
      <c r="B124">
        <v>2</v>
      </c>
      <c r="C124" t="s">
        <v>2238</v>
      </c>
      <c r="H124" t="s">
        <v>2239</v>
      </c>
      <c r="N124">
        <v>2</v>
      </c>
      <c r="O124" t="s">
        <v>2238</v>
      </c>
      <c r="T124" t="s">
        <v>2239</v>
      </c>
      <c r="V124">
        <v>2</v>
      </c>
      <c r="W124" t="s">
        <v>2238</v>
      </c>
      <c r="AB124" t="s">
        <v>2239</v>
      </c>
      <c r="AD124">
        <v>2</v>
      </c>
      <c r="AE124" t="s">
        <v>2238</v>
      </c>
      <c r="AJ124" t="s">
        <v>2239</v>
      </c>
    </row>
    <row r="125" spans="2:37" ht="15" hidden="1" customHeight="1">
      <c r="B125" t="s">
        <v>721</v>
      </c>
      <c r="C125" t="s">
        <v>2240</v>
      </c>
      <c r="D125" t="str">
        <f>$D$33</f>
        <v>m³</v>
      </c>
      <c r="E125" t="e">
        <f>#REF!</f>
        <v>#REF!</v>
      </c>
      <c r="F125" s="634">
        <f>$F$33</f>
        <v>168600</v>
      </c>
      <c r="G125" s="634" t="e">
        <f t="shared" ref="G125:G130" si="48">E125*F125</f>
        <v>#REF!</v>
      </c>
      <c r="H125">
        <v>1400</v>
      </c>
      <c r="I125" t="e">
        <f t="shared" ref="I125:I130" si="49">E125*H125</f>
        <v>#REF!</v>
      </c>
      <c r="N125" t="s">
        <v>721</v>
      </c>
      <c r="O125" t="s">
        <v>2240</v>
      </c>
      <c r="P125" t="str">
        <f>$D$33</f>
        <v>m³</v>
      </c>
      <c r="Q125" t="e">
        <f>#REF!</f>
        <v>#REF!</v>
      </c>
      <c r="R125">
        <f>$F$33</f>
        <v>168600</v>
      </c>
      <c r="S125" s="634" t="e">
        <f t="shared" ref="S125:S130" si="50">Q125*R125</f>
        <v>#REF!</v>
      </c>
      <c r="T125">
        <v>1400</v>
      </c>
      <c r="U125" t="e">
        <f t="shared" ref="U125:U130" si="51">Q125*T125</f>
        <v>#REF!</v>
      </c>
      <c r="V125" t="s">
        <v>721</v>
      </c>
      <c r="W125" t="s">
        <v>2240</v>
      </c>
      <c r="X125" t="str">
        <f>$D$33</f>
        <v>m³</v>
      </c>
      <c r="Y125" t="e">
        <f>#REF!</f>
        <v>#REF!</v>
      </c>
      <c r="Z125">
        <f>$F$33</f>
        <v>168600</v>
      </c>
      <c r="AA125" t="e">
        <f t="shared" ref="AA125:AA130" si="52">Y125*Z125</f>
        <v>#REF!</v>
      </c>
      <c r="AB125">
        <v>1400</v>
      </c>
      <c r="AC125" t="e">
        <f t="shared" ref="AC125:AC130" si="53">Y125*AB125</f>
        <v>#REF!</v>
      </c>
      <c r="AD125" t="s">
        <v>721</v>
      </c>
      <c r="AE125" t="s">
        <v>2240</v>
      </c>
      <c r="AF125" t="str">
        <f>$D$33</f>
        <v>m³</v>
      </c>
      <c r="AG125" t="e">
        <f>#REF!</f>
        <v>#REF!</v>
      </c>
      <c r="AH125">
        <f>$F$33</f>
        <v>168600</v>
      </c>
      <c r="AI125" t="e">
        <f t="shared" ref="AI125:AI130" si="54">AG125*AH125</f>
        <v>#REF!</v>
      </c>
      <c r="AJ125">
        <v>1400</v>
      </c>
      <c r="AK125" t="e">
        <f t="shared" ref="AK125:AK130" si="55">AG125*AJ125</f>
        <v>#REF!</v>
      </c>
    </row>
    <row r="126" spans="2:37" ht="15" hidden="1" customHeight="1">
      <c r="B126" t="s">
        <v>2166</v>
      </c>
      <c r="C126" t="s">
        <v>2241</v>
      </c>
      <c r="D126" t="str">
        <f>$D$34</f>
        <v>m³</v>
      </c>
      <c r="E126" t="e">
        <f>#REF!</f>
        <v>#REF!</v>
      </c>
      <c r="F126" s="634">
        <f>$F$34</f>
        <v>921940</v>
      </c>
      <c r="G126" s="634" t="e">
        <f t="shared" si="48"/>
        <v>#REF!</v>
      </c>
      <c r="H126">
        <v>2200</v>
      </c>
      <c r="I126" t="e">
        <f t="shared" si="49"/>
        <v>#REF!</v>
      </c>
      <c r="N126" t="s">
        <v>2166</v>
      </c>
      <c r="O126" t="s">
        <v>2241</v>
      </c>
      <c r="P126" t="str">
        <f>$D$34</f>
        <v>m³</v>
      </c>
      <c r="Q126" t="e">
        <f>#REF!</f>
        <v>#REF!</v>
      </c>
      <c r="R126">
        <f>$F$34</f>
        <v>921940</v>
      </c>
      <c r="S126" s="634" t="e">
        <f t="shared" si="50"/>
        <v>#REF!</v>
      </c>
      <c r="T126">
        <v>2200</v>
      </c>
      <c r="U126" t="e">
        <f t="shared" si="51"/>
        <v>#REF!</v>
      </c>
      <c r="V126" t="s">
        <v>2166</v>
      </c>
      <c r="W126" t="s">
        <v>2241</v>
      </c>
      <c r="X126" t="str">
        <f>$D$34</f>
        <v>m³</v>
      </c>
      <c r="Y126" t="e">
        <f>#REF!</f>
        <v>#REF!</v>
      </c>
      <c r="Z126">
        <f>$F$34</f>
        <v>921940</v>
      </c>
      <c r="AA126" t="e">
        <f t="shared" si="52"/>
        <v>#REF!</v>
      </c>
      <c r="AB126">
        <v>2200</v>
      </c>
      <c r="AC126" t="e">
        <f t="shared" si="53"/>
        <v>#REF!</v>
      </c>
      <c r="AD126" t="s">
        <v>2166</v>
      </c>
      <c r="AE126" t="s">
        <v>2241</v>
      </c>
      <c r="AF126" t="str">
        <f>$D$34</f>
        <v>m³</v>
      </c>
      <c r="AG126" t="e">
        <f>#REF!</f>
        <v>#REF!</v>
      </c>
      <c r="AH126">
        <f>$F$34</f>
        <v>921940</v>
      </c>
      <c r="AI126" t="e">
        <f t="shared" si="54"/>
        <v>#REF!</v>
      </c>
      <c r="AJ126">
        <v>2200</v>
      </c>
      <c r="AK126" t="e">
        <f t="shared" si="55"/>
        <v>#REF!</v>
      </c>
    </row>
    <row r="127" spans="2:37" ht="15" hidden="1" customHeight="1">
      <c r="B127" t="s">
        <v>2168</v>
      </c>
      <c r="C127" t="s">
        <v>2242</v>
      </c>
      <c r="D127" t="str">
        <f>$D$35</f>
        <v>m³</v>
      </c>
      <c r="E127" t="e">
        <f>#REF!</f>
        <v>#REF!</v>
      </c>
      <c r="F127" s="634">
        <f>$F$35</f>
        <v>984570</v>
      </c>
      <c r="G127" s="634" t="e">
        <f t="shared" si="48"/>
        <v>#REF!</v>
      </c>
      <c r="H127">
        <v>2400</v>
      </c>
      <c r="I127" t="e">
        <f t="shared" si="49"/>
        <v>#REF!</v>
      </c>
      <c r="N127" t="s">
        <v>2168</v>
      </c>
      <c r="O127" t="s">
        <v>2242</v>
      </c>
      <c r="P127" t="str">
        <f>$D$35</f>
        <v>m³</v>
      </c>
      <c r="Q127" t="e">
        <f>#REF!</f>
        <v>#REF!</v>
      </c>
      <c r="R127">
        <f>$F$35</f>
        <v>984570</v>
      </c>
      <c r="S127" s="634" t="e">
        <f t="shared" si="50"/>
        <v>#REF!</v>
      </c>
      <c r="T127">
        <v>2400</v>
      </c>
      <c r="U127" t="e">
        <f t="shared" si="51"/>
        <v>#REF!</v>
      </c>
      <c r="V127" t="s">
        <v>2168</v>
      </c>
      <c r="W127" t="s">
        <v>2242</v>
      </c>
      <c r="X127" t="str">
        <f>$D$35</f>
        <v>m³</v>
      </c>
      <c r="Y127" t="e">
        <f>#REF!</f>
        <v>#REF!</v>
      </c>
      <c r="Z127">
        <f>$F$35</f>
        <v>984570</v>
      </c>
      <c r="AA127" t="e">
        <f t="shared" si="52"/>
        <v>#REF!</v>
      </c>
      <c r="AB127">
        <v>2400</v>
      </c>
      <c r="AC127" t="e">
        <f t="shared" si="53"/>
        <v>#REF!</v>
      </c>
      <c r="AD127" t="s">
        <v>2168</v>
      </c>
      <c r="AE127" t="s">
        <v>2242</v>
      </c>
      <c r="AF127" t="str">
        <f>$D$35</f>
        <v>m³</v>
      </c>
      <c r="AG127" t="e">
        <f>#REF!</f>
        <v>#REF!</v>
      </c>
      <c r="AH127">
        <f>$F$35</f>
        <v>984570</v>
      </c>
      <c r="AI127" t="e">
        <f t="shared" si="54"/>
        <v>#REF!</v>
      </c>
      <c r="AJ127">
        <v>2400</v>
      </c>
      <c r="AK127" t="e">
        <f t="shared" si="55"/>
        <v>#REF!</v>
      </c>
    </row>
    <row r="128" spans="2:37" ht="15" hidden="1" customHeight="1">
      <c r="B128" t="s">
        <v>2170</v>
      </c>
      <c r="C128" t="s">
        <v>2243</v>
      </c>
      <c r="D128" t="str">
        <f>$D$36</f>
        <v>kg</v>
      </c>
      <c r="E128" t="e">
        <f>#REF!</f>
        <v>#REF!</v>
      </c>
      <c r="F128" s="634">
        <f>$F$36</f>
        <v>21480</v>
      </c>
      <c r="G128" s="634" t="e">
        <f t="shared" si="48"/>
        <v>#REF!</v>
      </c>
      <c r="H128">
        <v>1</v>
      </c>
      <c r="I128" t="e">
        <f t="shared" si="49"/>
        <v>#REF!</v>
      </c>
      <c r="N128" t="s">
        <v>2170</v>
      </c>
      <c r="O128" t="s">
        <v>2243</v>
      </c>
      <c r="P128" t="str">
        <f>$D$36</f>
        <v>kg</v>
      </c>
      <c r="Q128" t="e">
        <f>#REF!</f>
        <v>#REF!</v>
      </c>
      <c r="R128">
        <f>$F$36</f>
        <v>21480</v>
      </c>
      <c r="S128" s="634" t="e">
        <f t="shared" si="50"/>
        <v>#REF!</v>
      </c>
      <c r="T128">
        <v>1</v>
      </c>
      <c r="U128" t="e">
        <f t="shared" si="51"/>
        <v>#REF!</v>
      </c>
      <c r="V128" t="s">
        <v>2170</v>
      </c>
      <c r="W128" t="s">
        <v>2243</v>
      </c>
      <c r="X128" t="str">
        <f>$D$36</f>
        <v>kg</v>
      </c>
      <c r="Y128" t="e">
        <f>#REF!</f>
        <v>#REF!</v>
      </c>
      <c r="Z128">
        <f>$F$36</f>
        <v>21480</v>
      </c>
      <c r="AA128" t="e">
        <f t="shared" si="52"/>
        <v>#REF!</v>
      </c>
      <c r="AB128">
        <v>1</v>
      </c>
      <c r="AC128" t="e">
        <f t="shared" si="53"/>
        <v>#REF!</v>
      </c>
      <c r="AD128" t="s">
        <v>2170</v>
      </c>
      <c r="AE128" t="s">
        <v>2243</v>
      </c>
      <c r="AF128" t="str">
        <f>$D$36</f>
        <v>kg</v>
      </c>
      <c r="AG128" t="e">
        <f>#REF!</f>
        <v>#REF!</v>
      </c>
      <c r="AH128">
        <f>$F$36</f>
        <v>21480</v>
      </c>
      <c r="AI128" t="e">
        <f t="shared" si="54"/>
        <v>#REF!</v>
      </c>
      <c r="AJ128">
        <v>1</v>
      </c>
      <c r="AK128" t="e">
        <f t="shared" si="55"/>
        <v>#REF!</v>
      </c>
    </row>
    <row r="129" spans="2:37" ht="15" hidden="1" customHeight="1">
      <c r="B129" t="s">
        <v>2172</v>
      </c>
      <c r="C129" t="s">
        <v>2244</v>
      </c>
      <c r="D129" t="str">
        <f>$D$37</f>
        <v>m²</v>
      </c>
      <c r="E129" t="e">
        <f>#REF!</f>
        <v>#REF!</v>
      </c>
      <c r="F129" s="634">
        <f>$F$37</f>
        <v>225680</v>
      </c>
      <c r="G129" s="634" t="e">
        <f t="shared" si="48"/>
        <v>#REF!</v>
      </c>
      <c r="H129">
        <v>40</v>
      </c>
      <c r="I129" t="e">
        <f t="shared" si="49"/>
        <v>#REF!</v>
      </c>
      <c r="N129" t="s">
        <v>2172</v>
      </c>
      <c r="O129" t="s">
        <v>2244</v>
      </c>
      <c r="P129" t="str">
        <f>$D$37</f>
        <v>m²</v>
      </c>
      <c r="Q129" t="e">
        <f>#REF!</f>
        <v>#REF!</v>
      </c>
      <c r="R129">
        <f>$F$37</f>
        <v>225680</v>
      </c>
      <c r="S129" s="634" t="e">
        <f t="shared" si="50"/>
        <v>#REF!</v>
      </c>
      <c r="T129">
        <v>40</v>
      </c>
      <c r="U129" t="e">
        <f t="shared" si="51"/>
        <v>#REF!</v>
      </c>
      <c r="V129" t="s">
        <v>2172</v>
      </c>
      <c r="W129" t="s">
        <v>2244</v>
      </c>
      <c r="X129" t="str">
        <f>$D$37</f>
        <v>m²</v>
      </c>
      <c r="Y129" t="e">
        <f>#REF!</f>
        <v>#REF!</v>
      </c>
      <c r="Z129">
        <f>$F$37</f>
        <v>225680</v>
      </c>
      <c r="AA129" t="e">
        <f t="shared" si="52"/>
        <v>#REF!</v>
      </c>
      <c r="AB129">
        <v>40</v>
      </c>
      <c r="AC129" t="e">
        <f t="shared" si="53"/>
        <v>#REF!</v>
      </c>
      <c r="AD129" t="s">
        <v>2172</v>
      </c>
      <c r="AE129" t="s">
        <v>2244</v>
      </c>
      <c r="AF129" t="str">
        <f>$D$37</f>
        <v>m²</v>
      </c>
      <c r="AG129" t="e">
        <f>#REF!</f>
        <v>#REF!</v>
      </c>
      <c r="AH129">
        <f>$F$37</f>
        <v>225680</v>
      </c>
      <c r="AI129" t="e">
        <f t="shared" si="54"/>
        <v>#REF!</v>
      </c>
      <c r="AJ129">
        <v>40</v>
      </c>
      <c r="AK129" t="e">
        <f t="shared" si="55"/>
        <v>#REF!</v>
      </c>
    </row>
    <row r="130" spans="2:37" ht="15" hidden="1" customHeight="1">
      <c r="B130" t="s">
        <v>2174</v>
      </c>
      <c r="C130" t="s">
        <v>2246</v>
      </c>
      <c r="D130" t="str">
        <f>$D$38</f>
        <v>bh</v>
      </c>
      <c r="E130">
        <v>4</v>
      </c>
      <c r="F130" s="634">
        <f>$F$38</f>
        <v>4005.37</v>
      </c>
      <c r="G130" s="634">
        <f t="shared" si="48"/>
        <v>16021.48</v>
      </c>
      <c r="H130">
        <v>2.5</v>
      </c>
      <c r="I130">
        <f t="shared" si="49"/>
        <v>10</v>
      </c>
      <c r="N130" t="s">
        <v>2174</v>
      </c>
      <c r="O130" t="s">
        <v>2246</v>
      </c>
      <c r="P130" t="str">
        <f>$D$38</f>
        <v>bh</v>
      </c>
      <c r="Q130">
        <v>4</v>
      </c>
      <c r="R130">
        <f>$F$38</f>
        <v>4005.37</v>
      </c>
      <c r="S130" s="634">
        <f t="shared" si="50"/>
        <v>16021.48</v>
      </c>
      <c r="T130">
        <v>2.5</v>
      </c>
      <c r="U130">
        <f t="shared" si="51"/>
        <v>10</v>
      </c>
      <c r="V130" t="s">
        <v>2174</v>
      </c>
      <c r="W130" t="s">
        <v>2246</v>
      </c>
      <c r="X130" t="str">
        <f>$D$38</f>
        <v>bh</v>
      </c>
      <c r="Y130">
        <v>4</v>
      </c>
      <c r="Z130">
        <f>$F$38</f>
        <v>4005.37</v>
      </c>
      <c r="AA130">
        <f t="shared" si="52"/>
        <v>16021.48</v>
      </c>
      <c r="AB130">
        <v>2.5</v>
      </c>
      <c r="AC130">
        <f t="shared" si="53"/>
        <v>10</v>
      </c>
      <c r="AD130" t="s">
        <v>2174</v>
      </c>
      <c r="AE130" t="s">
        <v>2246</v>
      </c>
      <c r="AF130" t="str">
        <f>$D$38</f>
        <v>bh</v>
      </c>
      <c r="AG130">
        <v>4</v>
      </c>
      <c r="AH130">
        <f>$F$38</f>
        <v>4005.37</v>
      </c>
      <c r="AI130">
        <f t="shared" si="54"/>
        <v>16021.48</v>
      </c>
      <c r="AJ130">
        <v>2.5</v>
      </c>
      <c r="AK130">
        <f t="shared" si="55"/>
        <v>10</v>
      </c>
    </row>
    <row r="131" spans="2:37" ht="15" hidden="1" customHeight="1">
      <c r="I131" t="e">
        <f>SUM(I125:I130)</f>
        <v>#REF!</v>
      </c>
      <c r="U131" t="e">
        <f>SUM(U125:U130)</f>
        <v>#REF!</v>
      </c>
      <c r="AC131" t="e">
        <f>SUM(AC125:AC130)</f>
        <v>#REF!</v>
      </c>
      <c r="AK131" t="e">
        <f>SUM(AK125:AK130)</f>
        <v>#REF!</v>
      </c>
    </row>
    <row r="132" spans="2:37" ht="15" hidden="1" customHeight="1">
      <c r="B132">
        <v>3</v>
      </c>
      <c r="C132" t="s">
        <v>2086</v>
      </c>
      <c r="N132">
        <v>3</v>
      </c>
      <c r="O132" t="s">
        <v>2086</v>
      </c>
      <c r="V132">
        <v>3</v>
      </c>
      <c r="W132" t="s">
        <v>2086</v>
      </c>
      <c r="AD132">
        <v>3</v>
      </c>
      <c r="AE132" t="s">
        <v>2086</v>
      </c>
    </row>
    <row r="133" spans="2:37" ht="15" hidden="1" customHeight="1">
      <c r="B133" t="s">
        <v>721</v>
      </c>
      <c r="C133" t="s">
        <v>2247</v>
      </c>
      <c r="D133" t="str">
        <f>$D$41</f>
        <v>bh</v>
      </c>
      <c r="E133">
        <v>4</v>
      </c>
      <c r="F133" s="634">
        <f>$F$41</f>
        <v>75838.842142857146</v>
      </c>
      <c r="G133" s="634">
        <f t="shared" ref="G133:G138" si="56">E133*F133</f>
        <v>303355.36857142858</v>
      </c>
      <c r="N133" t="s">
        <v>721</v>
      </c>
      <c r="O133" t="s">
        <v>2247</v>
      </c>
      <c r="P133" t="str">
        <f>$D$41</f>
        <v>bh</v>
      </c>
      <c r="Q133">
        <v>4</v>
      </c>
      <c r="R133">
        <f>$F$41</f>
        <v>75838.842142857146</v>
      </c>
      <c r="S133" s="634">
        <f t="shared" ref="S133:S138" si="57">Q133*R133</f>
        <v>303355.36857142858</v>
      </c>
      <c r="V133" t="s">
        <v>721</v>
      </c>
      <c r="W133" t="s">
        <v>2247</v>
      </c>
      <c r="X133" t="str">
        <f>$D$41</f>
        <v>bh</v>
      </c>
      <c r="Y133">
        <v>4</v>
      </c>
      <c r="Z133">
        <f>$F$41</f>
        <v>75838.842142857146</v>
      </c>
      <c r="AA133">
        <f t="shared" ref="AA133:AA138" si="58">Y133*Z133</f>
        <v>303355.36857142858</v>
      </c>
      <c r="AD133" t="s">
        <v>721</v>
      </c>
      <c r="AE133" t="s">
        <v>2247</v>
      </c>
      <c r="AF133" t="str">
        <f>$D$41</f>
        <v>bh</v>
      </c>
      <c r="AG133">
        <v>4</v>
      </c>
      <c r="AH133">
        <f>$F$41</f>
        <v>75838.842142857146</v>
      </c>
      <c r="AI133">
        <f t="shared" ref="AI133:AI138" si="59">AG133*AH133</f>
        <v>303355.36857142858</v>
      </c>
    </row>
    <row r="134" spans="2:37" ht="15" hidden="1" customHeight="1">
      <c r="B134" t="s">
        <v>2166</v>
      </c>
      <c r="C134" t="s">
        <v>2085</v>
      </c>
      <c r="D134" t="str">
        <f>$D$42</f>
        <v>kg</v>
      </c>
      <c r="E134" t="e">
        <f>I131</f>
        <v>#REF!</v>
      </c>
      <c r="F134" s="634">
        <f>$F$42</f>
        <v>312.5</v>
      </c>
      <c r="G134" s="634" t="e">
        <f t="shared" si="56"/>
        <v>#REF!</v>
      </c>
      <c r="N134" t="s">
        <v>2166</v>
      </c>
      <c r="O134" t="s">
        <v>2085</v>
      </c>
      <c r="P134" t="str">
        <f>$D$42</f>
        <v>kg</v>
      </c>
      <c r="Q134" t="e">
        <f>U131</f>
        <v>#REF!</v>
      </c>
      <c r="R134">
        <f>$F$42</f>
        <v>312.5</v>
      </c>
      <c r="S134" s="634" t="e">
        <f t="shared" si="57"/>
        <v>#REF!</v>
      </c>
      <c r="V134" t="s">
        <v>2166</v>
      </c>
      <c r="W134" t="s">
        <v>2085</v>
      </c>
      <c r="X134" t="str">
        <f>$D$42</f>
        <v>kg</v>
      </c>
      <c r="Y134" t="e">
        <f>AC131</f>
        <v>#REF!</v>
      </c>
      <c r="Z134">
        <f>$F$42</f>
        <v>312.5</v>
      </c>
      <c r="AA134" t="e">
        <f t="shared" si="58"/>
        <v>#REF!</v>
      </c>
      <c r="AD134" t="s">
        <v>2166</v>
      </c>
      <c r="AE134" t="s">
        <v>2085</v>
      </c>
      <c r="AF134" t="str">
        <f>$D$42</f>
        <v>kg</v>
      </c>
      <c r="AG134" t="e">
        <f>AK131</f>
        <v>#REF!</v>
      </c>
      <c r="AH134">
        <f>$F$42</f>
        <v>312.5</v>
      </c>
      <c r="AI134" t="e">
        <f t="shared" si="59"/>
        <v>#REF!</v>
      </c>
    </row>
    <row r="135" spans="2:37" ht="15" hidden="1" customHeight="1">
      <c r="B135" t="s">
        <v>2168</v>
      </c>
      <c r="C135" t="s">
        <v>2249</v>
      </c>
      <c r="D135" t="str">
        <f>$D$43</f>
        <v>bh</v>
      </c>
      <c r="E135">
        <v>4</v>
      </c>
      <c r="F135" s="634">
        <f>$F$43</f>
        <v>47994.804749999996</v>
      </c>
      <c r="G135" s="634">
        <f t="shared" si="56"/>
        <v>191979.21899999998</v>
      </c>
      <c r="N135" t="s">
        <v>2168</v>
      </c>
      <c r="O135" t="s">
        <v>2249</v>
      </c>
      <c r="P135" t="str">
        <f>$D$43</f>
        <v>bh</v>
      </c>
      <c r="Q135">
        <v>4</v>
      </c>
      <c r="R135">
        <f>$F$43</f>
        <v>47994.804749999996</v>
      </c>
      <c r="S135" s="634">
        <f t="shared" si="57"/>
        <v>191979.21899999998</v>
      </c>
      <c r="V135" t="s">
        <v>2168</v>
      </c>
      <c r="W135" t="s">
        <v>2249</v>
      </c>
      <c r="X135" t="str">
        <f>$D$43</f>
        <v>bh</v>
      </c>
      <c r="Y135">
        <v>4</v>
      </c>
      <c r="Z135">
        <f>$F$43</f>
        <v>47994.804749999996</v>
      </c>
      <c r="AA135">
        <f t="shared" si="58"/>
        <v>191979.21899999998</v>
      </c>
      <c r="AD135" t="s">
        <v>2168</v>
      </c>
      <c r="AE135" t="s">
        <v>2249</v>
      </c>
      <c r="AF135" t="str">
        <f>$D$43</f>
        <v>bh</v>
      </c>
      <c r="AG135">
        <v>4</v>
      </c>
      <c r="AH135">
        <f>$F$43</f>
        <v>47994.804749999996</v>
      </c>
      <c r="AI135">
        <f t="shared" si="59"/>
        <v>191979.21899999998</v>
      </c>
    </row>
    <row r="136" spans="2:37" ht="15" hidden="1" customHeight="1">
      <c r="B136" t="s">
        <v>2170</v>
      </c>
      <c r="C136" t="s">
        <v>2250</v>
      </c>
      <c r="D136" t="str">
        <f>$D$44</f>
        <v>Ls</v>
      </c>
      <c r="E136">
        <f>'[53]Volume Tower'!$E$88</f>
        <v>167</v>
      </c>
      <c r="F136" s="634">
        <f>$F$44</f>
        <v>382862.9</v>
      </c>
      <c r="G136" s="634">
        <f t="shared" si="56"/>
        <v>63938104.300000004</v>
      </c>
      <c r="N136" t="s">
        <v>2170</v>
      </c>
      <c r="O136" t="s">
        <v>2250</v>
      </c>
      <c r="P136" t="str">
        <f>$D$44</f>
        <v>Ls</v>
      </c>
      <c r="Q136">
        <f>'[53]Volume Tower'!$E$96</f>
        <v>345</v>
      </c>
      <c r="R136">
        <f>$F$44</f>
        <v>382862.9</v>
      </c>
      <c r="S136" s="634">
        <f t="shared" si="57"/>
        <v>132087700.50000001</v>
      </c>
      <c r="V136" t="s">
        <v>2170</v>
      </c>
      <c r="W136" t="s">
        <v>2250</v>
      </c>
      <c r="X136" t="str">
        <f>$D$44</f>
        <v>Ls</v>
      </c>
      <c r="Y136">
        <f>'[53]Volume Tower'!$E$104</f>
        <v>440</v>
      </c>
      <c r="Z136">
        <f>$F$44</f>
        <v>382862.9</v>
      </c>
      <c r="AA136">
        <f t="shared" si="58"/>
        <v>168459676</v>
      </c>
      <c r="AD136" t="s">
        <v>2170</v>
      </c>
      <c r="AE136" t="s">
        <v>2250</v>
      </c>
      <c r="AF136" t="str">
        <f>$D$44</f>
        <v>Ls</v>
      </c>
      <c r="AG136">
        <f>'[53]Volume Tower'!$E$112</f>
        <v>503</v>
      </c>
      <c r="AH136">
        <f>$F$44</f>
        <v>382862.9</v>
      </c>
      <c r="AI136">
        <f t="shared" si="59"/>
        <v>192580038.70000002</v>
      </c>
    </row>
    <row r="137" spans="2:37" ht="15" hidden="1" customHeight="1">
      <c r="B137" t="s">
        <v>2172</v>
      </c>
      <c r="C137" t="s">
        <v>2251</v>
      </c>
      <c r="D137" t="str">
        <f>$D$45</f>
        <v>set</v>
      </c>
      <c r="E137">
        <v>1</v>
      </c>
      <c r="F137" s="634">
        <f>$F$45</f>
        <v>1307000</v>
      </c>
      <c r="G137" s="634">
        <f t="shared" si="56"/>
        <v>1307000</v>
      </c>
      <c r="N137" t="s">
        <v>2172</v>
      </c>
      <c r="O137" t="s">
        <v>2251</v>
      </c>
      <c r="P137" t="str">
        <f>$D$45</f>
        <v>set</v>
      </c>
      <c r="Q137">
        <v>1</v>
      </c>
      <c r="R137">
        <f>$F$45</f>
        <v>1307000</v>
      </c>
      <c r="S137" s="634">
        <f t="shared" si="57"/>
        <v>1307000</v>
      </c>
      <c r="V137" t="s">
        <v>2172</v>
      </c>
      <c r="W137" t="s">
        <v>2251</v>
      </c>
      <c r="X137" t="str">
        <f>$D$45</f>
        <v>set</v>
      </c>
      <c r="Y137">
        <v>1</v>
      </c>
      <c r="Z137">
        <f>$F$45</f>
        <v>1307000</v>
      </c>
      <c r="AA137">
        <f t="shared" si="58"/>
        <v>1307000</v>
      </c>
      <c r="AD137" t="s">
        <v>2172</v>
      </c>
      <c r="AE137" t="s">
        <v>2251</v>
      </c>
      <c r="AF137" t="str">
        <f>$D$45</f>
        <v>set</v>
      </c>
      <c r="AG137">
        <v>1</v>
      </c>
      <c r="AH137">
        <f>$F$45</f>
        <v>1307000</v>
      </c>
      <c r="AI137">
        <f t="shared" si="59"/>
        <v>1307000</v>
      </c>
    </row>
    <row r="138" spans="2:37" ht="15" hidden="1" customHeight="1">
      <c r="B138" t="s">
        <v>2174</v>
      </c>
      <c r="C138" t="s">
        <v>2252</v>
      </c>
      <c r="D138" t="str">
        <f>$D$46</f>
        <v>set</v>
      </c>
      <c r="E138">
        <v>1</v>
      </c>
      <c r="F138" s="634">
        <f>$F$46</f>
        <v>300000</v>
      </c>
      <c r="G138" s="634">
        <f t="shared" si="56"/>
        <v>300000</v>
      </c>
      <c r="N138" t="s">
        <v>2174</v>
      </c>
      <c r="O138" t="s">
        <v>2252</v>
      </c>
      <c r="P138" t="str">
        <f>$D$46</f>
        <v>set</v>
      </c>
      <c r="Q138">
        <v>1</v>
      </c>
      <c r="R138">
        <f>$F$46</f>
        <v>300000</v>
      </c>
      <c r="S138" s="634">
        <f t="shared" si="57"/>
        <v>300000</v>
      </c>
      <c r="V138" t="s">
        <v>2174</v>
      </c>
      <c r="W138" t="s">
        <v>2252</v>
      </c>
      <c r="X138" t="str">
        <f>$D$46</f>
        <v>set</v>
      </c>
      <c r="Y138">
        <v>1</v>
      </c>
      <c r="Z138">
        <f>$F$46</f>
        <v>300000</v>
      </c>
      <c r="AA138">
        <f t="shared" si="58"/>
        <v>300000</v>
      </c>
      <c r="AD138" t="s">
        <v>2174</v>
      </c>
      <c r="AE138" t="s">
        <v>2252</v>
      </c>
      <c r="AF138" t="str">
        <f>$D$46</f>
        <v>set</v>
      </c>
      <c r="AG138">
        <v>1</v>
      </c>
      <c r="AH138">
        <f>$F$46</f>
        <v>300000</v>
      </c>
      <c r="AI138">
        <f t="shared" si="59"/>
        <v>300000</v>
      </c>
    </row>
    <row r="139" spans="2:37" ht="15" hidden="1" customHeight="1" thickBot="1">
      <c r="C139" s="1041" t="s">
        <v>2262</v>
      </c>
      <c r="D139" s="1041"/>
      <c r="E139" s="1041"/>
      <c r="F139" s="1041"/>
      <c r="G139" s="634" t="e">
        <f>SUM(G121:G138)</f>
        <v>#REF!</v>
      </c>
      <c r="O139" s="1041" t="s">
        <v>2262</v>
      </c>
      <c r="P139" s="1041"/>
      <c r="Q139" s="1041"/>
      <c r="R139" s="1041"/>
      <c r="S139" s="634" t="e">
        <f>SUM(S121:S138)</f>
        <v>#REF!</v>
      </c>
      <c r="W139" s="1041" t="s">
        <v>2262</v>
      </c>
      <c r="X139" s="1041"/>
      <c r="Y139" s="1041"/>
      <c r="Z139" s="1041"/>
      <c r="AA139" t="e">
        <f>SUM(AA121:AA138)</f>
        <v>#REF!</v>
      </c>
      <c r="AE139" s="1041" t="s">
        <v>2262</v>
      </c>
      <c r="AF139" s="1041"/>
      <c r="AG139" s="1041"/>
      <c r="AH139" s="1041"/>
      <c r="AI139" t="e">
        <f>SUM(AI121:AI138)</f>
        <v>#REF!</v>
      </c>
    </row>
    <row r="140" spans="2:37" ht="15" hidden="1" customHeight="1" thickBot="1"/>
    <row r="141" spans="2:37" ht="15" customHeight="1"/>
    <row r="142" spans="2:37" ht="15" customHeight="1"/>
    <row r="143" spans="2:37" ht="15" customHeight="1" thickBot="1"/>
    <row r="144" spans="2:37" ht="15" customHeight="1" thickBot="1">
      <c r="B144" s="581" t="s">
        <v>2229</v>
      </c>
      <c r="C144" s="580"/>
      <c r="D144" s="579">
        <v>6</v>
      </c>
      <c r="E144" s="578"/>
      <c r="F144" s="577"/>
      <c r="G144" s="564"/>
      <c r="N144" s="581" t="s">
        <v>2230</v>
      </c>
      <c r="O144" s="580"/>
      <c r="P144" s="579"/>
      <c r="Q144" s="578"/>
      <c r="R144" s="577"/>
      <c r="S144" s="564"/>
      <c r="V144" s="581" t="s">
        <v>2231</v>
      </c>
      <c r="W144" s="580"/>
      <c r="X144" s="579"/>
      <c r="Y144" s="578"/>
      <c r="Z144" s="577"/>
      <c r="AA144" s="564"/>
      <c r="AD144" s="581" t="s">
        <v>2254</v>
      </c>
      <c r="AE144" s="580"/>
      <c r="AF144" s="579"/>
      <c r="AG144" s="578"/>
      <c r="AH144" s="577"/>
      <c r="AI144" s="564"/>
    </row>
    <row r="145" spans="2:37" ht="15" customHeight="1">
      <c r="B145" s="576"/>
      <c r="C145" s="575" t="s">
        <v>2263</v>
      </c>
      <c r="D145" s="574"/>
      <c r="E145" s="573"/>
      <c r="F145" s="572"/>
      <c r="G145" s="563"/>
      <c r="N145" s="576"/>
      <c r="O145" s="575" t="s">
        <v>2264</v>
      </c>
      <c r="P145" s="574"/>
      <c r="Q145" s="573"/>
      <c r="R145" s="572"/>
      <c r="S145" s="563"/>
      <c r="V145" s="576"/>
      <c r="W145" s="575" t="s">
        <v>2264</v>
      </c>
      <c r="X145" s="574"/>
      <c r="Y145" s="573"/>
      <c r="Z145" s="572"/>
      <c r="AA145" s="563"/>
      <c r="AD145" s="576"/>
      <c r="AE145" s="575" t="s">
        <v>2264</v>
      </c>
      <c r="AF145" s="574"/>
      <c r="AG145" s="573"/>
      <c r="AH145" s="572"/>
      <c r="AI145" s="563"/>
    </row>
    <row r="146" spans="2:37" ht="15" customHeight="1">
      <c r="B146" s="588">
        <v>1</v>
      </c>
      <c r="C146" s="587" t="s">
        <v>2234</v>
      </c>
      <c r="D146" s="571"/>
      <c r="E146" s="570"/>
      <c r="F146" s="569"/>
      <c r="G146" s="562"/>
      <c r="N146" s="588">
        <v>1</v>
      </c>
      <c r="O146" s="587" t="s">
        <v>2234</v>
      </c>
      <c r="P146" s="571"/>
      <c r="Q146" s="570"/>
      <c r="R146" s="569"/>
      <c r="S146" s="562"/>
      <c r="V146" s="588">
        <v>1</v>
      </c>
      <c r="W146" s="587" t="s">
        <v>2234</v>
      </c>
      <c r="X146" s="571"/>
      <c r="Y146" s="570"/>
      <c r="Z146" s="569"/>
      <c r="AA146" s="562"/>
      <c r="AD146" s="588">
        <v>1</v>
      </c>
      <c r="AE146" s="587" t="s">
        <v>2234</v>
      </c>
      <c r="AF146" s="571"/>
      <c r="AG146" s="570"/>
      <c r="AH146" s="569"/>
      <c r="AI146" s="562"/>
    </row>
    <row r="147" spans="2:37" ht="15" customHeight="1">
      <c r="B147" s="589" t="s">
        <v>721</v>
      </c>
      <c r="C147" s="586" t="s">
        <v>2235</v>
      </c>
      <c r="D147" s="571" t="str">
        <f>$D$247</f>
        <v>m³</v>
      </c>
      <c r="E147" s="568">
        <v>72.5</v>
      </c>
      <c r="F147" s="567">
        <f>ahs_excavation_manual_2m</f>
        <v>102390.75000000001</v>
      </c>
      <c r="G147" s="561">
        <f>E147*F147</f>
        <v>7423329.3750000009</v>
      </c>
      <c r="N147" s="589" t="s">
        <v>721</v>
      </c>
      <c r="O147" s="586" t="s">
        <v>2235</v>
      </c>
      <c r="P147" s="571" t="str">
        <f>$D$247</f>
        <v>m³</v>
      </c>
      <c r="Q147" s="568">
        <v>72.5</v>
      </c>
      <c r="R147" s="567">
        <f>$F$247</f>
        <v>102390.75000000001</v>
      </c>
      <c r="S147" s="561">
        <f>Q147*R147</f>
        <v>7423329.3750000009</v>
      </c>
      <c r="V147" s="589" t="s">
        <v>721</v>
      </c>
      <c r="W147" s="586" t="s">
        <v>2235</v>
      </c>
      <c r="X147" s="571" t="str">
        <f>$D$247</f>
        <v>m³</v>
      </c>
      <c r="Y147" s="568">
        <v>72.5</v>
      </c>
      <c r="Z147" s="567">
        <f>$F$247</f>
        <v>102390.75000000001</v>
      </c>
      <c r="AA147" s="561">
        <f>Y147*Z147</f>
        <v>7423329.3750000009</v>
      </c>
      <c r="AD147" s="589" t="s">
        <v>721</v>
      </c>
      <c r="AE147" s="586" t="s">
        <v>2235</v>
      </c>
      <c r="AF147" s="571" t="str">
        <f>$D$247</f>
        <v>m³</v>
      </c>
      <c r="AG147" s="568">
        <v>72.5</v>
      </c>
      <c r="AH147" s="567">
        <f>$F$247</f>
        <v>102390.75000000001</v>
      </c>
      <c r="AI147" s="561">
        <f>AG147*AH147</f>
        <v>7423329.3750000009</v>
      </c>
    </row>
    <row r="148" spans="2:37" ht="15" customHeight="1">
      <c r="B148" s="589" t="s">
        <v>2166</v>
      </c>
      <c r="C148" s="586" t="s">
        <v>2237</v>
      </c>
      <c r="D148" s="571" t="str">
        <f>$D$248</f>
        <v>m³</v>
      </c>
      <c r="E148" s="568">
        <v>30.560000000000002</v>
      </c>
      <c r="F148" s="567">
        <f>ahs_back_filling</f>
        <v>62462.950000000012</v>
      </c>
      <c r="G148" s="561">
        <f t="shared" ref="G148:G149" si="60">E148*F148</f>
        <v>1908867.7520000006</v>
      </c>
      <c r="N148" s="589" t="s">
        <v>2166</v>
      </c>
      <c r="O148" s="586" t="s">
        <v>2237</v>
      </c>
      <c r="P148" s="571" t="str">
        <f>$D$248</f>
        <v>m³</v>
      </c>
      <c r="Q148" s="568">
        <v>30.560000000000002</v>
      </c>
      <c r="R148" s="567">
        <f>$F$248</f>
        <v>62462.950000000012</v>
      </c>
      <c r="S148" s="561">
        <f>Q148*R148</f>
        <v>1908867.7520000006</v>
      </c>
      <c r="V148" s="589" t="s">
        <v>2166</v>
      </c>
      <c r="W148" s="586" t="s">
        <v>2237</v>
      </c>
      <c r="X148" s="571" t="str">
        <f>$D$248</f>
        <v>m³</v>
      </c>
      <c r="Y148" s="568">
        <v>30.560000000000002</v>
      </c>
      <c r="Z148" s="567">
        <f>$F$248</f>
        <v>62462.950000000012</v>
      </c>
      <c r="AA148" s="561">
        <f>Y148*Z148</f>
        <v>1908867.7520000006</v>
      </c>
      <c r="AD148" s="589" t="s">
        <v>2166</v>
      </c>
      <c r="AE148" s="586" t="s">
        <v>2237</v>
      </c>
      <c r="AF148" s="571" t="str">
        <f>$D$248</f>
        <v>m³</v>
      </c>
      <c r="AG148" s="568">
        <v>30.560000000000002</v>
      </c>
      <c r="AH148" s="567">
        <f>$F$248</f>
        <v>62462.950000000012</v>
      </c>
      <c r="AI148" s="561">
        <f>AG148*AH148</f>
        <v>1908867.7520000006</v>
      </c>
    </row>
    <row r="149" spans="2:37" ht="15" customHeight="1">
      <c r="B149" s="589" t="s">
        <v>2168</v>
      </c>
      <c r="C149" s="586" t="s">
        <v>2265</v>
      </c>
      <c r="D149" s="571" t="str">
        <f>$D$249</f>
        <v>m'</v>
      </c>
      <c r="E149" s="568">
        <v>144</v>
      </c>
      <c r="F149" s="567">
        <f>AHS!$G$1081</f>
        <v>52230.612500000003</v>
      </c>
      <c r="G149" s="561">
        <f t="shared" si="60"/>
        <v>7521208.2000000002</v>
      </c>
      <c r="N149" s="589" t="s">
        <v>2168</v>
      </c>
      <c r="O149" s="586" t="s">
        <v>2265</v>
      </c>
      <c r="P149" s="571" t="str">
        <f>$D$249</f>
        <v>m'</v>
      </c>
      <c r="Q149" s="568">
        <v>144</v>
      </c>
      <c r="R149" s="567">
        <f>$F$249</f>
        <v>52230.612500000003</v>
      </c>
      <c r="S149" s="561">
        <f>Q149*R149</f>
        <v>7521208.2000000002</v>
      </c>
      <c r="V149" s="589" t="s">
        <v>2168</v>
      </c>
      <c r="W149" s="586" t="s">
        <v>2265</v>
      </c>
      <c r="X149" s="571" t="str">
        <f>$D$249</f>
        <v>m'</v>
      </c>
      <c r="Y149" s="568">
        <v>144</v>
      </c>
      <c r="Z149" s="567">
        <f>$F$249</f>
        <v>52230.612500000003</v>
      </c>
      <c r="AA149" s="561">
        <f>Y149*Z149</f>
        <v>7521208.2000000002</v>
      </c>
      <c r="AD149" s="589" t="s">
        <v>2168</v>
      </c>
      <c r="AE149" s="586" t="s">
        <v>2265</v>
      </c>
      <c r="AF149" s="571" t="str">
        <f>$D$249</f>
        <v>m'</v>
      </c>
      <c r="AG149" s="568">
        <v>144</v>
      </c>
      <c r="AH149" s="567">
        <f>$F$249</f>
        <v>52230.612500000003</v>
      </c>
      <c r="AI149" s="561">
        <f>AG149*AH149</f>
        <v>7521208.2000000002</v>
      </c>
    </row>
    <row r="150" spans="2:37" ht="15" customHeight="1">
      <c r="B150" s="585"/>
      <c r="C150" s="586"/>
      <c r="D150" s="571"/>
      <c r="E150" s="566"/>
      <c r="F150" s="567"/>
      <c r="G150" s="561"/>
      <c r="N150" s="585"/>
      <c r="O150" s="586"/>
      <c r="P150" s="571"/>
      <c r="Q150" s="566"/>
      <c r="R150" s="567"/>
      <c r="S150" s="561"/>
      <c r="V150" s="585"/>
      <c r="W150" s="586"/>
      <c r="X150" s="571"/>
      <c r="Y150" s="566"/>
      <c r="Z150" s="567"/>
      <c r="AA150" s="561"/>
      <c r="AD150" s="585"/>
      <c r="AE150" s="586"/>
      <c r="AF150" s="571"/>
      <c r="AG150" s="566"/>
      <c r="AH150" s="567"/>
      <c r="AI150" s="561"/>
    </row>
    <row r="151" spans="2:37" ht="15" customHeight="1">
      <c r="B151" s="590">
        <v>2</v>
      </c>
      <c r="C151" s="587" t="s">
        <v>2238</v>
      </c>
      <c r="D151" s="571"/>
      <c r="E151" s="566"/>
      <c r="F151" s="567"/>
      <c r="G151" s="561"/>
      <c r="H151" t="s">
        <v>2239</v>
      </c>
      <c r="N151" s="590">
        <v>2</v>
      </c>
      <c r="O151" s="587" t="s">
        <v>2238</v>
      </c>
      <c r="P151" s="571"/>
      <c r="Q151" s="566"/>
      <c r="R151" s="567"/>
      <c r="S151" s="561"/>
      <c r="T151" t="s">
        <v>2239</v>
      </c>
      <c r="V151" s="590">
        <v>2</v>
      </c>
      <c r="W151" s="587" t="s">
        <v>2238</v>
      </c>
      <c r="X151" s="571"/>
      <c r="Y151" s="566"/>
      <c r="Z151" s="567"/>
      <c r="AA151" s="561"/>
      <c r="AB151" t="s">
        <v>2239</v>
      </c>
      <c r="AD151" s="590">
        <v>2</v>
      </c>
      <c r="AE151" s="587" t="s">
        <v>2238</v>
      </c>
      <c r="AF151" s="571"/>
      <c r="AG151" s="566"/>
      <c r="AH151" s="567"/>
      <c r="AI151" s="561"/>
      <c r="AJ151" t="s">
        <v>2239</v>
      </c>
    </row>
    <row r="152" spans="2:37" ht="15" customHeight="1">
      <c r="B152" s="589" t="s">
        <v>721</v>
      </c>
      <c r="C152" s="586" t="s">
        <v>2240</v>
      </c>
      <c r="D152" s="571" t="str">
        <f>$D$252</f>
        <v>m³</v>
      </c>
      <c r="E152" s="568">
        <v>5.4</v>
      </c>
      <c r="F152" s="567">
        <f>ahs_compacted_sand_layer_m3</f>
        <v>404738.95</v>
      </c>
      <c r="G152" s="561">
        <f t="shared" ref="G152:G158" si="61">E152*F152</f>
        <v>2185590.33</v>
      </c>
      <c r="H152">
        <v>1400</v>
      </c>
      <c r="I152">
        <f t="shared" ref="I152:I158" si="62">E152*H152</f>
        <v>7560.0000000000009</v>
      </c>
      <c r="N152" s="589" t="s">
        <v>721</v>
      </c>
      <c r="O152" s="586" t="s">
        <v>2240</v>
      </c>
      <c r="P152" s="571" t="str">
        <f>$D$252</f>
        <v>m³</v>
      </c>
      <c r="Q152" s="568">
        <v>5.4</v>
      </c>
      <c r="R152" s="567">
        <f>$F$252</f>
        <v>404738.95</v>
      </c>
      <c r="S152" s="561">
        <f t="shared" ref="S152:S158" si="63">Q152*R152</f>
        <v>2185590.33</v>
      </c>
      <c r="T152">
        <v>1400</v>
      </c>
      <c r="U152">
        <f t="shared" ref="U152:U158" si="64">Q152*T152</f>
        <v>7560.0000000000009</v>
      </c>
      <c r="V152" s="589" t="s">
        <v>721</v>
      </c>
      <c r="W152" s="586" t="s">
        <v>2240</v>
      </c>
      <c r="X152" s="571" t="str">
        <f>$D$252</f>
        <v>m³</v>
      </c>
      <c r="Y152" s="568">
        <v>5.4</v>
      </c>
      <c r="Z152" s="567">
        <f>$F$252</f>
        <v>404738.95</v>
      </c>
      <c r="AA152" s="561">
        <f t="shared" ref="AA152:AA158" si="65">Y152*Z152</f>
        <v>2185590.33</v>
      </c>
      <c r="AB152">
        <v>1400</v>
      </c>
      <c r="AC152">
        <f t="shared" ref="AC152:AC158" si="66">Y152*AB152</f>
        <v>7560.0000000000009</v>
      </c>
      <c r="AD152" s="589" t="s">
        <v>721</v>
      </c>
      <c r="AE152" s="586" t="s">
        <v>2240</v>
      </c>
      <c r="AF152" s="571" t="str">
        <f>$D$252</f>
        <v>m³</v>
      </c>
      <c r="AG152" s="568">
        <v>5.4</v>
      </c>
      <c r="AH152" s="567">
        <f>$F$252</f>
        <v>404738.95</v>
      </c>
      <c r="AI152" s="561">
        <f t="shared" ref="AI152:AI158" si="67">AG152*AH152</f>
        <v>2185590.33</v>
      </c>
      <c r="AJ152">
        <v>1400</v>
      </c>
      <c r="AK152">
        <f t="shared" ref="AK152:AK158" si="68">AG152*AJ152</f>
        <v>7560.0000000000009</v>
      </c>
    </row>
    <row r="153" spans="2:37" ht="15" customHeight="1">
      <c r="B153" s="589" t="s">
        <v>2166</v>
      </c>
      <c r="C153" s="584" t="s">
        <v>2241</v>
      </c>
      <c r="D153" s="571" t="str">
        <f>$D$253</f>
        <v>m³</v>
      </c>
      <c r="E153" s="568">
        <v>2.7</v>
      </c>
      <c r="F153" s="567">
        <f>K_100</f>
        <v>710224.707936508</v>
      </c>
      <c r="G153" s="561">
        <f t="shared" si="61"/>
        <v>1917606.7114285717</v>
      </c>
      <c r="H153">
        <v>2200</v>
      </c>
      <c r="I153">
        <f t="shared" si="62"/>
        <v>5940</v>
      </c>
      <c r="N153" s="589" t="s">
        <v>2166</v>
      </c>
      <c r="O153" s="584" t="s">
        <v>2241</v>
      </c>
      <c r="P153" s="571" t="str">
        <f>$D$253</f>
        <v>m³</v>
      </c>
      <c r="Q153" s="568">
        <v>2.7</v>
      </c>
      <c r="R153" s="567">
        <f>$F$253</f>
        <v>710224.707936508</v>
      </c>
      <c r="S153" s="561">
        <f t="shared" si="63"/>
        <v>1917606.7114285717</v>
      </c>
      <c r="T153">
        <v>2200</v>
      </c>
      <c r="U153">
        <f t="shared" si="64"/>
        <v>5940</v>
      </c>
      <c r="V153" s="589" t="s">
        <v>2166</v>
      </c>
      <c r="W153" s="584" t="s">
        <v>2241</v>
      </c>
      <c r="X153" s="571" t="str">
        <f>$D$253</f>
        <v>m³</v>
      </c>
      <c r="Y153" s="568">
        <v>2.7</v>
      </c>
      <c r="Z153" s="567">
        <f>$F$253</f>
        <v>710224.707936508</v>
      </c>
      <c r="AA153" s="561">
        <f t="shared" si="65"/>
        <v>1917606.7114285717</v>
      </c>
      <c r="AB153">
        <v>2200</v>
      </c>
      <c r="AC153">
        <f t="shared" si="66"/>
        <v>5940</v>
      </c>
      <c r="AD153" s="589" t="s">
        <v>2166</v>
      </c>
      <c r="AE153" s="584" t="s">
        <v>2241</v>
      </c>
      <c r="AF153" s="571" t="str">
        <f>$D$253</f>
        <v>m³</v>
      </c>
      <c r="AG153" s="568">
        <v>2.7</v>
      </c>
      <c r="AH153" s="567">
        <f>$F$253</f>
        <v>710224.707936508</v>
      </c>
      <c r="AI153" s="561">
        <f t="shared" si="67"/>
        <v>1917606.7114285717</v>
      </c>
      <c r="AJ153">
        <v>2200</v>
      </c>
      <c r="AK153">
        <f t="shared" si="68"/>
        <v>5940</v>
      </c>
    </row>
    <row r="154" spans="2:37" ht="15" customHeight="1">
      <c r="B154" s="589" t="s">
        <v>2168</v>
      </c>
      <c r="C154" s="584" t="s">
        <v>2266</v>
      </c>
      <c r="D154" s="571" t="str">
        <f>$D$254</f>
        <v>m³</v>
      </c>
      <c r="E154" s="568">
        <v>33.839999999999996</v>
      </c>
      <c r="F154" s="567">
        <f>K_225</f>
        <v>1115864.6138095236</v>
      </c>
      <c r="G154" s="561">
        <f t="shared" si="61"/>
        <v>37760858.531314276</v>
      </c>
      <c r="H154">
        <v>2400</v>
      </c>
      <c r="I154">
        <f t="shared" si="62"/>
        <v>81215.999999999985</v>
      </c>
      <c r="N154" s="589" t="s">
        <v>2168</v>
      </c>
      <c r="O154" s="584" t="str">
        <f>C154</f>
        <v>Beton K 225 (Pad &amp; Chimney)</v>
      </c>
      <c r="P154" s="571" t="str">
        <f>$D$254</f>
        <v>m³</v>
      </c>
      <c r="Q154" s="568">
        <v>33.839999999999996</v>
      </c>
      <c r="R154" s="567">
        <f>$F$254</f>
        <v>1115864.6138095236</v>
      </c>
      <c r="S154" s="561">
        <f t="shared" si="63"/>
        <v>37760858.531314276</v>
      </c>
      <c r="T154">
        <v>2400</v>
      </c>
      <c r="U154">
        <f t="shared" si="64"/>
        <v>81215.999999999985</v>
      </c>
      <c r="V154" s="589" t="s">
        <v>2168</v>
      </c>
      <c r="W154" s="584" t="str">
        <f>O154</f>
        <v>Beton K 225 (Pad &amp; Chimney)</v>
      </c>
      <c r="X154" s="571" t="str">
        <f>$D$254</f>
        <v>m³</v>
      </c>
      <c r="Y154" s="568">
        <v>33.839999999999996</v>
      </c>
      <c r="Z154" s="567">
        <f>$F$254</f>
        <v>1115864.6138095236</v>
      </c>
      <c r="AA154" s="561">
        <f t="shared" si="65"/>
        <v>37760858.531314276</v>
      </c>
      <c r="AB154">
        <v>2400</v>
      </c>
      <c r="AC154">
        <f t="shared" si="66"/>
        <v>81215.999999999985</v>
      </c>
      <c r="AD154" s="589" t="s">
        <v>2168</v>
      </c>
      <c r="AE154" s="584" t="str">
        <f>W154</f>
        <v>Beton K 225 (Pad &amp; Chimney)</v>
      </c>
      <c r="AF154" s="571" t="str">
        <f>$D$254</f>
        <v>m³</v>
      </c>
      <c r="AG154" s="568">
        <v>33.839999999999996</v>
      </c>
      <c r="AH154" s="567">
        <f>$F$254</f>
        <v>1115864.6138095236</v>
      </c>
      <c r="AI154" s="561">
        <f t="shared" si="67"/>
        <v>37760858.531314276</v>
      </c>
      <c r="AJ154">
        <v>2400</v>
      </c>
      <c r="AK154">
        <f t="shared" si="68"/>
        <v>81215.999999999985</v>
      </c>
    </row>
    <row r="155" spans="2:37" ht="15" customHeight="1">
      <c r="B155" s="589" t="s">
        <v>2170</v>
      </c>
      <c r="C155" s="584" t="s">
        <v>2267</v>
      </c>
      <c r="D155" s="571" t="str">
        <f>$D$255</f>
        <v>m³</v>
      </c>
      <c r="E155" s="568">
        <v>33.264000000000003</v>
      </c>
      <c r="F155" s="567">
        <f>K_175</f>
        <v>1057576.2423809525</v>
      </c>
      <c r="G155" s="561">
        <f t="shared" si="61"/>
        <v>35179216.126560003</v>
      </c>
      <c r="H155">
        <v>2200</v>
      </c>
      <c r="I155">
        <f t="shared" si="62"/>
        <v>73180.800000000003</v>
      </c>
      <c r="N155" s="589" t="s">
        <v>2170</v>
      </c>
      <c r="O155" s="584" t="s">
        <v>2267</v>
      </c>
      <c r="P155" s="571" t="str">
        <f>$D$255</f>
        <v>m³</v>
      </c>
      <c r="Q155" s="568">
        <v>33.264000000000003</v>
      </c>
      <c r="R155" s="567">
        <f>$F$255</f>
        <v>1057576.2423809525</v>
      </c>
      <c r="S155" s="561">
        <f t="shared" si="63"/>
        <v>35179216.126560003</v>
      </c>
      <c r="T155">
        <v>2200</v>
      </c>
      <c r="U155">
        <f t="shared" si="64"/>
        <v>73180.800000000003</v>
      </c>
      <c r="V155" s="589" t="s">
        <v>2170</v>
      </c>
      <c r="W155" s="584" t="s">
        <v>2267</v>
      </c>
      <c r="X155" s="571" t="str">
        <f>$D$255</f>
        <v>m³</v>
      </c>
      <c r="Y155" s="568">
        <v>33.264000000000003</v>
      </c>
      <c r="Z155" s="567">
        <f>$F$255</f>
        <v>1057576.2423809525</v>
      </c>
      <c r="AA155" s="561">
        <f t="shared" si="65"/>
        <v>35179216.126560003</v>
      </c>
      <c r="AB155">
        <v>2200</v>
      </c>
      <c r="AC155">
        <f t="shared" si="66"/>
        <v>73180.800000000003</v>
      </c>
      <c r="AD155" s="589" t="s">
        <v>2170</v>
      </c>
      <c r="AE155" s="584" t="s">
        <v>2267</v>
      </c>
      <c r="AF155" s="571" t="str">
        <f>$D$255</f>
        <v>m³</v>
      </c>
      <c r="AG155" s="568">
        <v>33.264000000000003</v>
      </c>
      <c r="AH155" s="567">
        <f>$F$255</f>
        <v>1057576.2423809525</v>
      </c>
      <c r="AI155" s="561">
        <f t="shared" si="67"/>
        <v>35179216.126560003</v>
      </c>
      <c r="AJ155">
        <v>2200</v>
      </c>
      <c r="AK155">
        <f t="shared" si="68"/>
        <v>73180.800000000003</v>
      </c>
    </row>
    <row r="156" spans="2:37" ht="15" customHeight="1">
      <c r="B156" s="589" t="s">
        <v>2172</v>
      </c>
      <c r="C156" s="584" t="s">
        <v>2243</v>
      </c>
      <c r="D156" s="571" t="str">
        <f>$D$256</f>
        <v>kg</v>
      </c>
      <c r="E156" s="568">
        <v>7439.3519999999999</v>
      </c>
      <c r="F156" s="567">
        <f>85%*ahs_besi_ulir_kg+15%*ahs_besi_polos_kg</f>
        <v>19478.039350000003</v>
      </c>
      <c r="G156" s="561">
        <f t="shared" si="61"/>
        <v>144903990.9945012</v>
      </c>
      <c r="H156">
        <v>1</v>
      </c>
      <c r="I156">
        <f t="shared" si="62"/>
        <v>7439.3519999999999</v>
      </c>
      <c r="N156" s="589" t="s">
        <v>2172</v>
      </c>
      <c r="O156" s="584" t="s">
        <v>2243</v>
      </c>
      <c r="P156" s="571" t="str">
        <f>$D$256</f>
        <v>kg</v>
      </c>
      <c r="Q156" s="568">
        <v>7439.3519999999999</v>
      </c>
      <c r="R156" s="567">
        <f>$F$256</f>
        <v>19478.039350000003</v>
      </c>
      <c r="S156" s="561">
        <f t="shared" si="63"/>
        <v>144903990.9945012</v>
      </c>
      <c r="T156">
        <v>1</v>
      </c>
      <c r="U156">
        <f t="shared" si="64"/>
        <v>7439.3519999999999</v>
      </c>
      <c r="V156" s="589" t="s">
        <v>2172</v>
      </c>
      <c r="W156" s="584" t="s">
        <v>2243</v>
      </c>
      <c r="X156" s="571" t="str">
        <f>$D$256</f>
        <v>kg</v>
      </c>
      <c r="Y156" s="568">
        <v>7439.3519999999999</v>
      </c>
      <c r="Z156" s="567">
        <f>$F$256</f>
        <v>19478.039350000003</v>
      </c>
      <c r="AA156" s="561">
        <f t="shared" si="65"/>
        <v>144903990.9945012</v>
      </c>
      <c r="AB156">
        <v>1</v>
      </c>
      <c r="AC156">
        <f t="shared" si="66"/>
        <v>7439.3519999999999</v>
      </c>
      <c r="AD156" s="589" t="s">
        <v>2172</v>
      </c>
      <c r="AE156" s="584" t="s">
        <v>2243</v>
      </c>
      <c r="AF156" s="571" t="str">
        <f>$D$256</f>
        <v>kg</v>
      </c>
      <c r="AG156" s="568">
        <v>7439.3519999999999</v>
      </c>
      <c r="AH156" s="567">
        <f>$F$256</f>
        <v>19478.039350000003</v>
      </c>
      <c r="AI156" s="561">
        <f t="shared" si="67"/>
        <v>144903990.9945012</v>
      </c>
      <c r="AJ156">
        <v>1</v>
      </c>
      <c r="AK156">
        <f t="shared" si="68"/>
        <v>7439.3519999999999</v>
      </c>
    </row>
    <row r="157" spans="2:37" ht="15" customHeight="1">
      <c r="B157" s="589" t="s">
        <v>2268</v>
      </c>
      <c r="C157" s="584" t="s">
        <v>2244</v>
      </c>
      <c r="D157" s="571" t="str">
        <f>$D$257</f>
        <v>m²</v>
      </c>
      <c r="E157" s="568">
        <v>45.6</v>
      </c>
      <c r="F157" s="567">
        <f>ahs_formwork_foundation_wooden_plank</f>
        <v>145812.67000000001</v>
      </c>
      <c r="G157" s="561">
        <f t="shared" si="61"/>
        <v>6649057.7520000003</v>
      </c>
      <c r="H157">
        <v>40</v>
      </c>
      <c r="I157">
        <f t="shared" si="62"/>
        <v>1824</v>
      </c>
      <c r="N157" s="589" t="s">
        <v>2268</v>
      </c>
      <c r="O157" s="584" t="s">
        <v>2244</v>
      </c>
      <c r="P157" s="571" t="str">
        <f>$D$257</f>
        <v>m²</v>
      </c>
      <c r="Q157" s="568">
        <v>45.6</v>
      </c>
      <c r="R157" s="567">
        <f>$F$257</f>
        <v>145812.67000000001</v>
      </c>
      <c r="S157" s="561">
        <f t="shared" si="63"/>
        <v>6649057.7520000003</v>
      </c>
      <c r="T157">
        <v>40</v>
      </c>
      <c r="U157">
        <f t="shared" si="64"/>
        <v>1824</v>
      </c>
      <c r="V157" s="589" t="s">
        <v>2268</v>
      </c>
      <c r="W157" s="584" t="s">
        <v>2244</v>
      </c>
      <c r="X157" s="571" t="str">
        <f>$D$257</f>
        <v>m²</v>
      </c>
      <c r="Y157" s="568">
        <v>45.6</v>
      </c>
      <c r="Z157" s="567">
        <f>$F$257</f>
        <v>145812.67000000001</v>
      </c>
      <c r="AA157" s="561">
        <f t="shared" si="65"/>
        <v>6649057.7520000003</v>
      </c>
      <c r="AB157">
        <v>40</v>
      </c>
      <c r="AC157">
        <f t="shared" si="66"/>
        <v>1824</v>
      </c>
      <c r="AD157" s="589" t="s">
        <v>2268</v>
      </c>
      <c r="AE157" s="584" t="s">
        <v>2244</v>
      </c>
      <c r="AF157" s="571" t="str">
        <f>$D$257</f>
        <v>m²</v>
      </c>
      <c r="AG157" s="568">
        <v>45.6</v>
      </c>
      <c r="AH157" s="567">
        <f>$F$257</f>
        <v>145812.67000000001</v>
      </c>
      <c r="AI157" s="561">
        <f t="shared" si="67"/>
        <v>6649057.7520000003</v>
      </c>
      <c r="AJ157">
        <v>40</v>
      </c>
      <c r="AK157">
        <f t="shared" si="68"/>
        <v>1824</v>
      </c>
    </row>
    <row r="158" spans="2:37" ht="15" customHeight="1">
      <c r="B158" s="589" t="s">
        <v>2176</v>
      </c>
      <c r="C158" s="565" t="s">
        <v>2246</v>
      </c>
      <c r="D158" s="571" t="str">
        <f>$D$258</f>
        <v>bh</v>
      </c>
      <c r="E158" s="568">
        <v>4</v>
      </c>
      <c r="F158" s="567">
        <v>100000</v>
      </c>
      <c r="G158" s="561">
        <f t="shared" si="61"/>
        <v>400000</v>
      </c>
      <c r="H158">
        <v>2.5</v>
      </c>
      <c r="I158">
        <f t="shared" si="62"/>
        <v>10</v>
      </c>
      <c r="N158" s="589" t="s">
        <v>2176</v>
      </c>
      <c r="O158" s="565" t="s">
        <v>2246</v>
      </c>
      <c r="P158" s="571" t="str">
        <f>$D$258</f>
        <v>bh</v>
      </c>
      <c r="Q158" s="568">
        <v>4</v>
      </c>
      <c r="R158" s="567">
        <f>$F$258</f>
        <v>100000</v>
      </c>
      <c r="S158" s="561">
        <f t="shared" si="63"/>
        <v>400000</v>
      </c>
      <c r="T158">
        <v>2.5</v>
      </c>
      <c r="U158">
        <f t="shared" si="64"/>
        <v>10</v>
      </c>
      <c r="V158" s="589" t="s">
        <v>2176</v>
      </c>
      <c r="W158" s="565" t="s">
        <v>2246</v>
      </c>
      <c r="X158" s="571" t="str">
        <f>$D$258</f>
        <v>bh</v>
      </c>
      <c r="Y158" s="568">
        <v>4</v>
      </c>
      <c r="Z158" s="567">
        <f>$F$258</f>
        <v>100000</v>
      </c>
      <c r="AA158" s="561">
        <f t="shared" si="65"/>
        <v>400000</v>
      </c>
      <c r="AB158">
        <v>2.5</v>
      </c>
      <c r="AC158">
        <f t="shared" si="66"/>
        <v>10</v>
      </c>
      <c r="AD158" s="589" t="s">
        <v>2176</v>
      </c>
      <c r="AE158" s="565" t="s">
        <v>2246</v>
      </c>
      <c r="AF158" s="571" t="str">
        <f>$D$258</f>
        <v>bh</v>
      </c>
      <c r="AG158" s="568">
        <v>4</v>
      </c>
      <c r="AH158" s="567">
        <f>$F$258</f>
        <v>100000</v>
      </c>
      <c r="AI158" s="561">
        <f t="shared" si="67"/>
        <v>400000</v>
      </c>
      <c r="AJ158">
        <v>2.5</v>
      </c>
      <c r="AK158">
        <f t="shared" si="68"/>
        <v>10</v>
      </c>
    </row>
    <row r="159" spans="2:37" ht="15" customHeight="1">
      <c r="B159" s="589"/>
      <c r="C159" s="584"/>
      <c r="D159" s="571"/>
      <c r="E159" s="566"/>
      <c r="F159" s="567"/>
      <c r="G159" s="561"/>
      <c r="I159">
        <f>SUM(I152:I157)</f>
        <v>177160.152</v>
      </c>
      <c r="N159" s="589"/>
      <c r="O159" s="584"/>
      <c r="P159" s="571"/>
      <c r="Q159" s="566"/>
      <c r="R159" s="567"/>
      <c r="S159" s="561"/>
      <c r="U159">
        <f>SUM(U152:U157)</f>
        <v>177160.152</v>
      </c>
      <c r="V159" s="589"/>
      <c r="W159" s="584"/>
      <c r="X159" s="571"/>
      <c r="Y159" s="566"/>
      <c r="Z159" s="567"/>
      <c r="AA159" s="561"/>
      <c r="AC159">
        <f>SUM(AC152:AC157)</f>
        <v>177160.152</v>
      </c>
      <c r="AD159" s="589"/>
      <c r="AE159" s="584"/>
      <c r="AF159" s="571"/>
      <c r="AG159" s="566"/>
      <c r="AH159" s="567"/>
      <c r="AI159" s="561"/>
      <c r="AK159">
        <f>SUM(AK152:AK157)</f>
        <v>177160.152</v>
      </c>
    </row>
    <row r="160" spans="2:37" ht="15" customHeight="1">
      <c r="B160" s="590">
        <v>3</v>
      </c>
      <c r="C160" s="583" t="s">
        <v>2086</v>
      </c>
      <c r="D160" s="571"/>
      <c r="E160" s="566"/>
      <c r="F160" s="567"/>
      <c r="G160" s="561"/>
      <c r="N160" s="590">
        <v>3</v>
      </c>
      <c r="O160" s="583" t="s">
        <v>2086</v>
      </c>
      <c r="P160" s="571"/>
      <c r="Q160" s="566"/>
      <c r="R160" s="567"/>
      <c r="S160" s="561"/>
      <c r="V160" s="590">
        <v>3</v>
      </c>
      <c r="W160" s="583" t="s">
        <v>2086</v>
      </c>
      <c r="X160" s="571"/>
      <c r="Y160" s="566"/>
      <c r="Z160" s="567"/>
      <c r="AA160" s="561"/>
      <c r="AD160" s="590">
        <v>3</v>
      </c>
      <c r="AE160" s="583" t="s">
        <v>2086</v>
      </c>
      <c r="AF160" s="571"/>
      <c r="AG160" s="566"/>
      <c r="AH160" s="567"/>
      <c r="AI160" s="561"/>
    </row>
    <row r="161" spans="2:36" ht="15" customHeight="1">
      <c r="B161" s="589" t="s">
        <v>721</v>
      </c>
      <c r="C161" s="584" t="s">
        <v>2247</v>
      </c>
      <c r="D161" s="571" t="str">
        <f>$D$261</f>
        <v>bh</v>
      </c>
      <c r="E161" s="568">
        <v>4</v>
      </c>
      <c r="F161" s="567">
        <f>ahs_patok_beton</f>
        <v>181849.04</v>
      </c>
      <c r="G161" s="561">
        <f t="shared" ref="G161:G166" si="69">E161*F161</f>
        <v>727396.16</v>
      </c>
      <c r="N161" s="589" t="s">
        <v>721</v>
      </c>
      <c r="O161" s="584" t="s">
        <v>2247</v>
      </c>
      <c r="P161" s="571" t="str">
        <f>$D$261</f>
        <v>bh</v>
      </c>
      <c r="Q161" s="568">
        <v>4</v>
      </c>
      <c r="R161" s="567">
        <f>$F$261</f>
        <v>181849.04</v>
      </c>
      <c r="S161" s="561">
        <f t="shared" ref="S161:S166" si="70">Q161*R161</f>
        <v>727396.16</v>
      </c>
      <c r="V161" s="589" t="s">
        <v>721</v>
      </c>
      <c r="W161" s="584" t="s">
        <v>2247</v>
      </c>
      <c r="X161" s="571" t="str">
        <f>$D$261</f>
        <v>bh</v>
      </c>
      <c r="Y161" s="568">
        <v>4</v>
      </c>
      <c r="Z161" s="567">
        <f>$F$261</f>
        <v>181849.04</v>
      </c>
      <c r="AA161" s="561">
        <f t="shared" ref="AA161:AA166" si="71">Y161*Z161</f>
        <v>727396.16</v>
      </c>
      <c r="AD161" s="589" t="s">
        <v>721</v>
      </c>
      <c r="AE161" s="584" t="s">
        <v>2247</v>
      </c>
      <c r="AF161" s="571" t="str">
        <f>$D$261</f>
        <v>bh</v>
      </c>
      <c r="AG161" s="568">
        <v>4</v>
      </c>
      <c r="AH161" s="567">
        <f>$F$261</f>
        <v>181849.04</v>
      </c>
      <c r="AI161" s="561">
        <f t="shared" ref="AI161:AI166" si="72">AG161*AH161</f>
        <v>727396.16</v>
      </c>
    </row>
    <row r="162" spans="2:36" ht="15" customHeight="1">
      <c r="B162" s="589" t="s">
        <v>2166</v>
      </c>
      <c r="C162" s="584" t="s">
        <v>2085</v>
      </c>
      <c r="D162" s="571" t="str">
        <f>$D$262</f>
        <v>kg</v>
      </c>
      <c r="E162" s="568">
        <f>I159</f>
        <v>177160.152</v>
      </c>
      <c r="F162" s="567">
        <f>Langsir_material_datar_500_1000m_Kg</f>
        <v>462.7700000000001</v>
      </c>
      <c r="G162" s="561">
        <f t="shared" si="69"/>
        <v>81984403.541040018</v>
      </c>
      <c r="N162" s="589" t="s">
        <v>2166</v>
      </c>
      <c r="O162" s="584" t="s">
        <v>2085</v>
      </c>
      <c r="P162" s="571" t="str">
        <f>$D$262</f>
        <v>kg</v>
      </c>
      <c r="Q162" s="568">
        <f>U159</f>
        <v>177160.152</v>
      </c>
      <c r="R162" s="567">
        <f>$F$262</f>
        <v>462.7700000000001</v>
      </c>
      <c r="S162" s="561">
        <f t="shared" si="70"/>
        <v>81984403.541040018</v>
      </c>
      <c r="V162" s="589" t="s">
        <v>2166</v>
      </c>
      <c r="W162" s="584" t="s">
        <v>2085</v>
      </c>
      <c r="X162" s="571" t="str">
        <f>$D$262</f>
        <v>kg</v>
      </c>
      <c r="Y162" s="568">
        <f>AC159</f>
        <v>177160.152</v>
      </c>
      <c r="Z162" s="567">
        <f>$F$262</f>
        <v>462.7700000000001</v>
      </c>
      <c r="AA162" s="561">
        <f t="shared" si="71"/>
        <v>81984403.541040018</v>
      </c>
      <c r="AD162" s="589" t="s">
        <v>2166</v>
      </c>
      <c r="AE162" s="584" t="s">
        <v>2085</v>
      </c>
      <c r="AF162" s="571" t="str">
        <f>$D$262</f>
        <v>kg</v>
      </c>
      <c r="AG162" s="568">
        <f>AK159</f>
        <v>177160.152</v>
      </c>
      <c r="AH162" s="567">
        <f>$F$262</f>
        <v>462.7700000000001</v>
      </c>
      <c r="AI162" s="561">
        <f t="shared" si="72"/>
        <v>81984403.541040018</v>
      </c>
    </row>
    <row r="163" spans="2:36" ht="15" customHeight="1">
      <c r="B163" s="589" t="s">
        <v>2168</v>
      </c>
      <c r="C163" s="584" t="s">
        <v>2249</v>
      </c>
      <c r="D163" s="571" t="str">
        <f>$D$263</f>
        <v>bh</v>
      </c>
      <c r="E163" s="568">
        <v>4</v>
      </c>
      <c r="F163" s="567">
        <f>ahs_tes_beton</f>
        <v>387825</v>
      </c>
      <c r="G163" s="561">
        <f t="shared" si="69"/>
        <v>1551300</v>
      </c>
      <c r="N163" s="589" t="s">
        <v>2168</v>
      </c>
      <c r="O163" s="584" t="s">
        <v>2249</v>
      </c>
      <c r="P163" s="571" t="str">
        <f>$D$263</f>
        <v>bh</v>
      </c>
      <c r="Q163" s="568">
        <v>4</v>
      </c>
      <c r="R163" s="567">
        <f>$F$263</f>
        <v>387825</v>
      </c>
      <c r="S163" s="561">
        <f t="shared" si="70"/>
        <v>1551300</v>
      </c>
      <c r="V163" s="589" t="s">
        <v>2168</v>
      </c>
      <c r="W163" s="584" t="s">
        <v>2249</v>
      </c>
      <c r="X163" s="571" t="str">
        <f>$D$263</f>
        <v>bh</v>
      </c>
      <c r="Y163" s="568">
        <v>4</v>
      </c>
      <c r="Z163" s="567">
        <f>$F$263</f>
        <v>387825</v>
      </c>
      <c r="AA163" s="561">
        <f t="shared" si="71"/>
        <v>1551300</v>
      </c>
      <c r="AD163" s="589" t="s">
        <v>2168</v>
      </c>
      <c r="AE163" s="584" t="s">
        <v>2249</v>
      </c>
      <c r="AF163" s="571" t="str">
        <f>$D$263</f>
        <v>bh</v>
      </c>
      <c r="AG163" s="568">
        <v>4</v>
      </c>
      <c r="AH163" s="567">
        <f>$F$263</f>
        <v>387825</v>
      </c>
      <c r="AI163" s="561">
        <f t="shared" si="72"/>
        <v>1551300</v>
      </c>
    </row>
    <row r="164" spans="2:36" ht="15" customHeight="1">
      <c r="B164" s="589" t="s">
        <v>2170</v>
      </c>
      <c r="C164" s="584" t="s">
        <v>2250</v>
      </c>
      <c r="D164" s="571" t="str">
        <f>$D$264</f>
        <v>kg</v>
      </c>
      <c r="E164" s="568">
        <v>150.93599999999998</v>
      </c>
      <c r="F164" s="567">
        <f>ahs_setting_stub/E164</f>
        <v>3758.6984549742947</v>
      </c>
      <c r="G164" s="561">
        <f t="shared" si="69"/>
        <v>567322.91</v>
      </c>
      <c r="N164" s="589" t="s">
        <v>2170</v>
      </c>
      <c r="O164" s="584" t="s">
        <v>2250</v>
      </c>
      <c r="P164" s="571" t="str">
        <f>$D$264</f>
        <v>kg</v>
      </c>
      <c r="Q164" s="568">
        <v>239.61599999999999</v>
      </c>
      <c r="R164" s="567">
        <f>$F$264</f>
        <v>3758.6984549742947</v>
      </c>
      <c r="S164" s="561">
        <f t="shared" si="70"/>
        <v>900644.2889871205</v>
      </c>
      <c r="V164" s="589" t="s">
        <v>2170</v>
      </c>
      <c r="W164" s="584" t="s">
        <v>2269</v>
      </c>
      <c r="X164" s="571" t="str">
        <f>$D$264</f>
        <v>kg</v>
      </c>
      <c r="Y164" s="568">
        <v>311.47199999999998</v>
      </c>
      <c r="Z164" s="567">
        <f>$F$264</f>
        <v>3758.6984549742947</v>
      </c>
      <c r="AA164" s="561">
        <f t="shared" si="71"/>
        <v>1170729.3251677535</v>
      </c>
      <c r="AD164" s="589" t="s">
        <v>2170</v>
      </c>
      <c r="AE164" s="584" t="s">
        <v>2269</v>
      </c>
      <c r="AF164" s="571" t="str">
        <f>$D$264</f>
        <v>kg</v>
      </c>
      <c r="AG164" s="568">
        <v>403.17599999999999</v>
      </c>
      <c r="AH164" s="567">
        <f>$F$264</f>
        <v>3758.6984549742947</v>
      </c>
      <c r="AI164" s="561">
        <f t="shared" si="72"/>
        <v>1515417.0082827162</v>
      </c>
    </row>
    <row r="165" spans="2:36" ht="15" customHeight="1">
      <c r="B165" s="589" t="s">
        <v>2172</v>
      </c>
      <c r="C165" s="584" t="s">
        <v>2251</v>
      </c>
      <c r="D165" s="571" t="str">
        <f>$D$265</f>
        <v>set</v>
      </c>
      <c r="E165" s="568">
        <v>1</v>
      </c>
      <c r="F165" s="567">
        <f>ahs_pemasangan_grounding_100m/5</f>
        <v>855127</v>
      </c>
      <c r="G165" s="561">
        <f t="shared" si="69"/>
        <v>855127</v>
      </c>
      <c r="N165" s="589" t="s">
        <v>2172</v>
      </c>
      <c r="O165" s="584" t="s">
        <v>2251</v>
      </c>
      <c r="P165" s="571" t="str">
        <f>$D$265</f>
        <v>set</v>
      </c>
      <c r="Q165" s="568">
        <v>1</v>
      </c>
      <c r="R165" s="567">
        <f>$F$265</f>
        <v>855127</v>
      </c>
      <c r="S165" s="561">
        <f t="shared" si="70"/>
        <v>855127</v>
      </c>
      <c r="V165" s="589" t="s">
        <v>2172</v>
      </c>
      <c r="W165" s="584" t="s">
        <v>2251</v>
      </c>
      <c r="X165" s="571" t="str">
        <f>$D$265</f>
        <v>set</v>
      </c>
      <c r="Y165" s="568">
        <v>1</v>
      </c>
      <c r="Z165" s="567">
        <f>$F$265</f>
        <v>855127</v>
      </c>
      <c r="AA165" s="561">
        <f t="shared" si="71"/>
        <v>855127</v>
      </c>
      <c r="AD165" s="589" t="s">
        <v>2172</v>
      </c>
      <c r="AE165" s="584" t="s">
        <v>2251</v>
      </c>
      <c r="AF165" s="571" t="str">
        <f>$D$265</f>
        <v>set</v>
      </c>
      <c r="AG165" s="568">
        <v>1</v>
      </c>
      <c r="AH165" s="567">
        <f>$F$265</f>
        <v>855127</v>
      </c>
      <c r="AI165" s="561">
        <f t="shared" si="72"/>
        <v>855127</v>
      </c>
    </row>
    <row r="166" spans="2:36" ht="15" customHeight="1">
      <c r="B166" s="589" t="s">
        <v>2174</v>
      </c>
      <c r="C166" s="584" t="s">
        <v>2252</v>
      </c>
      <c r="D166" s="571" t="str">
        <f>$D$266</f>
        <v>set</v>
      </c>
      <c r="E166" s="568">
        <v>1</v>
      </c>
      <c r="F166" s="567">
        <f>ahs_komisioning_sistem_pentanahan_per_tower</f>
        <v>674025</v>
      </c>
      <c r="G166" s="561">
        <f t="shared" si="69"/>
        <v>674025</v>
      </c>
      <c r="N166" s="589" t="s">
        <v>2174</v>
      </c>
      <c r="O166" s="584" t="s">
        <v>2252</v>
      </c>
      <c r="P166" s="571" t="str">
        <f>$D$266</f>
        <v>set</v>
      </c>
      <c r="Q166" s="568">
        <v>1</v>
      </c>
      <c r="R166" s="567">
        <f>$F$266</f>
        <v>674025</v>
      </c>
      <c r="S166" s="561">
        <f t="shared" si="70"/>
        <v>674025</v>
      </c>
      <c r="V166" s="589" t="s">
        <v>2174</v>
      </c>
      <c r="W166" s="584" t="s">
        <v>2252</v>
      </c>
      <c r="X166" s="571" t="str">
        <f>$D$266</f>
        <v>set</v>
      </c>
      <c r="Y166" s="568">
        <v>1</v>
      </c>
      <c r="Z166" s="567">
        <f>$F$266</f>
        <v>674025</v>
      </c>
      <c r="AA166" s="561">
        <f t="shared" si="71"/>
        <v>674025</v>
      </c>
      <c r="AD166" s="589" t="s">
        <v>2174</v>
      </c>
      <c r="AE166" s="584" t="s">
        <v>2252</v>
      </c>
      <c r="AF166" s="571" t="str">
        <f>$D$266</f>
        <v>set</v>
      </c>
      <c r="AG166" s="568">
        <v>1</v>
      </c>
      <c r="AH166" s="567">
        <f>$F$266</f>
        <v>674025</v>
      </c>
      <c r="AI166" s="561">
        <f t="shared" si="72"/>
        <v>674025</v>
      </c>
    </row>
    <row r="167" spans="2:36" ht="15" customHeight="1" thickBot="1">
      <c r="B167" s="582"/>
      <c r="C167" s="1197" t="s">
        <v>2270</v>
      </c>
      <c r="D167" s="1198"/>
      <c r="E167" s="1198"/>
      <c r="F167" s="1199"/>
      <c r="G167" s="560">
        <f>SUM(G146:G166)</f>
        <v>332209300.38384408</v>
      </c>
      <c r="N167" s="582"/>
      <c r="O167" s="1197" t="s">
        <v>2271</v>
      </c>
      <c r="P167" s="1198"/>
      <c r="Q167" s="1198"/>
      <c r="R167" s="1199"/>
      <c r="S167" s="560">
        <f>SUM(S146:S166)</f>
        <v>332542621.76283115</v>
      </c>
      <c r="V167" s="582"/>
      <c r="W167" s="1197" t="s">
        <v>2271</v>
      </c>
      <c r="X167" s="1198"/>
      <c r="Y167" s="1198"/>
      <c r="Z167" s="1199"/>
      <c r="AA167" s="560">
        <f>SUM(AA146:AA166)</f>
        <v>332812706.79901183</v>
      </c>
      <c r="AD167" s="582"/>
      <c r="AE167" s="1197" t="s">
        <v>2271</v>
      </c>
      <c r="AF167" s="1198"/>
      <c r="AG167" s="1198"/>
      <c r="AH167" s="1199"/>
      <c r="AI167" s="560">
        <f>SUM(AI146:AI166)</f>
        <v>333157394.48212677</v>
      </c>
    </row>
    <row r="168" spans="2:36" ht="15" customHeight="1" thickBot="1">
      <c r="R168" s="634"/>
      <c r="Z168" s="634"/>
      <c r="AA168" s="634"/>
      <c r="AH168" s="634"/>
      <c r="AI168" s="634"/>
    </row>
    <row r="169" spans="2:36" ht="15" customHeight="1" thickBot="1">
      <c r="B169" s="581" t="s">
        <v>2229</v>
      </c>
      <c r="C169" s="580"/>
      <c r="D169" s="579">
        <v>6</v>
      </c>
      <c r="E169" s="578"/>
      <c r="F169" s="577"/>
      <c r="G169" s="564"/>
      <c r="N169" s="581" t="s">
        <v>2230</v>
      </c>
      <c r="O169" s="580"/>
      <c r="P169" s="579">
        <v>6</v>
      </c>
      <c r="Q169" s="578"/>
      <c r="R169" s="577"/>
      <c r="S169" s="564"/>
      <c r="V169" s="581" t="s">
        <v>2231</v>
      </c>
      <c r="W169" s="580"/>
      <c r="X169" s="579"/>
      <c r="Y169" s="578"/>
      <c r="Z169" s="577"/>
      <c r="AA169" s="564"/>
      <c r="AD169" s="581" t="s">
        <v>2254</v>
      </c>
      <c r="AE169" s="580"/>
      <c r="AF169" s="579"/>
      <c r="AG169" s="578"/>
      <c r="AH169" s="577"/>
      <c r="AI169" s="564"/>
    </row>
    <row r="170" spans="2:36" ht="15" customHeight="1">
      <c r="B170" s="576"/>
      <c r="C170" s="575" t="s">
        <v>2272</v>
      </c>
      <c r="D170" s="574"/>
      <c r="E170" s="573"/>
      <c r="F170" s="572"/>
      <c r="G170" s="563"/>
      <c r="N170" s="576"/>
      <c r="O170" s="575" t="s">
        <v>2272</v>
      </c>
      <c r="P170" s="574"/>
      <c r="Q170" s="573"/>
      <c r="R170" s="572"/>
      <c r="S170" s="563"/>
      <c r="V170" s="576"/>
      <c r="W170" s="575" t="s">
        <v>2273</v>
      </c>
      <c r="X170" s="574"/>
      <c r="Y170" s="573"/>
      <c r="Z170" s="572"/>
      <c r="AA170" s="563"/>
      <c r="AD170" s="576"/>
      <c r="AE170" s="575" t="s">
        <v>2273</v>
      </c>
      <c r="AF170" s="574"/>
      <c r="AG170" s="573"/>
      <c r="AH170" s="572"/>
      <c r="AI170" s="563"/>
    </row>
    <row r="171" spans="2:36" ht="15" customHeight="1">
      <c r="B171" s="588">
        <v>1</v>
      </c>
      <c r="C171" s="587" t="s">
        <v>2234</v>
      </c>
      <c r="D171" s="571"/>
      <c r="E171" s="570"/>
      <c r="F171" s="569"/>
      <c r="G171" s="562"/>
      <c r="N171" s="588">
        <v>1</v>
      </c>
      <c r="O171" s="587" t="s">
        <v>2234</v>
      </c>
      <c r="P171" s="571"/>
      <c r="Q171" s="570"/>
      <c r="R171" s="569"/>
      <c r="S171" s="562"/>
      <c r="V171" s="588">
        <v>1</v>
      </c>
      <c r="W171" s="587" t="s">
        <v>2234</v>
      </c>
      <c r="X171" s="571"/>
      <c r="Y171" s="570"/>
      <c r="Z171" s="569"/>
      <c r="AA171" s="562"/>
      <c r="AD171" s="588">
        <v>1</v>
      </c>
      <c r="AE171" s="587" t="s">
        <v>2234</v>
      </c>
      <c r="AF171" s="571"/>
      <c r="AG171" s="570"/>
      <c r="AH171" s="569"/>
      <c r="AI171" s="562"/>
    </row>
    <row r="172" spans="2:36" ht="15" customHeight="1">
      <c r="B172" s="589" t="s">
        <v>721</v>
      </c>
      <c r="C172" s="586" t="s">
        <v>2235</v>
      </c>
      <c r="D172" s="571" t="str">
        <f>$D$247</f>
        <v>m³</v>
      </c>
      <c r="E172" s="568">
        <v>72.5</v>
      </c>
      <c r="F172" s="567">
        <f>F147</f>
        <v>102390.75000000001</v>
      </c>
      <c r="G172" s="561">
        <f>E172*F172</f>
        <v>7423329.3750000009</v>
      </c>
      <c r="N172" s="589" t="s">
        <v>721</v>
      </c>
      <c r="O172" s="586" t="s">
        <v>2235</v>
      </c>
      <c r="P172" s="571" t="str">
        <f>$D$247</f>
        <v>m³</v>
      </c>
      <c r="Q172" s="568">
        <v>72.5</v>
      </c>
      <c r="R172" s="567">
        <f>$F$247</f>
        <v>102390.75000000001</v>
      </c>
      <c r="S172" s="561">
        <f>Q172*R172</f>
        <v>7423329.3750000009</v>
      </c>
      <c r="V172" s="589" t="s">
        <v>721</v>
      </c>
      <c r="W172" s="586" t="s">
        <v>2235</v>
      </c>
      <c r="X172" s="571" t="str">
        <f>$D$247</f>
        <v>m³</v>
      </c>
      <c r="Y172" s="568">
        <v>72.5</v>
      </c>
      <c r="Z172" s="567">
        <f>$F$247</f>
        <v>102390.75000000001</v>
      </c>
      <c r="AA172" s="561">
        <f>Y172*Z172</f>
        <v>7423329.3750000009</v>
      </c>
      <c r="AD172" s="589" t="s">
        <v>721</v>
      </c>
      <c r="AE172" s="586" t="s">
        <v>2235</v>
      </c>
      <c r="AF172" s="571" t="str">
        <f>$D$247</f>
        <v>m³</v>
      </c>
      <c r="AG172" s="568">
        <v>72.5</v>
      </c>
      <c r="AH172" s="567">
        <f>$F$247</f>
        <v>102390.75000000001</v>
      </c>
      <c r="AI172" s="561">
        <f>AG172*AH172</f>
        <v>7423329.3750000009</v>
      </c>
    </row>
    <row r="173" spans="2:36" ht="15" customHeight="1">
      <c r="B173" s="589" t="s">
        <v>2166</v>
      </c>
      <c r="C173" s="586" t="s">
        <v>2237</v>
      </c>
      <c r="D173" s="571" t="str">
        <f>$D$248</f>
        <v>m³</v>
      </c>
      <c r="E173" s="568">
        <v>30.560000000000002</v>
      </c>
      <c r="F173" s="567">
        <f t="shared" ref="F173:F191" si="73">F148</f>
        <v>62462.950000000012</v>
      </c>
      <c r="G173" s="561">
        <f>E173*F173</f>
        <v>1908867.7520000006</v>
      </c>
      <c r="N173" s="589" t="s">
        <v>2166</v>
      </c>
      <c r="O173" s="586" t="s">
        <v>2237</v>
      </c>
      <c r="P173" s="571" t="str">
        <f>$D$248</f>
        <v>m³</v>
      </c>
      <c r="Q173" s="568">
        <v>30.560000000000002</v>
      </c>
      <c r="R173" s="567">
        <f>$F$248</f>
        <v>62462.950000000012</v>
      </c>
      <c r="S173" s="561">
        <f>Q173*R173</f>
        <v>1908867.7520000006</v>
      </c>
      <c r="V173" s="589" t="s">
        <v>2166</v>
      </c>
      <c r="W173" s="586" t="s">
        <v>2237</v>
      </c>
      <c r="X173" s="571" t="str">
        <f>$D$248</f>
        <v>m³</v>
      </c>
      <c r="Y173" s="568">
        <v>30.560000000000002</v>
      </c>
      <c r="Z173" s="567">
        <f>$F$248</f>
        <v>62462.950000000012</v>
      </c>
      <c r="AA173" s="561">
        <f>Y173*Z173</f>
        <v>1908867.7520000006</v>
      </c>
      <c r="AD173" s="589" t="s">
        <v>2166</v>
      </c>
      <c r="AE173" s="586" t="s">
        <v>2237</v>
      </c>
      <c r="AF173" s="571" t="str">
        <f>$D$248</f>
        <v>m³</v>
      </c>
      <c r="AG173" s="568">
        <v>30.560000000000002</v>
      </c>
      <c r="AH173" s="567">
        <f>$F$248</f>
        <v>62462.950000000012</v>
      </c>
      <c r="AI173" s="561">
        <f>AG173*AH173</f>
        <v>1908867.7520000006</v>
      </c>
    </row>
    <row r="174" spans="2:36" ht="15" customHeight="1">
      <c r="B174" s="589" t="s">
        <v>2168</v>
      </c>
      <c r="C174" s="586" t="s">
        <v>2265</v>
      </c>
      <c r="D174" s="571" t="str">
        <f>$D$249</f>
        <v>m'</v>
      </c>
      <c r="E174" s="568">
        <v>168</v>
      </c>
      <c r="F174" s="567">
        <f t="shared" si="73"/>
        <v>52230.612500000003</v>
      </c>
      <c r="G174" s="561">
        <f>E174*F174</f>
        <v>8774742.9000000004</v>
      </c>
      <c r="N174" s="589" t="s">
        <v>2168</v>
      </c>
      <c r="O174" s="586" t="s">
        <v>2265</v>
      </c>
      <c r="P174" s="571" t="str">
        <f>$D$249</f>
        <v>m'</v>
      </c>
      <c r="Q174" s="568">
        <v>168</v>
      </c>
      <c r="R174" s="567">
        <f>$F$249</f>
        <v>52230.612500000003</v>
      </c>
      <c r="S174" s="561">
        <f>Q174*R174</f>
        <v>8774742.9000000004</v>
      </c>
      <c r="V174" s="589" t="s">
        <v>2168</v>
      </c>
      <c r="W174" s="586" t="s">
        <v>2265</v>
      </c>
      <c r="X174" s="571" t="str">
        <f>$D$249</f>
        <v>m'</v>
      </c>
      <c r="Y174" s="568">
        <v>168</v>
      </c>
      <c r="Z174" s="567">
        <f>$F$249</f>
        <v>52230.612500000003</v>
      </c>
      <c r="AA174" s="561">
        <f>Y174*Z174</f>
        <v>8774742.9000000004</v>
      </c>
      <c r="AD174" s="589" t="s">
        <v>2168</v>
      </c>
      <c r="AE174" s="586" t="s">
        <v>2265</v>
      </c>
      <c r="AF174" s="571" t="str">
        <f>$D$249</f>
        <v>m'</v>
      </c>
      <c r="AG174" s="568">
        <v>168</v>
      </c>
      <c r="AH174" s="567">
        <f>$F$249</f>
        <v>52230.612500000003</v>
      </c>
      <c r="AI174" s="561">
        <f>AG174*AH174</f>
        <v>8774742.9000000004</v>
      </c>
    </row>
    <row r="175" spans="2:36" ht="15" customHeight="1">
      <c r="B175" s="585"/>
      <c r="C175" s="586"/>
      <c r="D175" s="571"/>
      <c r="E175" s="566"/>
      <c r="F175" s="567">
        <f t="shared" si="73"/>
        <v>0</v>
      </c>
      <c r="G175" s="561"/>
      <c r="N175" s="585"/>
      <c r="O175" s="586"/>
      <c r="P175" s="571"/>
      <c r="Q175" s="566"/>
      <c r="R175" s="567"/>
      <c r="S175" s="561"/>
      <c r="V175" s="585"/>
      <c r="W175" s="586"/>
      <c r="X175" s="571"/>
      <c r="Y175" s="566"/>
      <c r="Z175" s="567"/>
      <c r="AA175" s="561"/>
      <c r="AD175" s="585"/>
      <c r="AE175" s="586"/>
      <c r="AF175" s="571"/>
      <c r="AG175" s="566"/>
      <c r="AH175" s="567"/>
      <c r="AI175" s="561"/>
    </row>
    <row r="176" spans="2:36" ht="15" customHeight="1">
      <c r="B176" s="590">
        <v>2</v>
      </c>
      <c r="C176" s="587" t="s">
        <v>2238</v>
      </c>
      <c r="D176" s="571"/>
      <c r="E176" s="566"/>
      <c r="F176" s="567">
        <f t="shared" si="73"/>
        <v>0</v>
      </c>
      <c r="G176" s="561"/>
      <c r="H176" t="s">
        <v>2239</v>
      </c>
      <c r="N176" s="590">
        <v>2</v>
      </c>
      <c r="O176" s="587" t="s">
        <v>2238</v>
      </c>
      <c r="P176" s="571"/>
      <c r="Q176" s="566"/>
      <c r="R176" s="567"/>
      <c r="S176" s="561"/>
      <c r="T176" t="s">
        <v>2239</v>
      </c>
      <c r="V176" s="590">
        <v>2</v>
      </c>
      <c r="W176" s="587" t="s">
        <v>2238</v>
      </c>
      <c r="X176" s="571"/>
      <c r="Y176" s="566"/>
      <c r="Z176" s="567"/>
      <c r="AA176" s="561"/>
      <c r="AB176" t="s">
        <v>2239</v>
      </c>
      <c r="AD176" s="590">
        <v>2</v>
      </c>
      <c r="AE176" s="587" t="s">
        <v>2238</v>
      </c>
      <c r="AF176" s="571"/>
      <c r="AG176" s="566"/>
      <c r="AH176" s="567"/>
      <c r="AI176" s="561"/>
      <c r="AJ176" t="s">
        <v>2239</v>
      </c>
    </row>
    <row r="177" spans="2:37" ht="15" customHeight="1">
      <c r="B177" s="589" t="s">
        <v>721</v>
      </c>
      <c r="C177" s="586" t="s">
        <v>2240</v>
      </c>
      <c r="D177" s="571" t="str">
        <f>$D$252</f>
        <v>m³</v>
      </c>
      <c r="E177" s="568">
        <v>5.4</v>
      </c>
      <c r="F177" s="567">
        <f t="shared" si="73"/>
        <v>404738.95</v>
      </c>
      <c r="G177" s="561">
        <f t="shared" ref="G177:G183" si="74">E177*F177</f>
        <v>2185590.33</v>
      </c>
      <c r="H177">
        <v>1400</v>
      </c>
      <c r="I177">
        <f t="shared" ref="I177:I183" si="75">E177*H177</f>
        <v>7560.0000000000009</v>
      </c>
      <c r="N177" s="589" t="s">
        <v>721</v>
      </c>
      <c r="O177" s="586" t="s">
        <v>2240</v>
      </c>
      <c r="P177" s="571" t="str">
        <f>$D$252</f>
        <v>m³</v>
      </c>
      <c r="Q177" s="568">
        <v>5.4</v>
      </c>
      <c r="R177" s="567">
        <f>$F$252</f>
        <v>404738.95</v>
      </c>
      <c r="S177" s="561">
        <f t="shared" ref="S177:S183" si="76">Q177*R177</f>
        <v>2185590.33</v>
      </c>
      <c r="T177">
        <v>1400</v>
      </c>
      <c r="U177">
        <f t="shared" ref="U177:U183" si="77">Q177*T177</f>
        <v>7560.0000000000009</v>
      </c>
      <c r="V177" s="589" t="s">
        <v>721</v>
      </c>
      <c r="W177" s="586" t="s">
        <v>2240</v>
      </c>
      <c r="X177" s="571" t="str">
        <f>$D$252</f>
        <v>m³</v>
      </c>
      <c r="Y177" s="568">
        <v>5.4</v>
      </c>
      <c r="Z177" s="567">
        <f>$F$252</f>
        <v>404738.95</v>
      </c>
      <c r="AA177" s="561">
        <f t="shared" ref="AA177:AA183" si="78">Y177*Z177</f>
        <v>2185590.33</v>
      </c>
      <c r="AB177">
        <v>1400</v>
      </c>
      <c r="AC177">
        <f t="shared" ref="AC177:AC183" si="79">Y177*AB177</f>
        <v>7560.0000000000009</v>
      </c>
      <c r="AD177" s="589" t="s">
        <v>721</v>
      </c>
      <c r="AE177" s="586" t="s">
        <v>2240</v>
      </c>
      <c r="AF177" s="571" t="str">
        <f>$D$252</f>
        <v>m³</v>
      </c>
      <c r="AG177" s="568">
        <v>5.4</v>
      </c>
      <c r="AH177" s="567">
        <f>$F$252</f>
        <v>404738.95</v>
      </c>
      <c r="AI177" s="561">
        <f t="shared" ref="AI177:AI183" si="80">AG177*AH177</f>
        <v>2185590.33</v>
      </c>
      <c r="AJ177">
        <v>1400</v>
      </c>
      <c r="AK177">
        <f t="shared" ref="AK177:AK183" si="81">AG177*AJ177</f>
        <v>7560.0000000000009</v>
      </c>
    </row>
    <row r="178" spans="2:37" ht="15" customHeight="1">
      <c r="B178" s="589" t="s">
        <v>2166</v>
      </c>
      <c r="C178" s="584" t="s">
        <v>2241</v>
      </c>
      <c r="D178" s="571" t="str">
        <f>$D$253</f>
        <v>m³</v>
      </c>
      <c r="E178" s="568">
        <v>2.7</v>
      </c>
      <c r="F178" s="567">
        <f t="shared" si="73"/>
        <v>710224.707936508</v>
      </c>
      <c r="G178" s="561">
        <f t="shared" si="74"/>
        <v>1917606.7114285717</v>
      </c>
      <c r="H178">
        <v>2200</v>
      </c>
      <c r="I178">
        <f t="shared" si="75"/>
        <v>5940</v>
      </c>
      <c r="N178" s="589" t="s">
        <v>2166</v>
      </c>
      <c r="O178" s="584" t="s">
        <v>2241</v>
      </c>
      <c r="P178" s="571" t="str">
        <f>$D$253</f>
        <v>m³</v>
      </c>
      <c r="Q178" s="568">
        <v>2.7</v>
      </c>
      <c r="R178" s="567">
        <f>$F$253</f>
        <v>710224.707936508</v>
      </c>
      <c r="S178" s="561">
        <f t="shared" si="76"/>
        <v>1917606.7114285717</v>
      </c>
      <c r="T178">
        <v>2200</v>
      </c>
      <c r="U178">
        <f t="shared" si="77"/>
        <v>5940</v>
      </c>
      <c r="V178" s="589" t="s">
        <v>2166</v>
      </c>
      <c r="W178" s="584" t="s">
        <v>2241</v>
      </c>
      <c r="X178" s="571" t="str">
        <f>$D$253</f>
        <v>m³</v>
      </c>
      <c r="Y178" s="568">
        <v>2.7</v>
      </c>
      <c r="Z178" s="567">
        <f>$F$253</f>
        <v>710224.707936508</v>
      </c>
      <c r="AA178" s="561">
        <f t="shared" si="78"/>
        <v>1917606.7114285717</v>
      </c>
      <c r="AB178">
        <v>2200</v>
      </c>
      <c r="AC178">
        <f t="shared" si="79"/>
        <v>5940</v>
      </c>
      <c r="AD178" s="589" t="s">
        <v>2166</v>
      </c>
      <c r="AE178" s="584" t="s">
        <v>2241</v>
      </c>
      <c r="AF178" s="571" t="str">
        <f>$D$253</f>
        <v>m³</v>
      </c>
      <c r="AG178" s="568">
        <v>2.7</v>
      </c>
      <c r="AH178" s="567">
        <f>$F$253</f>
        <v>710224.707936508</v>
      </c>
      <c r="AI178" s="561">
        <f t="shared" si="80"/>
        <v>1917606.7114285717</v>
      </c>
      <c r="AJ178">
        <v>2200</v>
      </c>
      <c r="AK178">
        <f t="shared" si="81"/>
        <v>5940</v>
      </c>
    </row>
    <row r="179" spans="2:37" ht="15" customHeight="1">
      <c r="B179" s="589" t="s">
        <v>2168</v>
      </c>
      <c r="C179" s="584" t="s">
        <v>2266</v>
      </c>
      <c r="D179" s="571" t="str">
        <f>$D$254</f>
        <v>m³</v>
      </c>
      <c r="E179" s="568">
        <v>33.839999999999996</v>
      </c>
      <c r="F179" s="567">
        <f t="shared" si="73"/>
        <v>1115864.6138095236</v>
      </c>
      <c r="G179" s="561">
        <f t="shared" si="74"/>
        <v>37760858.531314276</v>
      </c>
      <c r="H179">
        <v>2400</v>
      </c>
      <c r="I179">
        <f t="shared" si="75"/>
        <v>81215.999999999985</v>
      </c>
      <c r="N179" s="589" t="s">
        <v>2168</v>
      </c>
      <c r="O179" s="584" t="s">
        <v>2266</v>
      </c>
      <c r="P179" s="571" t="str">
        <f>$D$254</f>
        <v>m³</v>
      </c>
      <c r="Q179" s="568">
        <v>33.839999999999996</v>
      </c>
      <c r="R179" s="567">
        <f>$F$254</f>
        <v>1115864.6138095236</v>
      </c>
      <c r="S179" s="561">
        <f t="shared" si="76"/>
        <v>37760858.531314276</v>
      </c>
      <c r="T179">
        <v>2400</v>
      </c>
      <c r="U179">
        <f t="shared" si="77"/>
        <v>81215.999999999985</v>
      </c>
      <c r="V179" s="589" t="s">
        <v>2168</v>
      </c>
      <c r="W179" s="584" t="str">
        <f>O179</f>
        <v>Beton K 225 (Pad &amp; Chimney)</v>
      </c>
      <c r="X179" s="571" t="str">
        <f>$D$254</f>
        <v>m³</v>
      </c>
      <c r="Y179" s="568">
        <v>33.839999999999996</v>
      </c>
      <c r="Z179" s="567">
        <f>$F$254</f>
        <v>1115864.6138095236</v>
      </c>
      <c r="AA179" s="561">
        <f t="shared" si="78"/>
        <v>37760858.531314276</v>
      </c>
      <c r="AB179">
        <v>2400</v>
      </c>
      <c r="AC179">
        <f t="shared" si="79"/>
        <v>81215.999999999985</v>
      </c>
      <c r="AD179" s="589" t="s">
        <v>2168</v>
      </c>
      <c r="AE179" s="584" t="str">
        <f>W179</f>
        <v>Beton K 225 (Pad &amp; Chimney)</v>
      </c>
      <c r="AF179" s="571" t="str">
        <f>$D$254</f>
        <v>m³</v>
      </c>
      <c r="AG179" s="568">
        <v>33.839999999999996</v>
      </c>
      <c r="AH179" s="567">
        <f>$F$254</f>
        <v>1115864.6138095236</v>
      </c>
      <c r="AI179" s="561">
        <f t="shared" si="80"/>
        <v>37760858.531314276</v>
      </c>
      <c r="AJ179">
        <v>2400</v>
      </c>
      <c r="AK179">
        <f t="shared" si="81"/>
        <v>81215.999999999985</v>
      </c>
    </row>
    <row r="180" spans="2:37" ht="15" customHeight="1">
      <c r="B180" s="589" t="s">
        <v>2170</v>
      </c>
      <c r="C180" s="584" t="s">
        <v>2267</v>
      </c>
      <c r="D180" s="571" t="str">
        <f>$D$255</f>
        <v>m³</v>
      </c>
      <c r="E180" s="568">
        <v>40.052571428571433</v>
      </c>
      <c r="F180" s="567">
        <f t="shared" si="73"/>
        <v>1057576.2423809525</v>
      </c>
      <c r="G180" s="561">
        <f t="shared" si="74"/>
        <v>42358647.98912327</v>
      </c>
      <c r="H180">
        <v>2200</v>
      </c>
      <c r="I180">
        <f t="shared" si="75"/>
        <v>88115.657142857148</v>
      </c>
      <c r="N180" s="589" t="s">
        <v>2170</v>
      </c>
      <c r="O180" s="584" t="s">
        <v>2267</v>
      </c>
      <c r="P180" s="571" t="str">
        <f>$D$255</f>
        <v>m³</v>
      </c>
      <c r="Q180" s="568">
        <v>40.052571428571433</v>
      </c>
      <c r="R180" s="567">
        <f>$F$255</f>
        <v>1057576.2423809525</v>
      </c>
      <c r="S180" s="561">
        <f t="shared" si="76"/>
        <v>42358647.98912327</v>
      </c>
      <c r="T180">
        <v>2200</v>
      </c>
      <c r="U180">
        <f t="shared" si="77"/>
        <v>88115.657142857148</v>
      </c>
      <c r="V180" s="589" t="s">
        <v>2170</v>
      </c>
      <c r="W180" s="584" t="s">
        <v>2267</v>
      </c>
      <c r="X180" s="571" t="str">
        <f>$D$255</f>
        <v>m³</v>
      </c>
      <c r="Y180" s="568">
        <v>40.052571428571433</v>
      </c>
      <c r="Z180" s="567">
        <f>$F$255</f>
        <v>1057576.2423809525</v>
      </c>
      <c r="AA180" s="561">
        <f t="shared" si="78"/>
        <v>42358647.98912327</v>
      </c>
      <c r="AB180">
        <v>2200</v>
      </c>
      <c r="AC180">
        <f t="shared" si="79"/>
        <v>88115.657142857148</v>
      </c>
      <c r="AD180" s="589" t="s">
        <v>2170</v>
      </c>
      <c r="AE180" s="584" t="s">
        <v>2267</v>
      </c>
      <c r="AF180" s="571" t="str">
        <f>$D$255</f>
        <v>m³</v>
      </c>
      <c r="AG180" s="568">
        <v>40.052571428571433</v>
      </c>
      <c r="AH180" s="567">
        <f>$F$255</f>
        <v>1057576.2423809525</v>
      </c>
      <c r="AI180" s="561">
        <f t="shared" si="80"/>
        <v>42358647.98912327</v>
      </c>
      <c r="AJ180">
        <v>2200</v>
      </c>
      <c r="AK180">
        <f t="shared" si="81"/>
        <v>88115.657142857148</v>
      </c>
    </row>
    <row r="181" spans="2:37" ht="15" customHeight="1">
      <c r="B181" s="589" t="s">
        <v>2172</v>
      </c>
      <c r="C181" s="584" t="s">
        <v>2243</v>
      </c>
      <c r="D181" s="571" t="str">
        <f>$D$256</f>
        <v>kg</v>
      </c>
      <c r="E181" s="568">
        <v>8259</v>
      </c>
      <c r="F181" s="567">
        <f t="shared" si="73"/>
        <v>19478.039350000003</v>
      </c>
      <c r="G181" s="561">
        <f t="shared" si="74"/>
        <v>160869126.99165002</v>
      </c>
      <c r="H181">
        <v>1</v>
      </c>
      <c r="I181">
        <f t="shared" si="75"/>
        <v>8259</v>
      </c>
      <c r="N181" s="589" t="s">
        <v>2172</v>
      </c>
      <c r="O181" s="584" t="s">
        <v>2243</v>
      </c>
      <c r="P181" s="571" t="str">
        <f>$D$256</f>
        <v>kg</v>
      </c>
      <c r="Q181" s="568">
        <v>8259</v>
      </c>
      <c r="R181" s="567">
        <f>$F$256</f>
        <v>19478.039350000003</v>
      </c>
      <c r="S181" s="561">
        <f t="shared" si="76"/>
        <v>160869126.99165002</v>
      </c>
      <c r="T181">
        <v>1</v>
      </c>
      <c r="U181">
        <f t="shared" si="77"/>
        <v>8259</v>
      </c>
      <c r="V181" s="589" t="s">
        <v>2172</v>
      </c>
      <c r="W181" s="584" t="s">
        <v>2243</v>
      </c>
      <c r="X181" s="571" t="str">
        <f>$D$256</f>
        <v>kg</v>
      </c>
      <c r="Y181" s="568">
        <v>8259</v>
      </c>
      <c r="Z181" s="567">
        <f>$F$256</f>
        <v>19478.039350000003</v>
      </c>
      <c r="AA181" s="561">
        <f t="shared" si="78"/>
        <v>160869126.99165002</v>
      </c>
      <c r="AB181">
        <v>1</v>
      </c>
      <c r="AC181">
        <f t="shared" si="79"/>
        <v>8259</v>
      </c>
      <c r="AD181" s="589" t="s">
        <v>2172</v>
      </c>
      <c r="AE181" s="584" t="s">
        <v>2243</v>
      </c>
      <c r="AF181" s="571" t="str">
        <f>$D$256</f>
        <v>kg</v>
      </c>
      <c r="AG181" s="568">
        <v>8259</v>
      </c>
      <c r="AH181" s="567">
        <f>$F$256</f>
        <v>19478.039350000003</v>
      </c>
      <c r="AI181" s="561">
        <f t="shared" si="80"/>
        <v>160869126.99165002</v>
      </c>
      <c r="AJ181">
        <v>1</v>
      </c>
      <c r="AK181">
        <f t="shared" si="81"/>
        <v>8259</v>
      </c>
    </row>
    <row r="182" spans="2:37" ht="15" customHeight="1">
      <c r="B182" s="589" t="s">
        <v>2268</v>
      </c>
      <c r="C182" s="584" t="s">
        <v>2244</v>
      </c>
      <c r="D182" s="571" t="str">
        <f>$D$257</f>
        <v>m²</v>
      </c>
      <c r="E182" s="568">
        <v>45.6</v>
      </c>
      <c r="F182" s="567">
        <f t="shared" si="73"/>
        <v>145812.67000000001</v>
      </c>
      <c r="G182" s="561">
        <f t="shared" si="74"/>
        <v>6649057.7520000003</v>
      </c>
      <c r="H182">
        <v>40</v>
      </c>
      <c r="I182">
        <f t="shared" si="75"/>
        <v>1824</v>
      </c>
      <c r="N182" s="589" t="s">
        <v>2268</v>
      </c>
      <c r="O182" s="584" t="s">
        <v>2244</v>
      </c>
      <c r="P182" s="571" t="str">
        <f>$D$257</f>
        <v>m²</v>
      </c>
      <c r="Q182" s="568">
        <v>45.6</v>
      </c>
      <c r="R182" s="567">
        <f>$F$257</f>
        <v>145812.67000000001</v>
      </c>
      <c r="S182" s="561">
        <f t="shared" si="76"/>
        <v>6649057.7520000003</v>
      </c>
      <c r="T182">
        <v>40</v>
      </c>
      <c r="U182">
        <f t="shared" si="77"/>
        <v>1824</v>
      </c>
      <c r="V182" s="589" t="s">
        <v>2268</v>
      </c>
      <c r="W182" s="584" t="s">
        <v>2244</v>
      </c>
      <c r="X182" s="571" t="str">
        <f>$D$257</f>
        <v>m²</v>
      </c>
      <c r="Y182" s="568">
        <v>45.6</v>
      </c>
      <c r="Z182" s="567">
        <f>$F$257</f>
        <v>145812.67000000001</v>
      </c>
      <c r="AA182" s="561">
        <f t="shared" si="78"/>
        <v>6649057.7520000003</v>
      </c>
      <c r="AB182">
        <v>40</v>
      </c>
      <c r="AC182">
        <f t="shared" si="79"/>
        <v>1824</v>
      </c>
      <c r="AD182" s="589" t="s">
        <v>2268</v>
      </c>
      <c r="AE182" s="584" t="s">
        <v>2244</v>
      </c>
      <c r="AF182" s="571" t="str">
        <f>$D$257</f>
        <v>m²</v>
      </c>
      <c r="AG182" s="568">
        <v>45.6</v>
      </c>
      <c r="AH182" s="567">
        <f>$F$257</f>
        <v>145812.67000000001</v>
      </c>
      <c r="AI182" s="561">
        <f t="shared" si="80"/>
        <v>6649057.7520000003</v>
      </c>
      <c r="AJ182">
        <v>40</v>
      </c>
      <c r="AK182">
        <f t="shared" si="81"/>
        <v>1824</v>
      </c>
    </row>
    <row r="183" spans="2:37" ht="15" customHeight="1">
      <c r="B183" s="589" t="s">
        <v>2176</v>
      </c>
      <c r="C183" s="565" t="s">
        <v>2246</v>
      </c>
      <c r="D183" s="571" t="str">
        <f>$D$258</f>
        <v>bh</v>
      </c>
      <c r="E183" s="568">
        <v>4</v>
      </c>
      <c r="F183" s="567">
        <f t="shared" si="73"/>
        <v>100000</v>
      </c>
      <c r="G183" s="561">
        <f t="shared" si="74"/>
        <v>400000</v>
      </c>
      <c r="H183">
        <v>2.5</v>
      </c>
      <c r="I183">
        <f t="shared" si="75"/>
        <v>10</v>
      </c>
      <c r="N183" s="589" t="s">
        <v>2176</v>
      </c>
      <c r="O183" s="565" t="s">
        <v>2246</v>
      </c>
      <c r="P183" s="571" t="str">
        <f>$D$258</f>
        <v>bh</v>
      </c>
      <c r="Q183" s="568">
        <v>4</v>
      </c>
      <c r="R183" s="567">
        <f>$F$258</f>
        <v>100000</v>
      </c>
      <c r="S183" s="561">
        <f t="shared" si="76"/>
        <v>400000</v>
      </c>
      <c r="T183">
        <v>2.5</v>
      </c>
      <c r="U183">
        <f t="shared" si="77"/>
        <v>10</v>
      </c>
      <c r="V183" s="589" t="s">
        <v>2176</v>
      </c>
      <c r="W183" s="565" t="s">
        <v>2246</v>
      </c>
      <c r="X183" s="571" t="str">
        <f>$D$258</f>
        <v>bh</v>
      </c>
      <c r="Y183" s="568">
        <v>4</v>
      </c>
      <c r="Z183" s="567">
        <f>$F$258</f>
        <v>100000</v>
      </c>
      <c r="AA183" s="561">
        <f t="shared" si="78"/>
        <v>400000</v>
      </c>
      <c r="AB183">
        <v>2.5</v>
      </c>
      <c r="AC183">
        <f t="shared" si="79"/>
        <v>10</v>
      </c>
      <c r="AD183" s="589" t="s">
        <v>2176</v>
      </c>
      <c r="AE183" s="565" t="s">
        <v>2246</v>
      </c>
      <c r="AF183" s="571" t="str">
        <f>$D$258</f>
        <v>bh</v>
      </c>
      <c r="AG183" s="568">
        <v>4</v>
      </c>
      <c r="AH183" s="567">
        <f>$F$258</f>
        <v>100000</v>
      </c>
      <c r="AI183" s="561">
        <f t="shared" si="80"/>
        <v>400000</v>
      </c>
      <c r="AJ183">
        <v>2.5</v>
      </c>
      <c r="AK183">
        <f t="shared" si="81"/>
        <v>10</v>
      </c>
    </row>
    <row r="184" spans="2:37" ht="15" customHeight="1">
      <c r="B184" s="589"/>
      <c r="C184" s="584"/>
      <c r="D184" s="571"/>
      <c r="E184" s="566"/>
      <c r="F184" s="567">
        <f t="shared" si="73"/>
        <v>0</v>
      </c>
      <c r="G184" s="561"/>
      <c r="I184">
        <f>SUM(I177:I182)</f>
        <v>192914.65714285715</v>
      </c>
      <c r="N184" s="589"/>
      <c r="O184" s="584"/>
      <c r="P184" s="571"/>
      <c r="Q184" s="566"/>
      <c r="R184" s="567"/>
      <c r="S184" s="561"/>
      <c r="U184">
        <f>SUM(U177:U182)</f>
        <v>192914.65714285715</v>
      </c>
      <c r="V184" s="589"/>
      <c r="W184" s="584"/>
      <c r="X184" s="571"/>
      <c r="Y184" s="566"/>
      <c r="Z184" s="567"/>
      <c r="AA184" s="561"/>
      <c r="AC184">
        <f>SUM(AC177:AC182)</f>
        <v>192914.65714285715</v>
      </c>
      <c r="AD184" s="589"/>
      <c r="AE184" s="584"/>
      <c r="AF184" s="571"/>
      <c r="AG184" s="566"/>
      <c r="AH184" s="567"/>
      <c r="AI184" s="561"/>
      <c r="AK184">
        <f>SUM(AK177:AK182)</f>
        <v>192914.65714285715</v>
      </c>
    </row>
    <row r="185" spans="2:37" ht="15" customHeight="1">
      <c r="B185" s="590">
        <v>3</v>
      </c>
      <c r="C185" s="583" t="s">
        <v>2086</v>
      </c>
      <c r="D185" s="571"/>
      <c r="E185" s="566"/>
      <c r="F185" s="567">
        <f t="shared" si="73"/>
        <v>0</v>
      </c>
      <c r="G185" s="561"/>
      <c r="N185" s="590">
        <v>3</v>
      </c>
      <c r="O185" s="583" t="s">
        <v>2086</v>
      </c>
      <c r="P185" s="571"/>
      <c r="Q185" s="566"/>
      <c r="R185" s="567"/>
      <c r="S185" s="561"/>
      <c r="V185" s="590">
        <v>3</v>
      </c>
      <c r="W185" s="583" t="s">
        <v>2086</v>
      </c>
      <c r="X185" s="571"/>
      <c r="Y185" s="566"/>
      <c r="Z185" s="567"/>
      <c r="AA185" s="561"/>
      <c r="AD185" s="590">
        <v>3</v>
      </c>
      <c r="AE185" s="583" t="s">
        <v>2086</v>
      </c>
      <c r="AF185" s="571"/>
      <c r="AG185" s="566"/>
      <c r="AH185" s="567"/>
      <c r="AI185" s="561"/>
    </row>
    <row r="186" spans="2:37" ht="15" customHeight="1">
      <c r="B186" s="589" t="s">
        <v>721</v>
      </c>
      <c r="C186" s="584" t="s">
        <v>2247</v>
      </c>
      <c r="D186" s="571" t="str">
        <f>$D$261</f>
        <v>bh</v>
      </c>
      <c r="E186" s="568">
        <v>4</v>
      </c>
      <c r="F186" s="567">
        <f t="shared" si="73"/>
        <v>181849.04</v>
      </c>
      <c r="G186" s="561">
        <f t="shared" ref="G186:G191" si="82">E186*F186</f>
        <v>727396.16</v>
      </c>
      <c r="N186" s="589" t="s">
        <v>721</v>
      </c>
      <c r="O186" s="584" t="s">
        <v>2247</v>
      </c>
      <c r="P186" s="571" t="str">
        <f>$D$261</f>
        <v>bh</v>
      </c>
      <c r="Q186" s="568">
        <v>4</v>
      </c>
      <c r="R186" s="567">
        <f>$F$261</f>
        <v>181849.04</v>
      </c>
      <c r="S186" s="561">
        <f t="shared" ref="S186:S191" si="83">Q186*R186</f>
        <v>727396.16</v>
      </c>
      <c r="V186" s="589" t="s">
        <v>721</v>
      </c>
      <c r="W186" s="584" t="s">
        <v>2247</v>
      </c>
      <c r="X186" s="571" t="str">
        <f>$D$261</f>
        <v>bh</v>
      </c>
      <c r="Y186" s="568">
        <v>4</v>
      </c>
      <c r="Z186" s="567">
        <f>$F$261</f>
        <v>181849.04</v>
      </c>
      <c r="AA186" s="561">
        <f t="shared" ref="AA186:AA191" si="84">Y186*Z186</f>
        <v>727396.16</v>
      </c>
      <c r="AD186" s="589" t="s">
        <v>721</v>
      </c>
      <c r="AE186" s="584" t="s">
        <v>2247</v>
      </c>
      <c r="AF186" s="571" t="str">
        <f>$D$261</f>
        <v>bh</v>
      </c>
      <c r="AG186" s="568">
        <v>4</v>
      </c>
      <c r="AH186" s="567">
        <f>$F$261</f>
        <v>181849.04</v>
      </c>
      <c r="AI186" s="561">
        <f t="shared" ref="AI186:AI191" si="85">AG186*AH186</f>
        <v>727396.16</v>
      </c>
    </row>
    <row r="187" spans="2:37" ht="15" customHeight="1">
      <c r="B187" s="589" t="s">
        <v>2166</v>
      </c>
      <c r="C187" s="584" t="s">
        <v>2085</v>
      </c>
      <c r="D187" s="571" t="str">
        <f>$D$262</f>
        <v>kg</v>
      </c>
      <c r="E187" s="568">
        <f>I184</f>
        <v>192914.65714285715</v>
      </c>
      <c r="F187" s="567">
        <f t="shared" si="73"/>
        <v>462.7700000000001</v>
      </c>
      <c r="G187" s="561">
        <f t="shared" si="82"/>
        <v>89275115.886000022</v>
      </c>
      <c r="N187" s="589" t="s">
        <v>2166</v>
      </c>
      <c r="O187" s="584" t="s">
        <v>2085</v>
      </c>
      <c r="P187" s="571" t="str">
        <f>$D$262</f>
        <v>kg</v>
      </c>
      <c r="Q187" s="568">
        <f>U184</f>
        <v>192914.65714285715</v>
      </c>
      <c r="R187" s="567">
        <f>$F$262</f>
        <v>462.7700000000001</v>
      </c>
      <c r="S187" s="561">
        <f t="shared" si="83"/>
        <v>89275115.886000022</v>
      </c>
      <c r="V187" s="589" t="s">
        <v>2166</v>
      </c>
      <c r="W187" s="584" t="s">
        <v>2085</v>
      </c>
      <c r="X187" s="571" t="str">
        <f>$D$262</f>
        <v>kg</v>
      </c>
      <c r="Y187" s="568">
        <f>AC184</f>
        <v>192914.65714285715</v>
      </c>
      <c r="Z187" s="567">
        <f>$F$262</f>
        <v>462.7700000000001</v>
      </c>
      <c r="AA187" s="561">
        <f t="shared" si="84"/>
        <v>89275115.886000022</v>
      </c>
      <c r="AD187" s="589" t="s">
        <v>2166</v>
      </c>
      <c r="AE187" s="584" t="s">
        <v>2085</v>
      </c>
      <c r="AF187" s="571" t="str">
        <f>$D$262</f>
        <v>kg</v>
      </c>
      <c r="AG187" s="568">
        <f>AK184</f>
        <v>192914.65714285715</v>
      </c>
      <c r="AH187" s="567">
        <f>$F$262</f>
        <v>462.7700000000001</v>
      </c>
      <c r="AI187" s="561">
        <f t="shared" si="85"/>
        <v>89275115.886000022</v>
      </c>
    </row>
    <row r="188" spans="2:37" ht="15" customHeight="1">
      <c r="B188" s="589" t="s">
        <v>2168</v>
      </c>
      <c r="C188" s="584" t="s">
        <v>2249</v>
      </c>
      <c r="D188" s="571" t="str">
        <f>$D$263</f>
        <v>bh</v>
      </c>
      <c r="E188" s="568">
        <v>4</v>
      </c>
      <c r="F188" s="567">
        <f t="shared" si="73"/>
        <v>387825</v>
      </c>
      <c r="G188" s="561">
        <f t="shared" si="82"/>
        <v>1551300</v>
      </c>
      <c r="N188" s="589" t="s">
        <v>2168</v>
      </c>
      <c r="O188" s="584" t="s">
        <v>2249</v>
      </c>
      <c r="P188" s="571" t="str">
        <f>$D$263</f>
        <v>bh</v>
      </c>
      <c r="Q188" s="568">
        <v>4</v>
      </c>
      <c r="R188" s="567">
        <f>$F$263</f>
        <v>387825</v>
      </c>
      <c r="S188" s="561">
        <f t="shared" si="83"/>
        <v>1551300</v>
      </c>
      <c r="V188" s="589" t="s">
        <v>2168</v>
      </c>
      <c r="W188" s="584" t="s">
        <v>2249</v>
      </c>
      <c r="X188" s="571" t="str">
        <f>$D$263</f>
        <v>bh</v>
      </c>
      <c r="Y188" s="568">
        <v>4</v>
      </c>
      <c r="Z188" s="567">
        <f>$F$263</f>
        <v>387825</v>
      </c>
      <c r="AA188" s="561">
        <f t="shared" si="84"/>
        <v>1551300</v>
      </c>
      <c r="AD188" s="589" t="s">
        <v>2168</v>
      </c>
      <c r="AE188" s="584" t="s">
        <v>2249</v>
      </c>
      <c r="AF188" s="571" t="str">
        <f>$D$263</f>
        <v>bh</v>
      </c>
      <c r="AG188" s="568">
        <v>4</v>
      </c>
      <c r="AH188" s="567">
        <f>$F$263</f>
        <v>387825</v>
      </c>
      <c r="AI188" s="561">
        <f t="shared" si="85"/>
        <v>1551300</v>
      </c>
    </row>
    <row r="189" spans="2:37" ht="15" customHeight="1">
      <c r="B189" s="589" t="s">
        <v>2170</v>
      </c>
      <c r="C189" s="584" t="s">
        <v>2250</v>
      </c>
      <c r="D189" s="571" t="str">
        <f>$D$264</f>
        <v>kg</v>
      </c>
      <c r="E189" s="568">
        <f>$E$164</f>
        <v>150.93599999999998</v>
      </c>
      <c r="F189" s="567">
        <f t="shared" si="73"/>
        <v>3758.6984549742947</v>
      </c>
      <c r="G189" s="561">
        <f t="shared" si="82"/>
        <v>567322.91</v>
      </c>
      <c r="N189" s="589" t="s">
        <v>2170</v>
      </c>
      <c r="O189" s="584" t="s">
        <v>2250</v>
      </c>
      <c r="P189" s="571" t="str">
        <f>$D$264</f>
        <v>kg</v>
      </c>
      <c r="Q189" s="568">
        <f>$Q$164</f>
        <v>239.61599999999999</v>
      </c>
      <c r="R189" s="567">
        <f>$F$264</f>
        <v>3758.6984549742947</v>
      </c>
      <c r="S189" s="561">
        <f t="shared" si="83"/>
        <v>900644.2889871205</v>
      </c>
      <c r="V189" s="589" t="s">
        <v>2170</v>
      </c>
      <c r="W189" s="584" t="s">
        <v>2269</v>
      </c>
      <c r="X189" s="571" t="str">
        <f>$D$264</f>
        <v>kg</v>
      </c>
      <c r="Y189" s="568">
        <f>$Y$164</f>
        <v>311.47199999999998</v>
      </c>
      <c r="Z189" s="567">
        <f>$F$264</f>
        <v>3758.6984549742947</v>
      </c>
      <c r="AA189" s="561">
        <f t="shared" si="84"/>
        <v>1170729.3251677535</v>
      </c>
      <c r="AD189" s="589" t="s">
        <v>2170</v>
      </c>
      <c r="AE189" s="584" t="s">
        <v>2269</v>
      </c>
      <c r="AF189" s="571" t="str">
        <f>$D$264</f>
        <v>kg</v>
      </c>
      <c r="AG189" s="568">
        <f>$AG$164</f>
        <v>403.17599999999999</v>
      </c>
      <c r="AH189" s="567">
        <f>$F$264</f>
        <v>3758.6984549742947</v>
      </c>
      <c r="AI189" s="561">
        <f t="shared" si="85"/>
        <v>1515417.0082827162</v>
      </c>
    </row>
    <row r="190" spans="2:37" ht="15" customHeight="1">
      <c r="B190" s="589" t="s">
        <v>2172</v>
      </c>
      <c r="C190" s="584" t="s">
        <v>2251</v>
      </c>
      <c r="D190" s="571" t="str">
        <f>$D$265</f>
        <v>set</v>
      </c>
      <c r="E190" s="568">
        <v>1</v>
      </c>
      <c r="F190" s="567">
        <f t="shared" si="73"/>
        <v>855127</v>
      </c>
      <c r="G190" s="561">
        <f t="shared" si="82"/>
        <v>855127</v>
      </c>
      <c r="N190" s="589" t="s">
        <v>2172</v>
      </c>
      <c r="O190" s="584" t="s">
        <v>2251</v>
      </c>
      <c r="P190" s="571" t="str">
        <f>$D$265</f>
        <v>set</v>
      </c>
      <c r="Q190" s="568">
        <v>1</v>
      </c>
      <c r="R190" s="567">
        <f>$F$265</f>
        <v>855127</v>
      </c>
      <c r="S190" s="561">
        <f t="shared" si="83"/>
        <v>855127</v>
      </c>
      <c r="V190" s="589" t="s">
        <v>2172</v>
      </c>
      <c r="W190" s="584" t="s">
        <v>2251</v>
      </c>
      <c r="X190" s="571" t="str">
        <f>$D$265</f>
        <v>set</v>
      </c>
      <c r="Y190" s="568">
        <v>1</v>
      </c>
      <c r="Z190" s="567">
        <f>$F$265</f>
        <v>855127</v>
      </c>
      <c r="AA190" s="561">
        <f t="shared" si="84"/>
        <v>855127</v>
      </c>
      <c r="AD190" s="589" t="s">
        <v>2172</v>
      </c>
      <c r="AE190" s="584" t="s">
        <v>2251</v>
      </c>
      <c r="AF190" s="571" t="str">
        <f>$D$265</f>
        <v>set</v>
      </c>
      <c r="AG190" s="568">
        <v>1</v>
      </c>
      <c r="AH190" s="567">
        <f>$F$265</f>
        <v>855127</v>
      </c>
      <c r="AI190" s="561">
        <f t="shared" si="85"/>
        <v>855127</v>
      </c>
    </row>
    <row r="191" spans="2:37" ht="15" customHeight="1">
      <c r="B191" s="589" t="s">
        <v>2174</v>
      </c>
      <c r="C191" s="584" t="s">
        <v>2252</v>
      </c>
      <c r="D191" s="571" t="str">
        <f>$D$266</f>
        <v>set</v>
      </c>
      <c r="E191" s="568">
        <v>1</v>
      </c>
      <c r="F191" s="567">
        <f t="shared" si="73"/>
        <v>674025</v>
      </c>
      <c r="G191" s="561">
        <f t="shared" si="82"/>
        <v>674025</v>
      </c>
      <c r="N191" s="589" t="s">
        <v>2174</v>
      </c>
      <c r="O191" s="584" t="s">
        <v>2252</v>
      </c>
      <c r="P191" s="571" t="str">
        <f>$D$266</f>
        <v>set</v>
      </c>
      <c r="Q191" s="568">
        <v>1</v>
      </c>
      <c r="R191" s="567">
        <f>$F$266</f>
        <v>674025</v>
      </c>
      <c r="S191" s="561">
        <f t="shared" si="83"/>
        <v>674025</v>
      </c>
      <c r="V191" s="589" t="s">
        <v>2174</v>
      </c>
      <c r="W191" s="584" t="s">
        <v>2252</v>
      </c>
      <c r="X191" s="571" t="str">
        <f>$D$266</f>
        <v>set</v>
      </c>
      <c r="Y191" s="568">
        <v>1</v>
      </c>
      <c r="Z191" s="567">
        <f>$F$266</f>
        <v>674025</v>
      </c>
      <c r="AA191" s="561">
        <f t="shared" si="84"/>
        <v>674025</v>
      </c>
      <c r="AD191" s="589" t="s">
        <v>2174</v>
      </c>
      <c r="AE191" s="584" t="s">
        <v>2252</v>
      </c>
      <c r="AF191" s="571" t="str">
        <f>$D$266</f>
        <v>set</v>
      </c>
      <c r="AG191" s="568">
        <v>1</v>
      </c>
      <c r="AH191" s="567">
        <f>$F$266</f>
        <v>674025</v>
      </c>
      <c r="AI191" s="561">
        <f t="shared" si="85"/>
        <v>674025</v>
      </c>
    </row>
    <row r="192" spans="2:37" ht="15" customHeight="1" thickBot="1">
      <c r="B192" s="582"/>
      <c r="C192" s="1197" t="s">
        <v>2274</v>
      </c>
      <c r="D192" s="1198"/>
      <c r="E192" s="1198"/>
      <c r="F192" s="1199"/>
      <c r="G192" s="560">
        <f>SUM(G171:G191)</f>
        <v>363898115.28851622</v>
      </c>
      <c r="N192" s="582"/>
      <c r="O192" s="1197" t="s">
        <v>2274</v>
      </c>
      <c r="P192" s="1198"/>
      <c r="Q192" s="1198"/>
      <c r="R192" s="1199"/>
      <c r="S192" s="560">
        <f>SUM(S171:S191)</f>
        <v>364231436.6675033</v>
      </c>
      <c r="V192" s="582"/>
      <c r="W192" s="1197" t="s">
        <v>2274</v>
      </c>
      <c r="X192" s="1198"/>
      <c r="Y192" s="1198"/>
      <c r="Z192" s="1199"/>
      <c r="AA192" s="560">
        <f>SUM(AA171:AA191)</f>
        <v>364501521.70368397</v>
      </c>
      <c r="AD192" s="582"/>
      <c r="AE192" s="1197" t="s">
        <v>2274</v>
      </c>
      <c r="AF192" s="1198"/>
      <c r="AG192" s="1198"/>
      <c r="AH192" s="1199"/>
      <c r="AI192" s="560">
        <f>SUM(AI171:AI191)</f>
        <v>364846209.38679892</v>
      </c>
    </row>
    <row r="193" spans="2:37" ht="15" customHeight="1" thickBot="1">
      <c r="R193" s="634"/>
      <c r="Z193" s="634"/>
      <c r="AA193" s="634"/>
      <c r="AH193" s="634"/>
      <c r="AI193" s="634"/>
    </row>
    <row r="194" spans="2:37" ht="15" customHeight="1" thickBot="1">
      <c r="B194" s="581" t="s">
        <v>2229</v>
      </c>
      <c r="C194" s="580"/>
      <c r="D194" s="579">
        <v>6</v>
      </c>
      <c r="E194" s="578"/>
      <c r="F194" s="577"/>
      <c r="G194" s="564"/>
      <c r="N194" s="581" t="s">
        <v>2230</v>
      </c>
      <c r="O194" s="580"/>
      <c r="P194" s="579">
        <v>6</v>
      </c>
      <c r="Q194" s="578"/>
      <c r="R194" s="577"/>
      <c r="S194" s="564"/>
      <c r="V194" s="581" t="s">
        <v>2231</v>
      </c>
      <c r="W194" s="580"/>
      <c r="X194" s="579"/>
      <c r="Y194" s="578"/>
      <c r="Z194" s="577"/>
      <c r="AA194" s="564"/>
      <c r="AD194" s="581" t="s">
        <v>2254</v>
      </c>
      <c r="AE194" s="580"/>
      <c r="AF194" s="579"/>
      <c r="AG194" s="578"/>
      <c r="AH194" s="577"/>
      <c r="AI194" s="564"/>
    </row>
    <row r="195" spans="2:37" ht="15" customHeight="1">
      <c r="B195" s="576"/>
      <c r="C195" s="575" t="s">
        <v>2275</v>
      </c>
      <c r="D195" s="574"/>
      <c r="E195" s="573"/>
      <c r="F195" s="572"/>
      <c r="G195" s="563"/>
      <c r="N195" s="576"/>
      <c r="O195" s="575" t="s">
        <v>2275</v>
      </c>
      <c r="P195" s="574"/>
      <c r="Q195" s="573"/>
      <c r="R195" s="572"/>
      <c r="S195" s="563"/>
      <c r="V195" s="576"/>
      <c r="W195" s="575" t="s">
        <v>2276</v>
      </c>
      <c r="X195" s="574"/>
      <c r="Y195" s="573"/>
      <c r="Z195" s="572"/>
      <c r="AA195" s="563"/>
      <c r="AD195" s="576"/>
      <c r="AE195" s="575" t="s">
        <v>2276</v>
      </c>
      <c r="AF195" s="574"/>
      <c r="AG195" s="573"/>
      <c r="AH195" s="572"/>
      <c r="AI195" s="563"/>
    </row>
    <row r="196" spans="2:37" ht="15" customHeight="1">
      <c r="B196" s="588">
        <v>1</v>
      </c>
      <c r="C196" s="587" t="s">
        <v>2234</v>
      </c>
      <c r="D196" s="571"/>
      <c r="E196" s="570"/>
      <c r="F196" s="569"/>
      <c r="G196" s="562"/>
      <c r="N196" s="588">
        <v>1</v>
      </c>
      <c r="O196" s="587" t="s">
        <v>2234</v>
      </c>
      <c r="P196" s="571"/>
      <c r="Q196" s="570"/>
      <c r="R196" s="569"/>
      <c r="S196" s="562"/>
      <c r="V196" s="588">
        <v>1</v>
      </c>
      <c r="W196" s="587" t="s">
        <v>2234</v>
      </c>
      <c r="X196" s="571"/>
      <c r="Y196" s="570"/>
      <c r="Z196" s="569"/>
      <c r="AA196" s="562"/>
      <c r="AD196" s="588">
        <v>1</v>
      </c>
      <c r="AE196" s="587" t="s">
        <v>2234</v>
      </c>
      <c r="AF196" s="571"/>
      <c r="AG196" s="570"/>
      <c r="AH196" s="569"/>
      <c r="AI196" s="562"/>
    </row>
    <row r="197" spans="2:37" ht="15" customHeight="1">
      <c r="B197" s="589" t="s">
        <v>721</v>
      </c>
      <c r="C197" s="586" t="s">
        <v>2235</v>
      </c>
      <c r="D197" s="571" t="str">
        <f>$D$247</f>
        <v>m³</v>
      </c>
      <c r="E197" s="568">
        <v>72.5</v>
      </c>
      <c r="F197" s="567">
        <f>F172</f>
        <v>102390.75000000001</v>
      </c>
      <c r="G197" s="561">
        <f>E197*F197</f>
        <v>7423329.3750000009</v>
      </c>
      <c r="N197" s="589" t="s">
        <v>721</v>
      </c>
      <c r="O197" s="586" t="s">
        <v>2235</v>
      </c>
      <c r="P197" s="571" t="str">
        <f>$D$247</f>
        <v>m³</v>
      </c>
      <c r="Q197" s="568">
        <v>72.5</v>
      </c>
      <c r="R197" s="567">
        <f>$F$247</f>
        <v>102390.75000000001</v>
      </c>
      <c r="S197" s="561">
        <f>Q197*R197</f>
        <v>7423329.3750000009</v>
      </c>
      <c r="V197" s="589" t="s">
        <v>721</v>
      </c>
      <c r="W197" s="586" t="s">
        <v>2235</v>
      </c>
      <c r="X197" s="571" t="str">
        <f>$D$247</f>
        <v>m³</v>
      </c>
      <c r="Y197" s="568">
        <v>72.5</v>
      </c>
      <c r="Z197" s="567">
        <f>$F$247</f>
        <v>102390.75000000001</v>
      </c>
      <c r="AA197" s="561">
        <f>Y197*Z197</f>
        <v>7423329.3750000009</v>
      </c>
      <c r="AD197" s="589" t="s">
        <v>721</v>
      </c>
      <c r="AE197" s="586" t="s">
        <v>2235</v>
      </c>
      <c r="AF197" s="571" t="str">
        <f>$D$247</f>
        <v>m³</v>
      </c>
      <c r="AG197" s="568">
        <v>72.5</v>
      </c>
      <c r="AH197" s="567">
        <f>$F$247</f>
        <v>102390.75000000001</v>
      </c>
      <c r="AI197" s="561">
        <f>AG197*AH197</f>
        <v>7423329.3750000009</v>
      </c>
    </row>
    <row r="198" spans="2:37" ht="15" customHeight="1">
      <c r="B198" s="589" t="s">
        <v>2166</v>
      </c>
      <c r="C198" s="586" t="s">
        <v>2237</v>
      </c>
      <c r="D198" s="571" t="str">
        <f>$D$248</f>
        <v>m³</v>
      </c>
      <c r="E198" s="568">
        <v>30.560000000000002</v>
      </c>
      <c r="F198" s="567">
        <f t="shared" ref="F198:F216" si="86">F173</f>
        <v>62462.950000000012</v>
      </c>
      <c r="G198" s="561">
        <f>E198*F198</f>
        <v>1908867.7520000006</v>
      </c>
      <c r="N198" s="589" t="s">
        <v>2166</v>
      </c>
      <c r="O198" s="586" t="s">
        <v>2237</v>
      </c>
      <c r="P198" s="571" t="str">
        <f>$D$248</f>
        <v>m³</v>
      </c>
      <c r="Q198" s="568">
        <v>30.560000000000002</v>
      </c>
      <c r="R198" s="567">
        <f>$F$248</f>
        <v>62462.950000000012</v>
      </c>
      <c r="S198" s="561">
        <f>Q198*R198</f>
        <v>1908867.7520000006</v>
      </c>
      <c r="V198" s="589" t="s">
        <v>2166</v>
      </c>
      <c r="W198" s="586" t="s">
        <v>2237</v>
      </c>
      <c r="X198" s="571" t="str">
        <f>$D$248</f>
        <v>m³</v>
      </c>
      <c r="Y198" s="568">
        <v>30.560000000000002</v>
      </c>
      <c r="Z198" s="567">
        <f>$F$248</f>
        <v>62462.950000000012</v>
      </c>
      <c r="AA198" s="561">
        <f>Y198*Z198</f>
        <v>1908867.7520000006</v>
      </c>
      <c r="AD198" s="589" t="s">
        <v>2166</v>
      </c>
      <c r="AE198" s="586" t="s">
        <v>2237</v>
      </c>
      <c r="AF198" s="571" t="str">
        <f>$D$248</f>
        <v>m³</v>
      </c>
      <c r="AG198" s="568">
        <v>30.560000000000002</v>
      </c>
      <c r="AH198" s="567">
        <f>$F$248</f>
        <v>62462.950000000012</v>
      </c>
      <c r="AI198" s="561">
        <f>AG198*AH198</f>
        <v>1908867.7520000006</v>
      </c>
    </row>
    <row r="199" spans="2:37" ht="15" customHeight="1">
      <c r="B199" s="589" t="s">
        <v>2168</v>
      </c>
      <c r="C199" s="586" t="s">
        <v>2265</v>
      </c>
      <c r="D199" s="571" t="str">
        <f>$D$249</f>
        <v>m'</v>
      </c>
      <c r="E199" s="568">
        <v>192</v>
      </c>
      <c r="F199" s="567">
        <f t="shared" si="86"/>
        <v>52230.612500000003</v>
      </c>
      <c r="G199" s="561">
        <f>E199*F199</f>
        <v>10028277.600000001</v>
      </c>
      <c r="N199" s="589" t="s">
        <v>2168</v>
      </c>
      <c r="O199" s="586" t="s">
        <v>2265</v>
      </c>
      <c r="P199" s="571" t="str">
        <f>$D$249</f>
        <v>m'</v>
      </c>
      <c r="Q199" s="568">
        <v>192</v>
      </c>
      <c r="R199" s="567">
        <f>$F$249</f>
        <v>52230.612500000003</v>
      </c>
      <c r="S199" s="561">
        <f>Q199*R199</f>
        <v>10028277.600000001</v>
      </c>
      <c r="V199" s="589" t="s">
        <v>2168</v>
      </c>
      <c r="W199" s="586" t="s">
        <v>2265</v>
      </c>
      <c r="X199" s="571" t="str">
        <f>$D$249</f>
        <v>m'</v>
      </c>
      <c r="Y199" s="568">
        <v>192</v>
      </c>
      <c r="Z199" s="567">
        <f>$F$249</f>
        <v>52230.612500000003</v>
      </c>
      <c r="AA199" s="561">
        <f>Y199*Z199</f>
        <v>10028277.600000001</v>
      </c>
      <c r="AD199" s="589" t="s">
        <v>2168</v>
      </c>
      <c r="AE199" s="586" t="s">
        <v>2265</v>
      </c>
      <c r="AF199" s="571" t="str">
        <f>$D$249</f>
        <v>m'</v>
      </c>
      <c r="AG199" s="568">
        <v>192</v>
      </c>
      <c r="AH199" s="567">
        <f>$F$249</f>
        <v>52230.612500000003</v>
      </c>
      <c r="AI199" s="561">
        <f>AG199*AH199</f>
        <v>10028277.600000001</v>
      </c>
    </row>
    <row r="200" spans="2:37" ht="15" customHeight="1">
      <c r="B200" s="585"/>
      <c r="C200" s="586"/>
      <c r="D200" s="571"/>
      <c r="E200" s="566"/>
      <c r="F200" s="567">
        <f t="shared" si="86"/>
        <v>0</v>
      </c>
      <c r="G200" s="561"/>
      <c r="N200" s="585"/>
      <c r="O200" s="586"/>
      <c r="P200" s="571"/>
      <c r="Q200" s="566"/>
      <c r="R200" s="567"/>
      <c r="S200" s="561"/>
      <c r="V200" s="585"/>
      <c r="W200" s="586"/>
      <c r="X200" s="571"/>
      <c r="Y200" s="566"/>
      <c r="Z200" s="567"/>
      <c r="AA200" s="561"/>
      <c r="AD200" s="585"/>
      <c r="AE200" s="586"/>
      <c r="AF200" s="571"/>
      <c r="AG200" s="566"/>
      <c r="AH200" s="567"/>
      <c r="AI200" s="561"/>
    </row>
    <row r="201" spans="2:37" ht="15" customHeight="1">
      <c r="B201" s="590">
        <v>2</v>
      </c>
      <c r="C201" s="587" t="s">
        <v>2238</v>
      </c>
      <c r="D201" s="571"/>
      <c r="E201" s="566"/>
      <c r="F201" s="567">
        <f t="shared" si="86"/>
        <v>0</v>
      </c>
      <c r="G201" s="561"/>
      <c r="H201" t="s">
        <v>2239</v>
      </c>
      <c r="N201" s="590">
        <v>2</v>
      </c>
      <c r="O201" s="587" t="s">
        <v>2238</v>
      </c>
      <c r="P201" s="571"/>
      <c r="Q201" s="566"/>
      <c r="R201" s="567"/>
      <c r="S201" s="561"/>
      <c r="T201" t="s">
        <v>2239</v>
      </c>
      <c r="V201" s="590">
        <v>2</v>
      </c>
      <c r="W201" s="587" t="s">
        <v>2238</v>
      </c>
      <c r="X201" s="571"/>
      <c r="Y201" s="566"/>
      <c r="Z201" s="567"/>
      <c r="AA201" s="561"/>
      <c r="AB201" t="s">
        <v>2239</v>
      </c>
      <c r="AD201" s="590">
        <v>2</v>
      </c>
      <c r="AE201" s="587" t="s">
        <v>2238</v>
      </c>
      <c r="AF201" s="571"/>
      <c r="AG201" s="566"/>
      <c r="AH201" s="567"/>
      <c r="AI201" s="561"/>
      <c r="AJ201" t="s">
        <v>2239</v>
      </c>
    </row>
    <row r="202" spans="2:37" ht="15" customHeight="1">
      <c r="B202" s="589" t="s">
        <v>721</v>
      </c>
      <c r="C202" s="586" t="s">
        <v>2240</v>
      </c>
      <c r="D202" s="571" t="str">
        <f>$D$252</f>
        <v>m³</v>
      </c>
      <c r="E202" s="568">
        <v>5.4</v>
      </c>
      <c r="F202" s="567">
        <f t="shared" si="86"/>
        <v>404738.95</v>
      </c>
      <c r="G202" s="561">
        <f t="shared" ref="G202:G208" si="87">E202*F202</f>
        <v>2185590.33</v>
      </c>
      <c r="H202">
        <v>1400</v>
      </c>
      <c r="I202">
        <f t="shared" ref="I202:I208" si="88">E202*H202</f>
        <v>7560.0000000000009</v>
      </c>
      <c r="N202" s="589" t="s">
        <v>721</v>
      </c>
      <c r="O202" s="586" t="s">
        <v>2240</v>
      </c>
      <c r="P202" s="571" t="str">
        <f>$D$252</f>
        <v>m³</v>
      </c>
      <c r="Q202" s="568">
        <v>5.4</v>
      </c>
      <c r="R202" s="567">
        <f>$F$252</f>
        <v>404738.95</v>
      </c>
      <c r="S202" s="561">
        <f t="shared" ref="S202:S208" si="89">Q202*R202</f>
        <v>2185590.33</v>
      </c>
      <c r="T202">
        <v>1400</v>
      </c>
      <c r="U202">
        <f t="shared" ref="U202:U208" si="90">Q202*T202</f>
        <v>7560.0000000000009</v>
      </c>
      <c r="V202" s="589" t="s">
        <v>721</v>
      </c>
      <c r="W202" s="586" t="s">
        <v>2240</v>
      </c>
      <c r="X202" s="571" t="str">
        <f>$D$252</f>
        <v>m³</v>
      </c>
      <c r="Y202" s="568">
        <v>5.4</v>
      </c>
      <c r="Z202" s="567">
        <f>$F$252</f>
        <v>404738.95</v>
      </c>
      <c r="AA202" s="561">
        <f t="shared" ref="AA202:AA208" si="91">Y202*Z202</f>
        <v>2185590.33</v>
      </c>
      <c r="AB202">
        <v>1400</v>
      </c>
      <c r="AC202">
        <f t="shared" ref="AC202:AC208" si="92">Y202*AB202</f>
        <v>7560.0000000000009</v>
      </c>
      <c r="AD202" s="589" t="s">
        <v>721</v>
      </c>
      <c r="AE202" s="586" t="s">
        <v>2240</v>
      </c>
      <c r="AF202" s="571" t="str">
        <f>$D$252</f>
        <v>m³</v>
      </c>
      <c r="AG202" s="568">
        <v>5.4</v>
      </c>
      <c r="AH202" s="567">
        <f>$F$252</f>
        <v>404738.95</v>
      </c>
      <c r="AI202" s="561">
        <f t="shared" ref="AI202:AI208" si="93">AG202*AH202</f>
        <v>2185590.33</v>
      </c>
      <c r="AJ202">
        <v>1400</v>
      </c>
      <c r="AK202">
        <f t="shared" ref="AK202:AK208" si="94">AG202*AJ202</f>
        <v>7560.0000000000009</v>
      </c>
    </row>
    <row r="203" spans="2:37" ht="15" customHeight="1">
      <c r="B203" s="589" t="s">
        <v>2166</v>
      </c>
      <c r="C203" s="584" t="s">
        <v>2241</v>
      </c>
      <c r="D203" s="571" t="str">
        <f>$D$253</f>
        <v>m³</v>
      </c>
      <c r="E203" s="568">
        <v>2.7</v>
      </c>
      <c r="F203" s="567">
        <f t="shared" si="86"/>
        <v>710224.707936508</v>
      </c>
      <c r="G203" s="561">
        <f t="shared" si="87"/>
        <v>1917606.7114285717</v>
      </c>
      <c r="H203">
        <v>2200</v>
      </c>
      <c r="I203">
        <f t="shared" si="88"/>
        <v>5940</v>
      </c>
      <c r="N203" s="589" t="s">
        <v>2166</v>
      </c>
      <c r="O203" s="584" t="s">
        <v>2241</v>
      </c>
      <c r="P203" s="571" t="str">
        <f>$D$253</f>
        <v>m³</v>
      </c>
      <c r="Q203" s="568">
        <v>2.7</v>
      </c>
      <c r="R203" s="567">
        <f>$F$253</f>
        <v>710224.707936508</v>
      </c>
      <c r="S203" s="561">
        <f t="shared" si="89"/>
        <v>1917606.7114285717</v>
      </c>
      <c r="T203">
        <v>2200</v>
      </c>
      <c r="U203">
        <f t="shared" si="90"/>
        <v>5940</v>
      </c>
      <c r="V203" s="589" t="s">
        <v>2166</v>
      </c>
      <c r="W203" s="584" t="s">
        <v>2241</v>
      </c>
      <c r="X203" s="571" t="str">
        <f>$D$253</f>
        <v>m³</v>
      </c>
      <c r="Y203" s="568">
        <v>2.7</v>
      </c>
      <c r="Z203" s="567">
        <f>$F$253</f>
        <v>710224.707936508</v>
      </c>
      <c r="AA203" s="561">
        <f t="shared" si="91"/>
        <v>1917606.7114285717</v>
      </c>
      <c r="AB203">
        <v>2200</v>
      </c>
      <c r="AC203">
        <f t="shared" si="92"/>
        <v>5940</v>
      </c>
      <c r="AD203" s="589" t="s">
        <v>2166</v>
      </c>
      <c r="AE203" s="584" t="s">
        <v>2241</v>
      </c>
      <c r="AF203" s="571" t="str">
        <f>$D$253</f>
        <v>m³</v>
      </c>
      <c r="AG203" s="568">
        <v>2.7</v>
      </c>
      <c r="AH203" s="567">
        <f>$F$253</f>
        <v>710224.707936508</v>
      </c>
      <c r="AI203" s="561">
        <f t="shared" si="93"/>
        <v>1917606.7114285717</v>
      </c>
      <c r="AJ203">
        <v>2200</v>
      </c>
      <c r="AK203">
        <f t="shared" si="94"/>
        <v>5940</v>
      </c>
    </row>
    <row r="204" spans="2:37" ht="15" customHeight="1">
      <c r="B204" s="589" t="s">
        <v>2168</v>
      </c>
      <c r="C204" s="584" t="s">
        <v>2266</v>
      </c>
      <c r="D204" s="571" t="str">
        <f>$D$254</f>
        <v>m³</v>
      </c>
      <c r="E204" s="568">
        <v>33.839999999999996</v>
      </c>
      <c r="F204" s="567">
        <f t="shared" si="86"/>
        <v>1115864.6138095236</v>
      </c>
      <c r="G204" s="561">
        <f t="shared" si="87"/>
        <v>37760858.531314276</v>
      </c>
      <c r="H204">
        <v>2400</v>
      </c>
      <c r="I204">
        <f t="shared" si="88"/>
        <v>81215.999999999985</v>
      </c>
      <c r="N204" s="589" t="s">
        <v>2168</v>
      </c>
      <c r="O204" s="584" t="s">
        <v>2266</v>
      </c>
      <c r="P204" s="571" t="str">
        <f>$D$254</f>
        <v>m³</v>
      </c>
      <c r="Q204" s="568">
        <v>33.839999999999996</v>
      </c>
      <c r="R204" s="567">
        <f>$F$254</f>
        <v>1115864.6138095236</v>
      </c>
      <c r="S204" s="561">
        <f t="shared" si="89"/>
        <v>37760858.531314276</v>
      </c>
      <c r="T204">
        <v>2400</v>
      </c>
      <c r="U204">
        <f t="shared" si="90"/>
        <v>81215.999999999985</v>
      </c>
      <c r="V204" s="589" t="s">
        <v>2168</v>
      </c>
      <c r="W204" s="584" t="str">
        <f>O204</f>
        <v>Beton K 225 (Pad &amp; Chimney)</v>
      </c>
      <c r="X204" s="571" t="str">
        <f>$D$254</f>
        <v>m³</v>
      </c>
      <c r="Y204" s="568">
        <v>33.839999999999996</v>
      </c>
      <c r="Z204" s="567">
        <f>$F$254</f>
        <v>1115864.6138095236</v>
      </c>
      <c r="AA204" s="561">
        <f t="shared" si="91"/>
        <v>37760858.531314276</v>
      </c>
      <c r="AB204">
        <v>2400</v>
      </c>
      <c r="AC204">
        <f t="shared" si="92"/>
        <v>81215.999999999985</v>
      </c>
      <c r="AD204" s="589" t="s">
        <v>2168</v>
      </c>
      <c r="AE204" s="584" t="str">
        <f>W204</f>
        <v>Beton K 225 (Pad &amp; Chimney)</v>
      </c>
      <c r="AF204" s="571" t="str">
        <f>$D$254</f>
        <v>m³</v>
      </c>
      <c r="AG204" s="568">
        <v>33.839999999999996</v>
      </c>
      <c r="AH204" s="567">
        <f>$F$254</f>
        <v>1115864.6138095236</v>
      </c>
      <c r="AI204" s="561">
        <f t="shared" si="93"/>
        <v>37760858.531314276</v>
      </c>
      <c r="AJ204">
        <v>2400</v>
      </c>
      <c r="AK204">
        <f t="shared" si="94"/>
        <v>81215.999999999985</v>
      </c>
    </row>
    <row r="205" spans="2:37" ht="15" customHeight="1">
      <c r="B205" s="589" t="s">
        <v>2170</v>
      </c>
      <c r="C205" s="584" t="s">
        <v>2267</v>
      </c>
      <c r="D205" s="571" t="str">
        <f>$D$255</f>
        <v>m³</v>
      </c>
      <c r="E205" s="568">
        <v>46.841142857142863</v>
      </c>
      <c r="F205" s="567">
        <f t="shared" si="86"/>
        <v>1057576.2423809525</v>
      </c>
      <c r="G205" s="561">
        <f t="shared" si="87"/>
        <v>49538079.851686537</v>
      </c>
      <c r="H205">
        <v>2200</v>
      </c>
      <c r="I205">
        <f t="shared" si="88"/>
        <v>103050.51428571429</v>
      </c>
      <c r="N205" s="589" t="s">
        <v>2170</v>
      </c>
      <c r="O205" s="584" t="s">
        <v>2267</v>
      </c>
      <c r="P205" s="571" t="str">
        <f>$D$255</f>
        <v>m³</v>
      </c>
      <c r="Q205" s="568">
        <v>46.841142857142863</v>
      </c>
      <c r="R205" s="567">
        <f>$F$255</f>
        <v>1057576.2423809525</v>
      </c>
      <c r="S205" s="561">
        <f t="shared" si="89"/>
        <v>49538079.851686537</v>
      </c>
      <c r="T205">
        <v>2200</v>
      </c>
      <c r="U205">
        <f t="shared" si="90"/>
        <v>103050.51428571429</v>
      </c>
      <c r="V205" s="589" t="s">
        <v>2170</v>
      </c>
      <c r="W205" s="584" t="s">
        <v>2267</v>
      </c>
      <c r="X205" s="571" t="str">
        <f>$D$255</f>
        <v>m³</v>
      </c>
      <c r="Y205" s="568">
        <v>46.841142857142863</v>
      </c>
      <c r="Z205" s="567">
        <f>$F$255</f>
        <v>1057576.2423809525</v>
      </c>
      <c r="AA205" s="561">
        <f t="shared" si="91"/>
        <v>49538079.851686537</v>
      </c>
      <c r="AB205">
        <v>2200</v>
      </c>
      <c r="AC205">
        <f t="shared" si="92"/>
        <v>103050.51428571429</v>
      </c>
      <c r="AD205" s="589" t="s">
        <v>2170</v>
      </c>
      <c r="AE205" s="584" t="s">
        <v>2267</v>
      </c>
      <c r="AF205" s="571" t="str">
        <f>$D$255</f>
        <v>m³</v>
      </c>
      <c r="AG205" s="568">
        <v>46.841142857142863</v>
      </c>
      <c r="AH205" s="567">
        <f>$F$255</f>
        <v>1057576.2423809525</v>
      </c>
      <c r="AI205" s="561">
        <f t="shared" si="93"/>
        <v>49538079.851686537</v>
      </c>
      <c r="AJ205">
        <v>2200</v>
      </c>
      <c r="AK205">
        <f t="shared" si="94"/>
        <v>103050.51428571429</v>
      </c>
    </row>
    <row r="206" spans="2:37" ht="15" customHeight="1">
      <c r="B206" s="589" t="s">
        <v>2172</v>
      </c>
      <c r="C206" s="584" t="s">
        <v>2243</v>
      </c>
      <c r="D206" s="571" t="str">
        <f>$D$256</f>
        <v>kg</v>
      </c>
      <c r="E206" s="568">
        <v>9078.648000000001</v>
      </c>
      <c r="F206" s="567">
        <f t="shared" si="86"/>
        <v>19478.039350000003</v>
      </c>
      <c r="G206" s="561">
        <f t="shared" si="87"/>
        <v>176834262.98879886</v>
      </c>
      <c r="H206">
        <v>1</v>
      </c>
      <c r="I206">
        <f t="shared" si="88"/>
        <v>9078.648000000001</v>
      </c>
      <c r="N206" s="589" t="s">
        <v>2172</v>
      </c>
      <c r="O206" s="584" t="s">
        <v>2243</v>
      </c>
      <c r="P206" s="571" t="str">
        <f>$D$256</f>
        <v>kg</v>
      </c>
      <c r="Q206" s="568">
        <v>9078.648000000001</v>
      </c>
      <c r="R206" s="567">
        <f>$F$256</f>
        <v>19478.039350000003</v>
      </c>
      <c r="S206" s="561">
        <f t="shared" si="89"/>
        <v>176834262.98879886</v>
      </c>
      <c r="T206">
        <v>1</v>
      </c>
      <c r="U206">
        <f t="shared" si="90"/>
        <v>9078.648000000001</v>
      </c>
      <c r="V206" s="589" t="s">
        <v>2172</v>
      </c>
      <c r="W206" s="584" t="s">
        <v>2243</v>
      </c>
      <c r="X206" s="571" t="str">
        <f>$D$256</f>
        <v>kg</v>
      </c>
      <c r="Y206" s="568">
        <v>9078.648000000001</v>
      </c>
      <c r="Z206" s="567">
        <f>$F$256</f>
        <v>19478.039350000003</v>
      </c>
      <c r="AA206" s="561">
        <f t="shared" si="91"/>
        <v>176834262.98879886</v>
      </c>
      <c r="AB206">
        <v>1</v>
      </c>
      <c r="AC206">
        <f t="shared" si="92"/>
        <v>9078.648000000001</v>
      </c>
      <c r="AD206" s="589" t="s">
        <v>2172</v>
      </c>
      <c r="AE206" s="584" t="s">
        <v>2243</v>
      </c>
      <c r="AF206" s="571" t="str">
        <f>$D$256</f>
        <v>kg</v>
      </c>
      <c r="AG206" s="568">
        <v>9078.648000000001</v>
      </c>
      <c r="AH206" s="567">
        <f>$F$256</f>
        <v>19478.039350000003</v>
      </c>
      <c r="AI206" s="561">
        <f t="shared" si="93"/>
        <v>176834262.98879886</v>
      </c>
      <c r="AJ206">
        <v>1</v>
      </c>
      <c r="AK206">
        <f t="shared" si="94"/>
        <v>9078.648000000001</v>
      </c>
    </row>
    <row r="207" spans="2:37" ht="15" customHeight="1">
      <c r="B207" s="589" t="s">
        <v>2268</v>
      </c>
      <c r="C207" s="584" t="s">
        <v>2244</v>
      </c>
      <c r="D207" s="571" t="str">
        <f>$D$257</f>
        <v>m²</v>
      </c>
      <c r="E207" s="568">
        <v>45.6</v>
      </c>
      <c r="F207" s="567">
        <f t="shared" si="86"/>
        <v>145812.67000000001</v>
      </c>
      <c r="G207" s="561">
        <f t="shared" si="87"/>
        <v>6649057.7520000003</v>
      </c>
      <c r="H207">
        <v>40</v>
      </c>
      <c r="I207">
        <f t="shared" si="88"/>
        <v>1824</v>
      </c>
      <c r="N207" s="589" t="s">
        <v>2268</v>
      </c>
      <c r="O207" s="584" t="s">
        <v>2244</v>
      </c>
      <c r="P207" s="571" t="str">
        <f>$D$257</f>
        <v>m²</v>
      </c>
      <c r="Q207" s="568">
        <v>45.6</v>
      </c>
      <c r="R207" s="567">
        <f>$F$257</f>
        <v>145812.67000000001</v>
      </c>
      <c r="S207" s="561">
        <f t="shared" si="89"/>
        <v>6649057.7520000003</v>
      </c>
      <c r="T207">
        <v>40</v>
      </c>
      <c r="U207">
        <f t="shared" si="90"/>
        <v>1824</v>
      </c>
      <c r="V207" s="589" t="s">
        <v>2268</v>
      </c>
      <c r="W207" s="584" t="s">
        <v>2244</v>
      </c>
      <c r="X207" s="571" t="str">
        <f>$D$257</f>
        <v>m²</v>
      </c>
      <c r="Y207" s="568">
        <v>45.6</v>
      </c>
      <c r="Z207" s="567">
        <f>$F$257</f>
        <v>145812.67000000001</v>
      </c>
      <c r="AA207" s="561">
        <f t="shared" si="91"/>
        <v>6649057.7520000003</v>
      </c>
      <c r="AB207">
        <v>40</v>
      </c>
      <c r="AC207">
        <f t="shared" si="92"/>
        <v>1824</v>
      </c>
      <c r="AD207" s="589" t="s">
        <v>2268</v>
      </c>
      <c r="AE207" s="584" t="s">
        <v>2244</v>
      </c>
      <c r="AF207" s="571" t="str">
        <f>$D$257</f>
        <v>m²</v>
      </c>
      <c r="AG207" s="568">
        <v>45.6</v>
      </c>
      <c r="AH207" s="567">
        <f>$F$257</f>
        <v>145812.67000000001</v>
      </c>
      <c r="AI207" s="561">
        <f t="shared" si="93"/>
        <v>6649057.7520000003</v>
      </c>
      <c r="AJ207">
        <v>40</v>
      </c>
      <c r="AK207">
        <f t="shared" si="94"/>
        <v>1824</v>
      </c>
    </row>
    <row r="208" spans="2:37" ht="15" customHeight="1">
      <c r="B208" s="589" t="s">
        <v>2176</v>
      </c>
      <c r="C208" s="565" t="s">
        <v>2246</v>
      </c>
      <c r="D208" s="571" t="str">
        <f>$D$258</f>
        <v>bh</v>
      </c>
      <c r="E208" s="568">
        <v>4</v>
      </c>
      <c r="F208" s="567">
        <f t="shared" si="86"/>
        <v>100000</v>
      </c>
      <c r="G208" s="561">
        <f t="shared" si="87"/>
        <v>400000</v>
      </c>
      <c r="H208">
        <v>2.5</v>
      </c>
      <c r="I208">
        <f t="shared" si="88"/>
        <v>10</v>
      </c>
      <c r="N208" s="589" t="s">
        <v>2176</v>
      </c>
      <c r="O208" s="565" t="s">
        <v>2246</v>
      </c>
      <c r="P208" s="571" t="str">
        <f>$D$258</f>
        <v>bh</v>
      </c>
      <c r="Q208" s="568">
        <v>4</v>
      </c>
      <c r="R208" s="567">
        <f>$F$258</f>
        <v>100000</v>
      </c>
      <c r="S208" s="561">
        <f t="shared" si="89"/>
        <v>400000</v>
      </c>
      <c r="T208">
        <v>2.5</v>
      </c>
      <c r="U208">
        <f t="shared" si="90"/>
        <v>10</v>
      </c>
      <c r="V208" s="589" t="s">
        <v>2176</v>
      </c>
      <c r="W208" s="565" t="s">
        <v>2246</v>
      </c>
      <c r="X208" s="571" t="str">
        <f>$D$258</f>
        <v>bh</v>
      </c>
      <c r="Y208" s="568">
        <v>4</v>
      </c>
      <c r="Z208" s="567">
        <f>$F$258</f>
        <v>100000</v>
      </c>
      <c r="AA208" s="561">
        <f t="shared" si="91"/>
        <v>400000</v>
      </c>
      <c r="AB208">
        <v>2.5</v>
      </c>
      <c r="AC208">
        <f t="shared" si="92"/>
        <v>10</v>
      </c>
      <c r="AD208" s="589" t="s">
        <v>2176</v>
      </c>
      <c r="AE208" s="565" t="s">
        <v>2246</v>
      </c>
      <c r="AF208" s="571" t="str">
        <f>$D$258</f>
        <v>bh</v>
      </c>
      <c r="AG208" s="568">
        <v>4</v>
      </c>
      <c r="AH208" s="567">
        <f>$F$258</f>
        <v>100000</v>
      </c>
      <c r="AI208" s="561">
        <f t="shared" si="93"/>
        <v>400000</v>
      </c>
      <c r="AJ208">
        <v>2.5</v>
      </c>
      <c r="AK208">
        <f t="shared" si="94"/>
        <v>10</v>
      </c>
    </row>
    <row r="209" spans="2:37" ht="15" customHeight="1">
      <c r="B209" s="589"/>
      <c r="C209" s="584"/>
      <c r="D209" s="571"/>
      <c r="E209" s="566"/>
      <c r="F209" s="567">
        <f t="shared" si="86"/>
        <v>0</v>
      </c>
      <c r="G209" s="561"/>
      <c r="I209">
        <f>SUM(I202:I207)</f>
        <v>208669.16228571429</v>
      </c>
      <c r="N209" s="589"/>
      <c r="O209" s="584"/>
      <c r="P209" s="571"/>
      <c r="Q209" s="566"/>
      <c r="R209" s="567"/>
      <c r="S209" s="561"/>
      <c r="U209">
        <f>SUM(U202:U207)</f>
        <v>208669.16228571429</v>
      </c>
      <c r="V209" s="589"/>
      <c r="W209" s="584"/>
      <c r="X209" s="571"/>
      <c r="Y209" s="566"/>
      <c r="Z209" s="567"/>
      <c r="AA209" s="561"/>
      <c r="AC209">
        <f>SUM(AC202:AC207)</f>
        <v>208669.16228571429</v>
      </c>
      <c r="AD209" s="589"/>
      <c r="AE209" s="584"/>
      <c r="AF209" s="571"/>
      <c r="AG209" s="566"/>
      <c r="AH209" s="567"/>
      <c r="AI209" s="561"/>
      <c r="AK209">
        <f>SUM(AK202:AK207)</f>
        <v>208669.16228571429</v>
      </c>
    </row>
    <row r="210" spans="2:37" ht="15" customHeight="1">
      <c r="B210" s="590">
        <v>3</v>
      </c>
      <c r="C210" s="583" t="s">
        <v>2086</v>
      </c>
      <c r="D210" s="571"/>
      <c r="E210" s="566"/>
      <c r="F210" s="567">
        <f t="shared" si="86"/>
        <v>0</v>
      </c>
      <c r="G210" s="561"/>
      <c r="N210" s="590">
        <v>3</v>
      </c>
      <c r="O210" s="583" t="s">
        <v>2086</v>
      </c>
      <c r="P210" s="571"/>
      <c r="Q210" s="566"/>
      <c r="R210" s="567"/>
      <c r="S210" s="561"/>
      <c r="V210" s="590">
        <v>3</v>
      </c>
      <c r="W210" s="583" t="s">
        <v>2086</v>
      </c>
      <c r="X210" s="571"/>
      <c r="Y210" s="566"/>
      <c r="Z210" s="567"/>
      <c r="AA210" s="561"/>
      <c r="AD210" s="590">
        <v>3</v>
      </c>
      <c r="AE210" s="583" t="s">
        <v>2086</v>
      </c>
      <c r="AF210" s="571"/>
      <c r="AG210" s="566"/>
      <c r="AH210" s="567"/>
      <c r="AI210" s="561"/>
    </row>
    <row r="211" spans="2:37" ht="15" customHeight="1">
      <c r="B211" s="589" t="s">
        <v>721</v>
      </c>
      <c r="C211" s="584" t="s">
        <v>2247</v>
      </c>
      <c r="D211" s="571" t="str">
        <f>$D$261</f>
        <v>bh</v>
      </c>
      <c r="E211" s="568">
        <v>4</v>
      </c>
      <c r="F211" s="567">
        <f t="shared" si="86"/>
        <v>181849.04</v>
      </c>
      <c r="G211" s="561">
        <f t="shared" ref="G211:G216" si="95">E211*F211</f>
        <v>727396.16</v>
      </c>
      <c r="N211" s="589" t="s">
        <v>721</v>
      </c>
      <c r="O211" s="584" t="s">
        <v>2247</v>
      </c>
      <c r="P211" s="571" t="str">
        <f>$D$261</f>
        <v>bh</v>
      </c>
      <c r="Q211" s="568">
        <v>4</v>
      </c>
      <c r="R211" s="567">
        <f>$F$261</f>
        <v>181849.04</v>
      </c>
      <c r="S211" s="561">
        <f t="shared" ref="S211:S216" si="96">Q211*R211</f>
        <v>727396.16</v>
      </c>
      <c r="V211" s="589" t="s">
        <v>721</v>
      </c>
      <c r="W211" s="584" t="s">
        <v>2247</v>
      </c>
      <c r="X211" s="571" t="str">
        <f>$D$261</f>
        <v>bh</v>
      </c>
      <c r="Y211" s="568">
        <v>4</v>
      </c>
      <c r="Z211" s="567">
        <f>$F$261</f>
        <v>181849.04</v>
      </c>
      <c r="AA211" s="561">
        <f t="shared" ref="AA211:AA216" si="97">Y211*Z211</f>
        <v>727396.16</v>
      </c>
      <c r="AD211" s="589" t="s">
        <v>721</v>
      </c>
      <c r="AE211" s="584" t="s">
        <v>2247</v>
      </c>
      <c r="AF211" s="571" t="str">
        <f>$D$261</f>
        <v>bh</v>
      </c>
      <c r="AG211" s="568">
        <v>4</v>
      </c>
      <c r="AH211" s="567">
        <f>$F$261</f>
        <v>181849.04</v>
      </c>
      <c r="AI211" s="561">
        <f t="shared" ref="AI211:AI216" si="98">AG211*AH211</f>
        <v>727396.16</v>
      </c>
    </row>
    <row r="212" spans="2:37" ht="15" customHeight="1">
      <c r="B212" s="589" t="s">
        <v>2166</v>
      </c>
      <c r="C212" s="584" t="s">
        <v>2085</v>
      </c>
      <c r="D212" s="571" t="str">
        <f>$D$262</f>
        <v>kg</v>
      </c>
      <c r="E212" s="568">
        <f>I209</f>
        <v>208669.16228571429</v>
      </c>
      <c r="F212" s="567">
        <f t="shared" si="86"/>
        <v>462.7700000000001</v>
      </c>
      <c r="G212" s="561">
        <f t="shared" si="95"/>
        <v>96565828.230960026</v>
      </c>
      <c r="N212" s="589" t="s">
        <v>2166</v>
      </c>
      <c r="O212" s="584" t="s">
        <v>2085</v>
      </c>
      <c r="P212" s="571" t="str">
        <f>$D$262</f>
        <v>kg</v>
      </c>
      <c r="Q212" s="568">
        <f>U209</f>
        <v>208669.16228571429</v>
      </c>
      <c r="R212" s="567">
        <f>$F$262</f>
        <v>462.7700000000001</v>
      </c>
      <c r="S212" s="561">
        <f t="shared" si="96"/>
        <v>96565828.230960026</v>
      </c>
      <c r="V212" s="589" t="s">
        <v>2166</v>
      </c>
      <c r="W212" s="584" t="s">
        <v>2085</v>
      </c>
      <c r="X212" s="571" t="str">
        <f>$D$262</f>
        <v>kg</v>
      </c>
      <c r="Y212" s="568">
        <f>AC209</f>
        <v>208669.16228571429</v>
      </c>
      <c r="Z212" s="567">
        <f>$F$262</f>
        <v>462.7700000000001</v>
      </c>
      <c r="AA212" s="561">
        <f t="shared" si="97"/>
        <v>96565828.230960026</v>
      </c>
      <c r="AD212" s="589" t="s">
        <v>2166</v>
      </c>
      <c r="AE212" s="584" t="s">
        <v>2085</v>
      </c>
      <c r="AF212" s="571" t="str">
        <f>$D$262</f>
        <v>kg</v>
      </c>
      <c r="AG212" s="568">
        <f>AK209</f>
        <v>208669.16228571429</v>
      </c>
      <c r="AH212" s="567">
        <f>$F$262</f>
        <v>462.7700000000001</v>
      </c>
      <c r="AI212" s="561">
        <f t="shared" si="98"/>
        <v>96565828.230960026</v>
      </c>
    </row>
    <row r="213" spans="2:37" ht="15" customHeight="1">
      <c r="B213" s="589" t="s">
        <v>2168</v>
      </c>
      <c r="C213" s="584" t="s">
        <v>2249</v>
      </c>
      <c r="D213" s="571" t="str">
        <f>$D$263</f>
        <v>bh</v>
      </c>
      <c r="E213" s="568">
        <v>4</v>
      </c>
      <c r="F213" s="567">
        <f t="shared" si="86"/>
        <v>387825</v>
      </c>
      <c r="G213" s="561">
        <f t="shared" si="95"/>
        <v>1551300</v>
      </c>
      <c r="N213" s="589" t="s">
        <v>2168</v>
      </c>
      <c r="O213" s="584" t="s">
        <v>2249</v>
      </c>
      <c r="P213" s="571" t="str">
        <f>$D$263</f>
        <v>bh</v>
      </c>
      <c r="Q213" s="568">
        <v>4</v>
      </c>
      <c r="R213" s="567">
        <f>$F$263</f>
        <v>387825</v>
      </c>
      <c r="S213" s="561">
        <f t="shared" si="96"/>
        <v>1551300</v>
      </c>
      <c r="V213" s="589" t="s">
        <v>2168</v>
      </c>
      <c r="W213" s="584" t="s">
        <v>2249</v>
      </c>
      <c r="X213" s="571" t="str">
        <f>$D$263</f>
        <v>bh</v>
      </c>
      <c r="Y213" s="568">
        <v>4</v>
      </c>
      <c r="Z213" s="567">
        <f>$F$263</f>
        <v>387825</v>
      </c>
      <c r="AA213" s="561">
        <f t="shared" si="97"/>
        <v>1551300</v>
      </c>
      <c r="AD213" s="589" t="s">
        <v>2168</v>
      </c>
      <c r="AE213" s="584" t="s">
        <v>2249</v>
      </c>
      <c r="AF213" s="571" t="str">
        <f>$D$263</f>
        <v>bh</v>
      </c>
      <c r="AG213" s="568">
        <v>4</v>
      </c>
      <c r="AH213" s="567">
        <f>$F$263</f>
        <v>387825</v>
      </c>
      <c r="AI213" s="561">
        <f t="shared" si="98"/>
        <v>1551300</v>
      </c>
    </row>
    <row r="214" spans="2:37" ht="15" customHeight="1">
      <c r="B214" s="589" t="s">
        <v>2170</v>
      </c>
      <c r="C214" s="584" t="s">
        <v>2250</v>
      </c>
      <c r="D214" s="571" t="str">
        <f>$D$264</f>
        <v>kg</v>
      </c>
      <c r="E214" s="568">
        <f>$E$164</f>
        <v>150.93599999999998</v>
      </c>
      <c r="F214" s="567">
        <f t="shared" si="86"/>
        <v>3758.6984549742947</v>
      </c>
      <c r="G214" s="561">
        <f t="shared" si="95"/>
        <v>567322.91</v>
      </c>
      <c r="N214" s="589" t="s">
        <v>2170</v>
      </c>
      <c r="O214" s="584" t="s">
        <v>2250</v>
      </c>
      <c r="P214" s="571" t="str">
        <f>$D$264</f>
        <v>kg</v>
      </c>
      <c r="Q214" s="568">
        <f>$Q$164</f>
        <v>239.61599999999999</v>
      </c>
      <c r="R214" s="567">
        <f>$F$264</f>
        <v>3758.6984549742947</v>
      </c>
      <c r="S214" s="561">
        <f t="shared" si="96"/>
        <v>900644.2889871205</v>
      </c>
      <c r="V214" s="589" t="s">
        <v>2170</v>
      </c>
      <c r="W214" s="584" t="s">
        <v>2269</v>
      </c>
      <c r="X214" s="571" t="str">
        <f>$D$264</f>
        <v>kg</v>
      </c>
      <c r="Y214" s="568">
        <f>$Y$164</f>
        <v>311.47199999999998</v>
      </c>
      <c r="Z214" s="567">
        <f>$F$264</f>
        <v>3758.6984549742947</v>
      </c>
      <c r="AA214" s="561">
        <f t="shared" si="97"/>
        <v>1170729.3251677535</v>
      </c>
      <c r="AD214" s="589" t="s">
        <v>2170</v>
      </c>
      <c r="AE214" s="584" t="s">
        <v>2269</v>
      </c>
      <c r="AF214" s="571" t="str">
        <f>$D$264</f>
        <v>kg</v>
      </c>
      <c r="AG214" s="568">
        <f>$AG$164</f>
        <v>403.17599999999999</v>
      </c>
      <c r="AH214" s="567">
        <f>$F$264</f>
        <v>3758.6984549742947</v>
      </c>
      <c r="AI214" s="561">
        <f t="shared" si="98"/>
        <v>1515417.0082827162</v>
      </c>
    </row>
    <row r="215" spans="2:37" ht="15" customHeight="1">
      <c r="B215" s="589" t="s">
        <v>2172</v>
      </c>
      <c r="C215" s="584" t="s">
        <v>2251</v>
      </c>
      <c r="D215" s="571" t="str">
        <f>$D$265</f>
        <v>set</v>
      </c>
      <c r="E215" s="568">
        <v>1</v>
      </c>
      <c r="F215" s="567">
        <f t="shared" si="86"/>
        <v>855127</v>
      </c>
      <c r="G215" s="561">
        <f t="shared" si="95"/>
        <v>855127</v>
      </c>
      <c r="N215" s="589" t="s">
        <v>2172</v>
      </c>
      <c r="O215" s="584" t="s">
        <v>2251</v>
      </c>
      <c r="P215" s="571" t="str">
        <f>$D$265</f>
        <v>set</v>
      </c>
      <c r="Q215" s="568">
        <v>1</v>
      </c>
      <c r="R215" s="567">
        <f>$F$265</f>
        <v>855127</v>
      </c>
      <c r="S215" s="561">
        <f t="shared" si="96"/>
        <v>855127</v>
      </c>
      <c r="V215" s="589" t="s">
        <v>2172</v>
      </c>
      <c r="W215" s="584" t="s">
        <v>2251</v>
      </c>
      <c r="X215" s="571" t="str">
        <f>$D$265</f>
        <v>set</v>
      </c>
      <c r="Y215" s="568">
        <v>1</v>
      </c>
      <c r="Z215" s="567">
        <f>$F$265</f>
        <v>855127</v>
      </c>
      <c r="AA215" s="561">
        <f t="shared" si="97"/>
        <v>855127</v>
      </c>
      <c r="AD215" s="589" t="s">
        <v>2172</v>
      </c>
      <c r="AE215" s="584" t="s">
        <v>2251</v>
      </c>
      <c r="AF215" s="571" t="str">
        <f>$D$265</f>
        <v>set</v>
      </c>
      <c r="AG215" s="568">
        <v>1</v>
      </c>
      <c r="AH215" s="567">
        <f>$F$265</f>
        <v>855127</v>
      </c>
      <c r="AI215" s="561">
        <f t="shared" si="98"/>
        <v>855127</v>
      </c>
    </row>
    <row r="216" spans="2:37" ht="15" customHeight="1">
      <c r="B216" s="589" t="s">
        <v>2174</v>
      </c>
      <c r="C216" s="584" t="s">
        <v>2252</v>
      </c>
      <c r="D216" s="571" t="str">
        <f>$D$266</f>
        <v>set</v>
      </c>
      <c r="E216" s="568">
        <v>1</v>
      </c>
      <c r="F216" s="567">
        <f t="shared" si="86"/>
        <v>674025</v>
      </c>
      <c r="G216" s="561">
        <f t="shared" si="95"/>
        <v>674025</v>
      </c>
      <c r="N216" s="589" t="s">
        <v>2174</v>
      </c>
      <c r="O216" s="584" t="s">
        <v>2252</v>
      </c>
      <c r="P216" s="571" t="str">
        <f>$D$266</f>
        <v>set</v>
      </c>
      <c r="Q216" s="568">
        <v>1</v>
      </c>
      <c r="R216" s="567">
        <f>$F$266</f>
        <v>674025</v>
      </c>
      <c r="S216" s="561">
        <f t="shared" si="96"/>
        <v>674025</v>
      </c>
      <c r="V216" s="589" t="s">
        <v>2174</v>
      </c>
      <c r="W216" s="584" t="s">
        <v>2252</v>
      </c>
      <c r="X216" s="571" t="str">
        <f>$D$266</f>
        <v>set</v>
      </c>
      <c r="Y216" s="568">
        <v>1</v>
      </c>
      <c r="Z216" s="567">
        <f>$F$266</f>
        <v>674025</v>
      </c>
      <c r="AA216" s="561">
        <f t="shared" si="97"/>
        <v>674025</v>
      </c>
      <c r="AD216" s="589" t="s">
        <v>2174</v>
      </c>
      <c r="AE216" s="584" t="s">
        <v>2252</v>
      </c>
      <c r="AF216" s="571" t="str">
        <f>$D$266</f>
        <v>set</v>
      </c>
      <c r="AG216" s="568">
        <v>1</v>
      </c>
      <c r="AH216" s="567">
        <f>$F$266</f>
        <v>674025</v>
      </c>
      <c r="AI216" s="561">
        <f t="shared" si="98"/>
        <v>674025</v>
      </c>
    </row>
    <row r="217" spans="2:37" ht="15" customHeight="1" thickBot="1">
      <c r="B217" s="582"/>
      <c r="C217" s="1197" t="s">
        <v>2277</v>
      </c>
      <c r="D217" s="1198"/>
      <c r="E217" s="1198"/>
      <c r="F217" s="1199"/>
      <c r="G217" s="560">
        <f>SUM(G196:G216)</f>
        <v>395586930.19318831</v>
      </c>
      <c r="N217" s="582"/>
      <c r="O217" s="1197" t="s">
        <v>2277</v>
      </c>
      <c r="P217" s="1198"/>
      <c r="Q217" s="1198"/>
      <c r="R217" s="1199"/>
      <c r="S217" s="560">
        <f>SUM(S196:S216)</f>
        <v>395920251.57217538</v>
      </c>
      <c r="V217" s="582"/>
      <c r="W217" s="1197" t="s">
        <v>2277</v>
      </c>
      <c r="X217" s="1198"/>
      <c r="Y217" s="1198"/>
      <c r="Z217" s="1199"/>
      <c r="AA217" s="560">
        <f>SUM(AA196:AA216)</f>
        <v>396190336.60835606</v>
      </c>
      <c r="AD217" s="582"/>
      <c r="AE217" s="1197" t="s">
        <v>2277</v>
      </c>
      <c r="AF217" s="1198"/>
      <c r="AG217" s="1198"/>
      <c r="AH217" s="1199"/>
      <c r="AI217" s="560">
        <f>SUM(AI196:AI216)</f>
        <v>396535024.291471</v>
      </c>
    </row>
    <row r="218" spans="2:37" ht="15" customHeight="1" thickBot="1">
      <c r="R218" s="634"/>
      <c r="Z218" s="634"/>
      <c r="AA218" s="634"/>
      <c r="AH218" s="634"/>
      <c r="AI218" s="634"/>
    </row>
    <row r="219" spans="2:37" ht="15" customHeight="1" thickBot="1">
      <c r="B219" s="581" t="s">
        <v>2229</v>
      </c>
      <c r="C219" s="580"/>
      <c r="D219" s="579">
        <v>6</v>
      </c>
      <c r="E219" s="578"/>
      <c r="F219" s="577"/>
      <c r="G219" s="564"/>
      <c r="N219" s="581" t="s">
        <v>2230</v>
      </c>
      <c r="O219" s="580"/>
      <c r="P219" s="579">
        <v>6</v>
      </c>
      <c r="Q219" s="578"/>
      <c r="R219" s="577"/>
      <c r="S219" s="564"/>
      <c r="V219" s="581" t="s">
        <v>2231</v>
      </c>
      <c r="W219" s="580"/>
      <c r="X219" s="579"/>
      <c r="Y219" s="578"/>
      <c r="Z219" s="577"/>
      <c r="AA219" s="564"/>
      <c r="AD219" s="581" t="s">
        <v>2254</v>
      </c>
      <c r="AE219" s="580"/>
      <c r="AF219" s="579"/>
      <c r="AG219" s="578"/>
      <c r="AH219" s="577"/>
      <c r="AI219" s="564"/>
    </row>
    <row r="220" spans="2:37" ht="15" customHeight="1">
      <c r="B220" s="576"/>
      <c r="C220" s="575" t="s">
        <v>2278</v>
      </c>
      <c r="D220" s="574"/>
      <c r="E220" s="573"/>
      <c r="F220" s="572"/>
      <c r="G220" s="563"/>
      <c r="N220" s="576"/>
      <c r="O220" s="575" t="s">
        <v>2278</v>
      </c>
      <c r="P220" s="574"/>
      <c r="Q220" s="573"/>
      <c r="R220" s="572"/>
      <c r="S220" s="563"/>
      <c r="V220" s="576"/>
      <c r="W220" s="575" t="s">
        <v>2279</v>
      </c>
      <c r="X220" s="574"/>
      <c r="Y220" s="573"/>
      <c r="Z220" s="572"/>
      <c r="AA220" s="563"/>
      <c r="AD220" s="576"/>
      <c r="AE220" s="575" t="s">
        <v>2279</v>
      </c>
      <c r="AF220" s="574"/>
      <c r="AG220" s="573"/>
      <c r="AH220" s="572"/>
      <c r="AI220" s="563"/>
    </row>
    <row r="221" spans="2:37" ht="15" customHeight="1">
      <c r="B221" s="588">
        <v>1</v>
      </c>
      <c r="C221" s="587" t="s">
        <v>2234</v>
      </c>
      <c r="D221" s="571"/>
      <c r="E221" s="570"/>
      <c r="F221" s="569"/>
      <c r="G221" s="562"/>
      <c r="N221" s="588">
        <v>1</v>
      </c>
      <c r="O221" s="587" t="s">
        <v>2234</v>
      </c>
      <c r="P221" s="571"/>
      <c r="Q221" s="570"/>
      <c r="R221" s="569"/>
      <c r="S221" s="562"/>
      <c r="V221" s="588">
        <v>1</v>
      </c>
      <c r="W221" s="587" t="s">
        <v>2234</v>
      </c>
      <c r="X221" s="571"/>
      <c r="Y221" s="570"/>
      <c r="Z221" s="569"/>
      <c r="AA221" s="562"/>
      <c r="AD221" s="588">
        <v>1</v>
      </c>
      <c r="AE221" s="587" t="s">
        <v>2234</v>
      </c>
      <c r="AF221" s="571"/>
      <c r="AG221" s="570"/>
      <c r="AH221" s="569"/>
      <c r="AI221" s="562"/>
    </row>
    <row r="222" spans="2:37" ht="15" customHeight="1">
      <c r="B222" s="589" t="s">
        <v>721</v>
      </c>
      <c r="C222" s="586" t="s">
        <v>2235</v>
      </c>
      <c r="D222" s="571" t="str">
        <f>$D$247</f>
        <v>m³</v>
      </c>
      <c r="E222" s="568">
        <v>72.5</v>
      </c>
      <c r="F222" s="567">
        <f>F197</f>
        <v>102390.75000000001</v>
      </c>
      <c r="G222" s="561">
        <f>E222*F222</f>
        <v>7423329.3750000009</v>
      </c>
      <c r="N222" s="589" t="s">
        <v>721</v>
      </c>
      <c r="O222" s="586" t="s">
        <v>2235</v>
      </c>
      <c r="P222" s="571" t="str">
        <f>$D$247</f>
        <v>m³</v>
      </c>
      <c r="Q222" s="568">
        <v>72.5</v>
      </c>
      <c r="R222" s="567">
        <f>$F$247</f>
        <v>102390.75000000001</v>
      </c>
      <c r="S222" s="561">
        <f>Q222*R222</f>
        <v>7423329.3750000009</v>
      </c>
      <c r="V222" s="589" t="s">
        <v>721</v>
      </c>
      <c r="W222" s="586" t="s">
        <v>2235</v>
      </c>
      <c r="X222" s="571" t="str">
        <f>$D$247</f>
        <v>m³</v>
      </c>
      <c r="Y222" s="568">
        <v>72.5</v>
      </c>
      <c r="Z222" s="567">
        <f>$F$247</f>
        <v>102390.75000000001</v>
      </c>
      <c r="AA222" s="561">
        <f>Y222*Z222</f>
        <v>7423329.3750000009</v>
      </c>
      <c r="AD222" s="589" t="s">
        <v>721</v>
      </c>
      <c r="AE222" s="586" t="s">
        <v>2235</v>
      </c>
      <c r="AF222" s="571" t="str">
        <f>$D$247</f>
        <v>m³</v>
      </c>
      <c r="AG222" s="568">
        <v>72.5</v>
      </c>
      <c r="AH222" s="567">
        <f>$F$247</f>
        <v>102390.75000000001</v>
      </c>
      <c r="AI222" s="561">
        <f>AG222*AH222</f>
        <v>7423329.3750000009</v>
      </c>
    </row>
    <row r="223" spans="2:37" ht="15" customHeight="1">
      <c r="B223" s="589" t="s">
        <v>2166</v>
      </c>
      <c r="C223" s="586" t="s">
        <v>2237</v>
      </c>
      <c r="D223" s="571" t="str">
        <f>$D$248</f>
        <v>m³</v>
      </c>
      <c r="E223" s="568">
        <v>30.560000000000002</v>
      </c>
      <c r="F223" s="567">
        <f t="shared" ref="F223:F241" si="99">F198</f>
        <v>62462.950000000012</v>
      </c>
      <c r="G223" s="561">
        <f>E223*F223</f>
        <v>1908867.7520000006</v>
      </c>
      <c r="N223" s="589" t="s">
        <v>2166</v>
      </c>
      <c r="O223" s="586" t="s">
        <v>2237</v>
      </c>
      <c r="P223" s="571" t="str">
        <f>$D$248</f>
        <v>m³</v>
      </c>
      <c r="Q223" s="568">
        <v>30.560000000000002</v>
      </c>
      <c r="R223" s="567">
        <f>$F$248</f>
        <v>62462.950000000012</v>
      </c>
      <c r="S223" s="561">
        <f>Q223*R223</f>
        <v>1908867.7520000006</v>
      </c>
      <c r="V223" s="589" t="s">
        <v>2166</v>
      </c>
      <c r="W223" s="586" t="s">
        <v>2237</v>
      </c>
      <c r="X223" s="571" t="str">
        <f>$D$248</f>
        <v>m³</v>
      </c>
      <c r="Y223" s="568">
        <v>30.560000000000002</v>
      </c>
      <c r="Z223" s="567">
        <f>$F$248</f>
        <v>62462.950000000012</v>
      </c>
      <c r="AA223" s="561">
        <f>Y223*Z223</f>
        <v>1908867.7520000006</v>
      </c>
      <c r="AD223" s="589" t="s">
        <v>2166</v>
      </c>
      <c r="AE223" s="586" t="s">
        <v>2237</v>
      </c>
      <c r="AF223" s="571" t="str">
        <f>$D$248</f>
        <v>m³</v>
      </c>
      <c r="AG223" s="568">
        <v>30.560000000000002</v>
      </c>
      <c r="AH223" s="567">
        <f>$F$248</f>
        <v>62462.950000000012</v>
      </c>
      <c r="AI223" s="561">
        <f>AG223*AH223</f>
        <v>1908867.7520000006</v>
      </c>
    </row>
    <row r="224" spans="2:37" ht="15" customHeight="1">
      <c r="B224" s="589" t="s">
        <v>2168</v>
      </c>
      <c r="C224" s="586" t="s">
        <v>2265</v>
      </c>
      <c r="D224" s="571" t="str">
        <f>$D$249</f>
        <v>m'</v>
      </c>
      <c r="E224" s="568">
        <v>216</v>
      </c>
      <c r="F224" s="567">
        <f t="shared" si="99"/>
        <v>52230.612500000003</v>
      </c>
      <c r="G224" s="561">
        <f>E224*F224</f>
        <v>11281812.300000001</v>
      </c>
      <c r="N224" s="589" t="s">
        <v>2168</v>
      </c>
      <c r="O224" s="586" t="s">
        <v>2265</v>
      </c>
      <c r="P224" s="571" t="str">
        <f>$D$249</f>
        <v>m'</v>
      </c>
      <c r="Q224" s="568">
        <v>216</v>
      </c>
      <c r="R224" s="567">
        <f>$F$249</f>
        <v>52230.612500000003</v>
      </c>
      <c r="S224" s="561">
        <f>Q224*R224</f>
        <v>11281812.300000001</v>
      </c>
      <c r="V224" s="589" t="s">
        <v>2168</v>
      </c>
      <c r="W224" s="586" t="s">
        <v>2265</v>
      </c>
      <c r="X224" s="571" t="str">
        <f>$D$249</f>
        <v>m'</v>
      </c>
      <c r="Y224" s="568">
        <v>216</v>
      </c>
      <c r="Z224" s="567">
        <f>$F$249</f>
        <v>52230.612500000003</v>
      </c>
      <c r="AA224" s="561">
        <f>Y224*Z224</f>
        <v>11281812.300000001</v>
      </c>
      <c r="AD224" s="589" t="s">
        <v>2168</v>
      </c>
      <c r="AE224" s="586" t="s">
        <v>2265</v>
      </c>
      <c r="AF224" s="571" t="str">
        <f>$D$249</f>
        <v>m'</v>
      </c>
      <c r="AG224" s="568">
        <v>216</v>
      </c>
      <c r="AH224" s="567">
        <f>$F$249</f>
        <v>52230.612500000003</v>
      </c>
      <c r="AI224" s="561">
        <f>AG224*AH224</f>
        <v>11281812.300000001</v>
      </c>
    </row>
    <row r="225" spans="2:37" ht="15" customHeight="1">
      <c r="B225" s="585"/>
      <c r="C225" s="586"/>
      <c r="D225" s="571"/>
      <c r="E225" s="566"/>
      <c r="F225" s="567">
        <f t="shared" si="99"/>
        <v>0</v>
      </c>
      <c r="G225" s="561"/>
      <c r="N225" s="585"/>
      <c r="O225" s="586"/>
      <c r="P225" s="571"/>
      <c r="Q225" s="566"/>
      <c r="R225" s="567"/>
      <c r="S225" s="561"/>
      <c r="V225" s="585"/>
      <c r="W225" s="586"/>
      <c r="X225" s="571"/>
      <c r="Y225" s="566"/>
      <c r="Z225" s="567"/>
      <c r="AA225" s="561"/>
      <c r="AD225" s="585"/>
      <c r="AE225" s="586"/>
      <c r="AF225" s="571"/>
      <c r="AG225" s="566"/>
      <c r="AH225" s="567"/>
      <c r="AI225" s="561"/>
    </row>
    <row r="226" spans="2:37" ht="15" customHeight="1">
      <c r="B226" s="590">
        <v>2</v>
      </c>
      <c r="C226" s="587" t="s">
        <v>2238</v>
      </c>
      <c r="D226" s="571"/>
      <c r="E226" s="566"/>
      <c r="F226" s="567">
        <f t="shared" si="99"/>
        <v>0</v>
      </c>
      <c r="G226" s="561"/>
      <c r="H226" t="s">
        <v>2239</v>
      </c>
      <c r="N226" s="590">
        <v>2</v>
      </c>
      <c r="O226" s="587" t="s">
        <v>2238</v>
      </c>
      <c r="P226" s="571"/>
      <c r="Q226" s="566"/>
      <c r="R226" s="567"/>
      <c r="S226" s="561"/>
      <c r="T226" t="s">
        <v>2239</v>
      </c>
      <c r="V226" s="590">
        <v>2</v>
      </c>
      <c r="W226" s="587" t="s">
        <v>2238</v>
      </c>
      <c r="X226" s="571"/>
      <c r="Y226" s="566"/>
      <c r="Z226" s="567"/>
      <c r="AA226" s="561"/>
      <c r="AB226" t="s">
        <v>2239</v>
      </c>
      <c r="AD226" s="590">
        <v>2</v>
      </c>
      <c r="AE226" s="587" t="s">
        <v>2238</v>
      </c>
      <c r="AF226" s="571"/>
      <c r="AG226" s="566"/>
      <c r="AH226" s="567"/>
      <c r="AI226" s="561"/>
      <c r="AJ226" t="s">
        <v>2239</v>
      </c>
    </row>
    <row r="227" spans="2:37" ht="15" customHeight="1">
      <c r="B227" s="589" t="s">
        <v>721</v>
      </c>
      <c r="C227" s="586" t="s">
        <v>2240</v>
      </c>
      <c r="D227" s="571" t="str">
        <f>$D$252</f>
        <v>m³</v>
      </c>
      <c r="E227" s="568">
        <v>5.4</v>
      </c>
      <c r="F227" s="567">
        <f t="shared" si="99"/>
        <v>404738.95</v>
      </c>
      <c r="G227" s="561">
        <f t="shared" ref="G227:G233" si="100">E227*F227</f>
        <v>2185590.33</v>
      </c>
      <c r="H227">
        <v>1400</v>
      </c>
      <c r="I227">
        <f t="shared" ref="I227:I233" si="101">E227*H227</f>
        <v>7560.0000000000009</v>
      </c>
      <c r="N227" s="589" t="s">
        <v>721</v>
      </c>
      <c r="O227" s="586" t="s">
        <v>2240</v>
      </c>
      <c r="P227" s="571" t="str">
        <f>$D$252</f>
        <v>m³</v>
      </c>
      <c r="Q227" s="568">
        <v>5.4</v>
      </c>
      <c r="R227" s="567">
        <f>$F$252</f>
        <v>404738.95</v>
      </c>
      <c r="S227" s="561">
        <f t="shared" ref="S227:S233" si="102">Q227*R227</f>
        <v>2185590.33</v>
      </c>
      <c r="T227">
        <v>1400</v>
      </c>
      <c r="U227">
        <f t="shared" ref="U227:U233" si="103">Q227*T227</f>
        <v>7560.0000000000009</v>
      </c>
      <c r="V227" s="589" t="s">
        <v>721</v>
      </c>
      <c r="W227" s="586" t="s">
        <v>2240</v>
      </c>
      <c r="X227" s="571" t="str">
        <f>$D$252</f>
        <v>m³</v>
      </c>
      <c r="Y227" s="568">
        <v>5.4</v>
      </c>
      <c r="Z227" s="567">
        <f>$F$252</f>
        <v>404738.95</v>
      </c>
      <c r="AA227" s="561">
        <f t="shared" ref="AA227:AA233" si="104">Y227*Z227</f>
        <v>2185590.33</v>
      </c>
      <c r="AB227">
        <v>1400</v>
      </c>
      <c r="AC227">
        <f t="shared" ref="AC227:AC233" si="105">Y227*AB227</f>
        <v>7560.0000000000009</v>
      </c>
      <c r="AD227" s="589" t="s">
        <v>721</v>
      </c>
      <c r="AE227" s="586" t="s">
        <v>2240</v>
      </c>
      <c r="AF227" s="571" t="str">
        <f>$D$252</f>
        <v>m³</v>
      </c>
      <c r="AG227" s="568">
        <v>5.4</v>
      </c>
      <c r="AH227" s="567">
        <f>$F$252</f>
        <v>404738.95</v>
      </c>
      <c r="AI227" s="561">
        <f t="shared" ref="AI227:AI233" si="106">AG227*AH227</f>
        <v>2185590.33</v>
      </c>
      <c r="AJ227">
        <v>1400</v>
      </c>
      <c r="AK227">
        <f t="shared" ref="AK227:AK233" si="107">AG227*AJ227</f>
        <v>7560.0000000000009</v>
      </c>
    </row>
    <row r="228" spans="2:37" ht="15" customHeight="1">
      <c r="B228" s="589" t="s">
        <v>2166</v>
      </c>
      <c r="C228" s="584" t="s">
        <v>2241</v>
      </c>
      <c r="D228" s="571" t="str">
        <f>$D$253</f>
        <v>m³</v>
      </c>
      <c r="E228" s="568">
        <v>2.7</v>
      </c>
      <c r="F228" s="567">
        <f t="shared" si="99"/>
        <v>710224.707936508</v>
      </c>
      <c r="G228" s="561">
        <f t="shared" si="100"/>
        <v>1917606.7114285717</v>
      </c>
      <c r="H228">
        <v>2200</v>
      </c>
      <c r="I228">
        <f t="shared" si="101"/>
        <v>5940</v>
      </c>
      <c r="N228" s="589" t="s">
        <v>2166</v>
      </c>
      <c r="O228" s="584" t="s">
        <v>2241</v>
      </c>
      <c r="P228" s="571" t="str">
        <f>$D$253</f>
        <v>m³</v>
      </c>
      <c r="Q228" s="568">
        <v>2.7</v>
      </c>
      <c r="R228" s="567">
        <f>$F$253</f>
        <v>710224.707936508</v>
      </c>
      <c r="S228" s="561">
        <f t="shared" si="102"/>
        <v>1917606.7114285717</v>
      </c>
      <c r="T228">
        <v>2200</v>
      </c>
      <c r="U228">
        <f t="shared" si="103"/>
        <v>5940</v>
      </c>
      <c r="V228" s="589" t="s">
        <v>2166</v>
      </c>
      <c r="W228" s="584" t="s">
        <v>2241</v>
      </c>
      <c r="X228" s="571" t="str">
        <f>$D$253</f>
        <v>m³</v>
      </c>
      <c r="Y228" s="568">
        <v>2.7</v>
      </c>
      <c r="Z228" s="567">
        <f>$F$253</f>
        <v>710224.707936508</v>
      </c>
      <c r="AA228" s="561">
        <f t="shared" si="104"/>
        <v>1917606.7114285717</v>
      </c>
      <c r="AB228">
        <v>2200</v>
      </c>
      <c r="AC228">
        <f t="shared" si="105"/>
        <v>5940</v>
      </c>
      <c r="AD228" s="589" t="s">
        <v>2166</v>
      </c>
      <c r="AE228" s="584" t="s">
        <v>2241</v>
      </c>
      <c r="AF228" s="571" t="str">
        <f>$D$253</f>
        <v>m³</v>
      </c>
      <c r="AG228" s="568">
        <v>2.7</v>
      </c>
      <c r="AH228" s="567">
        <f>$F$253</f>
        <v>710224.707936508</v>
      </c>
      <c r="AI228" s="561">
        <f t="shared" si="106"/>
        <v>1917606.7114285717</v>
      </c>
      <c r="AJ228">
        <v>2200</v>
      </c>
      <c r="AK228">
        <f t="shared" si="107"/>
        <v>5940</v>
      </c>
    </row>
    <row r="229" spans="2:37" ht="15" customHeight="1">
      <c r="B229" s="589" t="s">
        <v>2168</v>
      </c>
      <c r="C229" s="584" t="s">
        <v>2266</v>
      </c>
      <c r="D229" s="571" t="str">
        <f>$D$254</f>
        <v>m³</v>
      </c>
      <c r="E229" s="568">
        <v>33.839999999999996</v>
      </c>
      <c r="F229" s="567">
        <f t="shared" si="99"/>
        <v>1115864.6138095236</v>
      </c>
      <c r="G229" s="561">
        <f t="shared" si="100"/>
        <v>37760858.531314276</v>
      </c>
      <c r="H229">
        <v>2400</v>
      </c>
      <c r="I229">
        <f t="shared" si="101"/>
        <v>81215.999999999985</v>
      </c>
      <c r="N229" s="589" t="s">
        <v>2168</v>
      </c>
      <c r="O229" s="584" t="s">
        <v>2266</v>
      </c>
      <c r="P229" s="571" t="str">
        <f>$D$254</f>
        <v>m³</v>
      </c>
      <c r="Q229" s="568">
        <v>33.839999999999996</v>
      </c>
      <c r="R229" s="567">
        <f>$F$254</f>
        <v>1115864.6138095236</v>
      </c>
      <c r="S229" s="561">
        <f t="shared" si="102"/>
        <v>37760858.531314276</v>
      </c>
      <c r="T229">
        <v>2400</v>
      </c>
      <c r="U229">
        <f t="shared" si="103"/>
        <v>81215.999999999985</v>
      </c>
      <c r="V229" s="589" t="s">
        <v>2168</v>
      </c>
      <c r="W229" s="584" t="str">
        <f>O229</f>
        <v>Beton K 225 (Pad &amp; Chimney)</v>
      </c>
      <c r="X229" s="571" t="str">
        <f>$D$254</f>
        <v>m³</v>
      </c>
      <c r="Y229" s="568">
        <v>33.839999999999996</v>
      </c>
      <c r="Z229" s="567">
        <f>$F$254</f>
        <v>1115864.6138095236</v>
      </c>
      <c r="AA229" s="561">
        <f t="shared" si="104"/>
        <v>37760858.531314276</v>
      </c>
      <c r="AB229">
        <v>2400</v>
      </c>
      <c r="AC229">
        <f t="shared" si="105"/>
        <v>81215.999999999985</v>
      </c>
      <c r="AD229" s="589" t="s">
        <v>2168</v>
      </c>
      <c r="AE229" s="584" t="str">
        <f>W229</f>
        <v>Beton K 225 (Pad &amp; Chimney)</v>
      </c>
      <c r="AF229" s="571" t="str">
        <f>$D$254</f>
        <v>m³</v>
      </c>
      <c r="AG229" s="568">
        <v>33.839999999999996</v>
      </c>
      <c r="AH229" s="567">
        <f>$F$254</f>
        <v>1115864.6138095236</v>
      </c>
      <c r="AI229" s="561">
        <f t="shared" si="106"/>
        <v>37760858.531314276</v>
      </c>
      <c r="AJ229">
        <v>2400</v>
      </c>
      <c r="AK229">
        <f t="shared" si="107"/>
        <v>81215.999999999985</v>
      </c>
    </row>
    <row r="230" spans="2:37" ht="15" customHeight="1">
      <c r="B230" s="589" t="s">
        <v>2170</v>
      </c>
      <c r="C230" s="584" t="s">
        <v>2267</v>
      </c>
      <c r="D230" s="571" t="str">
        <f>$D$255</f>
        <v>m³</v>
      </c>
      <c r="E230" s="568">
        <v>53.629714285714293</v>
      </c>
      <c r="F230" s="567">
        <f t="shared" si="99"/>
        <v>1057576.2423809525</v>
      </c>
      <c r="G230" s="561">
        <f t="shared" si="100"/>
        <v>56717511.714249805</v>
      </c>
      <c r="H230">
        <v>2200</v>
      </c>
      <c r="I230">
        <f t="shared" si="101"/>
        <v>117985.37142857144</v>
      </c>
      <c r="N230" s="589" t="s">
        <v>2170</v>
      </c>
      <c r="O230" s="584" t="s">
        <v>2267</v>
      </c>
      <c r="P230" s="571" t="str">
        <f>$D$255</f>
        <v>m³</v>
      </c>
      <c r="Q230" s="568">
        <v>53.629714285714293</v>
      </c>
      <c r="R230" s="567">
        <f>$F$255</f>
        <v>1057576.2423809525</v>
      </c>
      <c r="S230" s="561">
        <f t="shared" si="102"/>
        <v>56717511.714249805</v>
      </c>
      <c r="T230">
        <v>2200</v>
      </c>
      <c r="U230">
        <f t="shared" si="103"/>
        <v>117985.37142857144</v>
      </c>
      <c r="V230" s="589" t="s">
        <v>2170</v>
      </c>
      <c r="W230" s="584" t="s">
        <v>2267</v>
      </c>
      <c r="X230" s="571" t="str">
        <f>$D$255</f>
        <v>m³</v>
      </c>
      <c r="Y230" s="568">
        <v>53.629714285714293</v>
      </c>
      <c r="Z230" s="567">
        <f>$F$255</f>
        <v>1057576.2423809525</v>
      </c>
      <c r="AA230" s="561">
        <f t="shared" si="104"/>
        <v>56717511.714249805</v>
      </c>
      <c r="AB230">
        <v>2200</v>
      </c>
      <c r="AC230">
        <f t="shared" si="105"/>
        <v>117985.37142857144</v>
      </c>
      <c r="AD230" s="589" t="s">
        <v>2170</v>
      </c>
      <c r="AE230" s="584" t="s">
        <v>2267</v>
      </c>
      <c r="AF230" s="571" t="str">
        <f>$D$255</f>
        <v>m³</v>
      </c>
      <c r="AG230" s="568">
        <v>53.629714285714293</v>
      </c>
      <c r="AH230" s="567">
        <f>$F$255</f>
        <v>1057576.2423809525</v>
      </c>
      <c r="AI230" s="561">
        <f t="shared" si="106"/>
        <v>56717511.714249805</v>
      </c>
      <c r="AJ230">
        <v>2200</v>
      </c>
      <c r="AK230">
        <f t="shared" si="107"/>
        <v>117985.37142857144</v>
      </c>
    </row>
    <row r="231" spans="2:37" ht="15" customHeight="1">
      <c r="B231" s="589" t="s">
        <v>2172</v>
      </c>
      <c r="C231" s="584" t="s">
        <v>2243</v>
      </c>
      <c r="D231" s="571" t="str">
        <f>$D$256</f>
        <v>kg</v>
      </c>
      <c r="E231" s="568">
        <v>9898.007999999998</v>
      </c>
      <c r="F231" s="567">
        <f t="shared" si="99"/>
        <v>19478.039350000003</v>
      </c>
      <c r="G231" s="561">
        <f t="shared" si="100"/>
        <v>192793789.31061479</v>
      </c>
      <c r="H231">
        <v>1</v>
      </c>
      <c r="I231">
        <f t="shared" si="101"/>
        <v>9898.007999999998</v>
      </c>
      <c r="N231" s="589" t="s">
        <v>2172</v>
      </c>
      <c r="O231" s="584" t="s">
        <v>2243</v>
      </c>
      <c r="P231" s="571" t="str">
        <f>$D$256</f>
        <v>kg</v>
      </c>
      <c r="Q231" s="568">
        <v>9898.007999999998</v>
      </c>
      <c r="R231" s="567">
        <f>$F$256</f>
        <v>19478.039350000003</v>
      </c>
      <c r="S231" s="561">
        <f t="shared" si="102"/>
        <v>192793789.31061479</v>
      </c>
      <c r="T231">
        <v>1</v>
      </c>
      <c r="U231">
        <f t="shared" si="103"/>
        <v>9898.007999999998</v>
      </c>
      <c r="V231" s="589" t="s">
        <v>2172</v>
      </c>
      <c r="W231" s="584" t="s">
        <v>2243</v>
      </c>
      <c r="X231" s="571" t="str">
        <f>$D$256</f>
        <v>kg</v>
      </c>
      <c r="Y231" s="568">
        <v>9898.007999999998</v>
      </c>
      <c r="Z231" s="567">
        <f>$F$256</f>
        <v>19478.039350000003</v>
      </c>
      <c r="AA231" s="561">
        <f t="shared" si="104"/>
        <v>192793789.31061479</v>
      </c>
      <c r="AB231">
        <v>1</v>
      </c>
      <c r="AC231">
        <f t="shared" si="105"/>
        <v>9898.007999999998</v>
      </c>
      <c r="AD231" s="589" t="s">
        <v>2172</v>
      </c>
      <c r="AE231" s="584" t="s">
        <v>2243</v>
      </c>
      <c r="AF231" s="571" t="str">
        <f>$D$256</f>
        <v>kg</v>
      </c>
      <c r="AG231" s="568">
        <v>9898.007999999998</v>
      </c>
      <c r="AH231" s="567">
        <f>$F$256</f>
        <v>19478.039350000003</v>
      </c>
      <c r="AI231" s="561">
        <f t="shared" si="106"/>
        <v>192793789.31061479</v>
      </c>
      <c r="AJ231">
        <v>1</v>
      </c>
      <c r="AK231">
        <f t="shared" si="107"/>
        <v>9898.007999999998</v>
      </c>
    </row>
    <row r="232" spans="2:37" ht="15" customHeight="1">
      <c r="B232" s="589" t="s">
        <v>2268</v>
      </c>
      <c r="C232" s="584" t="s">
        <v>2244</v>
      </c>
      <c r="D232" s="571" t="str">
        <f>$D$257</f>
        <v>m²</v>
      </c>
      <c r="E232" s="568">
        <v>45.6</v>
      </c>
      <c r="F232" s="567">
        <f t="shared" si="99"/>
        <v>145812.67000000001</v>
      </c>
      <c r="G232" s="561">
        <f t="shared" si="100"/>
        <v>6649057.7520000003</v>
      </c>
      <c r="H232">
        <v>40</v>
      </c>
      <c r="I232">
        <f t="shared" si="101"/>
        <v>1824</v>
      </c>
      <c r="N232" s="589" t="s">
        <v>2268</v>
      </c>
      <c r="O232" s="584" t="s">
        <v>2244</v>
      </c>
      <c r="P232" s="571" t="str">
        <f>$D$257</f>
        <v>m²</v>
      </c>
      <c r="Q232" s="568">
        <v>45.6</v>
      </c>
      <c r="R232" s="567">
        <f>$F$257</f>
        <v>145812.67000000001</v>
      </c>
      <c r="S232" s="561">
        <f t="shared" si="102"/>
        <v>6649057.7520000003</v>
      </c>
      <c r="T232">
        <v>40</v>
      </c>
      <c r="U232">
        <f t="shared" si="103"/>
        <v>1824</v>
      </c>
      <c r="V232" s="589" t="s">
        <v>2268</v>
      </c>
      <c r="W232" s="584" t="s">
        <v>2244</v>
      </c>
      <c r="X232" s="571" t="str">
        <f>$D$257</f>
        <v>m²</v>
      </c>
      <c r="Y232" s="568">
        <v>45.6</v>
      </c>
      <c r="Z232" s="567">
        <f>$F$257</f>
        <v>145812.67000000001</v>
      </c>
      <c r="AA232" s="561">
        <f t="shared" si="104"/>
        <v>6649057.7520000003</v>
      </c>
      <c r="AB232">
        <v>40</v>
      </c>
      <c r="AC232">
        <f t="shared" si="105"/>
        <v>1824</v>
      </c>
      <c r="AD232" s="589" t="s">
        <v>2268</v>
      </c>
      <c r="AE232" s="584" t="s">
        <v>2244</v>
      </c>
      <c r="AF232" s="571" t="str">
        <f>$D$257</f>
        <v>m²</v>
      </c>
      <c r="AG232" s="568">
        <v>45.6</v>
      </c>
      <c r="AH232" s="567">
        <f>$F$257</f>
        <v>145812.67000000001</v>
      </c>
      <c r="AI232" s="561">
        <f t="shared" si="106"/>
        <v>6649057.7520000003</v>
      </c>
      <c r="AJ232">
        <v>40</v>
      </c>
      <c r="AK232">
        <f t="shared" si="107"/>
        <v>1824</v>
      </c>
    </row>
    <row r="233" spans="2:37" ht="15" customHeight="1">
      <c r="B233" s="589" t="s">
        <v>2176</v>
      </c>
      <c r="C233" s="565" t="s">
        <v>2246</v>
      </c>
      <c r="D233" s="571" t="str">
        <f>$D$258</f>
        <v>bh</v>
      </c>
      <c r="E233" s="568">
        <v>4</v>
      </c>
      <c r="F233" s="567">
        <f t="shared" si="99"/>
        <v>100000</v>
      </c>
      <c r="G233" s="561">
        <f t="shared" si="100"/>
        <v>400000</v>
      </c>
      <c r="H233">
        <v>2.5</v>
      </c>
      <c r="I233">
        <f t="shared" si="101"/>
        <v>10</v>
      </c>
      <c r="N233" s="589" t="s">
        <v>2176</v>
      </c>
      <c r="O233" s="565" t="s">
        <v>2246</v>
      </c>
      <c r="P233" s="571" t="str">
        <f>$D$258</f>
        <v>bh</v>
      </c>
      <c r="Q233" s="568">
        <v>4</v>
      </c>
      <c r="R233" s="567">
        <f>$F$258</f>
        <v>100000</v>
      </c>
      <c r="S233" s="561">
        <f t="shared" si="102"/>
        <v>400000</v>
      </c>
      <c r="T233">
        <v>2.5</v>
      </c>
      <c r="U233">
        <f t="shared" si="103"/>
        <v>10</v>
      </c>
      <c r="V233" s="589" t="s">
        <v>2176</v>
      </c>
      <c r="W233" s="565" t="s">
        <v>2246</v>
      </c>
      <c r="X233" s="571" t="str">
        <f>$D$258</f>
        <v>bh</v>
      </c>
      <c r="Y233" s="568">
        <v>4</v>
      </c>
      <c r="Z233" s="567">
        <f>$F$258</f>
        <v>100000</v>
      </c>
      <c r="AA233" s="561">
        <f t="shared" si="104"/>
        <v>400000</v>
      </c>
      <c r="AB233">
        <v>2.5</v>
      </c>
      <c r="AC233">
        <f t="shared" si="105"/>
        <v>10</v>
      </c>
      <c r="AD233" s="589" t="s">
        <v>2176</v>
      </c>
      <c r="AE233" s="565" t="s">
        <v>2246</v>
      </c>
      <c r="AF233" s="571" t="str">
        <f>$D$258</f>
        <v>bh</v>
      </c>
      <c r="AG233" s="568">
        <v>4</v>
      </c>
      <c r="AH233" s="567">
        <f>$F$258</f>
        <v>100000</v>
      </c>
      <c r="AI233" s="561">
        <f t="shared" si="106"/>
        <v>400000</v>
      </c>
      <c r="AJ233">
        <v>2.5</v>
      </c>
      <c r="AK233">
        <f t="shared" si="107"/>
        <v>10</v>
      </c>
    </row>
    <row r="234" spans="2:37" ht="15" customHeight="1">
      <c r="B234" s="589"/>
      <c r="C234" s="584"/>
      <c r="D234" s="571"/>
      <c r="E234" s="566"/>
      <c r="F234" s="567">
        <f t="shared" si="99"/>
        <v>0</v>
      </c>
      <c r="G234" s="561"/>
      <c r="I234">
        <f>SUM(I227:I232)</f>
        <v>224423.37942857141</v>
      </c>
      <c r="N234" s="589"/>
      <c r="O234" s="584"/>
      <c r="P234" s="571"/>
      <c r="Q234" s="566"/>
      <c r="R234" s="567"/>
      <c r="S234" s="561"/>
      <c r="U234">
        <f>SUM(U227:U232)</f>
        <v>224423.37942857141</v>
      </c>
      <c r="V234" s="589"/>
      <c r="W234" s="584"/>
      <c r="X234" s="571"/>
      <c r="Y234" s="566"/>
      <c r="Z234" s="567"/>
      <c r="AA234" s="561"/>
      <c r="AC234">
        <f>SUM(AC227:AC232)</f>
        <v>224423.37942857141</v>
      </c>
      <c r="AD234" s="589"/>
      <c r="AE234" s="584"/>
      <c r="AF234" s="571"/>
      <c r="AG234" s="566"/>
      <c r="AH234" s="567"/>
      <c r="AI234" s="561"/>
      <c r="AK234">
        <f>SUM(AK227:AK232)</f>
        <v>224423.37942857141</v>
      </c>
    </row>
    <row r="235" spans="2:37" ht="15" customHeight="1">
      <c r="B235" s="590">
        <v>3</v>
      </c>
      <c r="C235" s="583" t="s">
        <v>2086</v>
      </c>
      <c r="D235" s="571"/>
      <c r="E235" s="566"/>
      <c r="F235" s="567">
        <f t="shared" si="99"/>
        <v>0</v>
      </c>
      <c r="G235" s="561"/>
      <c r="N235" s="590">
        <v>3</v>
      </c>
      <c r="O235" s="583" t="s">
        <v>2086</v>
      </c>
      <c r="P235" s="571"/>
      <c r="Q235" s="566"/>
      <c r="R235" s="567"/>
      <c r="S235" s="561"/>
      <c r="V235" s="590">
        <v>3</v>
      </c>
      <c r="W235" s="583" t="s">
        <v>2086</v>
      </c>
      <c r="X235" s="571"/>
      <c r="Y235" s="566"/>
      <c r="Z235" s="567"/>
      <c r="AA235" s="561"/>
      <c r="AD235" s="590">
        <v>3</v>
      </c>
      <c r="AE235" s="583" t="s">
        <v>2086</v>
      </c>
      <c r="AF235" s="571"/>
      <c r="AG235" s="566"/>
      <c r="AH235" s="567"/>
      <c r="AI235" s="561"/>
    </row>
    <row r="236" spans="2:37" ht="15" customHeight="1">
      <c r="B236" s="589" t="s">
        <v>721</v>
      </c>
      <c r="C236" s="584" t="s">
        <v>2247</v>
      </c>
      <c r="D236" s="571" t="str">
        <f>$D$261</f>
        <v>bh</v>
      </c>
      <c r="E236" s="568">
        <v>4</v>
      </c>
      <c r="F236" s="567">
        <f t="shared" si="99"/>
        <v>181849.04</v>
      </c>
      <c r="G236" s="561">
        <f t="shared" ref="G236:G241" si="108">E236*F236</f>
        <v>727396.16</v>
      </c>
      <c r="N236" s="589" t="s">
        <v>721</v>
      </c>
      <c r="O236" s="584" t="s">
        <v>2247</v>
      </c>
      <c r="P236" s="571" t="str">
        <f>$D$261</f>
        <v>bh</v>
      </c>
      <c r="Q236" s="568">
        <v>4</v>
      </c>
      <c r="R236" s="567">
        <f>$F$261</f>
        <v>181849.04</v>
      </c>
      <c r="S236" s="561">
        <f t="shared" ref="S236:S241" si="109">Q236*R236</f>
        <v>727396.16</v>
      </c>
      <c r="V236" s="589" t="s">
        <v>721</v>
      </c>
      <c r="W236" s="584" t="s">
        <v>2247</v>
      </c>
      <c r="X236" s="571" t="str">
        <f>$D$261</f>
        <v>bh</v>
      </c>
      <c r="Y236" s="568">
        <v>4</v>
      </c>
      <c r="Z236" s="567">
        <f>$F$261</f>
        <v>181849.04</v>
      </c>
      <c r="AA236" s="561">
        <f t="shared" ref="AA236:AA241" si="110">Y236*Z236</f>
        <v>727396.16</v>
      </c>
      <c r="AD236" s="589" t="s">
        <v>721</v>
      </c>
      <c r="AE236" s="584" t="s">
        <v>2247</v>
      </c>
      <c r="AF236" s="571" t="str">
        <f>$D$261</f>
        <v>bh</v>
      </c>
      <c r="AG236" s="568">
        <v>4</v>
      </c>
      <c r="AH236" s="567">
        <f>$F$261</f>
        <v>181849.04</v>
      </c>
      <c r="AI236" s="561">
        <f t="shared" ref="AI236:AI241" si="111">AG236*AH236</f>
        <v>727396.16</v>
      </c>
    </row>
    <row r="237" spans="2:37" ht="15" customHeight="1">
      <c r="B237" s="589" t="s">
        <v>2166</v>
      </c>
      <c r="C237" s="584" t="s">
        <v>2085</v>
      </c>
      <c r="D237" s="571" t="str">
        <f>$D$262</f>
        <v>kg</v>
      </c>
      <c r="E237" s="568">
        <f>I234</f>
        <v>224423.37942857141</v>
      </c>
      <c r="F237" s="567">
        <f t="shared" si="99"/>
        <v>462.7700000000001</v>
      </c>
      <c r="G237" s="561">
        <f t="shared" si="108"/>
        <v>103856407.29816002</v>
      </c>
      <c r="N237" s="589" t="s">
        <v>2166</v>
      </c>
      <c r="O237" s="584" t="s">
        <v>2085</v>
      </c>
      <c r="P237" s="571" t="str">
        <f>$D$262</f>
        <v>kg</v>
      </c>
      <c r="Q237" s="568">
        <f>U234</f>
        <v>224423.37942857141</v>
      </c>
      <c r="R237" s="567">
        <f>$F$262</f>
        <v>462.7700000000001</v>
      </c>
      <c r="S237" s="561">
        <f t="shared" si="109"/>
        <v>103856407.29816002</v>
      </c>
      <c r="V237" s="589" t="s">
        <v>2166</v>
      </c>
      <c r="W237" s="584" t="s">
        <v>2085</v>
      </c>
      <c r="X237" s="571" t="str">
        <f>$D$262</f>
        <v>kg</v>
      </c>
      <c r="Y237" s="568">
        <f>AC234</f>
        <v>224423.37942857141</v>
      </c>
      <c r="Z237" s="567">
        <f>$F$262</f>
        <v>462.7700000000001</v>
      </c>
      <c r="AA237" s="561">
        <f t="shared" si="110"/>
        <v>103856407.29816002</v>
      </c>
      <c r="AD237" s="589" t="s">
        <v>2166</v>
      </c>
      <c r="AE237" s="584" t="s">
        <v>2085</v>
      </c>
      <c r="AF237" s="571" t="str">
        <f>$D$262</f>
        <v>kg</v>
      </c>
      <c r="AG237" s="568">
        <f>AK234</f>
        <v>224423.37942857141</v>
      </c>
      <c r="AH237" s="567">
        <f>$F$262</f>
        <v>462.7700000000001</v>
      </c>
      <c r="AI237" s="561">
        <f t="shared" si="111"/>
        <v>103856407.29816002</v>
      </c>
    </row>
    <row r="238" spans="2:37" ht="15" customHeight="1">
      <c r="B238" s="589" t="s">
        <v>2168</v>
      </c>
      <c r="C238" s="584" t="s">
        <v>2249</v>
      </c>
      <c r="D238" s="571" t="str">
        <f>$D$263</f>
        <v>bh</v>
      </c>
      <c r="E238" s="568">
        <v>4</v>
      </c>
      <c r="F238" s="567">
        <f t="shared" si="99"/>
        <v>387825</v>
      </c>
      <c r="G238" s="561">
        <f t="shared" si="108"/>
        <v>1551300</v>
      </c>
      <c r="N238" s="589" t="s">
        <v>2168</v>
      </c>
      <c r="O238" s="584" t="s">
        <v>2249</v>
      </c>
      <c r="P238" s="571" t="str">
        <f>$D$263</f>
        <v>bh</v>
      </c>
      <c r="Q238" s="568">
        <v>4</v>
      </c>
      <c r="R238" s="567">
        <f>$F$263</f>
        <v>387825</v>
      </c>
      <c r="S238" s="561">
        <f t="shared" si="109"/>
        <v>1551300</v>
      </c>
      <c r="V238" s="589" t="s">
        <v>2168</v>
      </c>
      <c r="W238" s="584" t="s">
        <v>2249</v>
      </c>
      <c r="X238" s="571" t="str">
        <f>$D$263</f>
        <v>bh</v>
      </c>
      <c r="Y238" s="568">
        <v>4</v>
      </c>
      <c r="Z238" s="567">
        <f>$F$263</f>
        <v>387825</v>
      </c>
      <c r="AA238" s="561">
        <f t="shared" si="110"/>
        <v>1551300</v>
      </c>
      <c r="AD238" s="589" t="s">
        <v>2168</v>
      </c>
      <c r="AE238" s="584" t="s">
        <v>2249</v>
      </c>
      <c r="AF238" s="571" t="str">
        <f>$D$263</f>
        <v>bh</v>
      </c>
      <c r="AG238" s="568">
        <v>4</v>
      </c>
      <c r="AH238" s="567">
        <f>$F$263</f>
        <v>387825</v>
      </c>
      <c r="AI238" s="561">
        <f t="shared" si="111"/>
        <v>1551300</v>
      </c>
    </row>
    <row r="239" spans="2:37" ht="15" customHeight="1">
      <c r="B239" s="589" t="s">
        <v>2170</v>
      </c>
      <c r="C239" s="584" t="s">
        <v>2250</v>
      </c>
      <c r="D239" s="571" t="str">
        <f>$D$264</f>
        <v>kg</v>
      </c>
      <c r="E239" s="568">
        <f>$E$164</f>
        <v>150.93599999999998</v>
      </c>
      <c r="F239" s="567">
        <f t="shared" si="99"/>
        <v>3758.6984549742947</v>
      </c>
      <c r="G239" s="561">
        <f t="shared" si="108"/>
        <v>567322.91</v>
      </c>
      <c r="N239" s="589" t="s">
        <v>2170</v>
      </c>
      <c r="O239" s="584" t="s">
        <v>2250</v>
      </c>
      <c r="P239" s="571" t="str">
        <f>$D$264</f>
        <v>kg</v>
      </c>
      <c r="Q239" s="568">
        <f>$Q$164</f>
        <v>239.61599999999999</v>
      </c>
      <c r="R239" s="567">
        <f>$F$264</f>
        <v>3758.6984549742947</v>
      </c>
      <c r="S239" s="561">
        <f t="shared" si="109"/>
        <v>900644.2889871205</v>
      </c>
      <c r="V239" s="589" t="s">
        <v>2170</v>
      </c>
      <c r="W239" s="584" t="s">
        <v>2269</v>
      </c>
      <c r="X239" s="571" t="str">
        <f>$D$264</f>
        <v>kg</v>
      </c>
      <c r="Y239" s="568">
        <f>$Y$164</f>
        <v>311.47199999999998</v>
      </c>
      <c r="Z239" s="567">
        <f>$F$264</f>
        <v>3758.6984549742947</v>
      </c>
      <c r="AA239" s="561">
        <f t="shared" si="110"/>
        <v>1170729.3251677535</v>
      </c>
      <c r="AD239" s="589" t="s">
        <v>2170</v>
      </c>
      <c r="AE239" s="584" t="s">
        <v>2269</v>
      </c>
      <c r="AF239" s="571" t="str">
        <f>$D$264</f>
        <v>kg</v>
      </c>
      <c r="AG239" s="568">
        <f>$AG$164</f>
        <v>403.17599999999999</v>
      </c>
      <c r="AH239" s="567">
        <f>$F$264</f>
        <v>3758.6984549742947</v>
      </c>
      <c r="AI239" s="561">
        <f t="shared" si="111"/>
        <v>1515417.0082827162</v>
      </c>
    </row>
    <row r="240" spans="2:37" ht="15" customHeight="1">
      <c r="B240" s="589" t="s">
        <v>2172</v>
      </c>
      <c r="C240" s="584" t="s">
        <v>2251</v>
      </c>
      <c r="D240" s="571" t="str">
        <f>$D$265</f>
        <v>set</v>
      </c>
      <c r="E240" s="568">
        <v>1</v>
      </c>
      <c r="F240" s="567">
        <f t="shared" si="99"/>
        <v>855127</v>
      </c>
      <c r="G240" s="561">
        <f t="shared" si="108"/>
        <v>855127</v>
      </c>
      <c r="N240" s="589" t="s">
        <v>2172</v>
      </c>
      <c r="O240" s="584" t="s">
        <v>2251</v>
      </c>
      <c r="P240" s="571" t="str">
        <f>$D$265</f>
        <v>set</v>
      </c>
      <c r="Q240" s="568">
        <v>1</v>
      </c>
      <c r="R240" s="567">
        <f>$F$265</f>
        <v>855127</v>
      </c>
      <c r="S240" s="561">
        <f t="shared" si="109"/>
        <v>855127</v>
      </c>
      <c r="V240" s="589" t="s">
        <v>2172</v>
      </c>
      <c r="W240" s="584" t="s">
        <v>2251</v>
      </c>
      <c r="X240" s="571" t="str">
        <f>$D$265</f>
        <v>set</v>
      </c>
      <c r="Y240" s="568">
        <v>1</v>
      </c>
      <c r="Z240" s="567">
        <f>$F$265</f>
        <v>855127</v>
      </c>
      <c r="AA240" s="561">
        <f t="shared" si="110"/>
        <v>855127</v>
      </c>
      <c r="AD240" s="589" t="s">
        <v>2172</v>
      </c>
      <c r="AE240" s="584" t="s">
        <v>2251</v>
      </c>
      <c r="AF240" s="571" t="str">
        <f>$D$265</f>
        <v>set</v>
      </c>
      <c r="AG240" s="568">
        <v>1</v>
      </c>
      <c r="AH240" s="567">
        <f>$F$265</f>
        <v>855127</v>
      </c>
      <c r="AI240" s="561">
        <f t="shared" si="111"/>
        <v>855127</v>
      </c>
    </row>
    <row r="241" spans="2:37" ht="15" customHeight="1">
      <c r="B241" s="589" t="s">
        <v>2174</v>
      </c>
      <c r="C241" s="584" t="s">
        <v>2252</v>
      </c>
      <c r="D241" s="571" t="str">
        <f>$D$266</f>
        <v>set</v>
      </c>
      <c r="E241" s="568">
        <v>1</v>
      </c>
      <c r="F241" s="567">
        <f t="shared" si="99"/>
        <v>674025</v>
      </c>
      <c r="G241" s="561">
        <f t="shared" si="108"/>
        <v>674025</v>
      </c>
      <c r="N241" s="589" t="s">
        <v>2174</v>
      </c>
      <c r="O241" s="584" t="s">
        <v>2252</v>
      </c>
      <c r="P241" s="571" t="str">
        <f>$D$266</f>
        <v>set</v>
      </c>
      <c r="Q241" s="568">
        <v>1</v>
      </c>
      <c r="R241" s="567">
        <f>$F$266</f>
        <v>674025</v>
      </c>
      <c r="S241" s="561">
        <f t="shared" si="109"/>
        <v>674025</v>
      </c>
      <c r="V241" s="589" t="s">
        <v>2174</v>
      </c>
      <c r="W241" s="584" t="s">
        <v>2252</v>
      </c>
      <c r="X241" s="571" t="str">
        <f>$D$266</f>
        <v>set</v>
      </c>
      <c r="Y241" s="568">
        <v>1</v>
      </c>
      <c r="Z241" s="567">
        <f>$F$266</f>
        <v>674025</v>
      </c>
      <c r="AA241" s="561">
        <f t="shared" si="110"/>
        <v>674025</v>
      </c>
      <c r="AD241" s="589" t="s">
        <v>2174</v>
      </c>
      <c r="AE241" s="584" t="s">
        <v>2252</v>
      </c>
      <c r="AF241" s="571" t="str">
        <f>$D$266</f>
        <v>set</v>
      </c>
      <c r="AG241" s="568">
        <v>1</v>
      </c>
      <c r="AH241" s="567">
        <f>$F$266</f>
        <v>674025</v>
      </c>
      <c r="AI241" s="561">
        <f t="shared" si="111"/>
        <v>674025</v>
      </c>
    </row>
    <row r="242" spans="2:37" ht="15" customHeight="1" thickBot="1">
      <c r="B242" s="582"/>
      <c r="C242" s="1197" t="s">
        <v>2280</v>
      </c>
      <c r="D242" s="1198"/>
      <c r="E242" s="1198"/>
      <c r="F242" s="1199"/>
      <c r="G242" s="560">
        <f>SUM(G221:G241)</f>
        <v>427270002.14476746</v>
      </c>
      <c r="N242" s="582"/>
      <c r="O242" s="1197" t="s">
        <v>2280</v>
      </c>
      <c r="P242" s="1198"/>
      <c r="Q242" s="1198"/>
      <c r="R242" s="1199"/>
      <c r="S242" s="560">
        <f>SUM(S221:S241)</f>
        <v>427603323.52375454</v>
      </c>
      <c r="V242" s="582"/>
      <c r="W242" s="1197" t="s">
        <v>2280</v>
      </c>
      <c r="X242" s="1198"/>
      <c r="Y242" s="1198"/>
      <c r="Z242" s="1199"/>
      <c r="AA242" s="560">
        <f>SUM(AA221:AA241)</f>
        <v>427873408.55993521</v>
      </c>
      <c r="AD242" s="582"/>
      <c r="AE242" s="1197" t="s">
        <v>2280</v>
      </c>
      <c r="AF242" s="1198"/>
      <c r="AG242" s="1198"/>
      <c r="AH242" s="1199"/>
      <c r="AI242" s="560">
        <f>SUM(AI221:AI241)</f>
        <v>428218096.24305016</v>
      </c>
    </row>
    <row r="243" spans="2:37" ht="15" customHeight="1" thickBot="1">
      <c r="R243" s="634"/>
      <c r="Z243" s="634"/>
      <c r="AA243" s="634"/>
      <c r="AH243" s="634"/>
      <c r="AI243" s="634"/>
    </row>
    <row r="244" spans="2:37" ht="15" customHeight="1" thickBot="1">
      <c r="B244" s="581" t="s">
        <v>2229</v>
      </c>
      <c r="C244" s="580"/>
      <c r="D244" s="579">
        <v>6</v>
      </c>
      <c r="E244" s="578"/>
      <c r="F244" s="577"/>
      <c r="G244" s="564"/>
      <c r="N244" s="581" t="s">
        <v>2230</v>
      </c>
      <c r="O244" s="580"/>
      <c r="P244" s="579">
        <v>6</v>
      </c>
      <c r="Q244" s="578"/>
      <c r="R244" s="577"/>
      <c r="S244" s="564"/>
      <c r="V244" s="581" t="s">
        <v>2231</v>
      </c>
      <c r="W244" s="580"/>
      <c r="X244" s="579"/>
      <c r="Y244" s="578"/>
      <c r="Z244" s="577"/>
      <c r="AA244" s="564"/>
      <c r="AD244" s="581" t="s">
        <v>2254</v>
      </c>
      <c r="AE244" s="580"/>
      <c r="AF244" s="579"/>
      <c r="AG244" s="578"/>
      <c r="AH244" s="577"/>
      <c r="AI244" s="564"/>
    </row>
    <row r="245" spans="2:37" ht="15" customHeight="1">
      <c r="B245" s="576"/>
      <c r="C245" s="575" t="s">
        <v>2281</v>
      </c>
      <c r="D245" s="574"/>
      <c r="E245" s="573"/>
      <c r="F245" s="572"/>
      <c r="G245" s="563"/>
      <c r="N245" s="576"/>
      <c r="O245" s="575" t="s">
        <v>2281</v>
      </c>
      <c r="P245" s="574"/>
      <c r="Q245" s="573"/>
      <c r="R245" s="572"/>
      <c r="S245" s="563"/>
      <c r="V245" s="576"/>
      <c r="W245" s="575" t="s">
        <v>2282</v>
      </c>
      <c r="X245" s="574"/>
      <c r="Y245" s="573"/>
      <c r="Z245" s="572"/>
      <c r="AA245" s="563"/>
      <c r="AD245" s="576"/>
      <c r="AE245" s="575" t="s">
        <v>2282</v>
      </c>
      <c r="AF245" s="574"/>
      <c r="AG245" s="573"/>
      <c r="AH245" s="572"/>
      <c r="AI245" s="563"/>
    </row>
    <row r="246" spans="2:37" ht="15" customHeight="1">
      <c r="B246" s="588">
        <v>1</v>
      </c>
      <c r="C246" s="587" t="s">
        <v>2234</v>
      </c>
      <c r="D246" s="571"/>
      <c r="E246" s="570"/>
      <c r="F246" s="569"/>
      <c r="G246" s="562"/>
      <c r="N246" s="588">
        <v>1</v>
      </c>
      <c r="O246" s="587" t="s">
        <v>2234</v>
      </c>
      <c r="P246" s="571"/>
      <c r="Q246" s="570"/>
      <c r="R246" s="569"/>
      <c r="S246" s="562"/>
      <c r="V246" s="588">
        <v>1</v>
      </c>
      <c r="W246" s="587" t="s">
        <v>2234</v>
      </c>
      <c r="X246" s="571"/>
      <c r="Y246" s="570"/>
      <c r="Z246" s="569"/>
      <c r="AA246" s="562"/>
      <c r="AD246" s="588">
        <v>1</v>
      </c>
      <c r="AE246" s="587" t="s">
        <v>2234</v>
      </c>
      <c r="AF246" s="571"/>
      <c r="AG246" s="570"/>
      <c r="AH246" s="569"/>
      <c r="AI246" s="562"/>
    </row>
    <row r="247" spans="2:37" ht="15" customHeight="1">
      <c r="B247" s="589" t="s">
        <v>721</v>
      </c>
      <c r="C247" s="586" t="s">
        <v>2235</v>
      </c>
      <c r="D247" s="571" t="s">
        <v>2236</v>
      </c>
      <c r="E247" s="568">
        <v>72.5</v>
      </c>
      <c r="F247" s="567">
        <f>F222</f>
        <v>102390.75000000001</v>
      </c>
      <c r="G247" s="561">
        <f>E247*F247</f>
        <v>7423329.3750000009</v>
      </c>
      <c r="N247" s="589" t="s">
        <v>721</v>
      </c>
      <c r="O247" s="586" t="s">
        <v>2235</v>
      </c>
      <c r="P247" s="571" t="str">
        <f>$D$247</f>
        <v>m³</v>
      </c>
      <c r="Q247" s="568">
        <v>72.5</v>
      </c>
      <c r="R247" s="567">
        <f>$F$247</f>
        <v>102390.75000000001</v>
      </c>
      <c r="S247" s="561">
        <f>Q247*R247</f>
        <v>7423329.3750000009</v>
      </c>
      <c r="V247" s="589" t="s">
        <v>721</v>
      </c>
      <c r="W247" s="586" t="s">
        <v>2235</v>
      </c>
      <c r="X247" s="571" t="str">
        <f>$D$247</f>
        <v>m³</v>
      </c>
      <c r="Y247" s="568">
        <v>72.5</v>
      </c>
      <c r="Z247" s="567">
        <f>$F$247</f>
        <v>102390.75000000001</v>
      </c>
      <c r="AA247" s="561">
        <f>Y247*Z247</f>
        <v>7423329.3750000009</v>
      </c>
      <c r="AD247" s="589" t="s">
        <v>721</v>
      </c>
      <c r="AE247" s="586" t="s">
        <v>2235</v>
      </c>
      <c r="AF247" s="571" t="str">
        <f>$D$247</f>
        <v>m³</v>
      </c>
      <c r="AG247" s="568">
        <v>72.5</v>
      </c>
      <c r="AH247" s="567">
        <f>$F$247</f>
        <v>102390.75000000001</v>
      </c>
      <c r="AI247" s="561">
        <f>AG247*AH247</f>
        <v>7423329.3750000009</v>
      </c>
    </row>
    <row r="248" spans="2:37" ht="15" customHeight="1">
      <c r="B248" s="589" t="s">
        <v>2166</v>
      </c>
      <c r="C248" s="586" t="s">
        <v>2237</v>
      </c>
      <c r="D248" s="571" t="s">
        <v>2236</v>
      </c>
      <c r="E248" s="568">
        <v>30.560000000000002</v>
      </c>
      <c r="F248" s="567">
        <f t="shared" ref="F248:F266" si="112">F223</f>
        <v>62462.950000000012</v>
      </c>
      <c r="G248" s="561">
        <f>E248*F248</f>
        <v>1908867.7520000006</v>
      </c>
      <c r="J248" s="1041"/>
      <c r="K248" s="1041"/>
      <c r="L248" s="1041"/>
      <c r="M248" s="1041"/>
      <c r="N248" s="589" t="s">
        <v>2166</v>
      </c>
      <c r="O248" s="586" t="s">
        <v>2237</v>
      </c>
      <c r="P248" s="571" t="str">
        <f>$D$248</f>
        <v>m³</v>
      </c>
      <c r="Q248" s="568">
        <v>30.560000000000002</v>
      </c>
      <c r="R248" s="567">
        <f>$F$248</f>
        <v>62462.950000000012</v>
      </c>
      <c r="S248" s="561">
        <f>Q248*R248</f>
        <v>1908867.7520000006</v>
      </c>
      <c r="V248" s="589" t="s">
        <v>2166</v>
      </c>
      <c r="W248" s="586" t="s">
        <v>2237</v>
      </c>
      <c r="X248" s="571" t="str">
        <f>$D$248</f>
        <v>m³</v>
      </c>
      <c r="Y248" s="568">
        <v>30.560000000000002</v>
      </c>
      <c r="Z248" s="567">
        <f>$F$248</f>
        <v>62462.950000000012</v>
      </c>
      <c r="AA248" s="561">
        <f>Y248*Z248</f>
        <v>1908867.7520000006</v>
      </c>
      <c r="AD248" s="589" t="s">
        <v>2166</v>
      </c>
      <c r="AE248" s="586" t="s">
        <v>2237</v>
      </c>
      <c r="AF248" s="571" t="str">
        <f>$D$248</f>
        <v>m³</v>
      </c>
      <c r="AG248" s="568">
        <v>30.560000000000002</v>
      </c>
      <c r="AH248" s="567">
        <f>$F$248</f>
        <v>62462.950000000012</v>
      </c>
      <c r="AI248" s="561">
        <f>AG248*AH248</f>
        <v>1908867.7520000006</v>
      </c>
    </row>
    <row r="249" spans="2:37" ht="15" customHeight="1">
      <c r="B249" s="589" t="s">
        <v>2168</v>
      </c>
      <c r="C249" s="586" t="s">
        <v>2265</v>
      </c>
      <c r="D249" s="571" t="s">
        <v>194</v>
      </c>
      <c r="E249" s="568">
        <v>240</v>
      </c>
      <c r="F249" s="567">
        <f t="shared" si="112"/>
        <v>52230.612500000003</v>
      </c>
      <c r="G249" s="561">
        <f>E249*F249</f>
        <v>12535347</v>
      </c>
      <c r="J249" s="1041"/>
      <c r="K249" s="1041"/>
      <c r="L249" s="1041"/>
      <c r="M249" s="1041"/>
      <c r="N249" s="589" t="s">
        <v>2168</v>
      </c>
      <c r="O249" s="586" t="s">
        <v>2265</v>
      </c>
      <c r="P249" s="571" t="str">
        <f>$D$249</f>
        <v>m'</v>
      </c>
      <c r="Q249" s="568">
        <v>240</v>
      </c>
      <c r="R249" s="567">
        <f>$F$249</f>
        <v>52230.612500000003</v>
      </c>
      <c r="S249" s="561">
        <f>Q249*R249</f>
        <v>12535347</v>
      </c>
      <c r="V249" s="589" t="s">
        <v>2168</v>
      </c>
      <c r="W249" s="586" t="s">
        <v>2265</v>
      </c>
      <c r="X249" s="571" t="str">
        <f>$D$249</f>
        <v>m'</v>
      </c>
      <c r="Y249" s="568">
        <v>240</v>
      </c>
      <c r="Z249" s="567">
        <f>$F$249</f>
        <v>52230.612500000003</v>
      </c>
      <c r="AA249" s="561">
        <f>Y249*Z249</f>
        <v>12535347</v>
      </c>
      <c r="AD249" s="589" t="s">
        <v>2168</v>
      </c>
      <c r="AE249" s="586" t="s">
        <v>2265</v>
      </c>
      <c r="AF249" s="571" t="str">
        <f>$D$249</f>
        <v>m'</v>
      </c>
      <c r="AG249" s="568">
        <v>240</v>
      </c>
      <c r="AH249" s="567">
        <f>$F$249</f>
        <v>52230.612500000003</v>
      </c>
      <c r="AI249" s="561">
        <f>AG249*AH249</f>
        <v>12535347</v>
      </c>
    </row>
    <row r="250" spans="2:37" ht="15" customHeight="1">
      <c r="B250" s="585"/>
      <c r="C250" s="586"/>
      <c r="D250" s="571"/>
      <c r="E250" s="566"/>
      <c r="F250" s="567">
        <f t="shared" si="112"/>
        <v>0</v>
      </c>
      <c r="G250" s="561"/>
      <c r="N250" s="585"/>
      <c r="O250" s="586"/>
      <c r="P250" s="571"/>
      <c r="Q250" s="566"/>
      <c r="R250" s="567"/>
      <c r="S250" s="561"/>
      <c r="V250" s="585"/>
      <c r="W250" s="586"/>
      <c r="X250" s="571"/>
      <c r="Y250" s="566"/>
      <c r="Z250" s="567"/>
      <c r="AA250" s="561"/>
      <c r="AD250" s="585"/>
      <c r="AE250" s="586"/>
      <c r="AF250" s="571"/>
      <c r="AG250" s="566"/>
      <c r="AH250" s="567"/>
      <c r="AI250" s="561"/>
    </row>
    <row r="251" spans="2:37" ht="15" customHeight="1">
      <c r="B251" s="590">
        <v>2</v>
      </c>
      <c r="C251" s="587" t="s">
        <v>2238</v>
      </c>
      <c r="D251" s="571"/>
      <c r="E251" s="566"/>
      <c r="F251" s="567">
        <f t="shared" si="112"/>
        <v>0</v>
      </c>
      <c r="G251" s="561"/>
      <c r="H251" t="s">
        <v>2239</v>
      </c>
      <c r="N251" s="590">
        <v>2</v>
      </c>
      <c r="O251" s="587" t="s">
        <v>2238</v>
      </c>
      <c r="P251" s="571"/>
      <c r="Q251" s="566"/>
      <c r="R251" s="567"/>
      <c r="S251" s="561"/>
      <c r="T251" t="s">
        <v>2239</v>
      </c>
      <c r="V251" s="590">
        <v>2</v>
      </c>
      <c r="W251" s="587" t="s">
        <v>2238</v>
      </c>
      <c r="X251" s="571"/>
      <c r="Y251" s="566"/>
      <c r="Z251" s="567"/>
      <c r="AA251" s="561"/>
      <c r="AB251" t="s">
        <v>2239</v>
      </c>
      <c r="AD251" s="590">
        <v>2</v>
      </c>
      <c r="AE251" s="587" t="s">
        <v>2238</v>
      </c>
      <c r="AF251" s="571"/>
      <c r="AG251" s="566"/>
      <c r="AH251" s="567"/>
      <c r="AI251" s="561"/>
      <c r="AJ251" t="s">
        <v>2239</v>
      </c>
    </row>
    <row r="252" spans="2:37" ht="15" customHeight="1">
      <c r="B252" s="589" t="s">
        <v>721</v>
      </c>
      <c r="C252" s="586" t="s">
        <v>2240</v>
      </c>
      <c r="D252" s="571" t="s">
        <v>2236</v>
      </c>
      <c r="E252" s="568">
        <v>5.4</v>
      </c>
      <c r="F252" s="567">
        <f t="shared" si="112"/>
        <v>404738.95</v>
      </c>
      <c r="G252" s="561">
        <f t="shared" ref="G252:G258" si="113">E252*F252</f>
        <v>2185590.33</v>
      </c>
      <c r="H252">
        <v>1400</v>
      </c>
      <c r="I252">
        <f t="shared" ref="I252:I258" si="114">E252*H252</f>
        <v>7560.0000000000009</v>
      </c>
      <c r="N252" s="589" t="s">
        <v>721</v>
      </c>
      <c r="O252" s="586" t="s">
        <v>2240</v>
      </c>
      <c r="P252" s="571" t="str">
        <f>$D$252</f>
        <v>m³</v>
      </c>
      <c r="Q252" s="568">
        <v>5.4</v>
      </c>
      <c r="R252" s="567">
        <f>$F$252</f>
        <v>404738.95</v>
      </c>
      <c r="S252" s="561">
        <f t="shared" ref="S252:S258" si="115">Q252*R252</f>
        <v>2185590.33</v>
      </c>
      <c r="T252">
        <v>1400</v>
      </c>
      <c r="U252">
        <f t="shared" ref="U252:U258" si="116">Q252*T252</f>
        <v>7560.0000000000009</v>
      </c>
      <c r="V252" s="589" t="s">
        <v>721</v>
      </c>
      <c r="W252" s="586" t="s">
        <v>2240</v>
      </c>
      <c r="X252" s="571" t="str">
        <f>$D$252</f>
        <v>m³</v>
      </c>
      <c r="Y252" s="568">
        <v>5.4</v>
      </c>
      <c r="Z252" s="567">
        <f>$F$252</f>
        <v>404738.95</v>
      </c>
      <c r="AA252" s="561">
        <f t="shared" ref="AA252:AA258" si="117">Y252*Z252</f>
        <v>2185590.33</v>
      </c>
      <c r="AB252">
        <v>1400</v>
      </c>
      <c r="AC252">
        <f t="shared" ref="AC252:AC258" si="118">Y252*AB252</f>
        <v>7560.0000000000009</v>
      </c>
      <c r="AD252" s="589" t="s">
        <v>721</v>
      </c>
      <c r="AE252" s="586" t="s">
        <v>2240</v>
      </c>
      <c r="AF252" s="571" t="str">
        <f>$D$252</f>
        <v>m³</v>
      </c>
      <c r="AG252" s="568">
        <v>5.4</v>
      </c>
      <c r="AH252" s="567">
        <f>$F$252</f>
        <v>404738.95</v>
      </c>
      <c r="AI252" s="561">
        <f t="shared" ref="AI252:AI258" si="119">AG252*AH252</f>
        <v>2185590.33</v>
      </c>
      <c r="AJ252">
        <v>1400</v>
      </c>
      <c r="AK252">
        <f t="shared" ref="AK252:AK258" si="120">AG252*AJ252</f>
        <v>7560.0000000000009</v>
      </c>
    </row>
    <row r="253" spans="2:37" ht="15" customHeight="1">
      <c r="B253" s="589" t="s">
        <v>2166</v>
      </c>
      <c r="C253" s="584" t="s">
        <v>2241</v>
      </c>
      <c r="D253" s="571" t="s">
        <v>2236</v>
      </c>
      <c r="E253" s="568">
        <v>2.7</v>
      </c>
      <c r="F253" s="567">
        <f t="shared" si="112"/>
        <v>710224.707936508</v>
      </c>
      <c r="G253" s="561">
        <f t="shared" si="113"/>
        <v>1917606.7114285717</v>
      </c>
      <c r="H253">
        <v>2200</v>
      </c>
      <c r="I253">
        <f t="shared" si="114"/>
        <v>5940</v>
      </c>
      <c r="N253" s="589" t="s">
        <v>2166</v>
      </c>
      <c r="O253" s="584" t="s">
        <v>2241</v>
      </c>
      <c r="P253" s="571" t="str">
        <f>$D$253</f>
        <v>m³</v>
      </c>
      <c r="Q253" s="568">
        <v>2.7</v>
      </c>
      <c r="R253" s="567">
        <f>$F$253</f>
        <v>710224.707936508</v>
      </c>
      <c r="S253" s="561">
        <f t="shared" si="115"/>
        <v>1917606.7114285717</v>
      </c>
      <c r="T253">
        <v>2200</v>
      </c>
      <c r="U253">
        <f t="shared" si="116"/>
        <v>5940</v>
      </c>
      <c r="V253" s="589" t="s">
        <v>2166</v>
      </c>
      <c r="W253" s="584" t="s">
        <v>2241</v>
      </c>
      <c r="X253" s="571" t="str">
        <f>$D$253</f>
        <v>m³</v>
      </c>
      <c r="Y253" s="568">
        <v>2.7</v>
      </c>
      <c r="Z253" s="567">
        <f>$F$253</f>
        <v>710224.707936508</v>
      </c>
      <c r="AA253" s="561">
        <f t="shared" si="117"/>
        <v>1917606.7114285717</v>
      </c>
      <c r="AB253">
        <v>2200</v>
      </c>
      <c r="AC253">
        <f t="shared" si="118"/>
        <v>5940</v>
      </c>
      <c r="AD253" s="589" t="s">
        <v>2166</v>
      </c>
      <c r="AE253" s="584" t="s">
        <v>2241</v>
      </c>
      <c r="AF253" s="571" t="str">
        <f>$D$253</f>
        <v>m³</v>
      </c>
      <c r="AG253" s="568">
        <v>2.7</v>
      </c>
      <c r="AH253" s="567">
        <f>$F$253</f>
        <v>710224.707936508</v>
      </c>
      <c r="AI253" s="561">
        <f t="shared" si="119"/>
        <v>1917606.7114285717</v>
      </c>
      <c r="AJ253">
        <v>2200</v>
      </c>
      <c r="AK253">
        <f t="shared" si="120"/>
        <v>5940</v>
      </c>
    </row>
    <row r="254" spans="2:37" ht="15" customHeight="1">
      <c r="B254" s="589" t="s">
        <v>2168</v>
      </c>
      <c r="C254" s="584" t="s">
        <v>2266</v>
      </c>
      <c r="D254" s="571" t="s">
        <v>2236</v>
      </c>
      <c r="E254" s="568">
        <v>33.839999999999996</v>
      </c>
      <c r="F254" s="567">
        <f t="shared" si="112"/>
        <v>1115864.6138095236</v>
      </c>
      <c r="G254" s="561">
        <f t="shared" si="113"/>
        <v>37760858.531314276</v>
      </c>
      <c r="H254">
        <v>2400</v>
      </c>
      <c r="I254">
        <f t="shared" si="114"/>
        <v>81215.999999999985</v>
      </c>
      <c r="N254" s="589" t="s">
        <v>2168</v>
      </c>
      <c r="O254" s="584" t="s">
        <v>2266</v>
      </c>
      <c r="P254" s="571" t="str">
        <f>$D$254</f>
        <v>m³</v>
      </c>
      <c r="Q254" s="568">
        <v>33.839999999999996</v>
      </c>
      <c r="R254" s="567">
        <f>$F$254</f>
        <v>1115864.6138095236</v>
      </c>
      <c r="S254" s="561">
        <f t="shared" si="115"/>
        <v>37760858.531314276</v>
      </c>
      <c r="T254">
        <v>2400</v>
      </c>
      <c r="U254">
        <f t="shared" si="116"/>
        <v>81215.999999999985</v>
      </c>
      <c r="V254" s="589" t="s">
        <v>2168</v>
      </c>
      <c r="W254" s="584" t="str">
        <f>O254</f>
        <v>Beton K 225 (Pad &amp; Chimney)</v>
      </c>
      <c r="X254" s="571" t="str">
        <f>$D$254</f>
        <v>m³</v>
      </c>
      <c r="Y254" s="568">
        <v>33.839999999999996</v>
      </c>
      <c r="Z254" s="567">
        <f>$F$254</f>
        <v>1115864.6138095236</v>
      </c>
      <c r="AA254" s="561">
        <f t="shared" si="117"/>
        <v>37760858.531314276</v>
      </c>
      <c r="AB254">
        <v>2400</v>
      </c>
      <c r="AC254">
        <f t="shared" si="118"/>
        <v>81215.999999999985</v>
      </c>
      <c r="AD254" s="589" t="s">
        <v>2168</v>
      </c>
      <c r="AE254" s="584" t="str">
        <f>W254</f>
        <v>Beton K 225 (Pad &amp; Chimney)</v>
      </c>
      <c r="AF254" s="571" t="str">
        <f>$D$254</f>
        <v>m³</v>
      </c>
      <c r="AG254" s="568">
        <v>33.839999999999996</v>
      </c>
      <c r="AH254" s="567">
        <f>$F$254</f>
        <v>1115864.6138095236</v>
      </c>
      <c r="AI254" s="561">
        <f t="shared" si="119"/>
        <v>37760858.531314276</v>
      </c>
      <c r="AJ254">
        <v>2400</v>
      </c>
      <c r="AK254">
        <f t="shared" si="120"/>
        <v>81215.999999999985</v>
      </c>
    </row>
    <row r="255" spans="2:37" ht="15" customHeight="1">
      <c r="B255" s="589" t="s">
        <v>2170</v>
      </c>
      <c r="C255" s="584" t="s">
        <v>2267</v>
      </c>
      <c r="D255" s="571" t="s">
        <v>2236</v>
      </c>
      <c r="E255" s="568">
        <v>60.418285714285723</v>
      </c>
      <c r="F255" s="567">
        <f t="shared" si="112"/>
        <v>1057576.2423809525</v>
      </c>
      <c r="G255" s="561">
        <f t="shared" si="113"/>
        <v>63896943.576813072</v>
      </c>
      <c r="H255">
        <v>2200</v>
      </c>
      <c r="I255">
        <f t="shared" si="114"/>
        <v>132920.2285714286</v>
      </c>
      <c r="N255" s="589" t="s">
        <v>2170</v>
      </c>
      <c r="O255" s="584" t="s">
        <v>2267</v>
      </c>
      <c r="P255" s="571" t="str">
        <f>$D$255</f>
        <v>m³</v>
      </c>
      <c r="Q255" s="568">
        <v>60.418285714285723</v>
      </c>
      <c r="R255" s="567">
        <f>$F$255</f>
        <v>1057576.2423809525</v>
      </c>
      <c r="S255" s="561">
        <f t="shared" si="115"/>
        <v>63896943.576813072</v>
      </c>
      <c r="T255">
        <v>2200</v>
      </c>
      <c r="U255">
        <f t="shared" si="116"/>
        <v>132920.2285714286</v>
      </c>
      <c r="V255" s="589" t="s">
        <v>2170</v>
      </c>
      <c r="W255" s="584" t="s">
        <v>2267</v>
      </c>
      <c r="X255" s="571" t="str">
        <f>$D$255</f>
        <v>m³</v>
      </c>
      <c r="Y255" s="568">
        <v>60.418285714285723</v>
      </c>
      <c r="Z255" s="567">
        <f>$F$255</f>
        <v>1057576.2423809525</v>
      </c>
      <c r="AA255" s="561">
        <f t="shared" si="117"/>
        <v>63896943.576813072</v>
      </c>
      <c r="AB255">
        <v>2200</v>
      </c>
      <c r="AC255">
        <f t="shared" si="118"/>
        <v>132920.2285714286</v>
      </c>
      <c r="AD255" s="589" t="s">
        <v>2170</v>
      </c>
      <c r="AE255" s="584" t="s">
        <v>2267</v>
      </c>
      <c r="AF255" s="571" t="str">
        <f>$D$255</f>
        <v>m³</v>
      </c>
      <c r="AG255" s="568">
        <v>60.418285714285723</v>
      </c>
      <c r="AH255" s="567">
        <f>$F$255</f>
        <v>1057576.2423809525</v>
      </c>
      <c r="AI255" s="561">
        <f t="shared" si="119"/>
        <v>63896943.576813072</v>
      </c>
      <c r="AJ255">
        <v>2200</v>
      </c>
      <c r="AK255">
        <f t="shared" si="120"/>
        <v>132920.2285714286</v>
      </c>
    </row>
    <row r="256" spans="2:37" ht="15" customHeight="1">
      <c r="B256" s="589" t="s">
        <v>2172</v>
      </c>
      <c r="C256" s="584" t="s">
        <v>2243</v>
      </c>
      <c r="D256" s="571" t="s">
        <v>1</v>
      </c>
      <c r="E256" s="568">
        <v>10717.655999999999</v>
      </c>
      <c r="F256" s="567">
        <f t="shared" si="112"/>
        <v>19478.039350000003</v>
      </c>
      <c r="G256" s="561">
        <f t="shared" si="113"/>
        <v>208758925.30776361</v>
      </c>
      <c r="H256">
        <v>1</v>
      </c>
      <c r="I256">
        <f t="shared" si="114"/>
        <v>10717.655999999999</v>
      </c>
      <c r="N256" s="589" t="s">
        <v>2172</v>
      </c>
      <c r="O256" s="584" t="s">
        <v>2243</v>
      </c>
      <c r="P256" s="571" t="str">
        <f>$D$256</f>
        <v>kg</v>
      </c>
      <c r="Q256" s="568">
        <v>10717.655999999999</v>
      </c>
      <c r="R256" s="567">
        <f>$F$256</f>
        <v>19478.039350000003</v>
      </c>
      <c r="S256" s="561">
        <f t="shared" si="115"/>
        <v>208758925.30776361</v>
      </c>
      <c r="T256">
        <v>1</v>
      </c>
      <c r="U256">
        <f t="shared" si="116"/>
        <v>10717.655999999999</v>
      </c>
      <c r="V256" s="589" t="s">
        <v>2172</v>
      </c>
      <c r="W256" s="584" t="s">
        <v>2243</v>
      </c>
      <c r="X256" s="571" t="str">
        <f>$D$256</f>
        <v>kg</v>
      </c>
      <c r="Y256" s="568">
        <v>10717.655999999999</v>
      </c>
      <c r="Z256" s="567">
        <f>$F$256</f>
        <v>19478.039350000003</v>
      </c>
      <c r="AA256" s="561">
        <f t="shared" si="117"/>
        <v>208758925.30776361</v>
      </c>
      <c r="AB256">
        <v>1</v>
      </c>
      <c r="AC256">
        <f t="shared" si="118"/>
        <v>10717.655999999999</v>
      </c>
      <c r="AD256" s="589" t="s">
        <v>2172</v>
      </c>
      <c r="AE256" s="584" t="s">
        <v>2243</v>
      </c>
      <c r="AF256" s="571" t="str">
        <f>$D$256</f>
        <v>kg</v>
      </c>
      <c r="AG256" s="568">
        <v>10717.655999999999</v>
      </c>
      <c r="AH256" s="567">
        <f>$F$256</f>
        <v>19478.039350000003</v>
      </c>
      <c r="AI256" s="561">
        <f t="shared" si="119"/>
        <v>208758925.30776361</v>
      </c>
      <c r="AJ256">
        <v>1</v>
      </c>
      <c r="AK256">
        <f t="shared" si="120"/>
        <v>10717.655999999999</v>
      </c>
    </row>
    <row r="257" spans="2:37" ht="15" customHeight="1">
      <c r="B257" s="589" t="s">
        <v>2268</v>
      </c>
      <c r="C257" s="584" t="s">
        <v>2244</v>
      </c>
      <c r="D257" s="571" t="s">
        <v>2245</v>
      </c>
      <c r="E257" s="568">
        <v>45.6</v>
      </c>
      <c r="F257" s="567">
        <f t="shared" si="112"/>
        <v>145812.67000000001</v>
      </c>
      <c r="G257" s="561">
        <f t="shared" si="113"/>
        <v>6649057.7520000003</v>
      </c>
      <c r="H257">
        <v>40</v>
      </c>
      <c r="I257">
        <f t="shared" si="114"/>
        <v>1824</v>
      </c>
      <c r="N257" s="589" t="s">
        <v>2268</v>
      </c>
      <c r="O257" s="584" t="s">
        <v>2244</v>
      </c>
      <c r="P257" s="571" t="str">
        <f>$D$257</f>
        <v>m²</v>
      </c>
      <c r="Q257" s="568">
        <v>45.6</v>
      </c>
      <c r="R257" s="567">
        <f>$F$257</f>
        <v>145812.67000000001</v>
      </c>
      <c r="S257" s="561">
        <f t="shared" si="115"/>
        <v>6649057.7520000003</v>
      </c>
      <c r="T257">
        <v>40</v>
      </c>
      <c r="U257">
        <f t="shared" si="116"/>
        <v>1824</v>
      </c>
      <c r="V257" s="589" t="s">
        <v>2268</v>
      </c>
      <c r="W257" s="584" t="s">
        <v>2244</v>
      </c>
      <c r="X257" s="571" t="str">
        <f>$D$257</f>
        <v>m²</v>
      </c>
      <c r="Y257" s="568">
        <v>45.6</v>
      </c>
      <c r="Z257" s="567">
        <f>$F$257</f>
        <v>145812.67000000001</v>
      </c>
      <c r="AA257" s="561">
        <f t="shared" si="117"/>
        <v>6649057.7520000003</v>
      </c>
      <c r="AB257">
        <v>40</v>
      </c>
      <c r="AC257">
        <f t="shared" si="118"/>
        <v>1824</v>
      </c>
      <c r="AD257" s="589" t="s">
        <v>2268</v>
      </c>
      <c r="AE257" s="584" t="s">
        <v>2244</v>
      </c>
      <c r="AF257" s="571" t="str">
        <f>$D$257</f>
        <v>m²</v>
      </c>
      <c r="AG257" s="568">
        <v>45.6</v>
      </c>
      <c r="AH257" s="567">
        <f>$F$257</f>
        <v>145812.67000000001</v>
      </c>
      <c r="AI257" s="561">
        <f t="shared" si="119"/>
        <v>6649057.7520000003</v>
      </c>
      <c r="AJ257">
        <v>40</v>
      </c>
      <c r="AK257">
        <f t="shared" si="120"/>
        <v>1824</v>
      </c>
    </row>
    <row r="258" spans="2:37" ht="15" customHeight="1">
      <c r="B258" s="589" t="s">
        <v>2176</v>
      </c>
      <c r="C258" s="565" t="s">
        <v>2246</v>
      </c>
      <c r="D258" s="571" t="s">
        <v>226</v>
      </c>
      <c r="E258" s="568">
        <v>4</v>
      </c>
      <c r="F258" s="567">
        <f t="shared" si="112"/>
        <v>100000</v>
      </c>
      <c r="G258" s="561">
        <f t="shared" si="113"/>
        <v>400000</v>
      </c>
      <c r="H258">
        <v>2.5</v>
      </c>
      <c r="I258">
        <f t="shared" si="114"/>
        <v>10</v>
      </c>
      <c r="N258" s="589" t="s">
        <v>2176</v>
      </c>
      <c r="O258" s="565" t="s">
        <v>2246</v>
      </c>
      <c r="P258" s="571" t="str">
        <f>$D$258</f>
        <v>bh</v>
      </c>
      <c r="Q258" s="568">
        <v>4</v>
      </c>
      <c r="R258" s="567">
        <f>$F$258</f>
        <v>100000</v>
      </c>
      <c r="S258" s="561">
        <f t="shared" si="115"/>
        <v>400000</v>
      </c>
      <c r="T258">
        <v>2.5</v>
      </c>
      <c r="U258">
        <f t="shared" si="116"/>
        <v>10</v>
      </c>
      <c r="V258" s="589" t="s">
        <v>2176</v>
      </c>
      <c r="W258" s="565" t="s">
        <v>2246</v>
      </c>
      <c r="X258" s="571" t="str">
        <f>$D$258</f>
        <v>bh</v>
      </c>
      <c r="Y258" s="568">
        <v>4</v>
      </c>
      <c r="Z258" s="567">
        <f>$F$258</f>
        <v>100000</v>
      </c>
      <c r="AA258" s="561">
        <f t="shared" si="117"/>
        <v>400000</v>
      </c>
      <c r="AB258">
        <v>2.5</v>
      </c>
      <c r="AC258">
        <f t="shared" si="118"/>
        <v>10</v>
      </c>
      <c r="AD258" s="589" t="s">
        <v>2176</v>
      </c>
      <c r="AE258" s="565" t="s">
        <v>2246</v>
      </c>
      <c r="AF258" s="571" t="str">
        <f>$D$258</f>
        <v>bh</v>
      </c>
      <c r="AG258" s="568">
        <v>4</v>
      </c>
      <c r="AH258" s="567">
        <f>$F$258</f>
        <v>100000</v>
      </c>
      <c r="AI258" s="561">
        <f t="shared" si="119"/>
        <v>400000</v>
      </c>
      <c r="AJ258">
        <v>2.5</v>
      </c>
      <c r="AK258">
        <f t="shared" si="120"/>
        <v>10</v>
      </c>
    </row>
    <row r="259" spans="2:37" ht="15" customHeight="1">
      <c r="B259" s="589"/>
      <c r="C259" s="584"/>
      <c r="D259" s="571"/>
      <c r="E259" s="566"/>
      <c r="F259" s="567">
        <f t="shared" si="112"/>
        <v>0</v>
      </c>
      <c r="G259" s="561"/>
      <c r="I259">
        <f>SUM(I252:I257)</f>
        <v>240177.88457142856</v>
      </c>
      <c r="N259" s="589"/>
      <c r="O259" s="584"/>
      <c r="P259" s="571"/>
      <c r="Q259" s="566"/>
      <c r="R259" s="567"/>
      <c r="S259" s="561"/>
      <c r="U259">
        <f>SUM(U252:U257)</f>
        <v>240177.88457142856</v>
      </c>
      <c r="V259" s="589"/>
      <c r="W259" s="584"/>
      <c r="X259" s="571"/>
      <c r="Y259" s="566"/>
      <c r="Z259" s="567"/>
      <c r="AA259" s="561"/>
      <c r="AC259">
        <f>SUM(AC252:AC257)</f>
        <v>240177.88457142856</v>
      </c>
      <c r="AD259" s="589"/>
      <c r="AE259" s="584"/>
      <c r="AF259" s="571"/>
      <c r="AG259" s="566"/>
      <c r="AH259" s="567"/>
      <c r="AI259" s="561"/>
      <c r="AK259">
        <f>SUM(AK252:AK257)</f>
        <v>240177.88457142856</v>
      </c>
    </row>
    <row r="260" spans="2:37" ht="15" customHeight="1">
      <c r="B260" s="590">
        <v>3</v>
      </c>
      <c r="C260" s="583" t="s">
        <v>2086</v>
      </c>
      <c r="D260" s="571"/>
      <c r="E260" s="566"/>
      <c r="F260" s="567">
        <f t="shared" si="112"/>
        <v>0</v>
      </c>
      <c r="G260" s="561"/>
      <c r="N260" s="590">
        <v>3</v>
      </c>
      <c r="O260" s="583" t="s">
        <v>2086</v>
      </c>
      <c r="P260" s="571"/>
      <c r="Q260" s="566"/>
      <c r="R260" s="567"/>
      <c r="S260" s="561"/>
      <c r="V260" s="590">
        <v>3</v>
      </c>
      <c r="W260" s="583" t="s">
        <v>2086</v>
      </c>
      <c r="X260" s="571"/>
      <c r="Y260" s="566"/>
      <c r="Z260" s="567"/>
      <c r="AA260" s="561"/>
      <c r="AD260" s="590">
        <v>3</v>
      </c>
      <c r="AE260" s="583" t="s">
        <v>2086</v>
      </c>
      <c r="AF260" s="571"/>
      <c r="AG260" s="566"/>
      <c r="AH260" s="567"/>
      <c r="AI260" s="561"/>
    </row>
    <row r="261" spans="2:37" ht="15" customHeight="1">
      <c r="B261" s="589" t="s">
        <v>721</v>
      </c>
      <c r="C261" s="584" t="s">
        <v>2247</v>
      </c>
      <c r="D261" s="571" t="s">
        <v>226</v>
      </c>
      <c r="E261" s="568">
        <v>4</v>
      </c>
      <c r="F261" s="567">
        <f t="shared" si="112"/>
        <v>181849.04</v>
      </c>
      <c r="G261" s="561">
        <f t="shared" ref="G261:G266" si="121">E261*F261</f>
        <v>727396.16</v>
      </c>
      <c r="N261" s="589" t="s">
        <v>721</v>
      </c>
      <c r="O261" s="584" t="s">
        <v>2247</v>
      </c>
      <c r="P261" s="571" t="str">
        <f>$D$261</f>
        <v>bh</v>
      </c>
      <c r="Q261" s="568">
        <v>4</v>
      </c>
      <c r="R261" s="567">
        <f>$F$261</f>
        <v>181849.04</v>
      </c>
      <c r="S261" s="561">
        <f t="shared" ref="S261:S266" si="122">Q261*R261</f>
        <v>727396.16</v>
      </c>
      <c r="V261" s="589" t="s">
        <v>721</v>
      </c>
      <c r="W261" s="584" t="s">
        <v>2247</v>
      </c>
      <c r="X261" s="571" t="str">
        <f>$D$261</f>
        <v>bh</v>
      </c>
      <c r="Y261" s="568">
        <v>4</v>
      </c>
      <c r="Z261" s="567">
        <f>$F$261</f>
        <v>181849.04</v>
      </c>
      <c r="AA261" s="561">
        <f t="shared" ref="AA261:AA266" si="123">Y261*Z261</f>
        <v>727396.16</v>
      </c>
      <c r="AD261" s="589" t="s">
        <v>721</v>
      </c>
      <c r="AE261" s="584" t="s">
        <v>2247</v>
      </c>
      <c r="AF261" s="571" t="str">
        <f>$D$261</f>
        <v>bh</v>
      </c>
      <c r="AG261" s="568">
        <v>4</v>
      </c>
      <c r="AH261" s="567">
        <f>$F$261</f>
        <v>181849.04</v>
      </c>
      <c r="AI261" s="561">
        <f t="shared" ref="AI261:AI266" si="124">AG261*AH261</f>
        <v>727396.16</v>
      </c>
    </row>
    <row r="262" spans="2:37" ht="15" customHeight="1">
      <c r="B262" s="589" t="s">
        <v>2166</v>
      </c>
      <c r="C262" s="584" t="s">
        <v>2085</v>
      </c>
      <c r="D262" s="571" t="s">
        <v>1</v>
      </c>
      <c r="E262" s="568">
        <f>I259</f>
        <v>240177.88457142856</v>
      </c>
      <c r="F262" s="567">
        <f t="shared" si="112"/>
        <v>462.7700000000001</v>
      </c>
      <c r="G262" s="561">
        <f t="shared" si="121"/>
        <v>111147119.64312002</v>
      </c>
      <c r="N262" s="589" t="s">
        <v>2166</v>
      </c>
      <c r="O262" s="584" t="s">
        <v>2085</v>
      </c>
      <c r="P262" s="571" t="str">
        <f>$D$262</f>
        <v>kg</v>
      </c>
      <c r="Q262" s="568">
        <f>U259</f>
        <v>240177.88457142856</v>
      </c>
      <c r="R262" s="567">
        <f>$F$262</f>
        <v>462.7700000000001</v>
      </c>
      <c r="S262" s="561">
        <f t="shared" si="122"/>
        <v>111147119.64312002</v>
      </c>
      <c r="V262" s="589" t="s">
        <v>2166</v>
      </c>
      <c r="W262" s="584" t="s">
        <v>2085</v>
      </c>
      <c r="X262" s="571" t="str">
        <f>$D$262</f>
        <v>kg</v>
      </c>
      <c r="Y262" s="568">
        <f>AC259</f>
        <v>240177.88457142856</v>
      </c>
      <c r="Z262" s="567">
        <f>$F$262</f>
        <v>462.7700000000001</v>
      </c>
      <c r="AA262" s="561">
        <f t="shared" si="123"/>
        <v>111147119.64312002</v>
      </c>
      <c r="AD262" s="589" t="s">
        <v>2166</v>
      </c>
      <c r="AE262" s="584" t="s">
        <v>2085</v>
      </c>
      <c r="AF262" s="571" t="str">
        <f>$D$262</f>
        <v>kg</v>
      </c>
      <c r="AG262" s="568">
        <f>AK259</f>
        <v>240177.88457142856</v>
      </c>
      <c r="AH262" s="567">
        <f>$F$262</f>
        <v>462.7700000000001</v>
      </c>
      <c r="AI262" s="561">
        <f t="shared" si="124"/>
        <v>111147119.64312002</v>
      </c>
    </row>
    <row r="263" spans="2:37" ht="15" customHeight="1">
      <c r="B263" s="589" t="s">
        <v>2168</v>
      </c>
      <c r="C263" s="584" t="s">
        <v>2249</v>
      </c>
      <c r="D263" s="571" t="s">
        <v>226</v>
      </c>
      <c r="E263" s="568">
        <v>4</v>
      </c>
      <c r="F263" s="567">
        <f t="shared" si="112"/>
        <v>387825</v>
      </c>
      <c r="G263" s="561">
        <f t="shared" si="121"/>
        <v>1551300</v>
      </c>
      <c r="N263" s="589" t="s">
        <v>2168</v>
      </c>
      <c r="O263" s="584" t="s">
        <v>2249</v>
      </c>
      <c r="P263" s="571" t="str">
        <f>$D$263</f>
        <v>bh</v>
      </c>
      <c r="Q263" s="568">
        <v>4</v>
      </c>
      <c r="R263" s="567">
        <f>$F$263</f>
        <v>387825</v>
      </c>
      <c r="S263" s="561">
        <f t="shared" si="122"/>
        <v>1551300</v>
      </c>
      <c r="V263" s="589" t="s">
        <v>2168</v>
      </c>
      <c r="W263" s="584" t="s">
        <v>2249</v>
      </c>
      <c r="X263" s="571" t="str">
        <f>$D$263</f>
        <v>bh</v>
      </c>
      <c r="Y263" s="568">
        <v>4</v>
      </c>
      <c r="Z263" s="567">
        <f>$F$263</f>
        <v>387825</v>
      </c>
      <c r="AA263" s="561">
        <f t="shared" si="123"/>
        <v>1551300</v>
      </c>
      <c r="AD263" s="589" t="s">
        <v>2168</v>
      </c>
      <c r="AE263" s="584" t="s">
        <v>2249</v>
      </c>
      <c r="AF263" s="571" t="str">
        <f>$D$263</f>
        <v>bh</v>
      </c>
      <c r="AG263" s="568">
        <v>4</v>
      </c>
      <c r="AH263" s="567">
        <f>$F$263</f>
        <v>387825</v>
      </c>
      <c r="AI263" s="561">
        <f t="shared" si="124"/>
        <v>1551300</v>
      </c>
    </row>
    <row r="264" spans="2:37" ht="15" customHeight="1">
      <c r="B264" s="589" t="s">
        <v>2170</v>
      </c>
      <c r="C264" s="584" t="s">
        <v>2250</v>
      </c>
      <c r="D264" s="571" t="s">
        <v>1</v>
      </c>
      <c r="E264" s="568">
        <f>$E$164</f>
        <v>150.93599999999998</v>
      </c>
      <c r="F264" s="567">
        <f t="shared" si="112"/>
        <v>3758.6984549742947</v>
      </c>
      <c r="G264" s="561">
        <f t="shared" si="121"/>
        <v>567322.91</v>
      </c>
      <c r="N264" s="589" t="s">
        <v>2170</v>
      </c>
      <c r="O264" s="584" t="s">
        <v>2250</v>
      </c>
      <c r="P264" s="571" t="str">
        <f>$D$264</f>
        <v>kg</v>
      </c>
      <c r="Q264" s="568">
        <f>$Q$164</f>
        <v>239.61599999999999</v>
      </c>
      <c r="R264" s="567">
        <f>$F$264</f>
        <v>3758.6984549742947</v>
      </c>
      <c r="S264" s="561">
        <f t="shared" si="122"/>
        <v>900644.2889871205</v>
      </c>
      <c r="V264" s="589" t="s">
        <v>2170</v>
      </c>
      <c r="W264" s="584" t="s">
        <v>2269</v>
      </c>
      <c r="X264" s="571" t="str">
        <f>$D$264</f>
        <v>kg</v>
      </c>
      <c r="Y264" s="568">
        <f>$Y$164</f>
        <v>311.47199999999998</v>
      </c>
      <c r="Z264" s="567">
        <f>$F$264</f>
        <v>3758.6984549742947</v>
      </c>
      <c r="AA264" s="561">
        <f t="shared" si="123"/>
        <v>1170729.3251677535</v>
      </c>
      <c r="AD264" s="589" t="s">
        <v>2170</v>
      </c>
      <c r="AE264" s="584" t="s">
        <v>2269</v>
      </c>
      <c r="AF264" s="571" t="str">
        <f>$D$264</f>
        <v>kg</v>
      </c>
      <c r="AG264" s="568">
        <f>$AG$164</f>
        <v>403.17599999999999</v>
      </c>
      <c r="AH264" s="567">
        <f>$F$264</f>
        <v>3758.6984549742947</v>
      </c>
      <c r="AI264" s="561">
        <f t="shared" si="124"/>
        <v>1515417.0082827162</v>
      </c>
    </row>
    <row r="265" spans="2:37" ht="15" customHeight="1">
      <c r="B265" s="589" t="s">
        <v>2172</v>
      </c>
      <c r="C265" s="584" t="s">
        <v>2251</v>
      </c>
      <c r="D265" s="571" t="s">
        <v>455</v>
      </c>
      <c r="E265" s="568">
        <v>1</v>
      </c>
      <c r="F265" s="567">
        <f t="shared" si="112"/>
        <v>855127</v>
      </c>
      <c r="G265" s="561">
        <f t="shared" si="121"/>
        <v>855127</v>
      </c>
      <c r="N265" s="589" t="s">
        <v>2172</v>
      </c>
      <c r="O265" s="584" t="s">
        <v>2251</v>
      </c>
      <c r="P265" s="571" t="str">
        <f>$D$265</f>
        <v>set</v>
      </c>
      <c r="Q265" s="568">
        <v>1</v>
      </c>
      <c r="R265" s="567">
        <f>$F$265</f>
        <v>855127</v>
      </c>
      <c r="S265" s="561">
        <f t="shared" si="122"/>
        <v>855127</v>
      </c>
      <c r="V265" s="589" t="s">
        <v>2172</v>
      </c>
      <c r="W265" s="584" t="s">
        <v>2251</v>
      </c>
      <c r="X265" s="571" t="str">
        <f>$D$265</f>
        <v>set</v>
      </c>
      <c r="Y265" s="568">
        <v>1</v>
      </c>
      <c r="Z265" s="567">
        <f>$F$265</f>
        <v>855127</v>
      </c>
      <c r="AA265" s="561">
        <f t="shared" si="123"/>
        <v>855127</v>
      </c>
      <c r="AD265" s="589" t="s">
        <v>2172</v>
      </c>
      <c r="AE265" s="584" t="s">
        <v>2251</v>
      </c>
      <c r="AF265" s="571" t="str">
        <f>$D$265</f>
        <v>set</v>
      </c>
      <c r="AG265" s="568">
        <v>1</v>
      </c>
      <c r="AH265" s="567">
        <f>$F$265</f>
        <v>855127</v>
      </c>
      <c r="AI265" s="561">
        <f t="shared" si="124"/>
        <v>855127</v>
      </c>
    </row>
    <row r="266" spans="2:37" ht="15" customHeight="1">
      <c r="B266" s="589" t="s">
        <v>2174</v>
      </c>
      <c r="C266" s="584" t="s">
        <v>2252</v>
      </c>
      <c r="D266" s="571" t="s">
        <v>455</v>
      </c>
      <c r="E266" s="568">
        <v>1</v>
      </c>
      <c r="F266" s="567">
        <f t="shared" si="112"/>
        <v>674025</v>
      </c>
      <c r="G266" s="561">
        <f t="shared" si="121"/>
        <v>674025</v>
      </c>
      <c r="N266" s="589" t="s">
        <v>2174</v>
      </c>
      <c r="O266" s="584" t="s">
        <v>2252</v>
      </c>
      <c r="P266" s="571" t="str">
        <f>$D$266</f>
        <v>set</v>
      </c>
      <c r="Q266" s="568">
        <v>1</v>
      </c>
      <c r="R266" s="567">
        <f>$F$266</f>
        <v>674025</v>
      </c>
      <c r="S266" s="561">
        <f t="shared" si="122"/>
        <v>674025</v>
      </c>
      <c r="V266" s="589" t="s">
        <v>2174</v>
      </c>
      <c r="W266" s="584" t="s">
        <v>2252</v>
      </c>
      <c r="X266" s="571" t="str">
        <f>$D$266</f>
        <v>set</v>
      </c>
      <c r="Y266" s="568">
        <v>1</v>
      </c>
      <c r="Z266" s="567">
        <f>$F$266</f>
        <v>674025</v>
      </c>
      <c r="AA266" s="561">
        <f t="shared" si="123"/>
        <v>674025</v>
      </c>
      <c r="AD266" s="589" t="s">
        <v>2174</v>
      </c>
      <c r="AE266" s="584" t="s">
        <v>2252</v>
      </c>
      <c r="AF266" s="571" t="str">
        <f>$D$266</f>
        <v>set</v>
      </c>
      <c r="AG266" s="568">
        <v>1</v>
      </c>
      <c r="AH266" s="567">
        <f>$F$266</f>
        <v>674025</v>
      </c>
      <c r="AI266" s="561">
        <f t="shared" si="124"/>
        <v>674025</v>
      </c>
    </row>
    <row r="267" spans="2:37" ht="15" customHeight="1" thickBot="1">
      <c r="B267" s="582"/>
      <c r="C267" s="1197" t="s">
        <v>2283</v>
      </c>
      <c r="D267" s="1198"/>
      <c r="E267" s="1198"/>
      <c r="F267" s="1199"/>
      <c r="G267" s="560">
        <f>SUM(G246:G266)</f>
        <v>458958817.04943961</v>
      </c>
      <c r="N267" s="582"/>
      <c r="O267" s="1197" t="s">
        <v>2283</v>
      </c>
      <c r="P267" s="1198"/>
      <c r="Q267" s="1198"/>
      <c r="R267" s="1199"/>
      <c r="S267" s="560">
        <f>SUM(S246:S266)</f>
        <v>459292138.42842668</v>
      </c>
      <c r="V267" s="582"/>
      <c r="W267" s="1197" t="s">
        <v>2283</v>
      </c>
      <c r="X267" s="1198"/>
      <c r="Y267" s="1198"/>
      <c r="Z267" s="1199"/>
      <c r="AA267" s="560">
        <f>SUM(AA246:AA266)</f>
        <v>459562223.46460736</v>
      </c>
      <c r="AD267" s="582"/>
      <c r="AE267" s="1197" t="s">
        <v>2283</v>
      </c>
      <c r="AF267" s="1198"/>
      <c r="AG267" s="1198"/>
      <c r="AH267" s="1199"/>
      <c r="AI267" s="560">
        <f>SUM(AI246:AI266)</f>
        <v>459906911.1477223</v>
      </c>
    </row>
    <row r="268" spans="2:37" ht="15" customHeight="1" thickBot="1">
      <c r="R268" s="634"/>
      <c r="Z268" s="634"/>
      <c r="AA268" s="634"/>
      <c r="AH268" s="634"/>
      <c r="AI268" s="634"/>
    </row>
    <row r="269" spans="2:37" ht="15" customHeight="1" thickBot="1">
      <c r="B269" s="581" t="s">
        <v>2229</v>
      </c>
      <c r="C269" s="580"/>
      <c r="D269" s="579">
        <v>6</v>
      </c>
      <c r="E269" s="578"/>
      <c r="F269" s="577"/>
      <c r="G269" s="564"/>
      <c r="N269" s="581" t="s">
        <v>2230</v>
      </c>
      <c r="O269" s="580"/>
      <c r="P269" s="579">
        <v>6</v>
      </c>
      <c r="Q269" s="578"/>
      <c r="R269" s="577"/>
      <c r="S269" s="564"/>
      <c r="V269" s="581" t="s">
        <v>2231</v>
      </c>
      <c r="W269" s="580"/>
      <c r="X269" s="579"/>
      <c r="Y269" s="578"/>
      <c r="Z269" s="577"/>
      <c r="AA269" s="564"/>
      <c r="AD269" s="581" t="s">
        <v>2254</v>
      </c>
      <c r="AE269" s="580"/>
      <c r="AF269" s="579"/>
      <c r="AG269" s="578"/>
      <c r="AH269" s="577"/>
      <c r="AI269" s="564"/>
    </row>
    <row r="270" spans="2:37" ht="15" customHeight="1">
      <c r="B270" s="576"/>
      <c r="C270" s="575" t="s">
        <v>2284</v>
      </c>
      <c r="D270" s="574"/>
      <c r="E270" s="573"/>
      <c r="F270" s="572"/>
      <c r="G270" s="563"/>
      <c r="N270" s="576"/>
      <c r="O270" s="575" t="s">
        <v>2284</v>
      </c>
      <c r="P270" s="574"/>
      <c r="Q270" s="573"/>
      <c r="R270" s="572"/>
      <c r="S270" s="563"/>
      <c r="V270" s="576"/>
      <c r="W270" s="575" t="s">
        <v>2285</v>
      </c>
      <c r="X270" s="574"/>
      <c r="Y270" s="573"/>
      <c r="Z270" s="572"/>
      <c r="AA270" s="563"/>
      <c r="AD270" s="576"/>
      <c r="AE270" s="575" t="s">
        <v>2285</v>
      </c>
      <c r="AF270" s="574"/>
      <c r="AG270" s="573"/>
      <c r="AH270" s="572"/>
      <c r="AI270" s="563"/>
    </row>
    <row r="271" spans="2:37" ht="15" customHeight="1">
      <c r="B271" s="588">
        <v>1</v>
      </c>
      <c r="C271" s="587" t="s">
        <v>2234</v>
      </c>
      <c r="D271" s="571"/>
      <c r="E271" s="570"/>
      <c r="F271" s="569"/>
      <c r="G271" s="562"/>
      <c r="N271" s="588">
        <v>1</v>
      </c>
      <c r="O271" s="587" t="s">
        <v>2234</v>
      </c>
      <c r="P271" s="571"/>
      <c r="Q271" s="570"/>
      <c r="R271" s="569"/>
      <c r="S271" s="562"/>
      <c r="V271" s="588">
        <v>1</v>
      </c>
      <c r="W271" s="587" t="s">
        <v>2234</v>
      </c>
      <c r="X271" s="571"/>
      <c r="Y271" s="570"/>
      <c r="Z271" s="569"/>
      <c r="AA271" s="562"/>
      <c r="AD271" s="588">
        <v>1</v>
      </c>
      <c r="AE271" s="587" t="s">
        <v>2234</v>
      </c>
      <c r="AF271" s="571"/>
      <c r="AG271" s="570"/>
      <c r="AH271" s="569"/>
      <c r="AI271" s="562"/>
    </row>
    <row r="272" spans="2:37" ht="15" customHeight="1">
      <c r="B272" s="589" t="s">
        <v>721</v>
      </c>
      <c r="C272" s="586" t="s">
        <v>2235</v>
      </c>
      <c r="D272" s="571" t="str">
        <f>$D$247</f>
        <v>m³</v>
      </c>
      <c r="E272" s="568">
        <v>72.5</v>
      </c>
      <c r="F272" s="567">
        <f>$F$247</f>
        <v>102390.75000000001</v>
      </c>
      <c r="G272" s="561">
        <f>E272*F272</f>
        <v>7423329.3750000009</v>
      </c>
      <c r="N272" s="589" t="s">
        <v>721</v>
      </c>
      <c r="O272" s="586" t="s">
        <v>2235</v>
      </c>
      <c r="P272" s="571" t="str">
        <f>$D$247</f>
        <v>m³</v>
      </c>
      <c r="Q272" s="568">
        <v>72.5</v>
      </c>
      <c r="R272" s="567">
        <f>$F$247</f>
        <v>102390.75000000001</v>
      </c>
      <c r="S272" s="561">
        <f>Q272*R272</f>
        <v>7423329.3750000009</v>
      </c>
      <c r="V272" s="589" t="s">
        <v>721</v>
      </c>
      <c r="W272" s="586" t="s">
        <v>2235</v>
      </c>
      <c r="X272" s="571" t="str">
        <f>$D$247</f>
        <v>m³</v>
      </c>
      <c r="Y272" s="568">
        <v>72.5</v>
      </c>
      <c r="Z272" s="567">
        <f>$F$247</f>
        <v>102390.75000000001</v>
      </c>
      <c r="AA272" s="561">
        <f>Y272*Z272</f>
        <v>7423329.3750000009</v>
      </c>
      <c r="AD272" s="589" t="s">
        <v>721</v>
      </c>
      <c r="AE272" s="586" t="s">
        <v>2235</v>
      </c>
      <c r="AF272" s="571" t="str">
        <f>$D$247</f>
        <v>m³</v>
      </c>
      <c r="AG272" s="568">
        <v>72.5</v>
      </c>
      <c r="AH272" s="567">
        <f>$F$247</f>
        <v>102390.75000000001</v>
      </c>
      <c r="AI272" s="561">
        <f>AG272*AH272</f>
        <v>7423329.3750000009</v>
      </c>
    </row>
    <row r="273" spans="2:37" ht="15" customHeight="1">
      <c r="B273" s="589" t="s">
        <v>2166</v>
      </c>
      <c r="C273" s="586" t="s">
        <v>2237</v>
      </c>
      <c r="D273" s="571" t="str">
        <f>$D$248</f>
        <v>m³</v>
      </c>
      <c r="E273" s="568">
        <v>30.560000000000002</v>
      </c>
      <c r="F273" s="567">
        <f>$F$248</f>
        <v>62462.950000000012</v>
      </c>
      <c r="G273" s="561">
        <f>E273*F273</f>
        <v>1908867.7520000006</v>
      </c>
      <c r="N273" s="589" t="s">
        <v>2166</v>
      </c>
      <c r="O273" s="586" t="s">
        <v>2237</v>
      </c>
      <c r="P273" s="571" t="str">
        <f>$D$248</f>
        <v>m³</v>
      </c>
      <c r="Q273" s="568">
        <v>30.560000000000002</v>
      </c>
      <c r="R273" s="567">
        <f>$F$248</f>
        <v>62462.950000000012</v>
      </c>
      <c r="S273" s="561">
        <f>Q273*R273</f>
        <v>1908867.7520000006</v>
      </c>
      <c r="V273" s="589" t="s">
        <v>2166</v>
      </c>
      <c r="W273" s="586" t="s">
        <v>2237</v>
      </c>
      <c r="X273" s="571" t="str">
        <f>$D$248</f>
        <v>m³</v>
      </c>
      <c r="Y273" s="568">
        <v>30.560000000000002</v>
      </c>
      <c r="Z273" s="567">
        <f>$F$248</f>
        <v>62462.950000000012</v>
      </c>
      <c r="AA273" s="561">
        <f>Y273*Z273</f>
        <v>1908867.7520000006</v>
      </c>
      <c r="AD273" s="589" t="s">
        <v>2166</v>
      </c>
      <c r="AE273" s="586" t="s">
        <v>2237</v>
      </c>
      <c r="AF273" s="571" t="str">
        <f>$D$248</f>
        <v>m³</v>
      </c>
      <c r="AG273" s="568">
        <v>30.560000000000002</v>
      </c>
      <c r="AH273" s="567">
        <f>$F$248</f>
        <v>62462.950000000012</v>
      </c>
      <c r="AI273" s="561">
        <f>AG273*AH273</f>
        <v>1908867.7520000006</v>
      </c>
    </row>
    <row r="274" spans="2:37" ht="15" customHeight="1">
      <c r="B274" s="589" t="s">
        <v>2168</v>
      </c>
      <c r="C274" s="586" t="s">
        <v>2265</v>
      </c>
      <c r="D274" s="571" t="str">
        <f>$D$249</f>
        <v>m'</v>
      </c>
      <c r="E274" s="568">
        <v>264</v>
      </c>
      <c r="F274" s="567">
        <f>$F$249</f>
        <v>52230.612500000003</v>
      </c>
      <c r="G274" s="561">
        <f>E274*F274</f>
        <v>13788881.700000001</v>
      </c>
      <c r="N274" s="589" t="s">
        <v>2168</v>
      </c>
      <c r="O274" s="586" t="s">
        <v>2265</v>
      </c>
      <c r="P274" s="571" t="str">
        <f>$D$249</f>
        <v>m'</v>
      </c>
      <c r="Q274" s="568">
        <v>264</v>
      </c>
      <c r="R274" s="567">
        <f>$F$249</f>
        <v>52230.612500000003</v>
      </c>
      <c r="S274" s="561">
        <f>Q274*R274</f>
        <v>13788881.700000001</v>
      </c>
      <c r="V274" s="589" t="s">
        <v>2168</v>
      </c>
      <c r="W274" s="586" t="s">
        <v>2265</v>
      </c>
      <c r="X274" s="571" t="str">
        <f>$D$249</f>
        <v>m'</v>
      </c>
      <c r="Y274" s="568">
        <v>264</v>
      </c>
      <c r="Z274" s="567">
        <f>$F$249</f>
        <v>52230.612500000003</v>
      </c>
      <c r="AA274" s="561">
        <f>Y274*Z274</f>
        <v>13788881.700000001</v>
      </c>
      <c r="AD274" s="589" t="s">
        <v>2168</v>
      </c>
      <c r="AE274" s="586" t="s">
        <v>2265</v>
      </c>
      <c r="AF274" s="571" t="str">
        <f>$D$249</f>
        <v>m'</v>
      </c>
      <c r="AG274" s="568">
        <v>264</v>
      </c>
      <c r="AH274" s="567">
        <f>$F$249</f>
        <v>52230.612500000003</v>
      </c>
      <c r="AI274" s="561">
        <f>AG274*AH274</f>
        <v>13788881.700000001</v>
      </c>
    </row>
    <row r="275" spans="2:37" ht="15" customHeight="1">
      <c r="B275" s="585"/>
      <c r="C275" s="586"/>
      <c r="D275" s="571"/>
      <c r="E275" s="566"/>
      <c r="F275" s="567"/>
      <c r="G275" s="561"/>
      <c r="N275" s="585"/>
      <c r="O275" s="586"/>
      <c r="P275" s="571"/>
      <c r="Q275" s="566"/>
      <c r="R275" s="567"/>
      <c r="S275" s="561"/>
      <c r="V275" s="585"/>
      <c r="W275" s="586"/>
      <c r="X275" s="571"/>
      <c r="Y275" s="566"/>
      <c r="Z275" s="567"/>
      <c r="AA275" s="561"/>
      <c r="AD275" s="585"/>
      <c r="AE275" s="586"/>
      <c r="AF275" s="571"/>
      <c r="AG275" s="566"/>
      <c r="AH275" s="567"/>
      <c r="AI275" s="561"/>
    </row>
    <row r="276" spans="2:37" ht="15" customHeight="1">
      <c r="B276" s="590">
        <v>2</v>
      </c>
      <c r="C276" s="587" t="s">
        <v>2238</v>
      </c>
      <c r="D276" s="571"/>
      <c r="E276" s="566"/>
      <c r="F276" s="567"/>
      <c r="G276" s="561"/>
      <c r="H276" t="s">
        <v>2239</v>
      </c>
      <c r="N276" s="590">
        <v>2</v>
      </c>
      <c r="O276" s="587" t="s">
        <v>2238</v>
      </c>
      <c r="P276" s="571"/>
      <c r="Q276" s="566"/>
      <c r="R276" s="567"/>
      <c r="S276" s="561"/>
      <c r="T276" t="s">
        <v>2239</v>
      </c>
      <c r="V276" s="590">
        <v>2</v>
      </c>
      <c r="W276" s="587" t="s">
        <v>2238</v>
      </c>
      <c r="X276" s="571"/>
      <c r="Y276" s="566"/>
      <c r="Z276" s="567"/>
      <c r="AA276" s="561"/>
      <c r="AB276" t="s">
        <v>2239</v>
      </c>
      <c r="AD276" s="590">
        <v>2</v>
      </c>
      <c r="AE276" s="587" t="s">
        <v>2238</v>
      </c>
      <c r="AF276" s="571"/>
      <c r="AG276" s="566"/>
      <c r="AH276" s="567"/>
      <c r="AI276" s="561"/>
      <c r="AJ276" t="s">
        <v>2239</v>
      </c>
    </row>
    <row r="277" spans="2:37" ht="15" customHeight="1">
      <c r="B277" s="589" t="s">
        <v>721</v>
      </c>
      <c r="C277" s="586" t="s">
        <v>2240</v>
      </c>
      <c r="D277" s="571" t="str">
        <f>$D$252</f>
        <v>m³</v>
      </c>
      <c r="E277" s="568">
        <v>5.4</v>
      </c>
      <c r="F277" s="567">
        <f>$F$252</f>
        <v>404738.95</v>
      </c>
      <c r="G277" s="561">
        <f t="shared" ref="G277:G283" si="125">E277*F277</f>
        <v>2185590.33</v>
      </c>
      <c r="H277">
        <v>1400</v>
      </c>
      <c r="I277">
        <f t="shared" ref="I277:I283" si="126">E277*H277</f>
        <v>7560.0000000000009</v>
      </c>
      <c r="N277" s="589" t="s">
        <v>721</v>
      </c>
      <c r="O277" s="586" t="s">
        <v>2240</v>
      </c>
      <c r="P277" s="571" t="str">
        <f>$D$252</f>
        <v>m³</v>
      </c>
      <c r="Q277" s="568">
        <v>5.4</v>
      </c>
      <c r="R277" s="567">
        <f>$F$252</f>
        <v>404738.95</v>
      </c>
      <c r="S277" s="561">
        <f t="shared" ref="S277:S283" si="127">Q277*R277</f>
        <v>2185590.33</v>
      </c>
      <c r="T277">
        <v>1400</v>
      </c>
      <c r="U277">
        <f t="shared" ref="U277:U283" si="128">Q277*T277</f>
        <v>7560.0000000000009</v>
      </c>
      <c r="V277" s="589" t="s">
        <v>721</v>
      </c>
      <c r="W277" s="586" t="s">
        <v>2240</v>
      </c>
      <c r="X277" s="571" t="str">
        <f>$D$252</f>
        <v>m³</v>
      </c>
      <c r="Y277" s="568">
        <v>5.4</v>
      </c>
      <c r="Z277" s="567">
        <f>$F$252</f>
        <v>404738.95</v>
      </c>
      <c r="AA277" s="561">
        <f t="shared" ref="AA277:AA283" si="129">Y277*Z277</f>
        <v>2185590.33</v>
      </c>
      <c r="AB277">
        <v>1400</v>
      </c>
      <c r="AC277">
        <f t="shared" ref="AC277:AC283" si="130">Y277*AB277</f>
        <v>7560.0000000000009</v>
      </c>
      <c r="AD277" s="589" t="s">
        <v>721</v>
      </c>
      <c r="AE277" s="586" t="s">
        <v>2240</v>
      </c>
      <c r="AF277" s="571" t="str">
        <f>$D$252</f>
        <v>m³</v>
      </c>
      <c r="AG277" s="568">
        <v>5.4</v>
      </c>
      <c r="AH277" s="567">
        <f>$F$252</f>
        <v>404738.95</v>
      </c>
      <c r="AI277" s="561">
        <f t="shared" ref="AI277:AI283" si="131">AG277*AH277</f>
        <v>2185590.33</v>
      </c>
      <c r="AJ277">
        <v>1400</v>
      </c>
      <c r="AK277">
        <f t="shared" ref="AK277:AK283" si="132">AG277*AJ277</f>
        <v>7560.0000000000009</v>
      </c>
    </row>
    <row r="278" spans="2:37" ht="15" customHeight="1">
      <c r="B278" s="589" t="s">
        <v>2166</v>
      </c>
      <c r="C278" s="584" t="s">
        <v>2241</v>
      </c>
      <c r="D278" s="571" t="str">
        <f>$D$253</f>
        <v>m³</v>
      </c>
      <c r="E278" s="568">
        <v>2.7</v>
      </c>
      <c r="F278" s="567">
        <f>$F$253</f>
        <v>710224.707936508</v>
      </c>
      <c r="G278" s="561">
        <f t="shared" si="125"/>
        <v>1917606.7114285717</v>
      </c>
      <c r="H278">
        <v>2200</v>
      </c>
      <c r="I278">
        <f t="shared" si="126"/>
        <v>5940</v>
      </c>
      <c r="N278" s="589" t="s">
        <v>2166</v>
      </c>
      <c r="O278" s="584" t="s">
        <v>2241</v>
      </c>
      <c r="P278" s="571" t="str">
        <f>$D$253</f>
        <v>m³</v>
      </c>
      <c r="Q278" s="568">
        <v>2.7</v>
      </c>
      <c r="R278" s="567">
        <f>$F$253</f>
        <v>710224.707936508</v>
      </c>
      <c r="S278" s="561">
        <f t="shared" si="127"/>
        <v>1917606.7114285717</v>
      </c>
      <c r="T278">
        <v>2200</v>
      </c>
      <c r="U278">
        <f t="shared" si="128"/>
        <v>5940</v>
      </c>
      <c r="V278" s="589" t="s">
        <v>2166</v>
      </c>
      <c r="W278" s="584" t="s">
        <v>2241</v>
      </c>
      <c r="X278" s="571" t="str">
        <f>$D$253</f>
        <v>m³</v>
      </c>
      <c r="Y278" s="568">
        <v>2.7</v>
      </c>
      <c r="Z278" s="567">
        <f>$F$253</f>
        <v>710224.707936508</v>
      </c>
      <c r="AA278" s="561">
        <f t="shared" si="129"/>
        <v>1917606.7114285717</v>
      </c>
      <c r="AB278">
        <v>2200</v>
      </c>
      <c r="AC278">
        <f t="shared" si="130"/>
        <v>5940</v>
      </c>
      <c r="AD278" s="589" t="s">
        <v>2166</v>
      </c>
      <c r="AE278" s="584" t="s">
        <v>2241</v>
      </c>
      <c r="AF278" s="571" t="str">
        <f>$D$253</f>
        <v>m³</v>
      </c>
      <c r="AG278" s="568">
        <v>2.7</v>
      </c>
      <c r="AH278" s="567">
        <f>$F$253</f>
        <v>710224.707936508</v>
      </c>
      <c r="AI278" s="561">
        <f t="shared" si="131"/>
        <v>1917606.7114285717</v>
      </c>
      <c r="AJ278">
        <v>2200</v>
      </c>
      <c r="AK278">
        <f t="shared" si="132"/>
        <v>5940</v>
      </c>
    </row>
    <row r="279" spans="2:37" ht="15" customHeight="1">
      <c r="B279" s="589" t="s">
        <v>2168</v>
      </c>
      <c r="C279" s="584" t="s">
        <v>2266</v>
      </c>
      <c r="D279" s="571" t="str">
        <f>$D$254</f>
        <v>m³</v>
      </c>
      <c r="E279" s="568">
        <v>33.839999999999996</v>
      </c>
      <c r="F279" s="567">
        <f>$F$254</f>
        <v>1115864.6138095236</v>
      </c>
      <c r="G279" s="561">
        <f t="shared" si="125"/>
        <v>37760858.531314276</v>
      </c>
      <c r="H279">
        <v>2400</v>
      </c>
      <c r="I279">
        <f t="shared" si="126"/>
        <v>81215.999999999985</v>
      </c>
      <c r="N279" s="589" t="s">
        <v>2168</v>
      </c>
      <c r="O279" s="584" t="s">
        <v>2266</v>
      </c>
      <c r="P279" s="571" t="str">
        <f>$D$254</f>
        <v>m³</v>
      </c>
      <c r="Q279" s="568">
        <v>33.839999999999996</v>
      </c>
      <c r="R279" s="567">
        <f>$F$254</f>
        <v>1115864.6138095236</v>
      </c>
      <c r="S279" s="561">
        <f t="shared" si="127"/>
        <v>37760858.531314276</v>
      </c>
      <c r="T279">
        <v>2400</v>
      </c>
      <c r="U279">
        <f t="shared" si="128"/>
        <v>81215.999999999985</v>
      </c>
      <c r="V279" s="589" t="s">
        <v>2168</v>
      </c>
      <c r="W279" s="584" t="str">
        <f>O279</f>
        <v>Beton K 225 (Pad &amp; Chimney)</v>
      </c>
      <c r="X279" s="571" t="str">
        <f>$D$254</f>
        <v>m³</v>
      </c>
      <c r="Y279" s="568">
        <v>33.839999999999996</v>
      </c>
      <c r="Z279" s="567">
        <f>$F$254</f>
        <v>1115864.6138095236</v>
      </c>
      <c r="AA279" s="561">
        <f t="shared" si="129"/>
        <v>37760858.531314276</v>
      </c>
      <c r="AB279">
        <v>2400</v>
      </c>
      <c r="AC279">
        <f t="shared" si="130"/>
        <v>81215.999999999985</v>
      </c>
      <c r="AD279" s="589" t="s">
        <v>2168</v>
      </c>
      <c r="AE279" s="584" t="str">
        <f>W279</f>
        <v>Beton K 225 (Pad &amp; Chimney)</v>
      </c>
      <c r="AF279" s="571" t="str">
        <f>$D$254</f>
        <v>m³</v>
      </c>
      <c r="AG279" s="568">
        <v>33.839999999999996</v>
      </c>
      <c r="AH279" s="567">
        <f>$F$254</f>
        <v>1115864.6138095236</v>
      </c>
      <c r="AI279" s="561">
        <f t="shared" si="131"/>
        <v>37760858.531314276</v>
      </c>
      <c r="AJ279">
        <v>2400</v>
      </c>
      <c r="AK279">
        <f t="shared" si="132"/>
        <v>81215.999999999985</v>
      </c>
    </row>
    <row r="280" spans="2:37" ht="15" customHeight="1">
      <c r="B280" s="589" t="s">
        <v>2170</v>
      </c>
      <c r="C280" s="584" t="s">
        <v>2267</v>
      </c>
      <c r="D280" s="571" t="str">
        <f>$D$255</f>
        <v>m³</v>
      </c>
      <c r="E280" s="568">
        <v>67.206857142857146</v>
      </c>
      <c r="F280" s="567">
        <f>$F$255</f>
        <v>1057576.2423809525</v>
      </c>
      <c r="G280" s="561">
        <f t="shared" si="125"/>
        <v>71076375.439376339</v>
      </c>
      <c r="H280">
        <v>2200</v>
      </c>
      <c r="I280">
        <f t="shared" si="126"/>
        <v>147855.08571428573</v>
      </c>
      <c r="N280" s="589" t="s">
        <v>2170</v>
      </c>
      <c r="O280" s="584" t="s">
        <v>2267</v>
      </c>
      <c r="P280" s="571" t="str">
        <f>$D$255</f>
        <v>m³</v>
      </c>
      <c r="Q280" s="568">
        <v>67.206857142857146</v>
      </c>
      <c r="R280" s="567">
        <f>$F$255</f>
        <v>1057576.2423809525</v>
      </c>
      <c r="S280" s="561">
        <f t="shared" si="127"/>
        <v>71076375.439376339</v>
      </c>
      <c r="T280">
        <v>2200</v>
      </c>
      <c r="U280">
        <f t="shared" si="128"/>
        <v>147855.08571428573</v>
      </c>
      <c r="V280" s="589" t="s">
        <v>2170</v>
      </c>
      <c r="W280" s="584" t="s">
        <v>2267</v>
      </c>
      <c r="X280" s="571" t="str">
        <f>$D$255</f>
        <v>m³</v>
      </c>
      <c r="Y280" s="568">
        <v>67.206857142857146</v>
      </c>
      <c r="Z280" s="567">
        <f>$F$255</f>
        <v>1057576.2423809525</v>
      </c>
      <c r="AA280" s="561">
        <f t="shared" si="129"/>
        <v>71076375.439376339</v>
      </c>
      <c r="AB280">
        <v>2200</v>
      </c>
      <c r="AC280">
        <f t="shared" si="130"/>
        <v>147855.08571428573</v>
      </c>
      <c r="AD280" s="589" t="s">
        <v>2170</v>
      </c>
      <c r="AE280" s="584" t="s">
        <v>2267</v>
      </c>
      <c r="AF280" s="571" t="str">
        <f>$D$255</f>
        <v>m³</v>
      </c>
      <c r="AG280" s="568">
        <v>67.206857142857146</v>
      </c>
      <c r="AH280" s="567">
        <f>$F$255</f>
        <v>1057576.2423809525</v>
      </c>
      <c r="AI280" s="561">
        <f t="shared" si="131"/>
        <v>71076375.439376339</v>
      </c>
      <c r="AJ280">
        <v>2200</v>
      </c>
      <c r="AK280">
        <f t="shared" si="132"/>
        <v>147855.08571428573</v>
      </c>
    </row>
    <row r="281" spans="2:37" ht="15" customHeight="1">
      <c r="B281" s="589" t="s">
        <v>2172</v>
      </c>
      <c r="C281" s="584" t="s">
        <v>2243</v>
      </c>
      <c r="D281" s="571" t="str">
        <f>$D$256</f>
        <v>kg</v>
      </c>
      <c r="E281" s="568">
        <v>11537.304</v>
      </c>
      <c r="F281" s="567">
        <f>$F$256</f>
        <v>19478.039350000003</v>
      </c>
      <c r="G281" s="561">
        <f t="shared" si="125"/>
        <v>224724061.30491245</v>
      </c>
      <c r="H281">
        <v>1</v>
      </c>
      <c r="I281">
        <f t="shared" si="126"/>
        <v>11537.304</v>
      </c>
      <c r="N281" s="589" t="s">
        <v>2172</v>
      </c>
      <c r="O281" s="584" t="s">
        <v>2243</v>
      </c>
      <c r="P281" s="571" t="str">
        <f>$D$256</f>
        <v>kg</v>
      </c>
      <c r="Q281" s="568">
        <v>11537.304</v>
      </c>
      <c r="R281" s="567">
        <f>$F$256</f>
        <v>19478.039350000003</v>
      </c>
      <c r="S281" s="561">
        <f t="shared" si="127"/>
        <v>224724061.30491245</v>
      </c>
      <c r="T281">
        <v>1</v>
      </c>
      <c r="U281">
        <f t="shared" si="128"/>
        <v>11537.304</v>
      </c>
      <c r="V281" s="589" t="s">
        <v>2172</v>
      </c>
      <c r="W281" s="584" t="s">
        <v>2243</v>
      </c>
      <c r="X281" s="571" t="str">
        <f>$D$256</f>
        <v>kg</v>
      </c>
      <c r="Y281" s="568">
        <v>11537.304</v>
      </c>
      <c r="Z281" s="567">
        <f>$F$256</f>
        <v>19478.039350000003</v>
      </c>
      <c r="AA281" s="561">
        <f t="shared" si="129"/>
        <v>224724061.30491245</v>
      </c>
      <c r="AB281">
        <v>1</v>
      </c>
      <c r="AC281">
        <f t="shared" si="130"/>
        <v>11537.304</v>
      </c>
      <c r="AD281" s="589" t="s">
        <v>2172</v>
      </c>
      <c r="AE281" s="584" t="s">
        <v>2243</v>
      </c>
      <c r="AF281" s="571" t="str">
        <f>$D$256</f>
        <v>kg</v>
      </c>
      <c r="AG281" s="568">
        <v>11537.304</v>
      </c>
      <c r="AH281" s="567">
        <f>$F$256</f>
        <v>19478.039350000003</v>
      </c>
      <c r="AI281" s="561">
        <f t="shared" si="131"/>
        <v>224724061.30491245</v>
      </c>
      <c r="AJ281">
        <v>1</v>
      </c>
      <c r="AK281">
        <f t="shared" si="132"/>
        <v>11537.304</v>
      </c>
    </row>
    <row r="282" spans="2:37" ht="15" customHeight="1">
      <c r="B282" s="589" t="s">
        <v>2268</v>
      </c>
      <c r="C282" s="584" t="s">
        <v>2244</v>
      </c>
      <c r="D282" s="571" t="str">
        <f>$D$257</f>
        <v>m²</v>
      </c>
      <c r="E282" s="568">
        <v>45.6</v>
      </c>
      <c r="F282" s="567">
        <f>$F$257</f>
        <v>145812.67000000001</v>
      </c>
      <c r="G282" s="561">
        <f t="shared" si="125"/>
        <v>6649057.7520000003</v>
      </c>
      <c r="H282">
        <v>40</v>
      </c>
      <c r="I282">
        <f t="shared" si="126"/>
        <v>1824</v>
      </c>
      <c r="N282" s="589" t="s">
        <v>2268</v>
      </c>
      <c r="O282" s="584" t="s">
        <v>2244</v>
      </c>
      <c r="P282" s="571" t="str">
        <f>$D$257</f>
        <v>m²</v>
      </c>
      <c r="Q282" s="568">
        <v>45.6</v>
      </c>
      <c r="R282" s="567">
        <f>$F$257</f>
        <v>145812.67000000001</v>
      </c>
      <c r="S282" s="561">
        <f t="shared" si="127"/>
        <v>6649057.7520000003</v>
      </c>
      <c r="T282">
        <v>40</v>
      </c>
      <c r="U282">
        <f t="shared" si="128"/>
        <v>1824</v>
      </c>
      <c r="V282" s="589" t="s">
        <v>2268</v>
      </c>
      <c r="W282" s="584" t="s">
        <v>2244</v>
      </c>
      <c r="X282" s="571" t="str">
        <f>$D$257</f>
        <v>m²</v>
      </c>
      <c r="Y282" s="568">
        <v>45.6</v>
      </c>
      <c r="Z282" s="567">
        <f>$F$257</f>
        <v>145812.67000000001</v>
      </c>
      <c r="AA282" s="561">
        <f t="shared" si="129"/>
        <v>6649057.7520000003</v>
      </c>
      <c r="AB282">
        <v>40</v>
      </c>
      <c r="AC282">
        <f t="shared" si="130"/>
        <v>1824</v>
      </c>
      <c r="AD282" s="589" t="s">
        <v>2268</v>
      </c>
      <c r="AE282" s="584" t="s">
        <v>2244</v>
      </c>
      <c r="AF282" s="571" t="str">
        <f>$D$257</f>
        <v>m²</v>
      </c>
      <c r="AG282" s="568">
        <v>45.6</v>
      </c>
      <c r="AH282" s="567">
        <f>$F$257</f>
        <v>145812.67000000001</v>
      </c>
      <c r="AI282" s="561">
        <f t="shared" si="131"/>
        <v>6649057.7520000003</v>
      </c>
      <c r="AJ282">
        <v>40</v>
      </c>
      <c r="AK282">
        <f t="shared" si="132"/>
        <v>1824</v>
      </c>
    </row>
    <row r="283" spans="2:37" ht="15" customHeight="1">
      <c r="B283" s="589" t="s">
        <v>2176</v>
      </c>
      <c r="C283" s="565" t="s">
        <v>2246</v>
      </c>
      <c r="D283" s="571" t="str">
        <f>$D$258</f>
        <v>bh</v>
      </c>
      <c r="E283" s="568">
        <v>4</v>
      </c>
      <c r="F283" s="567">
        <f>$F$258</f>
        <v>100000</v>
      </c>
      <c r="G283" s="561">
        <f t="shared" si="125"/>
        <v>400000</v>
      </c>
      <c r="H283">
        <v>2.5</v>
      </c>
      <c r="I283">
        <f t="shared" si="126"/>
        <v>10</v>
      </c>
      <c r="N283" s="589" t="s">
        <v>2176</v>
      </c>
      <c r="O283" s="565" t="s">
        <v>2246</v>
      </c>
      <c r="P283" s="571" t="str">
        <f>$D$258</f>
        <v>bh</v>
      </c>
      <c r="Q283" s="568">
        <v>4</v>
      </c>
      <c r="R283" s="567">
        <f>$F$258</f>
        <v>100000</v>
      </c>
      <c r="S283" s="561">
        <f t="shared" si="127"/>
        <v>400000</v>
      </c>
      <c r="T283">
        <v>2.5</v>
      </c>
      <c r="U283">
        <f t="shared" si="128"/>
        <v>10</v>
      </c>
      <c r="V283" s="589" t="s">
        <v>2176</v>
      </c>
      <c r="W283" s="565" t="s">
        <v>2246</v>
      </c>
      <c r="X283" s="571" t="str">
        <f>$D$258</f>
        <v>bh</v>
      </c>
      <c r="Y283" s="568">
        <v>4</v>
      </c>
      <c r="Z283" s="567">
        <f>$F$258</f>
        <v>100000</v>
      </c>
      <c r="AA283" s="561">
        <f t="shared" si="129"/>
        <v>400000</v>
      </c>
      <c r="AB283">
        <v>2.5</v>
      </c>
      <c r="AC283">
        <f t="shared" si="130"/>
        <v>10</v>
      </c>
      <c r="AD283" s="589" t="s">
        <v>2176</v>
      </c>
      <c r="AE283" s="565" t="s">
        <v>2246</v>
      </c>
      <c r="AF283" s="571" t="str">
        <f>$D$258</f>
        <v>bh</v>
      </c>
      <c r="AG283" s="568">
        <v>4</v>
      </c>
      <c r="AH283" s="567">
        <f>$F$258</f>
        <v>100000</v>
      </c>
      <c r="AI283" s="561">
        <f t="shared" si="131"/>
        <v>400000</v>
      </c>
      <c r="AJ283">
        <v>2.5</v>
      </c>
      <c r="AK283">
        <f t="shared" si="132"/>
        <v>10</v>
      </c>
    </row>
    <row r="284" spans="2:37" ht="15" customHeight="1">
      <c r="B284" s="589"/>
      <c r="C284" s="584"/>
      <c r="D284" s="571"/>
      <c r="E284" s="566"/>
      <c r="F284" s="567"/>
      <c r="G284" s="561"/>
      <c r="I284">
        <f>SUM(I277:I282)</f>
        <v>255932.38971428573</v>
      </c>
      <c r="N284" s="589"/>
      <c r="O284" s="584"/>
      <c r="P284" s="571"/>
      <c r="Q284" s="566"/>
      <c r="R284" s="567"/>
      <c r="S284" s="561"/>
      <c r="U284">
        <f>SUM(U277:U282)</f>
        <v>255932.38971428573</v>
      </c>
      <c r="V284" s="589"/>
      <c r="W284" s="584"/>
      <c r="X284" s="571"/>
      <c r="Y284" s="566"/>
      <c r="Z284" s="567"/>
      <c r="AA284" s="561"/>
      <c r="AC284">
        <f>SUM(AC277:AC282)</f>
        <v>255932.38971428573</v>
      </c>
      <c r="AD284" s="589"/>
      <c r="AE284" s="584"/>
      <c r="AF284" s="571"/>
      <c r="AG284" s="566"/>
      <c r="AH284" s="567"/>
      <c r="AI284" s="561"/>
      <c r="AK284">
        <f>SUM(AK277:AK282)</f>
        <v>255932.38971428573</v>
      </c>
    </row>
    <row r="285" spans="2:37" ht="15" customHeight="1">
      <c r="B285" s="590">
        <v>3</v>
      </c>
      <c r="C285" s="583" t="s">
        <v>2086</v>
      </c>
      <c r="D285" s="571"/>
      <c r="E285" s="566"/>
      <c r="F285" s="567"/>
      <c r="G285" s="561"/>
      <c r="N285" s="590">
        <v>3</v>
      </c>
      <c r="O285" s="583" t="s">
        <v>2086</v>
      </c>
      <c r="P285" s="571"/>
      <c r="Q285" s="566"/>
      <c r="R285" s="567"/>
      <c r="S285" s="561"/>
      <c r="V285" s="590">
        <v>3</v>
      </c>
      <c r="W285" s="583" t="s">
        <v>2086</v>
      </c>
      <c r="X285" s="571"/>
      <c r="Y285" s="566"/>
      <c r="Z285" s="567"/>
      <c r="AA285" s="561"/>
      <c r="AD285" s="590">
        <v>3</v>
      </c>
      <c r="AE285" s="583" t="s">
        <v>2086</v>
      </c>
      <c r="AF285" s="571"/>
      <c r="AG285" s="566"/>
      <c r="AH285" s="567"/>
      <c r="AI285" s="561"/>
    </row>
    <row r="286" spans="2:37" ht="15" customHeight="1">
      <c r="B286" s="589" t="s">
        <v>721</v>
      </c>
      <c r="C286" s="584" t="s">
        <v>2247</v>
      </c>
      <c r="D286" s="571" t="str">
        <f>$D$261</f>
        <v>bh</v>
      </c>
      <c r="E286" s="568">
        <v>4</v>
      </c>
      <c r="F286" s="567">
        <f>$F$261</f>
        <v>181849.04</v>
      </c>
      <c r="G286" s="561">
        <f t="shared" ref="G286:G291" si="133">E286*F286</f>
        <v>727396.16</v>
      </c>
      <c r="N286" s="589" t="s">
        <v>721</v>
      </c>
      <c r="O286" s="584" t="s">
        <v>2247</v>
      </c>
      <c r="P286" s="571" t="str">
        <f>$D$261</f>
        <v>bh</v>
      </c>
      <c r="Q286" s="568">
        <v>4</v>
      </c>
      <c r="R286" s="567">
        <f>$F$261</f>
        <v>181849.04</v>
      </c>
      <c r="S286" s="561">
        <f t="shared" ref="S286:S291" si="134">Q286*R286</f>
        <v>727396.16</v>
      </c>
      <c r="V286" s="589" t="s">
        <v>721</v>
      </c>
      <c r="W286" s="584" t="s">
        <v>2247</v>
      </c>
      <c r="X286" s="571" t="str">
        <f>$D$261</f>
        <v>bh</v>
      </c>
      <c r="Y286" s="568">
        <v>4</v>
      </c>
      <c r="Z286" s="567">
        <f>$F$261</f>
        <v>181849.04</v>
      </c>
      <c r="AA286" s="561">
        <f t="shared" ref="AA286:AA291" si="135">Y286*Z286</f>
        <v>727396.16</v>
      </c>
      <c r="AD286" s="589" t="s">
        <v>721</v>
      </c>
      <c r="AE286" s="584" t="s">
        <v>2247</v>
      </c>
      <c r="AF286" s="571" t="str">
        <f>$D$261</f>
        <v>bh</v>
      </c>
      <c r="AG286" s="568">
        <v>4</v>
      </c>
      <c r="AH286" s="567">
        <f>$F$261</f>
        <v>181849.04</v>
      </c>
      <c r="AI286" s="561">
        <f t="shared" ref="AI286:AI291" si="136">AG286*AH286</f>
        <v>727396.16</v>
      </c>
    </row>
    <row r="287" spans="2:37" ht="15" customHeight="1">
      <c r="B287" s="589" t="s">
        <v>2166</v>
      </c>
      <c r="C287" s="584" t="s">
        <v>2085</v>
      </c>
      <c r="D287" s="571" t="str">
        <f>$D$262</f>
        <v>kg</v>
      </c>
      <c r="E287" s="568">
        <f>I284</f>
        <v>255932.38971428573</v>
      </c>
      <c r="F287" s="567">
        <f>$F$262</f>
        <v>462.7700000000001</v>
      </c>
      <c r="G287" s="561">
        <f t="shared" si="133"/>
        <v>118437831.98808004</v>
      </c>
      <c r="N287" s="589" t="s">
        <v>2166</v>
      </c>
      <c r="O287" s="584" t="s">
        <v>2085</v>
      </c>
      <c r="P287" s="571" t="str">
        <f>$D$262</f>
        <v>kg</v>
      </c>
      <c r="Q287" s="568">
        <f>U284</f>
        <v>255932.38971428573</v>
      </c>
      <c r="R287" s="567">
        <f>$F$262</f>
        <v>462.7700000000001</v>
      </c>
      <c r="S287" s="561">
        <f t="shared" si="134"/>
        <v>118437831.98808004</v>
      </c>
      <c r="V287" s="589" t="s">
        <v>2166</v>
      </c>
      <c r="W287" s="584" t="s">
        <v>2085</v>
      </c>
      <c r="X287" s="571" t="str">
        <f>$D$262</f>
        <v>kg</v>
      </c>
      <c r="Y287" s="568">
        <f>AC284</f>
        <v>255932.38971428573</v>
      </c>
      <c r="Z287" s="567">
        <f>$F$262</f>
        <v>462.7700000000001</v>
      </c>
      <c r="AA287" s="561">
        <f t="shared" si="135"/>
        <v>118437831.98808004</v>
      </c>
      <c r="AD287" s="589" t="s">
        <v>2166</v>
      </c>
      <c r="AE287" s="584" t="s">
        <v>2085</v>
      </c>
      <c r="AF287" s="571" t="str">
        <f>$D$262</f>
        <v>kg</v>
      </c>
      <c r="AG287" s="568">
        <f>AK284</f>
        <v>255932.38971428573</v>
      </c>
      <c r="AH287" s="567">
        <f>$F$262</f>
        <v>462.7700000000001</v>
      </c>
      <c r="AI287" s="561">
        <f t="shared" si="136"/>
        <v>118437831.98808004</v>
      </c>
    </row>
    <row r="288" spans="2:37" ht="15" customHeight="1">
      <c r="B288" s="589" t="s">
        <v>2168</v>
      </c>
      <c r="C288" s="584" t="s">
        <v>2249</v>
      </c>
      <c r="D288" s="571" t="str">
        <f>$D$263</f>
        <v>bh</v>
      </c>
      <c r="E288" s="568">
        <v>4</v>
      </c>
      <c r="F288" s="567">
        <f>$F$263</f>
        <v>387825</v>
      </c>
      <c r="G288" s="561">
        <f t="shared" si="133"/>
        <v>1551300</v>
      </c>
      <c r="N288" s="589" t="s">
        <v>2168</v>
      </c>
      <c r="O288" s="584" t="s">
        <v>2249</v>
      </c>
      <c r="P288" s="571" t="str">
        <f>$D$263</f>
        <v>bh</v>
      </c>
      <c r="Q288" s="568">
        <v>4</v>
      </c>
      <c r="R288" s="567">
        <f>$F$263</f>
        <v>387825</v>
      </c>
      <c r="S288" s="561">
        <f t="shared" si="134"/>
        <v>1551300</v>
      </c>
      <c r="V288" s="589" t="s">
        <v>2168</v>
      </c>
      <c r="W288" s="584" t="s">
        <v>2249</v>
      </c>
      <c r="X288" s="571" t="str">
        <f>$D$263</f>
        <v>bh</v>
      </c>
      <c r="Y288" s="568">
        <v>4</v>
      </c>
      <c r="Z288" s="567">
        <f>$F$263</f>
        <v>387825</v>
      </c>
      <c r="AA288" s="561">
        <f t="shared" si="135"/>
        <v>1551300</v>
      </c>
      <c r="AD288" s="589" t="s">
        <v>2168</v>
      </c>
      <c r="AE288" s="584" t="s">
        <v>2249</v>
      </c>
      <c r="AF288" s="571" t="str">
        <f>$D$263</f>
        <v>bh</v>
      </c>
      <c r="AG288" s="568">
        <v>4</v>
      </c>
      <c r="AH288" s="567">
        <f>$F$263</f>
        <v>387825</v>
      </c>
      <c r="AI288" s="561">
        <f t="shared" si="136"/>
        <v>1551300</v>
      </c>
    </row>
    <row r="289" spans="2:37" ht="15" customHeight="1">
      <c r="B289" s="589" t="s">
        <v>2170</v>
      </c>
      <c r="C289" s="584" t="s">
        <v>2250</v>
      </c>
      <c r="D289" s="571" t="str">
        <f>$D$264</f>
        <v>kg</v>
      </c>
      <c r="E289" s="568">
        <f>$E$164</f>
        <v>150.93599999999998</v>
      </c>
      <c r="F289" s="567">
        <f>$F$264</f>
        <v>3758.6984549742947</v>
      </c>
      <c r="G289" s="561">
        <f t="shared" si="133"/>
        <v>567322.91</v>
      </c>
      <c r="N289" s="589" t="s">
        <v>2170</v>
      </c>
      <c r="O289" s="584" t="s">
        <v>2250</v>
      </c>
      <c r="P289" s="571" t="str">
        <f>$D$264</f>
        <v>kg</v>
      </c>
      <c r="Q289" s="568">
        <f>$Q$164</f>
        <v>239.61599999999999</v>
      </c>
      <c r="R289" s="567">
        <f>$F$264</f>
        <v>3758.6984549742947</v>
      </c>
      <c r="S289" s="561">
        <f t="shared" si="134"/>
        <v>900644.2889871205</v>
      </c>
      <c r="V289" s="589" t="s">
        <v>2170</v>
      </c>
      <c r="W289" s="584" t="s">
        <v>2269</v>
      </c>
      <c r="X289" s="571" t="str">
        <f>$D$264</f>
        <v>kg</v>
      </c>
      <c r="Y289" s="568">
        <f>$Y$164</f>
        <v>311.47199999999998</v>
      </c>
      <c r="Z289" s="567">
        <f>$F$264</f>
        <v>3758.6984549742947</v>
      </c>
      <c r="AA289" s="561">
        <f t="shared" si="135"/>
        <v>1170729.3251677535</v>
      </c>
      <c r="AD289" s="589" t="s">
        <v>2170</v>
      </c>
      <c r="AE289" s="584" t="s">
        <v>2269</v>
      </c>
      <c r="AF289" s="571" t="str">
        <f>$D$264</f>
        <v>kg</v>
      </c>
      <c r="AG289" s="568">
        <f>$AG$164</f>
        <v>403.17599999999999</v>
      </c>
      <c r="AH289" s="567">
        <f>$F$264</f>
        <v>3758.6984549742947</v>
      </c>
      <c r="AI289" s="561">
        <f t="shared" si="136"/>
        <v>1515417.0082827162</v>
      </c>
    </row>
    <row r="290" spans="2:37" ht="15" customHeight="1">
      <c r="B290" s="589" t="s">
        <v>2172</v>
      </c>
      <c r="C290" s="584" t="s">
        <v>2251</v>
      </c>
      <c r="D290" s="571" t="str">
        <f>$D$265</f>
        <v>set</v>
      </c>
      <c r="E290" s="568">
        <v>1</v>
      </c>
      <c r="F290" s="567">
        <f>$F$265</f>
        <v>855127</v>
      </c>
      <c r="G290" s="561">
        <f t="shared" si="133"/>
        <v>855127</v>
      </c>
      <c r="N290" s="589" t="s">
        <v>2172</v>
      </c>
      <c r="O290" s="584" t="s">
        <v>2251</v>
      </c>
      <c r="P290" s="571" t="str">
        <f>$D$265</f>
        <v>set</v>
      </c>
      <c r="Q290" s="568">
        <v>1</v>
      </c>
      <c r="R290" s="567">
        <f>$F$265</f>
        <v>855127</v>
      </c>
      <c r="S290" s="561">
        <f t="shared" si="134"/>
        <v>855127</v>
      </c>
      <c r="V290" s="589" t="s">
        <v>2172</v>
      </c>
      <c r="W290" s="584" t="s">
        <v>2251</v>
      </c>
      <c r="X290" s="571" t="str">
        <f>$D$265</f>
        <v>set</v>
      </c>
      <c r="Y290" s="568">
        <v>1</v>
      </c>
      <c r="Z290" s="567">
        <f>$F$265</f>
        <v>855127</v>
      </c>
      <c r="AA290" s="561">
        <f t="shared" si="135"/>
        <v>855127</v>
      </c>
      <c r="AD290" s="589" t="s">
        <v>2172</v>
      </c>
      <c r="AE290" s="584" t="s">
        <v>2251</v>
      </c>
      <c r="AF290" s="571" t="str">
        <f>$D$265</f>
        <v>set</v>
      </c>
      <c r="AG290" s="568">
        <v>1</v>
      </c>
      <c r="AH290" s="567">
        <f>$F$265</f>
        <v>855127</v>
      </c>
      <c r="AI290" s="561">
        <f t="shared" si="136"/>
        <v>855127</v>
      </c>
    </row>
    <row r="291" spans="2:37" ht="15" customHeight="1">
      <c r="B291" s="589" t="s">
        <v>2174</v>
      </c>
      <c r="C291" s="584" t="s">
        <v>2252</v>
      </c>
      <c r="D291" s="571" t="str">
        <f>$D$266</f>
        <v>set</v>
      </c>
      <c r="E291" s="568">
        <v>1</v>
      </c>
      <c r="F291" s="567">
        <f>$F$266</f>
        <v>674025</v>
      </c>
      <c r="G291" s="561">
        <f t="shared" si="133"/>
        <v>674025</v>
      </c>
      <c r="N291" s="589" t="s">
        <v>2174</v>
      </c>
      <c r="O291" s="584" t="s">
        <v>2252</v>
      </c>
      <c r="P291" s="571" t="str">
        <f>$D$266</f>
        <v>set</v>
      </c>
      <c r="Q291" s="568">
        <v>1</v>
      </c>
      <c r="R291" s="567">
        <f>$F$266</f>
        <v>674025</v>
      </c>
      <c r="S291" s="561">
        <f t="shared" si="134"/>
        <v>674025</v>
      </c>
      <c r="V291" s="589" t="s">
        <v>2174</v>
      </c>
      <c r="W291" s="584" t="s">
        <v>2252</v>
      </c>
      <c r="X291" s="571" t="str">
        <f>$D$266</f>
        <v>set</v>
      </c>
      <c r="Y291" s="568">
        <v>1</v>
      </c>
      <c r="Z291" s="567">
        <f>$F$266</f>
        <v>674025</v>
      </c>
      <c r="AA291" s="561">
        <f t="shared" si="135"/>
        <v>674025</v>
      </c>
      <c r="AD291" s="589" t="s">
        <v>2174</v>
      </c>
      <c r="AE291" s="584" t="s">
        <v>2252</v>
      </c>
      <c r="AF291" s="571" t="str">
        <f>$D$266</f>
        <v>set</v>
      </c>
      <c r="AG291" s="568">
        <v>1</v>
      </c>
      <c r="AH291" s="567">
        <f>$F$266</f>
        <v>674025</v>
      </c>
      <c r="AI291" s="561">
        <f t="shared" si="136"/>
        <v>674025</v>
      </c>
    </row>
    <row r="292" spans="2:37" ht="15" customHeight="1" thickBot="1">
      <c r="B292" s="582"/>
      <c r="C292" s="1197" t="s">
        <v>2286</v>
      </c>
      <c r="D292" s="1198"/>
      <c r="E292" s="1198"/>
      <c r="F292" s="1199"/>
      <c r="G292" s="560">
        <f>SUM(G271:G291)</f>
        <v>490647631.9541117</v>
      </c>
      <c r="N292" s="582"/>
      <c r="O292" s="1197" t="s">
        <v>2286</v>
      </c>
      <c r="P292" s="1198"/>
      <c r="Q292" s="1198"/>
      <c r="R292" s="1199"/>
      <c r="S292" s="560">
        <f>SUM(S271:S291)</f>
        <v>490980953.33309877</v>
      </c>
      <c r="V292" s="582"/>
      <c r="W292" s="1197" t="s">
        <v>2286</v>
      </c>
      <c r="X292" s="1198"/>
      <c r="Y292" s="1198"/>
      <c r="Z292" s="1199"/>
      <c r="AA292" s="560">
        <f>SUM(AA271:AA291)</f>
        <v>491251038.36927944</v>
      </c>
      <c r="AD292" s="582"/>
      <c r="AE292" s="1197" t="s">
        <v>2286</v>
      </c>
      <c r="AF292" s="1198"/>
      <c r="AG292" s="1198"/>
      <c r="AH292" s="1199"/>
      <c r="AI292" s="560">
        <f>SUM(AI271:AI291)</f>
        <v>491595726.05239439</v>
      </c>
    </row>
    <row r="293" spans="2:37" ht="15" customHeight="1" thickBot="1">
      <c r="R293" s="634"/>
      <c r="Z293" s="634"/>
      <c r="AA293" s="634"/>
      <c r="AH293" s="634"/>
      <c r="AI293" s="634"/>
    </row>
    <row r="294" spans="2:37" ht="15" customHeight="1" thickBot="1">
      <c r="B294" s="581" t="s">
        <v>2229</v>
      </c>
      <c r="C294" s="580"/>
      <c r="D294" s="579">
        <v>6</v>
      </c>
      <c r="E294" s="578"/>
      <c r="F294" s="577"/>
      <c r="G294" s="564"/>
      <c r="N294" s="581" t="s">
        <v>2230</v>
      </c>
      <c r="O294" s="580"/>
      <c r="P294" s="579">
        <v>6</v>
      </c>
      <c r="Q294" s="578"/>
      <c r="R294" s="577"/>
      <c r="S294" s="564"/>
      <c r="V294" s="581" t="s">
        <v>2231</v>
      </c>
      <c r="W294" s="580"/>
      <c r="X294" s="579"/>
      <c r="Y294" s="578"/>
      <c r="Z294" s="577"/>
      <c r="AA294" s="564"/>
      <c r="AD294" s="581" t="s">
        <v>2254</v>
      </c>
      <c r="AE294" s="580"/>
      <c r="AF294" s="579"/>
      <c r="AG294" s="578"/>
      <c r="AH294" s="577"/>
      <c r="AI294" s="564"/>
    </row>
    <row r="295" spans="2:37" ht="15" customHeight="1">
      <c r="B295" s="576"/>
      <c r="C295" s="575" t="s">
        <v>2287</v>
      </c>
      <c r="D295" s="574"/>
      <c r="E295" s="573"/>
      <c r="F295" s="572"/>
      <c r="G295" s="563"/>
      <c r="N295" s="576"/>
      <c r="O295" s="575" t="s">
        <v>2287</v>
      </c>
      <c r="P295" s="574"/>
      <c r="Q295" s="573"/>
      <c r="R295" s="572"/>
      <c r="S295" s="563"/>
      <c r="V295" s="576"/>
      <c r="W295" s="575" t="s">
        <v>2288</v>
      </c>
      <c r="X295" s="574"/>
      <c r="Y295" s="573"/>
      <c r="Z295" s="572"/>
      <c r="AA295" s="563"/>
      <c r="AD295" s="576"/>
      <c r="AE295" s="575" t="s">
        <v>2288</v>
      </c>
      <c r="AF295" s="574"/>
      <c r="AG295" s="573"/>
      <c r="AH295" s="572"/>
      <c r="AI295" s="563"/>
    </row>
    <row r="296" spans="2:37" ht="15" customHeight="1">
      <c r="B296" s="588">
        <v>1</v>
      </c>
      <c r="C296" s="587" t="s">
        <v>2234</v>
      </c>
      <c r="D296" s="571"/>
      <c r="E296" s="570"/>
      <c r="F296" s="569"/>
      <c r="G296" s="562"/>
      <c r="N296" s="588">
        <v>1</v>
      </c>
      <c r="O296" s="587" t="s">
        <v>2234</v>
      </c>
      <c r="P296" s="571"/>
      <c r="Q296" s="570"/>
      <c r="R296" s="569"/>
      <c r="S296" s="562"/>
      <c r="V296" s="588">
        <v>1</v>
      </c>
      <c r="W296" s="587" t="s">
        <v>2234</v>
      </c>
      <c r="X296" s="571"/>
      <c r="Y296" s="570"/>
      <c r="Z296" s="569"/>
      <c r="AA296" s="562"/>
      <c r="AD296" s="588">
        <v>1</v>
      </c>
      <c r="AE296" s="587" t="s">
        <v>2234</v>
      </c>
      <c r="AF296" s="571"/>
      <c r="AG296" s="570"/>
      <c r="AH296" s="569"/>
      <c r="AI296" s="562"/>
    </row>
    <row r="297" spans="2:37" ht="15" customHeight="1">
      <c r="B297" s="589" t="s">
        <v>721</v>
      </c>
      <c r="C297" s="586" t="s">
        <v>2235</v>
      </c>
      <c r="D297" s="571" t="str">
        <f>$D$247</f>
        <v>m³</v>
      </c>
      <c r="E297" s="568">
        <v>72.5</v>
      </c>
      <c r="F297" s="567">
        <f>$F$247</f>
        <v>102390.75000000001</v>
      </c>
      <c r="G297" s="561">
        <f>E297*F297</f>
        <v>7423329.3750000009</v>
      </c>
      <c r="N297" s="589" t="s">
        <v>721</v>
      </c>
      <c r="O297" s="586" t="s">
        <v>2235</v>
      </c>
      <c r="P297" s="571" t="str">
        <f>$D$247</f>
        <v>m³</v>
      </c>
      <c r="Q297" s="568">
        <v>72.5</v>
      </c>
      <c r="R297" s="567">
        <f>$F$247</f>
        <v>102390.75000000001</v>
      </c>
      <c r="S297" s="561">
        <f>Q297*R297</f>
        <v>7423329.3750000009</v>
      </c>
      <c r="V297" s="589" t="s">
        <v>721</v>
      </c>
      <c r="W297" s="586" t="s">
        <v>2235</v>
      </c>
      <c r="X297" s="571" t="str">
        <f>$D$247</f>
        <v>m³</v>
      </c>
      <c r="Y297" s="568">
        <v>72.5</v>
      </c>
      <c r="Z297" s="567">
        <f>$F$247</f>
        <v>102390.75000000001</v>
      </c>
      <c r="AA297" s="561">
        <f>Y297*Z297</f>
        <v>7423329.3750000009</v>
      </c>
      <c r="AD297" s="589" t="s">
        <v>721</v>
      </c>
      <c r="AE297" s="586" t="s">
        <v>2235</v>
      </c>
      <c r="AF297" s="571" t="str">
        <f>$D$247</f>
        <v>m³</v>
      </c>
      <c r="AG297" s="568">
        <v>72.5</v>
      </c>
      <c r="AH297" s="567">
        <f>$F$247</f>
        <v>102390.75000000001</v>
      </c>
      <c r="AI297" s="561">
        <f>AG297*AH297</f>
        <v>7423329.3750000009</v>
      </c>
    </row>
    <row r="298" spans="2:37" ht="15" customHeight="1">
      <c r="B298" s="589" t="s">
        <v>2166</v>
      </c>
      <c r="C298" s="586" t="s">
        <v>2237</v>
      </c>
      <c r="D298" s="571" t="str">
        <f>$D$248</f>
        <v>m³</v>
      </c>
      <c r="E298" s="568">
        <v>30.560000000000002</v>
      </c>
      <c r="F298" s="567">
        <f>$F$248</f>
        <v>62462.950000000012</v>
      </c>
      <c r="G298" s="561">
        <f>E298*F298</f>
        <v>1908867.7520000006</v>
      </c>
      <c r="N298" s="589" t="s">
        <v>2166</v>
      </c>
      <c r="O298" s="586" t="s">
        <v>2237</v>
      </c>
      <c r="P298" s="571" t="str">
        <f>$D$248</f>
        <v>m³</v>
      </c>
      <c r="Q298" s="568">
        <v>30.560000000000002</v>
      </c>
      <c r="R298" s="567">
        <f>$F$248</f>
        <v>62462.950000000012</v>
      </c>
      <c r="S298" s="561">
        <f>Q298*R298</f>
        <v>1908867.7520000006</v>
      </c>
      <c r="V298" s="589" t="s">
        <v>2166</v>
      </c>
      <c r="W298" s="586" t="s">
        <v>2237</v>
      </c>
      <c r="X298" s="571" t="str">
        <f>$D$248</f>
        <v>m³</v>
      </c>
      <c r="Y298" s="568">
        <v>30.560000000000002</v>
      </c>
      <c r="Z298" s="567">
        <f>$F$248</f>
        <v>62462.950000000012</v>
      </c>
      <c r="AA298" s="561">
        <f>Y298*Z298</f>
        <v>1908867.7520000006</v>
      </c>
      <c r="AD298" s="589" t="s">
        <v>2166</v>
      </c>
      <c r="AE298" s="586" t="s">
        <v>2237</v>
      </c>
      <c r="AF298" s="571" t="str">
        <f>$D$248</f>
        <v>m³</v>
      </c>
      <c r="AG298" s="568">
        <v>30.560000000000002</v>
      </c>
      <c r="AH298" s="567">
        <f>$F$248</f>
        <v>62462.950000000012</v>
      </c>
      <c r="AI298" s="561">
        <f>AG298*AH298</f>
        <v>1908867.7520000006</v>
      </c>
    </row>
    <row r="299" spans="2:37" ht="15" customHeight="1">
      <c r="B299" s="589" t="s">
        <v>2168</v>
      </c>
      <c r="C299" s="586" t="s">
        <v>2265</v>
      </c>
      <c r="D299" s="571" t="str">
        <f>$D$249</f>
        <v>m'</v>
      </c>
      <c r="E299" s="568">
        <v>288</v>
      </c>
      <c r="F299" s="567">
        <f>$F$249</f>
        <v>52230.612500000003</v>
      </c>
      <c r="G299" s="561">
        <f>E299*F299</f>
        <v>15042416.4</v>
      </c>
      <c r="N299" s="589" t="s">
        <v>2168</v>
      </c>
      <c r="O299" s="586" t="s">
        <v>2265</v>
      </c>
      <c r="P299" s="571" t="str">
        <f>$D$249</f>
        <v>m'</v>
      </c>
      <c r="Q299" s="568">
        <v>288</v>
      </c>
      <c r="R299" s="567">
        <f>$F$249</f>
        <v>52230.612500000003</v>
      </c>
      <c r="S299" s="561">
        <f>Q299*R299</f>
        <v>15042416.4</v>
      </c>
      <c r="V299" s="589" t="s">
        <v>2168</v>
      </c>
      <c r="W299" s="586" t="s">
        <v>2265</v>
      </c>
      <c r="X299" s="571" t="str">
        <f>$D$249</f>
        <v>m'</v>
      </c>
      <c r="Y299" s="568">
        <v>288</v>
      </c>
      <c r="Z299" s="567">
        <f>$F$249</f>
        <v>52230.612500000003</v>
      </c>
      <c r="AA299" s="561">
        <f>Y299*Z299</f>
        <v>15042416.4</v>
      </c>
      <c r="AD299" s="589" t="s">
        <v>2168</v>
      </c>
      <c r="AE299" s="586" t="s">
        <v>2265</v>
      </c>
      <c r="AF299" s="571" t="str">
        <f>$D$249</f>
        <v>m'</v>
      </c>
      <c r="AG299" s="568">
        <v>288</v>
      </c>
      <c r="AH299" s="567">
        <f>$F$249</f>
        <v>52230.612500000003</v>
      </c>
      <c r="AI299" s="561">
        <f>AG299*AH299</f>
        <v>15042416.4</v>
      </c>
    </row>
    <row r="300" spans="2:37" ht="15" customHeight="1">
      <c r="B300" s="585"/>
      <c r="C300" s="586"/>
      <c r="D300" s="571"/>
      <c r="E300" s="566"/>
      <c r="F300" s="567"/>
      <c r="G300" s="561"/>
      <c r="N300" s="585"/>
      <c r="O300" s="586"/>
      <c r="P300" s="571"/>
      <c r="Q300" s="566"/>
      <c r="R300" s="567"/>
      <c r="S300" s="561"/>
      <c r="V300" s="585"/>
      <c r="W300" s="586"/>
      <c r="X300" s="571"/>
      <c r="Y300" s="566"/>
      <c r="Z300" s="567"/>
      <c r="AA300" s="561"/>
      <c r="AD300" s="585"/>
      <c r="AE300" s="586"/>
      <c r="AF300" s="571"/>
      <c r="AG300" s="566"/>
      <c r="AH300" s="567"/>
      <c r="AI300" s="561"/>
    </row>
    <row r="301" spans="2:37" ht="15" customHeight="1">
      <c r="B301" s="590">
        <v>2</v>
      </c>
      <c r="C301" s="587" t="s">
        <v>2238</v>
      </c>
      <c r="D301" s="571"/>
      <c r="E301" s="566"/>
      <c r="F301" s="567"/>
      <c r="G301" s="561"/>
      <c r="H301" t="s">
        <v>2239</v>
      </c>
      <c r="N301" s="590">
        <v>2</v>
      </c>
      <c r="O301" s="587" t="s">
        <v>2238</v>
      </c>
      <c r="P301" s="571"/>
      <c r="Q301" s="566"/>
      <c r="R301" s="567"/>
      <c r="S301" s="561"/>
      <c r="T301" t="s">
        <v>2239</v>
      </c>
      <c r="V301" s="590">
        <v>2</v>
      </c>
      <c r="W301" s="587" t="s">
        <v>2238</v>
      </c>
      <c r="X301" s="571"/>
      <c r="Y301" s="566"/>
      <c r="Z301" s="567"/>
      <c r="AA301" s="561"/>
      <c r="AB301" t="s">
        <v>2239</v>
      </c>
      <c r="AD301" s="590">
        <v>2</v>
      </c>
      <c r="AE301" s="587" t="s">
        <v>2238</v>
      </c>
      <c r="AF301" s="571"/>
      <c r="AG301" s="566"/>
      <c r="AH301" s="567"/>
      <c r="AI301" s="561"/>
      <c r="AJ301" t="s">
        <v>2239</v>
      </c>
    </row>
    <row r="302" spans="2:37" ht="15" customHeight="1">
      <c r="B302" s="589" t="s">
        <v>721</v>
      </c>
      <c r="C302" s="586" t="s">
        <v>2240</v>
      </c>
      <c r="D302" s="571" t="str">
        <f>$D$252</f>
        <v>m³</v>
      </c>
      <c r="E302" s="568">
        <v>5.4</v>
      </c>
      <c r="F302" s="567">
        <f>$F$252</f>
        <v>404738.95</v>
      </c>
      <c r="G302" s="561">
        <f t="shared" ref="G302:G308" si="137">E302*F302</f>
        <v>2185590.33</v>
      </c>
      <c r="H302">
        <v>1400</v>
      </c>
      <c r="I302">
        <f t="shared" ref="I302:I308" si="138">E302*H302</f>
        <v>7560.0000000000009</v>
      </c>
      <c r="N302" s="589" t="s">
        <v>721</v>
      </c>
      <c r="O302" s="586" t="s">
        <v>2240</v>
      </c>
      <c r="P302" s="571" t="str">
        <f>$D$252</f>
        <v>m³</v>
      </c>
      <c r="Q302" s="568">
        <v>5.4</v>
      </c>
      <c r="R302" s="567">
        <f>$F$252</f>
        <v>404738.95</v>
      </c>
      <c r="S302" s="561">
        <f t="shared" ref="S302:S308" si="139">Q302*R302</f>
        <v>2185590.33</v>
      </c>
      <c r="T302">
        <v>1400</v>
      </c>
      <c r="U302">
        <f t="shared" ref="U302:U308" si="140">Q302*T302</f>
        <v>7560.0000000000009</v>
      </c>
      <c r="V302" s="589" t="s">
        <v>721</v>
      </c>
      <c r="W302" s="586" t="s">
        <v>2240</v>
      </c>
      <c r="X302" s="571" t="str">
        <f>$D$252</f>
        <v>m³</v>
      </c>
      <c r="Y302" s="568">
        <v>5.4</v>
      </c>
      <c r="Z302" s="567">
        <f>$F$252</f>
        <v>404738.95</v>
      </c>
      <c r="AA302" s="561">
        <f t="shared" ref="AA302:AA308" si="141">Y302*Z302</f>
        <v>2185590.33</v>
      </c>
      <c r="AB302">
        <v>1400</v>
      </c>
      <c r="AC302">
        <f t="shared" ref="AC302:AC308" si="142">Y302*AB302</f>
        <v>7560.0000000000009</v>
      </c>
      <c r="AD302" s="589" t="s">
        <v>721</v>
      </c>
      <c r="AE302" s="586" t="s">
        <v>2240</v>
      </c>
      <c r="AF302" s="571" t="str">
        <f>$D$252</f>
        <v>m³</v>
      </c>
      <c r="AG302" s="568">
        <v>5.4</v>
      </c>
      <c r="AH302" s="567">
        <f>$F$252</f>
        <v>404738.95</v>
      </c>
      <c r="AI302" s="561">
        <f t="shared" ref="AI302:AI308" si="143">AG302*AH302</f>
        <v>2185590.33</v>
      </c>
      <c r="AJ302">
        <v>1400</v>
      </c>
      <c r="AK302">
        <f t="shared" ref="AK302:AK308" si="144">AG302*AJ302</f>
        <v>7560.0000000000009</v>
      </c>
    </row>
    <row r="303" spans="2:37" ht="15" customHeight="1">
      <c r="B303" s="589" t="s">
        <v>2166</v>
      </c>
      <c r="C303" s="584" t="s">
        <v>2241</v>
      </c>
      <c r="D303" s="571" t="str">
        <f>$D$253</f>
        <v>m³</v>
      </c>
      <c r="E303" s="568">
        <v>2.7</v>
      </c>
      <c r="F303" s="567">
        <f>$F$253</f>
        <v>710224.707936508</v>
      </c>
      <c r="G303" s="561">
        <f t="shared" si="137"/>
        <v>1917606.7114285717</v>
      </c>
      <c r="H303">
        <v>2200</v>
      </c>
      <c r="I303">
        <f t="shared" si="138"/>
        <v>5940</v>
      </c>
      <c r="N303" s="589" t="s">
        <v>2166</v>
      </c>
      <c r="O303" s="584" t="s">
        <v>2241</v>
      </c>
      <c r="P303" s="571" t="str">
        <f>$D$253</f>
        <v>m³</v>
      </c>
      <c r="Q303" s="568">
        <v>2.7</v>
      </c>
      <c r="R303" s="567">
        <f>$F$253</f>
        <v>710224.707936508</v>
      </c>
      <c r="S303" s="561">
        <f t="shared" si="139"/>
        <v>1917606.7114285717</v>
      </c>
      <c r="T303">
        <v>2200</v>
      </c>
      <c r="U303">
        <f t="shared" si="140"/>
        <v>5940</v>
      </c>
      <c r="V303" s="589" t="s">
        <v>2166</v>
      </c>
      <c r="W303" s="584" t="s">
        <v>2241</v>
      </c>
      <c r="X303" s="571" t="str">
        <f>$D$253</f>
        <v>m³</v>
      </c>
      <c r="Y303" s="568">
        <v>2.7</v>
      </c>
      <c r="Z303" s="567">
        <f>$F$253</f>
        <v>710224.707936508</v>
      </c>
      <c r="AA303" s="561">
        <f t="shared" si="141"/>
        <v>1917606.7114285717</v>
      </c>
      <c r="AB303">
        <v>2200</v>
      </c>
      <c r="AC303">
        <f t="shared" si="142"/>
        <v>5940</v>
      </c>
      <c r="AD303" s="589" t="s">
        <v>2166</v>
      </c>
      <c r="AE303" s="584" t="s">
        <v>2241</v>
      </c>
      <c r="AF303" s="571" t="str">
        <f>$D$253</f>
        <v>m³</v>
      </c>
      <c r="AG303" s="568">
        <v>2.7</v>
      </c>
      <c r="AH303" s="567">
        <f>$F$253</f>
        <v>710224.707936508</v>
      </c>
      <c r="AI303" s="561">
        <f t="shared" si="143"/>
        <v>1917606.7114285717</v>
      </c>
      <c r="AJ303">
        <v>2200</v>
      </c>
      <c r="AK303">
        <f t="shared" si="144"/>
        <v>5940</v>
      </c>
    </row>
    <row r="304" spans="2:37" ht="15" customHeight="1">
      <c r="B304" s="589" t="s">
        <v>2168</v>
      </c>
      <c r="C304" s="584" t="s">
        <v>2266</v>
      </c>
      <c r="D304" s="571" t="str">
        <f>$D$254</f>
        <v>m³</v>
      </c>
      <c r="E304" s="568">
        <v>33.839999999999996</v>
      </c>
      <c r="F304" s="567">
        <f>$F$254</f>
        <v>1115864.6138095236</v>
      </c>
      <c r="G304" s="561">
        <f t="shared" si="137"/>
        <v>37760858.531314276</v>
      </c>
      <c r="H304">
        <v>2400</v>
      </c>
      <c r="I304">
        <f t="shared" si="138"/>
        <v>81215.999999999985</v>
      </c>
      <c r="N304" s="589" t="s">
        <v>2168</v>
      </c>
      <c r="O304" s="584" t="s">
        <v>2266</v>
      </c>
      <c r="P304" s="571" t="str">
        <f>$D$254</f>
        <v>m³</v>
      </c>
      <c r="Q304" s="568">
        <v>33.839999999999996</v>
      </c>
      <c r="R304" s="567">
        <f>$F$254</f>
        <v>1115864.6138095236</v>
      </c>
      <c r="S304" s="561">
        <f t="shared" si="139"/>
        <v>37760858.531314276</v>
      </c>
      <c r="T304">
        <v>2400</v>
      </c>
      <c r="U304">
        <f t="shared" si="140"/>
        <v>81215.999999999985</v>
      </c>
      <c r="V304" s="589" t="s">
        <v>2168</v>
      </c>
      <c r="W304" s="584" t="str">
        <f>O304</f>
        <v>Beton K 225 (Pad &amp; Chimney)</v>
      </c>
      <c r="X304" s="571" t="str">
        <f>$D$254</f>
        <v>m³</v>
      </c>
      <c r="Y304" s="568">
        <v>33.839999999999996</v>
      </c>
      <c r="Z304" s="567">
        <f>$F$254</f>
        <v>1115864.6138095236</v>
      </c>
      <c r="AA304" s="561">
        <f t="shared" si="141"/>
        <v>37760858.531314276</v>
      </c>
      <c r="AB304">
        <v>2400</v>
      </c>
      <c r="AC304">
        <f t="shared" si="142"/>
        <v>81215.999999999985</v>
      </c>
      <c r="AD304" s="589" t="s">
        <v>2168</v>
      </c>
      <c r="AE304" s="584" t="str">
        <f>W304</f>
        <v>Beton K 225 (Pad &amp; Chimney)</v>
      </c>
      <c r="AF304" s="571" t="str">
        <f>$D$254</f>
        <v>m³</v>
      </c>
      <c r="AG304" s="568">
        <v>33.839999999999996</v>
      </c>
      <c r="AH304" s="567">
        <f>$F$254</f>
        <v>1115864.6138095236</v>
      </c>
      <c r="AI304" s="561">
        <f t="shared" si="143"/>
        <v>37760858.531314276</v>
      </c>
      <c r="AJ304">
        <v>2400</v>
      </c>
      <c r="AK304">
        <f t="shared" si="144"/>
        <v>81215.999999999985</v>
      </c>
    </row>
    <row r="305" spans="2:37" ht="15" customHeight="1">
      <c r="B305" s="589" t="s">
        <v>2170</v>
      </c>
      <c r="C305" s="584" t="s">
        <v>2267</v>
      </c>
      <c r="D305" s="571" t="str">
        <f>$D$255</f>
        <v>m³</v>
      </c>
      <c r="E305" s="568">
        <v>73.995428571428576</v>
      </c>
      <c r="F305" s="567">
        <f>$F$255</f>
        <v>1057576.2423809525</v>
      </c>
      <c r="G305" s="561">
        <f t="shared" si="137"/>
        <v>78255807.301939607</v>
      </c>
      <c r="H305">
        <v>2200</v>
      </c>
      <c r="I305">
        <f t="shared" si="138"/>
        <v>162789.94285714286</v>
      </c>
      <c r="N305" s="589" t="s">
        <v>2170</v>
      </c>
      <c r="O305" s="584" t="s">
        <v>2267</v>
      </c>
      <c r="P305" s="571" t="str">
        <f>$D$255</f>
        <v>m³</v>
      </c>
      <c r="Q305" s="568">
        <v>73.995428571428576</v>
      </c>
      <c r="R305" s="567">
        <f>$F$255</f>
        <v>1057576.2423809525</v>
      </c>
      <c r="S305" s="561">
        <f t="shared" si="139"/>
        <v>78255807.301939607</v>
      </c>
      <c r="T305">
        <v>2200</v>
      </c>
      <c r="U305">
        <f t="shared" si="140"/>
        <v>162789.94285714286</v>
      </c>
      <c r="V305" s="589" t="s">
        <v>2170</v>
      </c>
      <c r="W305" s="584" t="s">
        <v>2267</v>
      </c>
      <c r="X305" s="571" t="str">
        <f>$D$255</f>
        <v>m³</v>
      </c>
      <c r="Y305" s="568">
        <v>73.995428571428576</v>
      </c>
      <c r="Z305" s="567">
        <f>$F$255</f>
        <v>1057576.2423809525</v>
      </c>
      <c r="AA305" s="561">
        <f t="shared" si="141"/>
        <v>78255807.301939607</v>
      </c>
      <c r="AB305">
        <v>2200</v>
      </c>
      <c r="AC305">
        <f t="shared" si="142"/>
        <v>162789.94285714286</v>
      </c>
      <c r="AD305" s="589" t="s">
        <v>2170</v>
      </c>
      <c r="AE305" s="584" t="s">
        <v>2267</v>
      </c>
      <c r="AF305" s="571" t="str">
        <f>$D$255</f>
        <v>m³</v>
      </c>
      <c r="AG305" s="568">
        <v>73.995428571428576</v>
      </c>
      <c r="AH305" s="567">
        <f>$F$255</f>
        <v>1057576.2423809525</v>
      </c>
      <c r="AI305" s="561">
        <f t="shared" si="143"/>
        <v>78255807.301939607</v>
      </c>
      <c r="AJ305">
        <v>2200</v>
      </c>
      <c r="AK305">
        <f t="shared" si="144"/>
        <v>162789.94285714286</v>
      </c>
    </row>
    <row r="306" spans="2:37" ht="15" customHeight="1">
      <c r="B306" s="589" t="s">
        <v>2172</v>
      </c>
      <c r="C306" s="584" t="s">
        <v>2243</v>
      </c>
      <c r="D306" s="571" t="str">
        <f>$D$256</f>
        <v>kg</v>
      </c>
      <c r="E306" s="568">
        <v>12356.663999999999</v>
      </c>
      <c r="F306" s="567">
        <f>$F$256</f>
        <v>19478.039350000003</v>
      </c>
      <c r="G306" s="561">
        <f t="shared" si="137"/>
        <v>240683587.62672842</v>
      </c>
      <c r="H306">
        <v>1</v>
      </c>
      <c r="I306">
        <f t="shared" si="138"/>
        <v>12356.663999999999</v>
      </c>
      <c r="N306" s="589" t="s">
        <v>2172</v>
      </c>
      <c r="O306" s="584" t="s">
        <v>2243</v>
      </c>
      <c r="P306" s="571" t="str">
        <f>$D$256</f>
        <v>kg</v>
      </c>
      <c r="Q306" s="568">
        <v>12356.663999999999</v>
      </c>
      <c r="R306" s="567">
        <f>$F$256</f>
        <v>19478.039350000003</v>
      </c>
      <c r="S306" s="561">
        <f t="shared" si="139"/>
        <v>240683587.62672842</v>
      </c>
      <c r="T306">
        <v>1</v>
      </c>
      <c r="U306">
        <f t="shared" si="140"/>
        <v>12356.663999999999</v>
      </c>
      <c r="V306" s="589" t="s">
        <v>2172</v>
      </c>
      <c r="W306" s="584" t="s">
        <v>2243</v>
      </c>
      <c r="X306" s="571" t="str">
        <f>$D$256</f>
        <v>kg</v>
      </c>
      <c r="Y306" s="568">
        <v>12356.663999999999</v>
      </c>
      <c r="Z306" s="567">
        <f>$F$256</f>
        <v>19478.039350000003</v>
      </c>
      <c r="AA306" s="561">
        <f t="shared" si="141"/>
        <v>240683587.62672842</v>
      </c>
      <c r="AB306">
        <v>1</v>
      </c>
      <c r="AC306">
        <f t="shared" si="142"/>
        <v>12356.663999999999</v>
      </c>
      <c r="AD306" s="589" t="s">
        <v>2172</v>
      </c>
      <c r="AE306" s="584" t="s">
        <v>2243</v>
      </c>
      <c r="AF306" s="571" t="str">
        <f>$D$256</f>
        <v>kg</v>
      </c>
      <c r="AG306" s="568">
        <v>12356.663999999999</v>
      </c>
      <c r="AH306" s="567">
        <f>$F$256</f>
        <v>19478.039350000003</v>
      </c>
      <c r="AI306" s="561">
        <f t="shared" si="143"/>
        <v>240683587.62672842</v>
      </c>
      <c r="AJ306">
        <v>1</v>
      </c>
      <c r="AK306">
        <f t="shared" si="144"/>
        <v>12356.663999999999</v>
      </c>
    </row>
    <row r="307" spans="2:37" ht="15" customHeight="1">
      <c r="B307" s="589" t="s">
        <v>2268</v>
      </c>
      <c r="C307" s="584" t="s">
        <v>2244</v>
      </c>
      <c r="D307" s="571" t="str">
        <f>$D$257</f>
        <v>m²</v>
      </c>
      <c r="E307" s="568">
        <v>45.6</v>
      </c>
      <c r="F307" s="567">
        <f>$F$257</f>
        <v>145812.67000000001</v>
      </c>
      <c r="G307" s="561">
        <f t="shared" si="137"/>
        <v>6649057.7520000003</v>
      </c>
      <c r="H307">
        <v>40</v>
      </c>
      <c r="I307">
        <f t="shared" si="138"/>
        <v>1824</v>
      </c>
      <c r="N307" s="589" t="s">
        <v>2268</v>
      </c>
      <c r="O307" s="584" t="s">
        <v>2244</v>
      </c>
      <c r="P307" s="571" t="str">
        <f>$D$257</f>
        <v>m²</v>
      </c>
      <c r="Q307" s="568">
        <v>45.6</v>
      </c>
      <c r="R307" s="567">
        <f>$F$257</f>
        <v>145812.67000000001</v>
      </c>
      <c r="S307" s="561">
        <f t="shared" si="139"/>
        <v>6649057.7520000003</v>
      </c>
      <c r="T307">
        <v>40</v>
      </c>
      <c r="U307">
        <f t="shared" si="140"/>
        <v>1824</v>
      </c>
      <c r="V307" s="589" t="s">
        <v>2268</v>
      </c>
      <c r="W307" s="584" t="s">
        <v>2244</v>
      </c>
      <c r="X307" s="571" t="str">
        <f>$D$257</f>
        <v>m²</v>
      </c>
      <c r="Y307" s="568">
        <v>45.6</v>
      </c>
      <c r="Z307" s="567">
        <f>$F$257</f>
        <v>145812.67000000001</v>
      </c>
      <c r="AA307" s="561">
        <f t="shared" si="141"/>
        <v>6649057.7520000003</v>
      </c>
      <c r="AB307">
        <v>40</v>
      </c>
      <c r="AC307">
        <f t="shared" si="142"/>
        <v>1824</v>
      </c>
      <c r="AD307" s="589" t="s">
        <v>2268</v>
      </c>
      <c r="AE307" s="584" t="s">
        <v>2244</v>
      </c>
      <c r="AF307" s="571" t="str">
        <f>$D$257</f>
        <v>m²</v>
      </c>
      <c r="AG307" s="568">
        <v>45.6</v>
      </c>
      <c r="AH307" s="567">
        <f>$F$257</f>
        <v>145812.67000000001</v>
      </c>
      <c r="AI307" s="561">
        <f t="shared" si="143"/>
        <v>6649057.7520000003</v>
      </c>
      <c r="AJ307">
        <v>40</v>
      </c>
      <c r="AK307">
        <f t="shared" si="144"/>
        <v>1824</v>
      </c>
    </row>
    <row r="308" spans="2:37" ht="15" customHeight="1">
      <c r="B308" s="589" t="s">
        <v>2176</v>
      </c>
      <c r="C308" s="565" t="s">
        <v>2246</v>
      </c>
      <c r="D308" s="571" t="str">
        <f>$D$258</f>
        <v>bh</v>
      </c>
      <c r="E308" s="568">
        <v>4</v>
      </c>
      <c r="F308" s="567">
        <f>$F$258</f>
        <v>100000</v>
      </c>
      <c r="G308" s="561">
        <f t="shared" si="137"/>
        <v>400000</v>
      </c>
      <c r="H308">
        <v>2.5</v>
      </c>
      <c r="I308">
        <f t="shared" si="138"/>
        <v>10</v>
      </c>
      <c r="N308" s="589" t="s">
        <v>2176</v>
      </c>
      <c r="O308" s="565" t="s">
        <v>2246</v>
      </c>
      <c r="P308" s="571" t="str">
        <f>$D$258</f>
        <v>bh</v>
      </c>
      <c r="Q308" s="568">
        <v>4</v>
      </c>
      <c r="R308" s="567">
        <f>$F$258</f>
        <v>100000</v>
      </c>
      <c r="S308" s="561">
        <f t="shared" si="139"/>
        <v>400000</v>
      </c>
      <c r="T308">
        <v>2.5</v>
      </c>
      <c r="U308">
        <f t="shared" si="140"/>
        <v>10</v>
      </c>
      <c r="V308" s="589" t="s">
        <v>2176</v>
      </c>
      <c r="W308" s="565" t="s">
        <v>2246</v>
      </c>
      <c r="X308" s="571" t="str">
        <f>$D$258</f>
        <v>bh</v>
      </c>
      <c r="Y308" s="568">
        <v>4</v>
      </c>
      <c r="Z308" s="567">
        <f>$F$258</f>
        <v>100000</v>
      </c>
      <c r="AA308" s="561">
        <f t="shared" si="141"/>
        <v>400000</v>
      </c>
      <c r="AB308">
        <v>2.5</v>
      </c>
      <c r="AC308">
        <f t="shared" si="142"/>
        <v>10</v>
      </c>
      <c r="AD308" s="589" t="s">
        <v>2176</v>
      </c>
      <c r="AE308" s="565" t="s">
        <v>2246</v>
      </c>
      <c r="AF308" s="571" t="str">
        <f>$D$258</f>
        <v>bh</v>
      </c>
      <c r="AG308" s="568">
        <v>4</v>
      </c>
      <c r="AH308" s="567">
        <f>$F$258</f>
        <v>100000</v>
      </c>
      <c r="AI308" s="561">
        <f t="shared" si="143"/>
        <v>400000</v>
      </c>
      <c r="AJ308">
        <v>2.5</v>
      </c>
      <c r="AK308">
        <f t="shared" si="144"/>
        <v>10</v>
      </c>
    </row>
    <row r="309" spans="2:37" ht="15" customHeight="1">
      <c r="B309" s="589"/>
      <c r="C309" s="584"/>
      <c r="D309" s="571"/>
      <c r="E309" s="566"/>
      <c r="F309" s="567"/>
      <c r="G309" s="561"/>
      <c r="I309">
        <f>SUM(I302:I307)</f>
        <v>271686.60685714282</v>
      </c>
      <c r="N309" s="589"/>
      <c r="O309" s="584"/>
      <c r="P309" s="571"/>
      <c r="Q309" s="566"/>
      <c r="R309" s="567"/>
      <c r="S309" s="561"/>
      <c r="U309">
        <f>SUM(U302:U307)</f>
        <v>271686.60685714282</v>
      </c>
      <c r="V309" s="589"/>
      <c r="W309" s="584"/>
      <c r="X309" s="571"/>
      <c r="Y309" s="566"/>
      <c r="Z309" s="567"/>
      <c r="AA309" s="561"/>
      <c r="AC309">
        <f>SUM(AC302:AC307)</f>
        <v>271686.60685714282</v>
      </c>
      <c r="AD309" s="589"/>
      <c r="AE309" s="584"/>
      <c r="AF309" s="571"/>
      <c r="AG309" s="566"/>
      <c r="AH309" s="567"/>
      <c r="AI309" s="561"/>
      <c r="AK309">
        <f>SUM(AK302:AK307)</f>
        <v>271686.60685714282</v>
      </c>
    </row>
    <row r="310" spans="2:37" ht="15" customHeight="1">
      <c r="B310" s="590">
        <v>3</v>
      </c>
      <c r="C310" s="583" t="s">
        <v>2086</v>
      </c>
      <c r="D310" s="571"/>
      <c r="E310" s="566"/>
      <c r="F310" s="567"/>
      <c r="G310" s="561"/>
      <c r="N310" s="590">
        <v>3</v>
      </c>
      <c r="O310" s="583" t="s">
        <v>2086</v>
      </c>
      <c r="P310" s="571"/>
      <c r="Q310" s="566"/>
      <c r="R310" s="567"/>
      <c r="S310" s="561"/>
      <c r="V310" s="590">
        <v>3</v>
      </c>
      <c r="W310" s="583" t="s">
        <v>2086</v>
      </c>
      <c r="X310" s="571"/>
      <c r="Y310" s="566"/>
      <c r="Z310" s="567"/>
      <c r="AA310" s="561"/>
      <c r="AD310" s="590">
        <v>3</v>
      </c>
      <c r="AE310" s="583" t="s">
        <v>2086</v>
      </c>
      <c r="AF310" s="571"/>
      <c r="AG310" s="566"/>
      <c r="AH310" s="567"/>
      <c r="AI310" s="561"/>
    </row>
    <row r="311" spans="2:37" ht="15" customHeight="1">
      <c r="B311" s="589" t="s">
        <v>721</v>
      </c>
      <c r="C311" s="584" t="s">
        <v>2247</v>
      </c>
      <c r="D311" s="571" t="str">
        <f>$D$261</f>
        <v>bh</v>
      </c>
      <c r="E311" s="568">
        <v>4</v>
      </c>
      <c r="F311" s="567">
        <f>$F$261</f>
        <v>181849.04</v>
      </c>
      <c r="G311" s="561">
        <f t="shared" ref="G311:G316" si="145">E311*F311</f>
        <v>727396.16</v>
      </c>
      <c r="N311" s="589" t="s">
        <v>721</v>
      </c>
      <c r="O311" s="584" t="s">
        <v>2247</v>
      </c>
      <c r="P311" s="571" t="str">
        <f>$D$261</f>
        <v>bh</v>
      </c>
      <c r="Q311" s="568">
        <v>4</v>
      </c>
      <c r="R311" s="567">
        <f>$F$261</f>
        <v>181849.04</v>
      </c>
      <c r="S311" s="561">
        <f t="shared" ref="S311:S316" si="146">Q311*R311</f>
        <v>727396.16</v>
      </c>
      <c r="V311" s="589" t="s">
        <v>721</v>
      </c>
      <c r="W311" s="584" t="s">
        <v>2247</v>
      </c>
      <c r="X311" s="571" t="str">
        <f>$D$261</f>
        <v>bh</v>
      </c>
      <c r="Y311" s="568">
        <v>4</v>
      </c>
      <c r="Z311" s="567">
        <f>$F$261</f>
        <v>181849.04</v>
      </c>
      <c r="AA311" s="561">
        <f t="shared" ref="AA311:AA316" si="147">Y311*Z311</f>
        <v>727396.16</v>
      </c>
      <c r="AD311" s="589" t="s">
        <v>721</v>
      </c>
      <c r="AE311" s="584" t="s">
        <v>2247</v>
      </c>
      <c r="AF311" s="571" t="str">
        <f>$D$261</f>
        <v>bh</v>
      </c>
      <c r="AG311" s="568">
        <v>4</v>
      </c>
      <c r="AH311" s="567">
        <f>$F$261</f>
        <v>181849.04</v>
      </c>
      <c r="AI311" s="561">
        <f t="shared" ref="AI311:AI316" si="148">AG311*AH311</f>
        <v>727396.16</v>
      </c>
    </row>
    <row r="312" spans="2:37" ht="15" customHeight="1">
      <c r="B312" s="589" t="s">
        <v>2166</v>
      </c>
      <c r="C312" s="584" t="s">
        <v>2085</v>
      </c>
      <c r="D312" s="571" t="str">
        <f>$D$262</f>
        <v>kg</v>
      </c>
      <c r="E312" s="568">
        <f>I309</f>
        <v>271686.60685714282</v>
      </c>
      <c r="F312" s="567">
        <f>$F$262</f>
        <v>462.7700000000001</v>
      </c>
      <c r="G312" s="561">
        <f t="shared" si="145"/>
        <v>125728411.05528001</v>
      </c>
      <c r="N312" s="589" t="s">
        <v>2166</v>
      </c>
      <c r="O312" s="584" t="s">
        <v>2085</v>
      </c>
      <c r="P312" s="571" t="str">
        <f>$D$262</f>
        <v>kg</v>
      </c>
      <c r="Q312" s="568">
        <f>U309</f>
        <v>271686.60685714282</v>
      </c>
      <c r="R312" s="567">
        <f>$F$262</f>
        <v>462.7700000000001</v>
      </c>
      <c r="S312" s="561">
        <f t="shared" si="146"/>
        <v>125728411.05528001</v>
      </c>
      <c r="V312" s="589" t="s">
        <v>2166</v>
      </c>
      <c r="W312" s="584" t="s">
        <v>2085</v>
      </c>
      <c r="X312" s="571" t="str">
        <f>$D$262</f>
        <v>kg</v>
      </c>
      <c r="Y312" s="568">
        <f>AC309</f>
        <v>271686.60685714282</v>
      </c>
      <c r="Z312" s="567">
        <f>$F$262</f>
        <v>462.7700000000001</v>
      </c>
      <c r="AA312" s="561">
        <f t="shared" si="147"/>
        <v>125728411.05528001</v>
      </c>
      <c r="AD312" s="589" t="s">
        <v>2166</v>
      </c>
      <c r="AE312" s="584" t="s">
        <v>2085</v>
      </c>
      <c r="AF312" s="571" t="str">
        <f>$D$262</f>
        <v>kg</v>
      </c>
      <c r="AG312" s="568">
        <f>AK309</f>
        <v>271686.60685714282</v>
      </c>
      <c r="AH312" s="567">
        <f>$F$262</f>
        <v>462.7700000000001</v>
      </c>
      <c r="AI312" s="561">
        <f t="shared" si="148"/>
        <v>125728411.05528001</v>
      </c>
    </row>
    <row r="313" spans="2:37" ht="15" customHeight="1">
      <c r="B313" s="589" t="s">
        <v>2168</v>
      </c>
      <c r="C313" s="584" t="s">
        <v>2249</v>
      </c>
      <c r="D313" s="571" t="str">
        <f>$D$263</f>
        <v>bh</v>
      </c>
      <c r="E313" s="568">
        <v>4</v>
      </c>
      <c r="F313" s="567">
        <f>$F$263</f>
        <v>387825</v>
      </c>
      <c r="G313" s="561">
        <f t="shared" si="145"/>
        <v>1551300</v>
      </c>
      <c r="N313" s="589" t="s">
        <v>2168</v>
      </c>
      <c r="O313" s="584" t="s">
        <v>2249</v>
      </c>
      <c r="P313" s="571" t="str">
        <f>$D$263</f>
        <v>bh</v>
      </c>
      <c r="Q313" s="568">
        <v>4</v>
      </c>
      <c r="R313" s="567">
        <f>$F$263</f>
        <v>387825</v>
      </c>
      <c r="S313" s="561">
        <f t="shared" si="146"/>
        <v>1551300</v>
      </c>
      <c r="V313" s="589" t="s">
        <v>2168</v>
      </c>
      <c r="W313" s="584" t="s">
        <v>2249</v>
      </c>
      <c r="X313" s="571" t="str">
        <f>$D$263</f>
        <v>bh</v>
      </c>
      <c r="Y313" s="568">
        <v>4</v>
      </c>
      <c r="Z313" s="567">
        <f>$F$263</f>
        <v>387825</v>
      </c>
      <c r="AA313" s="561">
        <f t="shared" si="147"/>
        <v>1551300</v>
      </c>
      <c r="AD313" s="589" t="s">
        <v>2168</v>
      </c>
      <c r="AE313" s="584" t="s">
        <v>2249</v>
      </c>
      <c r="AF313" s="571" t="str">
        <f>$D$263</f>
        <v>bh</v>
      </c>
      <c r="AG313" s="568">
        <v>4</v>
      </c>
      <c r="AH313" s="567">
        <f>$F$263</f>
        <v>387825</v>
      </c>
      <c r="AI313" s="561">
        <f t="shared" si="148"/>
        <v>1551300</v>
      </c>
    </row>
    <row r="314" spans="2:37" ht="15" customHeight="1">
      <c r="B314" s="589" t="s">
        <v>2170</v>
      </c>
      <c r="C314" s="584" t="s">
        <v>2250</v>
      </c>
      <c r="D314" s="571" t="str">
        <f>$D$264</f>
        <v>kg</v>
      </c>
      <c r="E314" s="568">
        <f>$E$164</f>
        <v>150.93599999999998</v>
      </c>
      <c r="F314" s="567">
        <f>$F$264</f>
        <v>3758.6984549742947</v>
      </c>
      <c r="G314" s="561">
        <f t="shared" si="145"/>
        <v>567322.91</v>
      </c>
      <c r="N314" s="589" t="s">
        <v>2170</v>
      </c>
      <c r="O314" s="584" t="s">
        <v>2250</v>
      </c>
      <c r="P314" s="571" t="str">
        <f>$D$264</f>
        <v>kg</v>
      </c>
      <c r="Q314" s="568">
        <f>$Q$164</f>
        <v>239.61599999999999</v>
      </c>
      <c r="R314" s="567">
        <f>$F$264</f>
        <v>3758.6984549742947</v>
      </c>
      <c r="S314" s="561">
        <f t="shared" si="146"/>
        <v>900644.2889871205</v>
      </c>
      <c r="V314" s="589" t="s">
        <v>2170</v>
      </c>
      <c r="W314" s="584" t="s">
        <v>2269</v>
      </c>
      <c r="X314" s="571" t="str">
        <f>$D$264</f>
        <v>kg</v>
      </c>
      <c r="Y314" s="568">
        <f>$Y$164</f>
        <v>311.47199999999998</v>
      </c>
      <c r="Z314" s="567">
        <f>$F$264</f>
        <v>3758.6984549742947</v>
      </c>
      <c r="AA314" s="561">
        <f t="shared" si="147"/>
        <v>1170729.3251677535</v>
      </c>
      <c r="AD314" s="589" t="s">
        <v>2170</v>
      </c>
      <c r="AE314" s="584" t="s">
        <v>2269</v>
      </c>
      <c r="AF314" s="571" t="str">
        <f>$D$264</f>
        <v>kg</v>
      </c>
      <c r="AG314" s="568">
        <f>$AG$164</f>
        <v>403.17599999999999</v>
      </c>
      <c r="AH314" s="567">
        <f>$F$264</f>
        <v>3758.6984549742947</v>
      </c>
      <c r="AI314" s="561">
        <f t="shared" si="148"/>
        <v>1515417.0082827162</v>
      </c>
    </row>
    <row r="315" spans="2:37" ht="15" customHeight="1">
      <c r="B315" s="589" t="s">
        <v>2172</v>
      </c>
      <c r="C315" s="584" t="s">
        <v>2251</v>
      </c>
      <c r="D315" s="571" t="str">
        <f>$D$265</f>
        <v>set</v>
      </c>
      <c r="E315" s="568">
        <v>1</v>
      </c>
      <c r="F315" s="567">
        <f>$F$265</f>
        <v>855127</v>
      </c>
      <c r="G315" s="561">
        <f t="shared" si="145"/>
        <v>855127</v>
      </c>
      <c r="N315" s="589" t="s">
        <v>2172</v>
      </c>
      <c r="O315" s="584" t="s">
        <v>2251</v>
      </c>
      <c r="P315" s="571" t="str">
        <f>$D$265</f>
        <v>set</v>
      </c>
      <c r="Q315" s="568">
        <v>1</v>
      </c>
      <c r="R315" s="567">
        <f>$F$265</f>
        <v>855127</v>
      </c>
      <c r="S315" s="561">
        <f t="shared" si="146"/>
        <v>855127</v>
      </c>
      <c r="V315" s="589" t="s">
        <v>2172</v>
      </c>
      <c r="W315" s="584" t="s">
        <v>2251</v>
      </c>
      <c r="X315" s="571" t="str">
        <f>$D$265</f>
        <v>set</v>
      </c>
      <c r="Y315" s="568">
        <v>1</v>
      </c>
      <c r="Z315" s="567">
        <f>$F$265</f>
        <v>855127</v>
      </c>
      <c r="AA315" s="561">
        <f t="shared" si="147"/>
        <v>855127</v>
      </c>
      <c r="AD315" s="589" t="s">
        <v>2172</v>
      </c>
      <c r="AE315" s="584" t="s">
        <v>2251</v>
      </c>
      <c r="AF315" s="571" t="str">
        <f>$D$265</f>
        <v>set</v>
      </c>
      <c r="AG315" s="568">
        <v>1</v>
      </c>
      <c r="AH315" s="567">
        <f>$F$265</f>
        <v>855127</v>
      </c>
      <c r="AI315" s="561">
        <f t="shared" si="148"/>
        <v>855127</v>
      </c>
    </row>
    <row r="316" spans="2:37" ht="15" customHeight="1">
      <c r="B316" s="589" t="s">
        <v>2174</v>
      </c>
      <c r="C316" s="584" t="s">
        <v>2252</v>
      </c>
      <c r="D316" s="571" t="str">
        <f>$D$266</f>
        <v>set</v>
      </c>
      <c r="E316" s="568">
        <v>1</v>
      </c>
      <c r="F316" s="567">
        <f>$F$266</f>
        <v>674025</v>
      </c>
      <c r="G316" s="561">
        <f t="shared" si="145"/>
        <v>674025</v>
      </c>
      <c r="N316" s="589" t="s">
        <v>2174</v>
      </c>
      <c r="O316" s="584" t="s">
        <v>2252</v>
      </c>
      <c r="P316" s="571" t="str">
        <f>$D$266</f>
        <v>set</v>
      </c>
      <c r="Q316" s="568">
        <v>1</v>
      </c>
      <c r="R316" s="567">
        <f>$F$266</f>
        <v>674025</v>
      </c>
      <c r="S316" s="561">
        <f t="shared" si="146"/>
        <v>674025</v>
      </c>
      <c r="V316" s="589" t="s">
        <v>2174</v>
      </c>
      <c r="W316" s="584" t="s">
        <v>2252</v>
      </c>
      <c r="X316" s="571" t="str">
        <f>$D$266</f>
        <v>set</v>
      </c>
      <c r="Y316" s="568">
        <v>1</v>
      </c>
      <c r="Z316" s="567">
        <f>$F$266</f>
        <v>674025</v>
      </c>
      <c r="AA316" s="561">
        <f t="shared" si="147"/>
        <v>674025</v>
      </c>
      <c r="AD316" s="589" t="s">
        <v>2174</v>
      </c>
      <c r="AE316" s="584" t="s">
        <v>2252</v>
      </c>
      <c r="AF316" s="571" t="str">
        <f>$D$266</f>
        <v>set</v>
      </c>
      <c r="AG316" s="568">
        <v>1</v>
      </c>
      <c r="AH316" s="567">
        <f>$F$266</f>
        <v>674025</v>
      </c>
      <c r="AI316" s="561">
        <f t="shared" si="148"/>
        <v>674025</v>
      </c>
    </row>
    <row r="317" spans="2:37" ht="15" customHeight="1" thickBot="1">
      <c r="B317" s="582"/>
      <c r="C317" s="1197" t="s">
        <v>2289</v>
      </c>
      <c r="D317" s="1198"/>
      <c r="E317" s="1198"/>
      <c r="F317" s="1199"/>
      <c r="G317" s="560">
        <f>SUM(G296:G316)</f>
        <v>522330703.90569091</v>
      </c>
      <c r="N317" s="582"/>
      <c r="O317" s="1197" t="s">
        <v>2289</v>
      </c>
      <c r="P317" s="1198"/>
      <c r="Q317" s="1198"/>
      <c r="R317" s="1199"/>
      <c r="S317" s="560">
        <f>SUM(S296:S316)</f>
        <v>522664025.28467798</v>
      </c>
      <c r="V317" s="582"/>
      <c r="W317" s="1197" t="s">
        <v>2289</v>
      </c>
      <c r="X317" s="1198"/>
      <c r="Y317" s="1198"/>
      <c r="Z317" s="1199"/>
      <c r="AA317" s="560">
        <f>SUM(AA296:AA316)</f>
        <v>522934110.32085866</v>
      </c>
      <c r="AD317" s="582"/>
      <c r="AE317" s="1197" t="s">
        <v>2289</v>
      </c>
      <c r="AF317" s="1198"/>
      <c r="AG317" s="1198"/>
      <c r="AH317" s="1199"/>
      <c r="AI317" s="560">
        <f>SUM(AI296:AI316)</f>
        <v>523278798.0039736</v>
      </c>
    </row>
    <row r="318" spans="2:37" ht="15" customHeight="1" thickBot="1">
      <c r="R318" s="634"/>
      <c r="Z318" s="634"/>
      <c r="AA318" s="634"/>
      <c r="AH318" s="634"/>
      <c r="AI318" s="634"/>
    </row>
    <row r="319" spans="2:37" ht="15" customHeight="1" thickBot="1">
      <c r="B319" s="581" t="s">
        <v>2229</v>
      </c>
      <c r="C319" s="580"/>
      <c r="D319" s="579">
        <v>6</v>
      </c>
      <c r="E319" s="578"/>
      <c r="F319" s="577"/>
      <c r="G319" s="564"/>
      <c r="N319" s="581" t="s">
        <v>2230</v>
      </c>
      <c r="O319" s="580"/>
      <c r="P319" s="579">
        <v>6</v>
      </c>
      <c r="Q319" s="578"/>
      <c r="R319" s="577"/>
      <c r="S319" s="564"/>
      <c r="V319" s="581" t="s">
        <v>2231</v>
      </c>
      <c r="W319" s="580"/>
      <c r="X319" s="579"/>
      <c r="Y319" s="578"/>
      <c r="Z319" s="577"/>
      <c r="AA319" s="564"/>
      <c r="AD319" s="581" t="s">
        <v>2254</v>
      </c>
      <c r="AE319" s="580"/>
      <c r="AF319" s="579"/>
      <c r="AG319" s="578"/>
      <c r="AH319" s="577"/>
      <c r="AI319" s="564"/>
    </row>
    <row r="320" spans="2:37" ht="15" customHeight="1">
      <c r="B320" s="576"/>
      <c r="C320" s="575" t="s">
        <v>2290</v>
      </c>
      <c r="D320" s="574"/>
      <c r="E320" s="573"/>
      <c r="F320" s="572"/>
      <c r="G320" s="563"/>
      <c r="N320" s="576"/>
      <c r="O320" s="575" t="s">
        <v>2290</v>
      </c>
      <c r="P320" s="574"/>
      <c r="Q320" s="573"/>
      <c r="R320" s="572"/>
      <c r="S320" s="563"/>
      <c r="V320" s="576"/>
      <c r="W320" s="575" t="s">
        <v>2291</v>
      </c>
      <c r="X320" s="574"/>
      <c r="Y320" s="573"/>
      <c r="Z320" s="572"/>
      <c r="AA320" s="563"/>
      <c r="AD320" s="576"/>
      <c r="AE320" s="575" t="s">
        <v>2291</v>
      </c>
      <c r="AF320" s="574"/>
      <c r="AG320" s="573"/>
      <c r="AH320" s="572"/>
      <c r="AI320" s="563"/>
    </row>
    <row r="321" spans="2:37" ht="15" customHeight="1">
      <c r="B321" s="588">
        <v>1</v>
      </c>
      <c r="C321" s="587" t="s">
        <v>2234</v>
      </c>
      <c r="D321" s="571"/>
      <c r="E321" s="570"/>
      <c r="F321" s="569"/>
      <c r="G321" s="562"/>
      <c r="N321" s="588">
        <v>1</v>
      </c>
      <c r="O321" s="587" t="s">
        <v>2234</v>
      </c>
      <c r="P321" s="571"/>
      <c r="Q321" s="570"/>
      <c r="R321" s="569"/>
      <c r="S321" s="562"/>
      <c r="V321" s="588">
        <v>1</v>
      </c>
      <c r="W321" s="587" t="s">
        <v>2234</v>
      </c>
      <c r="X321" s="571"/>
      <c r="Y321" s="570"/>
      <c r="Z321" s="569"/>
      <c r="AA321" s="562"/>
      <c r="AD321" s="588">
        <v>1</v>
      </c>
      <c r="AE321" s="587" t="s">
        <v>2234</v>
      </c>
      <c r="AF321" s="571"/>
      <c r="AG321" s="570"/>
      <c r="AH321" s="569"/>
      <c r="AI321" s="562"/>
    </row>
    <row r="322" spans="2:37" ht="15" customHeight="1">
      <c r="B322" s="589" t="s">
        <v>721</v>
      </c>
      <c r="C322" s="586" t="s">
        <v>2235</v>
      </c>
      <c r="D322" s="571" t="str">
        <f>$D$247</f>
        <v>m³</v>
      </c>
      <c r="E322" s="568">
        <v>72.5</v>
      </c>
      <c r="F322" s="567">
        <f>$F$247</f>
        <v>102390.75000000001</v>
      </c>
      <c r="G322" s="561">
        <f>E322*F322</f>
        <v>7423329.3750000009</v>
      </c>
      <c r="N322" s="589" t="s">
        <v>721</v>
      </c>
      <c r="O322" s="586" t="s">
        <v>2235</v>
      </c>
      <c r="P322" s="571" t="str">
        <f>$D$247</f>
        <v>m³</v>
      </c>
      <c r="Q322" s="568">
        <v>72.5</v>
      </c>
      <c r="R322" s="567">
        <f>$F$247</f>
        <v>102390.75000000001</v>
      </c>
      <c r="S322" s="561">
        <f>Q322*R322</f>
        <v>7423329.3750000009</v>
      </c>
      <c r="V322" s="589" t="s">
        <v>721</v>
      </c>
      <c r="W322" s="586" t="s">
        <v>2235</v>
      </c>
      <c r="X322" s="571" t="str">
        <f>$D$247</f>
        <v>m³</v>
      </c>
      <c r="Y322" s="568">
        <v>72.5</v>
      </c>
      <c r="Z322" s="567">
        <f>$F$247</f>
        <v>102390.75000000001</v>
      </c>
      <c r="AA322" s="561">
        <f>Y322*Z322</f>
        <v>7423329.3750000009</v>
      </c>
      <c r="AD322" s="589" t="s">
        <v>721</v>
      </c>
      <c r="AE322" s="586" t="s">
        <v>2235</v>
      </c>
      <c r="AF322" s="571" t="str">
        <f>$D$247</f>
        <v>m³</v>
      </c>
      <c r="AG322" s="568">
        <v>72.5</v>
      </c>
      <c r="AH322" s="567">
        <f>$F$247</f>
        <v>102390.75000000001</v>
      </c>
      <c r="AI322" s="561">
        <f>AG322*AH322</f>
        <v>7423329.3750000009</v>
      </c>
    </row>
    <row r="323" spans="2:37" ht="15" customHeight="1">
      <c r="B323" s="589" t="s">
        <v>2166</v>
      </c>
      <c r="C323" s="586" t="s">
        <v>2237</v>
      </c>
      <c r="D323" s="571" t="str">
        <f>$D$248</f>
        <v>m³</v>
      </c>
      <c r="E323" s="568">
        <v>30.560000000000002</v>
      </c>
      <c r="F323" s="567">
        <f>$F$248</f>
        <v>62462.950000000012</v>
      </c>
      <c r="G323" s="561">
        <f>E323*F323</f>
        <v>1908867.7520000006</v>
      </c>
      <c r="N323" s="589" t="s">
        <v>2166</v>
      </c>
      <c r="O323" s="586" t="s">
        <v>2237</v>
      </c>
      <c r="P323" s="571" t="str">
        <f>$D$248</f>
        <v>m³</v>
      </c>
      <c r="Q323" s="568">
        <v>30.560000000000002</v>
      </c>
      <c r="R323" s="567">
        <f>$F$248</f>
        <v>62462.950000000012</v>
      </c>
      <c r="S323" s="561">
        <f>Q323*R323</f>
        <v>1908867.7520000006</v>
      </c>
      <c r="V323" s="589" t="s">
        <v>2166</v>
      </c>
      <c r="W323" s="586" t="s">
        <v>2237</v>
      </c>
      <c r="X323" s="571" t="str">
        <f>$D$248</f>
        <v>m³</v>
      </c>
      <c r="Y323" s="568">
        <v>30.560000000000002</v>
      </c>
      <c r="Z323" s="567">
        <f>$F$248</f>
        <v>62462.950000000012</v>
      </c>
      <c r="AA323" s="561">
        <f>Y323*Z323</f>
        <v>1908867.7520000006</v>
      </c>
      <c r="AD323" s="589" t="s">
        <v>2166</v>
      </c>
      <c r="AE323" s="586" t="s">
        <v>2237</v>
      </c>
      <c r="AF323" s="571" t="str">
        <f>$D$248</f>
        <v>m³</v>
      </c>
      <c r="AG323" s="568">
        <v>30.560000000000002</v>
      </c>
      <c r="AH323" s="567">
        <f>$F$248</f>
        <v>62462.950000000012</v>
      </c>
      <c r="AI323" s="561">
        <f>AG323*AH323</f>
        <v>1908867.7520000006</v>
      </c>
    </row>
    <row r="324" spans="2:37" ht="15" customHeight="1">
      <c r="B324" s="589" t="s">
        <v>2168</v>
      </c>
      <c r="C324" s="586" t="s">
        <v>2265</v>
      </c>
      <c r="D324" s="571" t="str">
        <f>$D$249</f>
        <v>m'</v>
      </c>
      <c r="E324" s="568">
        <v>312</v>
      </c>
      <c r="F324" s="567">
        <f>$F$249</f>
        <v>52230.612500000003</v>
      </c>
      <c r="G324" s="561">
        <f>E324*F324</f>
        <v>16295951.100000001</v>
      </c>
      <c r="N324" s="589" t="s">
        <v>2168</v>
      </c>
      <c r="O324" s="586" t="s">
        <v>2265</v>
      </c>
      <c r="P324" s="571" t="str">
        <f>$D$249</f>
        <v>m'</v>
      </c>
      <c r="Q324" s="568">
        <v>312</v>
      </c>
      <c r="R324" s="567">
        <f>$F$249</f>
        <v>52230.612500000003</v>
      </c>
      <c r="S324" s="561">
        <f>Q324*R324</f>
        <v>16295951.100000001</v>
      </c>
      <c r="V324" s="589" t="s">
        <v>2168</v>
      </c>
      <c r="W324" s="586" t="s">
        <v>2265</v>
      </c>
      <c r="X324" s="571" t="str">
        <f>$D$249</f>
        <v>m'</v>
      </c>
      <c r="Y324" s="568">
        <v>312</v>
      </c>
      <c r="Z324" s="567">
        <f>$F$249</f>
        <v>52230.612500000003</v>
      </c>
      <c r="AA324" s="561">
        <f>Y324*Z324</f>
        <v>16295951.100000001</v>
      </c>
      <c r="AD324" s="589" t="s">
        <v>2168</v>
      </c>
      <c r="AE324" s="586" t="s">
        <v>2265</v>
      </c>
      <c r="AF324" s="571" t="str">
        <f>$D$249</f>
        <v>m'</v>
      </c>
      <c r="AG324" s="568">
        <v>312</v>
      </c>
      <c r="AH324" s="567">
        <f>$F$249</f>
        <v>52230.612500000003</v>
      </c>
      <c r="AI324" s="561">
        <f>AG324*AH324</f>
        <v>16295951.100000001</v>
      </c>
    </row>
    <row r="325" spans="2:37" ht="15" customHeight="1">
      <c r="B325" s="585"/>
      <c r="C325" s="586"/>
      <c r="D325" s="571"/>
      <c r="E325" s="566"/>
      <c r="F325" s="567"/>
      <c r="G325" s="561"/>
      <c r="N325" s="585"/>
      <c r="O325" s="586"/>
      <c r="P325" s="571"/>
      <c r="Q325" s="566"/>
      <c r="R325" s="567"/>
      <c r="S325" s="561"/>
      <c r="V325" s="585"/>
      <c r="W325" s="586"/>
      <c r="X325" s="571"/>
      <c r="Y325" s="566"/>
      <c r="Z325" s="567"/>
      <c r="AA325" s="561"/>
      <c r="AD325" s="585"/>
      <c r="AE325" s="586"/>
      <c r="AF325" s="571"/>
      <c r="AG325" s="566"/>
      <c r="AH325" s="567"/>
      <c r="AI325" s="561"/>
    </row>
    <row r="326" spans="2:37" ht="15" customHeight="1">
      <c r="B326" s="590">
        <v>2</v>
      </c>
      <c r="C326" s="587" t="s">
        <v>2238</v>
      </c>
      <c r="D326" s="571"/>
      <c r="E326" s="566"/>
      <c r="F326" s="567"/>
      <c r="G326" s="561"/>
      <c r="H326" t="s">
        <v>2239</v>
      </c>
      <c r="N326" s="590">
        <v>2</v>
      </c>
      <c r="O326" s="587" t="s">
        <v>2238</v>
      </c>
      <c r="P326" s="571"/>
      <c r="Q326" s="566"/>
      <c r="R326" s="567"/>
      <c r="S326" s="561"/>
      <c r="T326" t="s">
        <v>2239</v>
      </c>
      <c r="V326" s="590">
        <v>2</v>
      </c>
      <c r="W326" s="587" t="s">
        <v>2238</v>
      </c>
      <c r="X326" s="571"/>
      <c r="Y326" s="566"/>
      <c r="Z326" s="567"/>
      <c r="AA326" s="561"/>
      <c r="AB326" t="s">
        <v>2239</v>
      </c>
      <c r="AD326" s="590">
        <v>2</v>
      </c>
      <c r="AE326" s="587" t="s">
        <v>2238</v>
      </c>
      <c r="AF326" s="571"/>
      <c r="AG326" s="566"/>
      <c r="AH326" s="567"/>
      <c r="AI326" s="561"/>
      <c r="AJ326" t="s">
        <v>2239</v>
      </c>
    </row>
    <row r="327" spans="2:37" ht="15" customHeight="1">
      <c r="B327" s="589" t="s">
        <v>721</v>
      </c>
      <c r="C327" s="586" t="s">
        <v>2240</v>
      </c>
      <c r="D327" s="571" t="str">
        <f>$D$252</f>
        <v>m³</v>
      </c>
      <c r="E327" s="568">
        <v>5.4</v>
      </c>
      <c r="F327" s="567">
        <f>$F$252</f>
        <v>404738.95</v>
      </c>
      <c r="G327" s="561">
        <f t="shared" ref="G327:G333" si="149">E327*F327</f>
        <v>2185590.33</v>
      </c>
      <c r="H327">
        <v>1400</v>
      </c>
      <c r="I327">
        <f t="shared" ref="I327:I333" si="150">E327*H327</f>
        <v>7560.0000000000009</v>
      </c>
      <c r="N327" s="589" t="s">
        <v>721</v>
      </c>
      <c r="O327" s="586" t="s">
        <v>2240</v>
      </c>
      <c r="P327" s="571" t="str">
        <f>$D$252</f>
        <v>m³</v>
      </c>
      <c r="Q327" s="568">
        <v>5.4</v>
      </c>
      <c r="R327" s="567">
        <f>$F$252</f>
        <v>404738.95</v>
      </c>
      <c r="S327" s="561">
        <f t="shared" ref="S327:S333" si="151">Q327*R327</f>
        <v>2185590.33</v>
      </c>
      <c r="T327">
        <v>1400</v>
      </c>
      <c r="U327">
        <f t="shared" ref="U327:U333" si="152">Q327*T327</f>
        <v>7560.0000000000009</v>
      </c>
      <c r="V327" s="589" t="s">
        <v>721</v>
      </c>
      <c r="W327" s="586" t="s">
        <v>2240</v>
      </c>
      <c r="X327" s="571" t="str">
        <f>$D$252</f>
        <v>m³</v>
      </c>
      <c r="Y327" s="568">
        <v>5.4</v>
      </c>
      <c r="Z327" s="567">
        <f>$F$252</f>
        <v>404738.95</v>
      </c>
      <c r="AA327" s="561">
        <f t="shared" ref="AA327:AA333" si="153">Y327*Z327</f>
        <v>2185590.33</v>
      </c>
      <c r="AB327">
        <v>1400</v>
      </c>
      <c r="AC327">
        <f t="shared" ref="AC327:AC333" si="154">Y327*AB327</f>
        <v>7560.0000000000009</v>
      </c>
      <c r="AD327" s="589" t="s">
        <v>721</v>
      </c>
      <c r="AE327" s="586" t="s">
        <v>2240</v>
      </c>
      <c r="AF327" s="571" t="str">
        <f>$D$252</f>
        <v>m³</v>
      </c>
      <c r="AG327" s="568">
        <v>5.4</v>
      </c>
      <c r="AH327" s="567">
        <f>$F$252</f>
        <v>404738.95</v>
      </c>
      <c r="AI327" s="561">
        <f t="shared" ref="AI327:AI333" si="155">AG327*AH327</f>
        <v>2185590.33</v>
      </c>
      <c r="AJ327">
        <v>1400</v>
      </c>
      <c r="AK327">
        <f t="shared" ref="AK327:AK333" si="156">AG327*AJ327</f>
        <v>7560.0000000000009</v>
      </c>
    </row>
    <row r="328" spans="2:37" ht="15" customHeight="1">
      <c r="B328" s="589" t="s">
        <v>2166</v>
      </c>
      <c r="C328" s="584" t="s">
        <v>2241</v>
      </c>
      <c r="D328" s="571" t="str">
        <f>$D$253</f>
        <v>m³</v>
      </c>
      <c r="E328" s="568">
        <v>2.7</v>
      </c>
      <c r="F328" s="567">
        <f>$F$253</f>
        <v>710224.707936508</v>
      </c>
      <c r="G328" s="561">
        <f t="shared" si="149"/>
        <v>1917606.7114285717</v>
      </c>
      <c r="H328">
        <v>2200</v>
      </c>
      <c r="I328">
        <f t="shared" si="150"/>
        <v>5940</v>
      </c>
      <c r="N328" s="589" t="s">
        <v>2166</v>
      </c>
      <c r="O328" s="584" t="s">
        <v>2241</v>
      </c>
      <c r="P328" s="571" t="str">
        <f>$D$253</f>
        <v>m³</v>
      </c>
      <c r="Q328" s="568">
        <v>2.7</v>
      </c>
      <c r="R328" s="567">
        <f>$F$253</f>
        <v>710224.707936508</v>
      </c>
      <c r="S328" s="561">
        <f t="shared" si="151"/>
        <v>1917606.7114285717</v>
      </c>
      <c r="T328">
        <v>2200</v>
      </c>
      <c r="U328">
        <f t="shared" si="152"/>
        <v>5940</v>
      </c>
      <c r="V328" s="589" t="s">
        <v>2166</v>
      </c>
      <c r="W328" s="584" t="s">
        <v>2241</v>
      </c>
      <c r="X328" s="571" t="str">
        <f>$D$253</f>
        <v>m³</v>
      </c>
      <c r="Y328" s="568">
        <v>2.7</v>
      </c>
      <c r="Z328" s="567">
        <f>$F$253</f>
        <v>710224.707936508</v>
      </c>
      <c r="AA328" s="561">
        <f t="shared" si="153"/>
        <v>1917606.7114285717</v>
      </c>
      <c r="AB328">
        <v>2200</v>
      </c>
      <c r="AC328">
        <f t="shared" si="154"/>
        <v>5940</v>
      </c>
      <c r="AD328" s="589" t="s">
        <v>2166</v>
      </c>
      <c r="AE328" s="584" t="s">
        <v>2241</v>
      </c>
      <c r="AF328" s="571" t="str">
        <f>$D$253</f>
        <v>m³</v>
      </c>
      <c r="AG328" s="568">
        <v>2.7</v>
      </c>
      <c r="AH328" s="567">
        <f>$F$253</f>
        <v>710224.707936508</v>
      </c>
      <c r="AI328" s="561">
        <f t="shared" si="155"/>
        <v>1917606.7114285717</v>
      </c>
      <c r="AJ328">
        <v>2200</v>
      </c>
      <c r="AK328">
        <f t="shared" si="156"/>
        <v>5940</v>
      </c>
    </row>
    <row r="329" spans="2:37" ht="15" customHeight="1">
      <c r="B329" s="589" t="s">
        <v>2168</v>
      </c>
      <c r="C329" s="584" t="s">
        <v>2266</v>
      </c>
      <c r="D329" s="571" t="str">
        <f>$D$254</f>
        <v>m³</v>
      </c>
      <c r="E329" s="568">
        <v>33.839999999999996</v>
      </c>
      <c r="F329" s="567">
        <f>$F$254</f>
        <v>1115864.6138095236</v>
      </c>
      <c r="G329" s="561">
        <f t="shared" si="149"/>
        <v>37760858.531314276</v>
      </c>
      <c r="H329">
        <v>2400</v>
      </c>
      <c r="I329">
        <f t="shared" si="150"/>
        <v>81215.999999999985</v>
      </c>
      <c r="N329" s="589" t="s">
        <v>2168</v>
      </c>
      <c r="O329" s="584" t="s">
        <v>2266</v>
      </c>
      <c r="P329" s="571" t="str">
        <f>$D$254</f>
        <v>m³</v>
      </c>
      <c r="Q329" s="568">
        <v>33.839999999999996</v>
      </c>
      <c r="R329" s="567">
        <f>$F$254</f>
        <v>1115864.6138095236</v>
      </c>
      <c r="S329" s="561">
        <f t="shared" si="151"/>
        <v>37760858.531314276</v>
      </c>
      <c r="T329">
        <v>2400</v>
      </c>
      <c r="U329">
        <f t="shared" si="152"/>
        <v>81215.999999999985</v>
      </c>
      <c r="V329" s="589" t="s">
        <v>2168</v>
      </c>
      <c r="W329" s="584" t="str">
        <f>O329</f>
        <v>Beton K 225 (Pad &amp; Chimney)</v>
      </c>
      <c r="X329" s="571" t="str">
        <f>$D$254</f>
        <v>m³</v>
      </c>
      <c r="Y329" s="568">
        <v>33.839999999999996</v>
      </c>
      <c r="Z329" s="567">
        <f>$F$254</f>
        <v>1115864.6138095236</v>
      </c>
      <c r="AA329" s="561">
        <f t="shared" si="153"/>
        <v>37760858.531314276</v>
      </c>
      <c r="AB329">
        <v>2400</v>
      </c>
      <c r="AC329">
        <f t="shared" si="154"/>
        <v>81215.999999999985</v>
      </c>
      <c r="AD329" s="589" t="s">
        <v>2168</v>
      </c>
      <c r="AE329" s="584" t="str">
        <f>W329</f>
        <v>Beton K 225 (Pad &amp; Chimney)</v>
      </c>
      <c r="AF329" s="571" t="str">
        <f>$D$254</f>
        <v>m³</v>
      </c>
      <c r="AG329" s="568">
        <v>33.839999999999996</v>
      </c>
      <c r="AH329" s="567">
        <f>$F$254</f>
        <v>1115864.6138095236</v>
      </c>
      <c r="AI329" s="561">
        <f t="shared" si="155"/>
        <v>37760858.531314276</v>
      </c>
      <c r="AJ329">
        <v>2400</v>
      </c>
      <c r="AK329">
        <f t="shared" si="156"/>
        <v>81215.999999999985</v>
      </c>
    </row>
    <row r="330" spans="2:37" ht="15" customHeight="1">
      <c r="B330" s="589" t="s">
        <v>2170</v>
      </c>
      <c r="C330" s="584" t="s">
        <v>2267</v>
      </c>
      <c r="D330" s="571" t="str">
        <f>$D$255</f>
        <v>m³</v>
      </c>
      <c r="E330" s="568">
        <v>80.784000000000006</v>
      </c>
      <c r="F330" s="567">
        <f>$F$255</f>
        <v>1057576.2423809525</v>
      </c>
      <c r="G330" s="561">
        <f t="shared" si="149"/>
        <v>85435239.164502874</v>
      </c>
      <c r="H330">
        <v>2200</v>
      </c>
      <c r="I330">
        <f t="shared" si="150"/>
        <v>177724.80000000002</v>
      </c>
      <c r="N330" s="589" t="s">
        <v>2170</v>
      </c>
      <c r="O330" s="584" t="s">
        <v>2267</v>
      </c>
      <c r="P330" s="571" t="str">
        <f>$D$255</f>
        <v>m³</v>
      </c>
      <c r="Q330" s="568">
        <v>80.784000000000006</v>
      </c>
      <c r="R330" s="567">
        <f>$F$255</f>
        <v>1057576.2423809525</v>
      </c>
      <c r="S330" s="561">
        <f t="shared" si="151"/>
        <v>85435239.164502874</v>
      </c>
      <c r="T330">
        <v>2200</v>
      </c>
      <c r="U330">
        <f t="shared" si="152"/>
        <v>177724.80000000002</v>
      </c>
      <c r="V330" s="589" t="s">
        <v>2170</v>
      </c>
      <c r="W330" s="584" t="s">
        <v>2267</v>
      </c>
      <c r="X330" s="571" t="str">
        <f>$D$255</f>
        <v>m³</v>
      </c>
      <c r="Y330" s="568">
        <v>80.784000000000006</v>
      </c>
      <c r="Z330" s="567">
        <f>$F$255</f>
        <v>1057576.2423809525</v>
      </c>
      <c r="AA330" s="561">
        <f t="shared" si="153"/>
        <v>85435239.164502874</v>
      </c>
      <c r="AB330">
        <v>2200</v>
      </c>
      <c r="AC330">
        <f t="shared" si="154"/>
        <v>177724.80000000002</v>
      </c>
      <c r="AD330" s="589" t="s">
        <v>2170</v>
      </c>
      <c r="AE330" s="584" t="s">
        <v>2267</v>
      </c>
      <c r="AF330" s="571" t="str">
        <f>$D$255</f>
        <v>m³</v>
      </c>
      <c r="AG330" s="568">
        <v>80.784000000000006</v>
      </c>
      <c r="AH330" s="567">
        <f>$F$255</f>
        <v>1057576.2423809525</v>
      </c>
      <c r="AI330" s="561">
        <f t="shared" si="155"/>
        <v>85435239.164502874</v>
      </c>
      <c r="AJ330">
        <v>2200</v>
      </c>
      <c r="AK330">
        <f t="shared" si="156"/>
        <v>177724.80000000002</v>
      </c>
    </row>
    <row r="331" spans="2:37" ht="15" customHeight="1">
      <c r="B331" s="589" t="s">
        <v>2172</v>
      </c>
      <c r="C331" s="584" t="s">
        <v>2243</v>
      </c>
      <c r="D331" s="571" t="str">
        <f>$D$256</f>
        <v>kg</v>
      </c>
      <c r="E331" s="568">
        <v>13176.312</v>
      </c>
      <c r="F331" s="567">
        <f>$F$256</f>
        <v>19478.039350000003</v>
      </c>
      <c r="G331" s="561">
        <f t="shared" si="149"/>
        <v>256648723.62387723</v>
      </c>
      <c r="H331">
        <v>1</v>
      </c>
      <c r="I331">
        <f t="shared" si="150"/>
        <v>13176.312</v>
      </c>
      <c r="N331" s="589" t="s">
        <v>2172</v>
      </c>
      <c r="O331" s="584" t="s">
        <v>2243</v>
      </c>
      <c r="P331" s="571" t="str">
        <f>$D$256</f>
        <v>kg</v>
      </c>
      <c r="Q331" s="568">
        <v>13176.312</v>
      </c>
      <c r="R331" s="567">
        <f>$F$256</f>
        <v>19478.039350000003</v>
      </c>
      <c r="S331" s="561">
        <f t="shared" si="151"/>
        <v>256648723.62387723</v>
      </c>
      <c r="T331">
        <v>1</v>
      </c>
      <c r="U331">
        <f t="shared" si="152"/>
        <v>13176.312</v>
      </c>
      <c r="V331" s="589" t="s">
        <v>2172</v>
      </c>
      <c r="W331" s="584" t="s">
        <v>2243</v>
      </c>
      <c r="X331" s="571" t="str">
        <f>$D$256</f>
        <v>kg</v>
      </c>
      <c r="Y331" s="568">
        <v>13176.312</v>
      </c>
      <c r="Z331" s="567">
        <f>$F$256</f>
        <v>19478.039350000003</v>
      </c>
      <c r="AA331" s="561">
        <f t="shared" si="153"/>
        <v>256648723.62387723</v>
      </c>
      <c r="AB331">
        <v>1</v>
      </c>
      <c r="AC331">
        <f t="shared" si="154"/>
        <v>13176.312</v>
      </c>
      <c r="AD331" s="589" t="s">
        <v>2172</v>
      </c>
      <c r="AE331" s="584" t="s">
        <v>2243</v>
      </c>
      <c r="AF331" s="571" t="str">
        <f>$D$256</f>
        <v>kg</v>
      </c>
      <c r="AG331" s="568">
        <v>13176.312</v>
      </c>
      <c r="AH331" s="567">
        <f>$F$256</f>
        <v>19478.039350000003</v>
      </c>
      <c r="AI331" s="561">
        <f t="shared" si="155"/>
        <v>256648723.62387723</v>
      </c>
      <c r="AJ331">
        <v>1</v>
      </c>
      <c r="AK331">
        <f t="shared" si="156"/>
        <v>13176.312</v>
      </c>
    </row>
    <row r="332" spans="2:37" ht="15" customHeight="1">
      <c r="B332" s="589" t="s">
        <v>2268</v>
      </c>
      <c r="C332" s="584" t="s">
        <v>2244</v>
      </c>
      <c r="D332" s="571" t="str">
        <f>$D$257</f>
        <v>m²</v>
      </c>
      <c r="E332" s="568">
        <v>45.6</v>
      </c>
      <c r="F332" s="567">
        <f>$F$257</f>
        <v>145812.67000000001</v>
      </c>
      <c r="G332" s="561">
        <f t="shared" si="149"/>
        <v>6649057.7520000003</v>
      </c>
      <c r="H332">
        <v>40</v>
      </c>
      <c r="I332">
        <f t="shared" si="150"/>
        <v>1824</v>
      </c>
      <c r="N332" s="589" t="s">
        <v>2268</v>
      </c>
      <c r="O332" s="584" t="s">
        <v>2244</v>
      </c>
      <c r="P332" s="571" t="str">
        <f>$D$257</f>
        <v>m²</v>
      </c>
      <c r="Q332" s="568">
        <v>45.6</v>
      </c>
      <c r="R332" s="567">
        <f>$F$257</f>
        <v>145812.67000000001</v>
      </c>
      <c r="S332" s="561">
        <f t="shared" si="151"/>
        <v>6649057.7520000003</v>
      </c>
      <c r="T332">
        <v>40</v>
      </c>
      <c r="U332">
        <f t="shared" si="152"/>
        <v>1824</v>
      </c>
      <c r="V332" s="589" t="s">
        <v>2268</v>
      </c>
      <c r="W332" s="584" t="s">
        <v>2244</v>
      </c>
      <c r="X332" s="571" t="str">
        <f>$D$257</f>
        <v>m²</v>
      </c>
      <c r="Y332" s="568">
        <v>45.6</v>
      </c>
      <c r="Z332" s="567">
        <f>$F$257</f>
        <v>145812.67000000001</v>
      </c>
      <c r="AA332" s="561">
        <f t="shared" si="153"/>
        <v>6649057.7520000003</v>
      </c>
      <c r="AB332">
        <v>40</v>
      </c>
      <c r="AC332">
        <f t="shared" si="154"/>
        <v>1824</v>
      </c>
      <c r="AD332" s="589" t="s">
        <v>2268</v>
      </c>
      <c r="AE332" s="584" t="s">
        <v>2244</v>
      </c>
      <c r="AF332" s="571" t="str">
        <f>$D$257</f>
        <v>m²</v>
      </c>
      <c r="AG332" s="568">
        <v>45.6</v>
      </c>
      <c r="AH332" s="567">
        <f>$F$257</f>
        <v>145812.67000000001</v>
      </c>
      <c r="AI332" s="561">
        <f t="shared" si="155"/>
        <v>6649057.7520000003</v>
      </c>
      <c r="AJ332">
        <v>40</v>
      </c>
      <c r="AK332">
        <f t="shared" si="156"/>
        <v>1824</v>
      </c>
    </row>
    <row r="333" spans="2:37" ht="15" customHeight="1">
      <c r="B333" s="589" t="s">
        <v>2176</v>
      </c>
      <c r="C333" s="565" t="s">
        <v>2246</v>
      </c>
      <c r="D333" s="571" t="str">
        <f>$D$258</f>
        <v>bh</v>
      </c>
      <c r="E333" s="568">
        <v>4</v>
      </c>
      <c r="F333" s="567">
        <f>$F$258</f>
        <v>100000</v>
      </c>
      <c r="G333" s="561">
        <f t="shared" si="149"/>
        <v>400000</v>
      </c>
      <c r="H333">
        <v>2.5</v>
      </c>
      <c r="I333">
        <f t="shared" si="150"/>
        <v>10</v>
      </c>
      <c r="N333" s="589" t="s">
        <v>2176</v>
      </c>
      <c r="O333" s="565" t="s">
        <v>2246</v>
      </c>
      <c r="P333" s="571" t="str">
        <f>$D$258</f>
        <v>bh</v>
      </c>
      <c r="Q333" s="568">
        <v>4</v>
      </c>
      <c r="R333" s="567">
        <f>$F$258</f>
        <v>100000</v>
      </c>
      <c r="S333" s="561">
        <f t="shared" si="151"/>
        <v>400000</v>
      </c>
      <c r="T333">
        <v>2.5</v>
      </c>
      <c r="U333">
        <f t="shared" si="152"/>
        <v>10</v>
      </c>
      <c r="V333" s="589" t="s">
        <v>2176</v>
      </c>
      <c r="W333" s="565" t="s">
        <v>2246</v>
      </c>
      <c r="X333" s="571" t="str">
        <f>$D$258</f>
        <v>bh</v>
      </c>
      <c r="Y333" s="568">
        <v>4</v>
      </c>
      <c r="Z333" s="567">
        <f>$F$258</f>
        <v>100000</v>
      </c>
      <c r="AA333" s="561">
        <f t="shared" si="153"/>
        <v>400000</v>
      </c>
      <c r="AB333">
        <v>2.5</v>
      </c>
      <c r="AC333">
        <f t="shared" si="154"/>
        <v>10</v>
      </c>
      <c r="AD333" s="589" t="s">
        <v>2176</v>
      </c>
      <c r="AE333" s="565" t="s">
        <v>2246</v>
      </c>
      <c r="AF333" s="571" t="str">
        <f>$D$258</f>
        <v>bh</v>
      </c>
      <c r="AG333" s="568">
        <v>4</v>
      </c>
      <c r="AH333" s="567">
        <f>$F$258</f>
        <v>100000</v>
      </c>
      <c r="AI333" s="561">
        <f t="shared" si="155"/>
        <v>400000</v>
      </c>
      <c r="AJ333">
        <v>2.5</v>
      </c>
      <c r="AK333">
        <f t="shared" si="156"/>
        <v>10</v>
      </c>
    </row>
    <row r="334" spans="2:37" ht="15" customHeight="1">
      <c r="B334" s="589"/>
      <c r="C334" s="584"/>
      <c r="D334" s="571"/>
      <c r="E334" s="566"/>
      <c r="F334" s="567"/>
      <c r="G334" s="561"/>
      <c r="I334">
        <f>SUM(I327:I332)</f>
        <v>287441.11199999996</v>
      </c>
      <c r="N334" s="589"/>
      <c r="O334" s="584"/>
      <c r="P334" s="571"/>
      <c r="Q334" s="566"/>
      <c r="R334" s="567"/>
      <c r="S334" s="561"/>
      <c r="U334">
        <f>SUM(U327:U332)</f>
        <v>287441.11199999996</v>
      </c>
      <c r="V334" s="589"/>
      <c r="W334" s="584"/>
      <c r="X334" s="571"/>
      <c r="Y334" s="566"/>
      <c r="Z334" s="567"/>
      <c r="AA334" s="561"/>
      <c r="AC334">
        <f>SUM(AC327:AC332)</f>
        <v>287441.11199999996</v>
      </c>
      <c r="AD334" s="589"/>
      <c r="AE334" s="584"/>
      <c r="AF334" s="571"/>
      <c r="AG334" s="566"/>
      <c r="AH334" s="567"/>
      <c r="AI334" s="561"/>
      <c r="AK334">
        <f>SUM(AK327:AK332)</f>
        <v>287441.11199999996</v>
      </c>
    </row>
    <row r="335" spans="2:37" ht="15" customHeight="1">
      <c r="B335" s="590">
        <v>3</v>
      </c>
      <c r="C335" s="583" t="s">
        <v>2086</v>
      </c>
      <c r="D335" s="571"/>
      <c r="E335" s="566"/>
      <c r="F335" s="567"/>
      <c r="G335" s="561"/>
      <c r="N335" s="590">
        <v>3</v>
      </c>
      <c r="O335" s="583" t="s">
        <v>2086</v>
      </c>
      <c r="P335" s="571"/>
      <c r="Q335" s="566"/>
      <c r="R335" s="567"/>
      <c r="S335" s="561"/>
      <c r="V335" s="590">
        <v>3</v>
      </c>
      <c r="W335" s="583" t="s">
        <v>2086</v>
      </c>
      <c r="X335" s="571"/>
      <c r="Y335" s="566"/>
      <c r="Z335" s="567"/>
      <c r="AA335" s="561"/>
      <c r="AD335" s="590">
        <v>3</v>
      </c>
      <c r="AE335" s="583" t="s">
        <v>2086</v>
      </c>
      <c r="AF335" s="571"/>
      <c r="AG335" s="566"/>
      <c r="AH335" s="567"/>
      <c r="AI335" s="561"/>
    </row>
    <row r="336" spans="2:37" ht="15" customHeight="1">
      <c r="B336" s="589" t="s">
        <v>721</v>
      </c>
      <c r="C336" s="584" t="s">
        <v>2247</v>
      </c>
      <c r="D336" s="571" t="str">
        <f>$D$261</f>
        <v>bh</v>
      </c>
      <c r="E336" s="568">
        <v>4</v>
      </c>
      <c r="F336" s="567">
        <f>$F$261</f>
        <v>181849.04</v>
      </c>
      <c r="G336" s="561">
        <f t="shared" ref="G336:G341" si="157">E336*F336</f>
        <v>727396.16</v>
      </c>
      <c r="N336" s="589" t="s">
        <v>721</v>
      </c>
      <c r="O336" s="584" t="s">
        <v>2247</v>
      </c>
      <c r="P336" s="571" t="str">
        <f>$D$261</f>
        <v>bh</v>
      </c>
      <c r="Q336" s="568">
        <v>4</v>
      </c>
      <c r="R336" s="567">
        <f>$F$261</f>
        <v>181849.04</v>
      </c>
      <c r="S336" s="561">
        <f t="shared" ref="S336:S341" si="158">Q336*R336</f>
        <v>727396.16</v>
      </c>
      <c r="V336" s="589" t="s">
        <v>721</v>
      </c>
      <c r="W336" s="584" t="s">
        <v>2247</v>
      </c>
      <c r="X336" s="571" t="str">
        <f>$D$261</f>
        <v>bh</v>
      </c>
      <c r="Y336" s="568">
        <v>4</v>
      </c>
      <c r="Z336" s="567">
        <f>$F$261</f>
        <v>181849.04</v>
      </c>
      <c r="AA336" s="561">
        <f t="shared" ref="AA336:AA341" si="159">Y336*Z336</f>
        <v>727396.16</v>
      </c>
      <c r="AD336" s="589" t="s">
        <v>721</v>
      </c>
      <c r="AE336" s="584" t="s">
        <v>2247</v>
      </c>
      <c r="AF336" s="571" t="str">
        <f>$D$261</f>
        <v>bh</v>
      </c>
      <c r="AG336" s="568">
        <v>4</v>
      </c>
      <c r="AH336" s="567">
        <f>$F$261</f>
        <v>181849.04</v>
      </c>
      <c r="AI336" s="561">
        <f t="shared" ref="AI336:AI341" si="160">AG336*AH336</f>
        <v>727396.16</v>
      </c>
    </row>
    <row r="337" spans="2:37" ht="15" customHeight="1">
      <c r="B337" s="589" t="s">
        <v>2166</v>
      </c>
      <c r="C337" s="584" t="s">
        <v>2085</v>
      </c>
      <c r="D337" s="571" t="str">
        <f>$D$262</f>
        <v>kg</v>
      </c>
      <c r="E337" s="568">
        <f>I334</f>
        <v>287441.11199999996</v>
      </c>
      <c r="F337" s="567">
        <f>$F$262</f>
        <v>462.7700000000001</v>
      </c>
      <c r="G337" s="561">
        <f t="shared" si="157"/>
        <v>133019123.40024</v>
      </c>
      <c r="N337" s="589" t="s">
        <v>2166</v>
      </c>
      <c r="O337" s="584" t="s">
        <v>2085</v>
      </c>
      <c r="P337" s="571" t="str">
        <f>$D$262</f>
        <v>kg</v>
      </c>
      <c r="Q337" s="568">
        <f>U334</f>
        <v>287441.11199999996</v>
      </c>
      <c r="R337" s="567">
        <f>$F$262</f>
        <v>462.7700000000001</v>
      </c>
      <c r="S337" s="561">
        <f t="shared" si="158"/>
        <v>133019123.40024</v>
      </c>
      <c r="V337" s="589" t="s">
        <v>2166</v>
      </c>
      <c r="W337" s="584" t="s">
        <v>2085</v>
      </c>
      <c r="X337" s="571" t="str">
        <f>$D$262</f>
        <v>kg</v>
      </c>
      <c r="Y337" s="568">
        <f>AC334</f>
        <v>287441.11199999996</v>
      </c>
      <c r="Z337" s="567">
        <f>$F$262</f>
        <v>462.7700000000001</v>
      </c>
      <c r="AA337" s="561">
        <f t="shared" si="159"/>
        <v>133019123.40024</v>
      </c>
      <c r="AD337" s="589" t="s">
        <v>2166</v>
      </c>
      <c r="AE337" s="584" t="s">
        <v>2085</v>
      </c>
      <c r="AF337" s="571" t="str">
        <f>$D$262</f>
        <v>kg</v>
      </c>
      <c r="AG337" s="568">
        <f>AK334</f>
        <v>287441.11199999996</v>
      </c>
      <c r="AH337" s="567">
        <f>$F$262</f>
        <v>462.7700000000001</v>
      </c>
      <c r="AI337" s="561">
        <f t="shared" si="160"/>
        <v>133019123.40024</v>
      </c>
    </row>
    <row r="338" spans="2:37" ht="15" customHeight="1">
      <c r="B338" s="589" t="s">
        <v>2168</v>
      </c>
      <c r="C338" s="584" t="s">
        <v>2249</v>
      </c>
      <c r="D338" s="571" t="str">
        <f>$D$263</f>
        <v>bh</v>
      </c>
      <c r="E338" s="568">
        <v>4</v>
      </c>
      <c r="F338" s="567">
        <f>$F$263</f>
        <v>387825</v>
      </c>
      <c r="G338" s="561">
        <f t="shared" si="157"/>
        <v>1551300</v>
      </c>
      <c r="N338" s="589" t="s">
        <v>2168</v>
      </c>
      <c r="O338" s="584" t="s">
        <v>2249</v>
      </c>
      <c r="P338" s="571" t="str">
        <f>$D$263</f>
        <v>bh</v>
      </c>
      <c r="Q338" s="568">
        <v>4</v>
      </c>
      <c r="R338" s="567">
        <f>$F$263</f>
        <v>387825</v>
      </c>
      <c r="S338" s="561">
        <f t="shared" si="158"/>
        <v>1551300</v>
      </c>
      <c r="V338" s="589" t="s">
        <v>2168</v>
      </c>
      <c r="W338" s="584" t="s">
        <v>2249</v>
      </c>
      <c r="X338" s="571" t="str">
        <f>$D$263</f>
        <v>bh</v>
      </c>
      <c r="Y338" s="568">
        <v>4</v>
      </c>
      <c r="Z338" s="567">
        <f>$F$263</f>
        <v>387825</v>
      </c>
      <c r="AA338" s="561">
        <f t="shared" si="159"/>
        <v>1551300</v>
      </c>
      <c r="AD338" s="589" t="s">
        <v>2168</v>
      </c>
      <c r="AE338" s="584" t="s">
        <v>2249</v>
      </c>
      <c r="AF338" s="571" t="str">
        <f>$D$263</f>
        <v>bh</v>
      </c>
      <c r="AG338" s="568">
        <v>4</v>
      </c>
      <c r="AH338" s="567">
        <f>$F$263</f>
        <v>387825</v>
      </c>
      <c r="AI338" s="561">
        <f t="shared" si="160"/>
        <v>1551300</v>
      </c>
    </row>
    <row r="339" spans="2:37" ht="15" customHeight="1">
      <c r="B339" s="589" t="s">
        <v>2170</v>
      </c>
      <c r="C339" s="584" t="s">
        <v>2250</v>
      </c>
      <c r="D339" s="571" t="str">
        <f>$D$264</f>
        <v>kg</v>
      </c>
      <c r="E339" s="568">
        <f>$E$164</f>
        <v>150.93599999999998</v>
      </c>
      <c r="F339" s="567">
        <f>$F$264</f>
        <v>3758.6984549742947</v>
      </c>
      <c r="G339" s="561">
        <f t="shared" si="157"/>
        <v>567322.91</v>
      </c>
      <c r="N339" s="589" t="s">
        <v>2170</v>
      </c>
      <c r="O339" s="584" t="s">
        <v>2250</v>
      </c>
      <c r="P339" s="571" t="str">
        <f>$D$264</f>
        <v>kg</v>
      </c>
      <c r="Q339" s="568">
        <f>$Q$164</f>
        <v>239.61599999999999</v>
      </c>
      <c r="R339" s="567">
        <f>$F$264</f>
        <v>3758.6984549742947</v>
      </c>
      <c r="S339" s="561">
        <f t="shared" si="158"/>
        <v>900644.2889871205</v>
      </c>
      <c r="V339" s="589" t="s">
        <v>2170</v>
      </c>
      <c r="W339" s="584" t="s">
        <v>2269</v>
      </c>
      <c r="X339" s="571" t="str">
        <f>$D$264</f>
        <v>kg</v>
      </c>
      <c r="Y339" s="568">
        <f>$Y$164</f>
        <v>311.47199999999998</v>
      </c>
      <c r="Z339" s="567">
        <f>$F$264</f>
        <v>3758.6984549742947</v>
      </c>
      <c r="AA339" s="561">
        <f t="shared" si="159"/>
        <v>1170729.3251677535</v>
      </c>
      <c r="AD339" s="589" t="s">
        <v>2170</v>
      </c>
      <c r="AE339" s="584" t="s">
        <v>2269</v>
      </c>
      <c r="AF339" s="571" t="str">
        <f>$D$264</f>
        <v>kg</v>
      </c>
      <c r="AG339" s="568">
        <f>$AG$164</f>
        <v>403.17599999999999</v>
      </c>
      <c r="AH339" s="567">
        <f>$F$264</f>
        <v>3758.6984549742947</v>
      </c>
      <c r="AI339" s="561">
        <f t="shared" si="160"/>
        <v>1515417.0082827162</v>
      </c>
    </row>
    <row r="340" spans="2:37" ht="15" customHeight="1">
      <c r="B340" s="589" t="s">
        <v>2172</v>
      </c>
      <c r="C340" s="584" t="s">
        <v>2251</v>
      </c>
      <c r="D340" s="571" t="str">
        <f>$D$265</f>
        <v>set</v>
      </c>
      <c r="E340" s="568">
        <v>1</v>
      </c>
      <c r="F340" s="567">
        <f>$F$265</f>
        <v>855127</v>
      </c>
      <c r="G340" s="561">
        <f t="shared" si="157"/>
        <v>855127</v>
      </c>
      <c r="N340" s="589" t="s">
        <v>2172</v>
      </c>
      <c r="O340" s="584" t="s">
        <v>2251</v>
      </c>
      <c r="P340" s="571" t="str">
        <f>$D$265</f>
        <v>set</v>
      </c>
      <c r="Q340" s="568">
        <v>1</v>
      </c>
      <c r="R340" s="567">
        <f>$F$265</f>
        <v>855127</v>
      </c>
      <c r="S340" s="561">
        <f t="shared" si="158"/>
        <v>855127</v>
      </c>
      <c r="V340" s="589" t="s">
        <v>2172</v>
      </c>
      <c r="W340" s="584" t="s">
        <v>2251</v>
      </c>
      <c r="X340" s="571" t="str">
        <f>$D$265</f>
        <v>set</v>
      </c>
      <c r="Y340" s="568">
        <v>1</v>
      </c>
      <c r="Z340" s="567">
        <f>$F$265</f>
        <v>855127</v>
      </c>
      <c r="AA340" s="561">
        <f t="shared" si="159"/>
        <v>855127</v>
      </c>
      <c r="AD340" s="589" t="s">
        <v>2172</v>
      </c>
      <c r="AE340" s="584" t="s">
        <v>2251</v>
      </c>
      <c r="AF340" s="571" t="str">
        <f>$D$265</f>
        <v>set</v>
      </c>
      <c r="AG340" s="568">
        <v>1</v>
      </c>
      <c r="AH340" s="567">
        <f>$F$265</f>
        <v>855127</v>
      </c>
      <c r="AI340" s="561">
        <f t="shared" si="160"/>
        <v>855127</v>
      </c>
    </row>
    <row r="341" spans="2:37" ht="15" customHeight="1">
      <c r="B341" s="589" t="s">
        <v>2174</v>
      </c>
      <c r="C341" s="584" t="s">
        <v>2252</v>
      </c>
      <c r="D341" s="571" t="str">
        <f>$D$266</f>
        <v>set</v>
      </c>
      <c r="E341" s="568">
        <v>1</v>
      </c>
      <c r="F341" s="567">
        <f>$F$266</f>
        <v>674025</v>
      </c>
      <c r="G341" s="561">
        <f t="shared" si="157"/>
        <v>674025</v>
      </c>
      <c r="N341" s="589" t="s">
        <v>2174</v>
      </c>
      <c r="O341" s="584" t="s">
        <v>2252</v>
      </c>
      <c r="P341" s="571" t="str">
        <f>$D$266</f>
        <v>set</v>
      </c>
      <c r="Q341" s="568">
        <v>1</v>
      </c>
      <c r="R341" s="567">
        <f>$F$266</f>
        <v>674025</v>
      </c>
      <c r="S341" s="561">
        <f t="shared" si="158"/>
        <v>674025</v>
      </c>
      <c r="V341" s="589" t="s">
        <v>2174</v>
      </c>
      <c r="W341" s="584" t="s">
        <v>2252</v>
      </c>
      <c r="X341" s="571" t="str">
        <f>$D$266</f>
        <v>set</v>
      </c>
      <c r="Y341" s="568">
        <v>1</v>
      </c>
      <c r="Z341" s="567">
        <f>$F$266</f>
        <v>674025</v>
      </c>
      <c r="AA341" s="561">
        <f t="shared" si="159"/>
        <v>674025</v>
      </c>
      <c r="AD341" s="589" t="s">
        <v>2174</v>
      </c>
      <c r="AE341" s="584" t="s">
        <v>2252</v>
      </c>
      <c r="AF341" s="571" t="str">
        <f>$D$266</f>
        <v>set</v>
      </c>
      <c r="AG341" s="568">
        <v>1</v>
      </c>
      <c r="AH341" s="567">
        <f>$F$266</f>
        <v>674025</v>
      </c>
      <c r="AI341" s="561">
        <f t="shared" si="160"/>
        <v>674025</v>
      </c>
    </row>
    <row r="342" spans="2:37" ht="15" customHeight="1" thickBot="1">
      <c r="B342" s="582"/>
      <c r="C342" s="1197" t="s">
        <v>2292</v>
      </c>
      <c r="D342" s="1198"/>
      <c r="E342" s="1198"/>
      <c r="F342" s="1199"/>
      <c r="G342" s="560">
        <f>SUM(G321:G341)</f>
        <v>554019518.81036294</v>
      </c>
      <c r="N342" s="582"/>
      <c r="O342" s="1197" t="s">
        <v>2292</v>
      </c>
      <c r="P342" s="1198"/>
      <c r="Q342" s="1198"/>
      <c r="R342" s="1199"/>
      <c r="S342" s="560">
        <f>SUM(S321:S341)</f>
        <v>554352840.18935013</v>
      </c>
      <c r="V342" s="582"/>
      <c r="W342" s="1197" t="s">
        <v>2292</v>
      </c>
      <c r="X342" s="1198"/>
      <c r="Y342" s="1198"/>
      <c r="Z342" s="1199"/>
      <c r="AA342" s="560">
        <f>SUM(AA321:AA341)</f>
        <v>554622925.22553074</v>
      </c>
      <c r="AD342" s="582"/>
      <c r="AE342" s="1197" t="s">
        <v>2292</v>
      </c>
      <c r="AF342" s="1198"/>
      <c r="AG342" s="1198"/>
      <c r="AH342" s="1199"/>
      <c r="AI342" s="560">
        <f>SUM(AI321:AI341)</f>
        <v>554967612.90864563</v>
      </c>
    </row>
    <row r="343" spans="2:37" ht="15" customHeight="1" thickBot="1">
      <c r="R343" s="634"/>
      <c r="Z343" s="634"/>
      <c r="AA343" s="634"/>
      <c r="AH343" s="634"/>
      <c r="AI343" s="634"/>
    </row>
    <row r="344" spans="2:37" ht="15" customHeight="1" thickBot="1">
      <c r="B344" s="581" t="s">
        <v>2229</v>
      </c>
      <c r="C344" s="580"/>
      <c r="D344" s="579">
        <v>6</v>
      </c>
      <c r="E344" s="578"/>
      <c r="F344" s="577"/>
      <c r="G344" s="564"/>
      <c r="N344" s="581" t="s">
        <v>2230</v>
      </c>
      <c r="O344" s="580"/>
      <c r="P344" s="579">
        <v>6</v>
      </c>
      <c r="Q344" s="578"/>
      <c r="R344" s="577"/>
      <c r="S344" s="564"/>
      <c r="V344" s="581" t="s">
        <v>2231</v>
      </c>
      <c r="W344" s="580"/>
      <c r="X344" s="579"/>
      <c r="Y344" s="578"/>
      <c r="Z344" s="577"/>
      <c r="AA344" s="564"/>
      <c r="AD344" s="581" t="s">
        <v>2254</v>
      </c>
      <c r="AE344" s="580"/>
      <c r="AF344" s="579"/>
      <c r="AG344" s="578"/>
      <c r="AH344" s="577"/>
      <c r="AI344" s="564"/>
    </row>
    <row r="345" spans="2:37" ht="15" customHeight="1">
      <c r="B345" s="576"/>
      <c r="C345" s="575" t="s">
        <v>2293</v>
      </c>
      <c r="D345" s="574"/>
      <c r="E345" s="573"/>
      <c r="F345" s="572"/>
      <c r="G345" s="563"/>
      <c r="N345" s="576"/>
      <c r="O345" s="575" t="s">
        <v>2293</v>
      </c>
      <c r="P345" s="574"/>
      <c r="Q345" s="573"/>
      <c r="R345" s="572"/>
      <c r="S345" s="563"/>
      <c r="V345" s="576"/>
      <c r="W345" s="575" t="s">
        <v>2294</v>
      </c>
      <c r="X345" s="574"/>
      <c r="Y345" s="573"/>
      <c r="Z345" s="572"/>
      <c r="AA345" s="563"/>
      <c r="AD345" s="576"/>
      <c r="AE345" s="575" t="s">
        <v>2294</v>
      </c>
      <c r="AF345" s="574"/>
      <c r="AG345" s="573"/>
      <c r="AH345" s="572"/>
      <c r="AI345" s="563"/>
    </row>
    <row r="346" spans="2:37" ht="15" customHeight="1">
      <c r="B346" s="588">
        <v>1</v>
      </c>
      <c r="C346" s="587" t="s">
        <v>2234</v>
      </c>
      <c r="D346" s="571"/>
      <c r="E346" s="570"/>
      <c r="F346" s="569"/>
      <c r="G346" s="562"/>
      <c r="N346" s="588">
        <v>1</v>
      </c>
      <c r="O346" s="587" t="s">
        <v>2234</v>
      </c>
      <c r="P346" s="571"/>
      <c r="Q346" s="570"/>
      <c r="R346" s="569"/>
      <c r="S346" s="562"/>
      <c r="V346" s="588">
        <v>1</v>
      </c>
      <c r="W346" s="587" t="s">
        <v>2234</v>
      </c>
      <c r="X346" s="571"/>
      <c r="Y346" s="570"/>
      <c r="Z346" s="569"/>
      <c r="AA346" s="562"/>
      <c r="AD346" s="588">
        <v>1</v>
      </c>
      <c r="AE346" s="587" t="s">
        <v>2234</v>
      </c>
      <c r="AF346" s="571"/>
      <c r="AG346" s="570"/>
      <c r="AH346" s="569"/>
      <c r="AI346" s="562"/>
    </row>
    <row r="347" spans="2:37" ht="15" customHeight="1">
      <c r="B347" s="589" t="s">
        <v>721</v>
      </c>
      <c r="C347" s="586" t="s">
        <v>2235</v>
      </c>
      <c r="D347" s="571" t="str">
        <f>$D$247</f>
        <v>m³</v>
      </c>
      <c r="E347" s="568">
        <v>72.5</v>
      </c>
      <c r="F347" s="567">
        <f>$F$247</f>
        <v>102390.75000000001</v>
      </c>
      <c r="G347" s="561">
        <f>E347*F347</f>
        <v>7423329.3750000009</v>
      </c>
      <c r="N347" s="589" t="s">
        <v>721</v>
      </c>
      <c r="O347" s="586" t="s">
        <v>2235</v>
      </c>
      <c r="P347" s="571" t="str">
        <f>$D$247</f>
        <v>m³</v>
      </c>
      <c r="Q347" s="568">
        <v>72.5</v>
      </c>
      <c r="R347" s="567">
        <f>$F$247</f>
        <v>102390.75000000001</v>
      </c>
      <c r="S347" s="561">
        <f>Q347*R347</f>
        <v>7423329.3750000009</v>
      </c>
      <c r="V347" s="589" t="s">
        <v>721</v>
      </c>
      <c r="W347" s="586" t="s">
        <v>2235</v>
      </c>
      <c r="X347" s="571" t="str">
        <f>$D$247</f>
        <v>m³</v>
      </c>
      <c r="Y347" s="568">
        <v>72.5</v>
      </c>
      <c r="Z347" s="567">
        <f>$F$247</f>
        <v>102390.75000000001</v>
      </c>
      <c r="AA347" s="561">
        <f>Y347*Z347</f>
        <v>7423329.3750000009</v>
      </c>
      <c r="AD347" s="589" t="s">
        <v>721</v>
      </c>
      <c r="AE347" s="586" t="s">
        <v>2235</v>
      </c>
      <c r="AF347" s="571" t="str">
        <f>$D$247</f>
        <v>m³</v>
      </c>
      <c r="AG347" s="568">
        <v>72.5</v>
      </c>
      <c r="AH347" s="567">
        <f>$F$247</f>
        <v>102390.75000000001</v>
      </c>
      <c r="AI347" s="561">
        <f>AG347*AH347</f>
        <v>7423329.3750000009</v>
      </c>
    </row>
    <row r="348" spans="2:37" ht="15" customHeight="1">
      <c r="B348" s="589" t="s">
        <v>2166</v>
      </c>
      <c r="C348" s="586" t="s">
        <v>2237</v>
      </c>
      <c r="D348" s="571" t="str">
        <f>$D$248</f>
        <v>m³</v>
      </c>
      <c r="E348" s="568">
        <v>30.560000000000002</v>
      </c>
      <c r="F348" s="567">
        <f>$F$248</f>
        <v>62462.950000000012</v>
      </c>
      <c r="G348" s="561">
        <f>E348*F348</f>
        <v>1908867.7520000006</v>
      </c>
      <c r="N348" s="589" t="s">
        <v>2166</v>
      </c>
      <c r="O348" s="586" t="s">
        <v>2237</v>
      </c>
      <c r="P348" s="571" t="str">
        <f>$D$248</f>
        <v>m³</v>
      </c>
      <c r="Q348" s="568">
        <v>30.560000000000002</v>
      </c>
      <c r="R348" s="567">
        <f>$F$248</f>
        <v>62462.950000000012</v>
      </c>
      <c r="S348" s="561">
        <f>Q348*R348</f>
        <v>1908867.7520000006</v>
      </c>
      <c r="V348" s="589" t="s">
        <v>2166</v>
      </c>
      <c r="W348" s="586" t="s">
        <v>2237</v>
      </c>
      <c r="X348" s="571" t="str">
        <f>$D$248</f>
        <v>m³</v>
      </c>
      <c r="Y348" s="568">
        <v>30.560000000000002</v>
      </c>
      <c r="Z348" s="567">
        <f>$F$248</f>
        <v>62462.950000000012</v>
      </c>
      <c r="AA348" s="561">
        <f>Y348*Z348</f>
        <v>1908867.7520000006</v>
      </c>
      <c r="AD348" s="589" t="s">
        <v>2166</v>
      </c>
      <c r="AE348" s="586" t="s">
        <v>2237</v>
      </c>
      <c r="AF348" s="571" t="str">
        <f>$D$248</f>
        <v>m³</v>
      </c>
      <c r="AG348" s="568">
        <v>30.560000000000002</v>
      </c>
      <c r="AH348" s="567">
        <f>$F$248</f>
        <v>62462.950000000012</v>
      </c>
      <c r="AI348" s="561">
        <f>AG348*AH348</f>
        <v>1908867.7520000006</v>
      </c>
    </row>
    <row r="349" spans="2:37" ht="15" customHeight="1">
      <c r="B349" s="589" t="s">
        <v>2168</v>
      </c>
      <c r="C349" s="586" t="s">
        <v>2265</v>
      </c>
      <c r="D349" s="571" t="str">
        <f>$D$249</f>
        <v>m'</v>
      </c>
      <c r="E349" s="568">
        <v>336</v>
      </c>
      <c r="F349" s="567">
        <f>$F$249</f>
        <v>52230.612500000003</v>
      </c>
      <c r="G349" s="561">
        <f>E349*F349</f>
        <v>17549485.800000001</v>
      </c>
      <c r="N349" s="589" t="s">
        <v>2168</v>
      </c>
      <c r="O349" s="586" t="s">
        <v>2265</v>
      </c>
      <c r="P349" s="571" t="str">
        <f>$D$249</f>
        <v>m'</v>
      </c>
      <c r="Q349" s="568">
        <v>336</v>
      </c>
      <c r="R349" s="567">
        <f>$F$249</f>
        <v>52230.612500000003</v>
      </c>
      <c r="S349" s="561">
        <f>Q349*R349</f>
        <v>17549485.800000001</v>
      </c>
      <c r="V349" s="589" t="s">
        <v>2168</v>
      </c>
      <c r="W349" s="586" t="s">
        <v>2265</v>
      </c>
      <c r="X349" s="571" t="str">
        <f>$D$249</f>
        <v>m'</v>
      </c>
      <c r="Y349" s="568">
        <v>336</v>
      </c>
      <c r="Z349" s="567">
        <f>$F$249</f>
        <v>52230.612500000003</v>
      </c>
      <c r="AA349" s="561">
        <f>Y349*Z349</f>
        <v>17549485.800000001</v>
      </c>
      <c r="AD349" s="589" t="s">
        <v>2168</v>
      </c>
      <c r="AE349" s="586" t="s">
        <v>2265</v>
      </c>
      <c r="AF349" s="571" t="str">
        <f>$D$249</f>
        <v>m'</v>
      </c>
      <c r="AG349" s="568">
        <v>336</v>
      </c>
      <c r="AH349" s="567">
        <f>$F$249</f>
        <v>52230.612500000003</v>
      </c>
      <c r="AI349" s="561">
        <f>AG349*AH349</f>
        <v>17549485.800000001</v>
      </c>
    </row>
    <row r="350" spans="2:37" ht="15" customHeight="1">
      <c r="B350" s="585"/>
      <c r="C350" s="586"/>
      <c r="D350" s="571"/>
      <c r="E350" s="566"/>
      <c r="F350" s="567"/>
      <c r="G350" s="561"/>
      <c r="N350" s="585"/>
      <c r="O350" s="586"/>
      <c r="P350" s="571"/>
      <c r="Q350" s="566"/>
      <c r="R350" s="567"/>
      <c r="S350" s="561"/>
      <c r="V350" s="585"/>
      <c r="W350" s="586"/>
      <c r="X350" s="571"/>
      <c r="Y350" s="566"/>
      <c r="Z350" s="567"/>
      <c r="AA350" s="561"/>
      <c r="AD350" s="585"/>
      <c r="AE350" s="586"/>
      <c r="AF350" s="571"/>
      <c r="AG350" s="566"/>
      <c r="AH350" s="567"/>
      <c r="AI350" s="561"/>
    </row>
    <row r="351" spans="2:37" ht="15" customHeight="1">
      <c r="B351" s="590">
        <v>2</v>
      </c>
      <c r="C351" s="587" t="s">
        <v>2238</v>
      </c>
      <c r="D351" s="571"/>
      <c r="E351" s="566"/>
      <c r="F351" s="567"/>
      <c r="G351" s="561"/>
      <c r="H351" t="s">
        <v>2239</v>
      </c>
      <c r="N351" s="590">
        <v>2</v>
      </c>
      <c r="O351" s="587" t="s">
        <v>2238</v>
      </c>
      <c r="P351" s="571"/>
      <c r="Q351" s="566"/>
      <c r="R351" s="567"/>
      <c r="S351" s="561"/>
      <c r="T351" t="s">
        <v>2239</v>
      </c>
      <c r="V351" s="590">
        <v>2</v>
      </c>
      <c r="W351" s="587" t="s">
        <v>2238</v>
      </c>
      <c r="X351" s="571"/>
      <c r="Y351" s="566"/>
      <c r="Z351" s="567"/>
      <c r="AA351" s="561"/>
      <c r="AB351" t="s">
        <v>2239</v>
      </c>
      <c r="AD351" s="590">
        <v>2</v>
      </c>
      <c r="AE351" s="587" t="s">
        <v>2238</v>
      </c>
      <c r="AF351" s="571"/>
      <c r="AG351" s="566"/>
      <c r="AH351" s="567"/>
      <c r="AI351" s="561"/>
      <c r="AJ351" t="s">
        <v>2239</v>
      </c>
    </row>
    <row r="352" spans="2:37" ht="15" customHeight="1">
      <c r="B352" s="589" t="s">
        <v>721</v>
      </c>
      <c r="C352" s="586" t="s">
        <v>2240</v>
      </c>
      <c r="D352" s="571" t="str">
        <f>$D$252</f>
        <v>m³</v>
      </c>
      <c r="E352" s="568">
        <v>5.4</v>
      </c>
      <c r="F352" s="567">
        <f>$F$252</f>
        <v>404738.95</v>
      </c>
      <c r="G352" s="561">
        <f t="shared" ref="G352:G358" si="161">E352*F352</f>
        <v>2185590.33</v>
      </c>
      <c r="H352">
        <v>1400</v>
      </c>
      <c r="I352">
        <f t="shared" ref="I352:I358" si="162">E352*H352</f>
        <v>7560.0000000000009</v>
      </c>
      <c r="N352" s="589" t="s">
        <v>721</v>
      </c>
      <c r="O352" s="586" t="s">
        <v>2240</v>
      </c>
      <c r="P352" s="571" t="str">
        <f>$D$252</f>
        <v>m³</v>
      </c>
      <c r="Q352" s="568">
        <v>5.4</v>
      </c>
      <c r="R352" s="567">
        <f>$F$252</f>
        <v>404738.95</v>
      </c>
      <c r="S352" s="561">
        <f t="shared" ref="S352:S358" si="163">Q352*R352</f>
        <v>2185590.33</v>
      </c>
      <c r="T352">
        <v>1400</v>
      </c>
      <c r="U352">
        <f t="shared" ref="U352:U358" si="164">Q352*T352</f>
        <v>7560.0000000000009</v>
      </c>
      <c r="V352" s="589" t="s">
        <v>721</v>
      </c>
      <c r="W352" s="586" t="s">
        <v>2240</v>
      </c>
      <c r="X352" s="571" t="str">
        <f>$D$252</f>
        <v>m³</v>
      </c>
      <c r="Y352" s="568">
        <v>5.4</v>
      </c>
      <c r="Z352" s="567">
        <f>$F$252</f>
        <v>404738.95</v>
      </c>
      <c r="AA352" s="561">
        <f t="shared" ref="AA352:AA358" si="165">Y352*Z352</f>
        <v>2185590.33</v>
      </c>
      <c r="AB352">
        <v>1400</v>
      </c>
      <c r="AC352">
        <f t="shared" ref="AC352:AC358" si="166">Y352*AB352</f>
        <v>7560.0000000000009</v>
      </c>
      <c r="AD352" s="589" t="s">
        <v>721</v>
      </c>
      <c r="AE352" s="586" t="s">
        <v>2240</v>
      </c>
      <c r="AF352" s="571" t="str">
        <f>$D$252</f>
        <v>m³</v>
      </c>
      <c r="AG352" s="568">
        <v>5.4</v>
      </c>
      <c r="AH352" s="567">
        <f>$F$252</f>
        <v>404738.95</v>
      </c>
      <c r="AI352" s="561">
        <f t="shared" ref="AI352:AI358" si="167">AG352*AH352</f>
        <v>2185590.33</v>
      </c>
      <c r="AJ352">
        <v>1400</v>
      </c>
      <c r="AK352">
        <f t="shared" ref="AK352:AK358" si="168">AG352*AJ352</f>
        <v>7560.0000000000009</v>
      </c>
    </row>
    <row r="353" spans="2:37" ht="15" customHeight="1">
      <c r="B353" s="589" t="s">
        <v>2166</v>
      </c>
      <c r="C353" s="584" t="s">
        <v>2241</v>
      </c>
      <c r="D353" s="571" t="str">
        <f>$D$253</f>
        <v>m³</v>
      </c>
      <c r="E353" s="568">
        <v>2.7</v>
      </c>
      <c r="F353" s="567">
        <f>$F$253</f>
        <v>710224.707936508</v>
      </c>
      <c r="G353" s="561">
        <f t="shared" si="161"/>
        <v>1917606.7114285717</v>
      </c>
      <c r="H353">
        <v>2200</v>
      </c>
      <c r="I353">
        <f t="shared" si="162"/>
        <v>5940</v>
      </c>
      <c r="N353" s="589" t="s">
        <v>2166</v>
      </c>
      <c r="O353" s="584" t="s">
        <v>2241</v>
      </c>
      <c r="P353" s="571" t="str">
        <f>$D$253</f>
        <v>m³</v>
      </c>
      <c r="Q353" s="568">
        <v>2.7</v>
      </c>
      <c r="R353" s="567">
        <f>$F$253</f>
        <v>710224.707936508</v>
      </c>
      <c r="S353" s="561">
        <f t="shared" si="163"/>
        <v>1917606.7114285717</v>
      </c>
      <c r="T353">
        <v>2200</v>
      </c>
      <c r="U353">
        <f t="shared" si="164"/>
        <v>5940</v>
      </c>
      <c r="V353" s="589" t="s">
        <v>2166</v>
      </c>
      <c r="W353" s="584" t="s">
        <v>2241</v>
      </c>
      <c r="X353" s="571" t="str">
        <f>$D$253</f>
        <v>m³</v>
      </c>
      <c r="Y353" s="568">
        <v>2.7</v>
      </c>
      <c r="Z353" s="567">
        <f>$F$253</f>
        <v>710224.707936508</v>
      </c>
      <c r="AA353" s="561">
        <f t="shared" si="165"/>
        <v>1917606.7114285717</v>
      </c>
      <c r="AB353">
        <v>2200</v>
      </c>
      <c r="AC353">
        <f t="shared" si="166"/>
        <v>5940</v>
      </c>
      <c r="AD353" s="589" t="s">
        <v>2166</v>
      </c>
      <c r="AE353" s="584" t="s">
        <v>2241</v>
      </c>
      <c r="AF353" s="571" t="str">
        <f>$D$253</f>
        <v>m³</v>
      </c>
      <c r="AG353" s="568">
        <v>2.7</v>
      </c>
      <c r="AH353" s="567">
        <f>$F$253</f>
        <v>710224.707936508</v>
      </c>
      <c r="AI353" s="561">
        <f t="shared" si="167"/>
        <v>1917606.7114285717</v>
      </c>
      <c r="AJ353">
        <v>2200</v>
      </c>
      <c r="AK353">
        <f t="shared" si="168"/>
        <v>5940</v>
      </c>
    </row>
    <row r="354" spans="2:37" ht="15" customHeight="1">
      <c r="B354" s="589" t="s">
        <v>2168</v>
      </c>
      <c r="C354" s="584" t="s">
        <v>2266</v>
      </c>
      <c r="D354" s="571" t="str">
        <f>$D$254</f>
        <v>m³</v>
      </c>
      <c r="E354" s="568">
        <v>33.839999999999996</v>
      </c>
      <c r="F354" s="567">
        <f>$F$254</f>
        <v>1115864.6138095236</v>
      </c>
      <c r="G354" s="561">
        <f t="shared" si="161"/>
        <v>37760858.531314276</v>
      </c>
      <c r="H354">
        <v>2400</v>
      </c>
      <c r="I354">
        <f t="shared" si="162"/>
        <v>81215.999999999985</v>
      </c>
      <c r="N354" s="589" t="s">
        <v>2168</v>
      </c>
      <c r="O354" s="584" t="s">
        <v>2266</v>
      </c>
      <c r="P354" s="571" t="str">
        <f>$D$254</f>
        <v>m³</v>
      </c>
      <c r="Q354" s="568">
        <v>33.839999999999996</v>
      </c>
      <c r="R354" s="567">
        <f>$F$254</f>
        <v>1115864.6138095236</v>
      </c>
      <c r="S354" s="561">
        <f t="shared" si="163"/>
        <v>37760858.531314276</v>
      </c>
      <c r="T354">
        <v>2400</v>
      </c>
      <c r="U354">
        <f t="shared" si="164"/>
        <v>81215.999999999985</v>
      </c>
      <c r="V354" s="589" t="s">
        <v>2168</v>
      </c>
      <c r="W354" s="584" t="str">
        <f>O354</f>
        <v>Beton K 225 (Pad &amp; Chimney)</v>
      </c>
      <c r="X354" s="571" t="str">
        <f>$D$254</f>
        <v>m³</v>
      </c>
      <c r="Y354" s="568">
        <v>33.839999999999996</v>
      </c>
      <c r="Z354" s="567">
        <f>$F$254</f>
        <v>1115864.6138095236</v>
      </c>
      <c r="AA354" s="561">
        <f t="shared" si="165"/>
        <v>37760858.531314276</v>
      </c>
      <c r="AB354">
        <v>2400</v>
      </c>
      <c r="AC354">
        <f t="shared" si="166"/>
        <v>81215.999999999985</v>
      </c>
      <c r="AD354" s="589" t="s">
        <v>2168</v>
      </c>
      <c r="AE354" s="584" t="str">
        <f>W354</f>
        <v>Beton K 225 (Pad &amp; Chimney)</v>
      </c>
      <c r="AF354" s="571" t="str">
        <f>$D$254</f>
        <v>m³</v>
      </c>
      <c r="AG354" s="568">
        <v>33.839999999999996</v>
      </c>
      <c r="AH354" s="567">
        <f>$F$254</f>
        <v>1115864.6138095236</v>
      </c>
      <c r="AI354" s="561">
        <f t="shared" si="167"/>
        <v>37760858.531314276</v>
      </c>
      <c r="AJ354">
        <v>2400</v>
      </c>
      <c r="AK354">
        <f t="shared" si="168"/>
        <v>81215.999999999985</v>
      </c>
    </row>
    <row r="355" spans="2:37" ht="15" customHeight="1">
      <c r="B355" s="589" t="s">
        <v>2170</v>
      </c>
      <c r="C355" s="584" t="s">
        <v>2267</v>
      </c>
      <c r="D355" s="571" t="str">
        <f>$D$255</f>
        <v>m³</v>
      </c>
      <c r="E355" s="568">
        <v>87.572571428571436</v>
      </c>
      <c r="F355" s="567">
        <f>$F$255</f>
        <v>1057576.2423809525</v>
      </c>
      <c r="G355" s="561">
        <f t="shared" si="161"/>
        <v>92614671.027066141</v>
      </c>
      <c r="H355">
        <v>2200</v>
      </c>
      <c r="I355">
        <f t="shared" si="162"/>
        <v>192659.65714285715</v>
      </c>
      <c r="N355" s="589" t="s">
        <v>2170</v>
      </c>
      <c r="O355" s="584" t="s">
        <v>2267</v>
      </c>
      <c r="P355" s="571" t="str">
        <f>$D$255</f>
        <v>m³</v>
      </c>
      <c r="Q355" s="568">
        <v>87.572571428571436</v>
      </c>
      <c r="R355" s="567">
        <f>$F$255</f>
        <v>1057576.2423809525</v>
      </c>
      <c r="S355" s="561">
        <f t="shared" si="163"/>
        <v>92614671.027066141</v>
      </c>
      <c r="T355">
        <v>2200</v>
      </c>
      <c r="U355">
        <f t="shared" si="164"/>
        <v>192659.65714285715</v>
      </c>
      <c r="V355" s="589" t="s">
        <v>2170</v>
      </c>
      <c r="W355" s="584" t="s">
        <v>2267</v>
      </c>
      <c r="X355" s="571" t="str">
        <f>$D$255</f>
        <v>m³</v>
      </c>
      <c r="Y355" s="568">
        <v>87.572571428571436</v>
      </c>
      <c r="Z355" s="567">
        <f>$F$255</f>
        <v>1057576.2423809525</v>
      </c>
      <c r="AA355" s="561">
        <f t="shared" si="165"/>
        <v>92614671.027066141</v>
      </c>
      <c r="AB355">
        <v>2200</v>
      </c>
      <c r="AC355">
        <f t="shared" si="166"/>
        <v>192659.65714285715</v>
      </c>
      <c r="AD355" s="589" t="s">
        <v>2170</v>
      </c>
      <c r="AE355" s="584" t="s">
        <v>2267</v>
      </c>
      <c r="AF355" s="571" t="str">
        <f>$D$255</f>
        <v>m³</v>
      </c>
      <c r="AG355" s="568">
        <v>87.572571428571436</v>
      </c>
      <c r="AH355" s="567">
        <f>$F$255</f>
        <v>1057576.2423809525</v>
      </c>
      <c r="AI355" s="561">
        <f t="shared" si="167"/>
        <v>92614671.027066141</v>
      </c>
      <c r="AJ355">
        <v>2200</v>
      </c>
      <c r="AK355">
        <f t="shared" si="168"/>
        <v>192659.65714285715</v>
      </c>
    </row>
    <row r="356" spans="2:37" ht="15" customHeight="1">
      <c r="B356" s="589" t="s">
        <v>2172</v>
      </c>
      <c r="C356" s="584" t="s">
        <v>2243</v>
      </c>
      <c r="D356" s="571" t="str">
        <f>$D$256</f>
        <v>kg</v>
      </c>
      <c r="E356" s="568">
        <v>13995.960000000001</v>
      </c>
      <c r="F356" s="567">
        <f>$F$256</f>
        <v>19478.039350000003</v>
      </c>
      <c r="G356" s="561">
        <f t="shared" si="161"/>
        <v>272613859.62102604</v>
      </c>
      <c r="H356">
        <v>1</v>
      </c>
      <c r="I356">
        <f t="shared" si="162"/>
        <v>13995.960000000001</v>
      </c>
      <c r="N356" s="589" t="s">
        <v>2172</v>
      </c>
      <c r="O356" s="584" t="s">
        <v>2243</v>
      </c>
      <c r="P356" s="571" t="str">
        <f>$D$256</f>
        <v>kg</v>
      </c>
      <c r="Q356" s="568">
        <v>13995.960000000001</v>
      </c>
      <c r="R356" s="567">
        <f>$F$256</f>
        <v>19478.039350000003</v>
      </c>
      <c r="S356" s="561">
        <f t="shared" si="163"/>
        <v>272613859.62102604</v>
      </c>
      <c r="T356">
        <v>1</v>
      </c>
      <c r="U356">
        <f t="shared" si="164"/>
        <v>13995.960000000001</v>
      </c>
      <c r="V356" s="589" t="s">
        <v>2172</v>
      </c>
      <c r="W356" s="584" t="s">
        <v>2243</v>
      </c>
      <c r="X356" s="571" t="str">
        <f>$D$256</f>
        <v>kg</v>
      </c>
      <c r="Y356" s="568">
        <v>13995.960000000001</v>
      </c>
      <c r="Z356" s="567">
        <f>$F$256</f>
        <v>19478.039350000003</v>
      </c>
      <c r="AA356" s="561">
        <f t="shared" si="165"/>
        <v>272613859.62102604</v>
      </c>
      <c r="AB356">
        <v>1</v>
      </c>
      <c r="AC356">
        <f t="shared" si="166"/>
        <v>13995.960000000001</v>
      </c>
      <c r="AD356" s="589" t="s">
        <v>2172</v>
      </c>
      <c r="AE356" s="584" t="s">
        <v>2243</v>
      </c>
      <c r="AF356" s="571" t="str">
        <f>$D$256</f>
        <v>kg</v>
      </c>
      <c r="AG356" s="568">
        <v>13995.960000000001</v>
      </c>
      <c r="AH356" s="567">
        <f>$F$256</f>
        <v>19478.039350000003</v>
      </c>
      <c r="AI356" s="561">
        <f t="shared" si="167"/>
        <v>272613859.62102604</v>
      </c>
      <c r="AJ356">
        <v>1</v>
      </c>
      <c r="AK356">
        <f t="shared" si="168"/>
        <v>13995.960000000001</v>
      </c>
    </row>
    <row r="357" spans="2:37" ht="15" customHeight="1">
      <c r="B357" s="589" t="s">
        <v>2268</v>
      </c>
      <c r="C357" s="584" t="s">
        <v>2244</v>
      </c>
      <c r="D357" s="571" t="str">
        <f>$D$257</f>
        <v>m²</v>
      </c>
      <c r="E357" s="568">
        <v>45.6</v>
      </c>
      <c r="F357" s="567">
        <f>$F$257</f>
        <v>145812.67000000001</v>
      </c>
      <c r="G357" s="561">
        <f t="shared" si="161"/>
        <v>6649057.7520000003</v>
      </c>
      <c r="H357">
        <v>40</v>
      </c>
      <c r="I357">
        <f t="shared" si="162"/>
        <v>1824</v>
      </c>
      <c r="N357" s="589" t="s">
        <v>2268</v>
      </c>
      <c r="O357" s="584" t="s">
        <v>2244</v>
      </c>
      <c r="P357" s="571" t="str">
        <f>$D$257</f>
        <v>m²</v>
      </c>
      <c r="Q357" s="568">
        <v>45.6</v>
      </c>
      <c r="R357" s="567">
        <f>$F$257</f>
        <v>145812.67000000001</v>
      </c>
      <c r="S357" s="561">
        <f t="shared" si="163"/>
        <v>6649057.7520000003</v>
      </c>
      <c r="T357">
        <v>40</v>
      </c>
      <c r="U357">
        <f t="shared" si="164"/>
        <v>1824</v>
      </c>
      <c r="V357" s="589" t="s">
        <v>2268</v>
      </c>
      <c r="W357" s="584" t="s">
        <v>2244</v>
      </c>
      <c r="X357" s="571" t="str">
        <f>$D$257</f>
        <v>m²</v>
      </c>
      <c r="Y357" s="568">
        <v>45.6</v>
      </c>
      <c r="Z357" s="567">
        <f>$F$257</f>
        <v>145812.67000000001</v>
      </c>
      <c r="AA357" s="561">
        <f t="shared" si="165"/>
        <v>6649057.7520000003</v>
      </c>
      <c r="AB357">
        <v>40</v>
      </c>
      <c r="AC357">
        <f t="shared" si="166"/>
        <v>1824</v>
      </c>
      <c r="AD357" s="589" t="s">
        <v>2268</v>
      </c>
      <c r="AE357" s="584" t="s">
        <v>2244</v>
      </c>
      <c r="AF357" s="571" t="str">
        <f>$D$257</f>
        <v>m²</v>
      </c>
      <c r="AG357" s="568">
        <v>45.6</v>
      </c>
      <c r="AH357" s="567">
        <f>$F$257</f>
        <v>145812.67000000001</v>
      </c>
      <c r="AI357" s="561">
        <f t="shared" si="167"/>
        <v>6649057.7520000003</v>
      </c>
      <c r="AJ357">
        <v>40</v>
      </c>
      <c r="AK357">
        <f t="shared" si="168"/>
        <v>1824</v>
      </c>
    </row>
    <row r="358" spans="2:37" ht="15" customHeight="1">
      <c r="B358" s="589" t="s">
        <v>2176</v>
      </c>
      <c r="C358" s="565" t="s">
        <v>2246</v>
      </c>
      <c r="D358" s="571" t="str">
        <f>$D$258</f>
        <v>bh</v>
      </c>
      <c r="E358" s="568">
        <v>4</v>
      </c>
      <c r="F358" s="567">
        <f>$F$258</f>
        <v>100000</v>
      </c>
      <c r="G358" s="561">
        <f t="shared" si="161"/>
        <v>400000</v>
      </c>
      <c r="H358">
        <v>2.5</v>
      </c>
      <c r="I358">
        <f t="shared" si="162"/>
        <v>10</v>
      </c>
      <c r="N358" s="589" t="s">
        <v>2176</v>
      </c>
      <c r="O358" s="565" t="s">
        <v>2246</v>
      </c>
      <c r="P358" s="571" t="str">
        <f>$D$258</f>
        <v>bh</v>
      </c>
      <c r="Q358" s="568">
        <v>4</v>
      </c>
      <c r="R358" s="567">
        <f>$F$258</f>
        <v>100000</v>
      </c>
      <c r="S358" s="561">
        <f t="shared" si="163"/>
        <v>400000</v>
      </c>
      <c r="T358">
        <v>2.5</v>
      </c>
      <c r="U358">
        <f t="shared" si="164"/>
        <v>10</v>
      </c>
      <c r="V358" s="589" t="s">
        <v>2176</v>
      </c>
      <c r="W358" s="565" t="s">
        <v>2246</v>
      </c>
      <c r="X358" s="571" t="str">
        <f>$D$258</f>
        <v>bh</v>
      </c>
      <c r="Y358" s="568">
        <v>4</v>
      </c>
      <c r="Z358" s="567">
        <f>$F$258</f>
        <v>100000</v>
      </c>
      <c r="AA358" s="561">
        <f t="shared" si="165"/>
        <v>400000</v>
      </c>
      <c r="AB358">
        <v>2.5</v>
      </c>
      <c r="AC358">
        <f t="shared" si="166"/>
        <v>10</v>
      </c>
      <c r="AD358" s="589" t="s">
        <v>2176</v>
      </c>
      <c r="AE358" s="565" t="s">
        <v>2246</v>
      </c>
      <c r="AF358" s="571" t="str">
        <f>$D$258</f>
        <v>bh</v>
      </c>
      <c r="AG358" s="568">
        <v>4</v>
      </c>
      <c r="AH358" s="567">
        <f>$F$258</f>
        <v>100000</v>
      </c>
      <c r="AI358" s="561">
        <f t="shared" si="167"/>
        <v>400000</v>
      </c>
      <c r="AJ358">
        <v>2.5</v>
      </c>
      <c r="AK358">
        <f t="shared" si="168"/>
        <v>10</v>
      </c>
    </row>
    <row r="359" spans="2:37" ht="15" customHeight="1">
      <c r="B359" s="589"/>
      <c r="C359" s="584"/>
      <c r="D359" s="571"/>
      <c r="E359" s="566"/>
      <c r="F359" s="567"/>
      <c r="G359" s="561"/>
      <c r="I359">
        <f>SUM(I352:I357)</f>
        <v>303195.61714285717</v>
      </c>
      <c r="N359" s="589"/>
      <c r="O359" s="584"/>
      <c r="P359" s="571"/>
      <c r="Q359" s="566"/>
      <c r="R359" s="567"/>
      <c r="S359" s="561"/>
      <c r="U359">
        <f>SUM(U352:U357)</f>
        <v>303195.61714285717</v>
      </c>
      <c r="V359" s="589"/>
      <c r="W359" s="584"/>
      <c r="X359" s="571"/>
      <c r="Y359" s="566"/>
      <c r="Z359" s="567"/>
      <c r="AA359" s="561"/>
      <c r="AC359">
        <f>SUM(AC352:AC357)</f>
        <v>303195.61714285717</v>
      </c>
      <c r="AD359" s="589"/>
      <c r="AE359" s="584"/>
      <c r="AF359" s="571"/>
      <c r="AG359" s="566"/>
      <c r="AH359" s="567"/>
      <c r="AI359" s="561"/>
      <c r="AK359">
        <f>SUM(AK352:AK357)</f>
        <v>303195.61714285717</v>
      </c>
    </row>
    <row r="360" spans="2:37" ht="15" customHeight="1">
      <c r="B360" s="590">
        <v>3</v>
      </c>
      <c r="C360" s="583" t="s">
        <v>2086</v>
      </c>
      <c r="D360" s="571"/>
      <c r="E360" s="566"/>
      <c r="F360" s="567"/>
      <c r="G360" s="561"/>
      <c r="N360" s="590">
        <v>3</v>
      </c>
      <c r="O360" s="583" t="s">
        <v>2086</v>
      </c>
      <c r="P360" s="571"/>
      <c r="Q360" s="566"/>
      <c r="R360" s="567"/>
      <c r="S360" s="561"/>
      <c r="V360" s="590">
        <v>3</v>
      </c>
      <c r="W360" s="583" t="s">
        <v>2086</v>
      </c>
      <c r="X360" s="571"/>
      <c r="Y360" s="566"/>
      <c r="Z360" s="567"/>
      <c r="AA360" s="561"/>
      <c r="AD360" s="590">
        <v>3</v>
      </c>
      <c r="AE360" s="583" t="s">
        <v>2086</v>
      </c>
      <c r="AF360" s="571"/>
      <c r="AG360" s="566"/>
      <c r="AH360" s="567"/>
      <c r="AI360" s="561"/>
    </row>
    <row r="361" spans="2:37" ht="15" customHeight="1">
      <c r="B361" s="589" t="s">
        <v>721</v>
      </c>
      <c r="C361" s="584" t="s">
        <v>2247</v>
      </c>
      <c r="D361" s="571" t="str">
        <f>$D$261</f>
        <v>bh</v>
      </c>
      <c r="E361" s="568">
        <v>4</v>
      </c>
      <c r="F361" s="567">
        <f>$F$261</f>
        <v>181849.04</v>
      </c>
      <c r="G361" s="561">
        <f t="shared" ref="G361:G366" si="169">E361*F361</f>
        <v>727396.16</v>
      </c>
      <c r="N361" s="589" t="s">
        <v>721</v>
      </c>
      <c r="O361" s="584" t="s">
        <v>2247</v>
      </c>
      <c r="P361" s="571" t="str">
        <f>$D$261</f>
        <v>bh</v>
      </c>
      <c r="Q361" s="568">
        <v>4</v>
      </c>
      <c r="R361" s="567">
        <f>$F$261</f>
        <v>181849.04</v>
      </c>
      <c r="S361" s="561">
        <f t="shared" ref="S361:S366" si="170">Q361*R361</f>
        <v>727396.16</v>
      </c>
      <c r="V361" s="589" t="s">
        <v>721</v>
      </c>
      <c r="W361" s="584" t="s">
        <v>2247</v>
      </c>
      <c r="X361" s="571" t="str">
        <f>$D$261</f>
        <v>bh</v>
      </c>
      <c r="Y361" s="568">
        <v>4</v>
      </c>
      <c r="Z361" s="567">
        <f>$F$261</f>
        <v>181849.04</v>
      </c>
      <c r="AA361" s="561">
        <f t="shared" ref="AA361:AA366" si="171">Y361*Z361</f>
        <v>727396.16</v>
      </c>
      <c r="AD361" s="589" t="s">
        <v>721</v>
      </c>
      <c r="AE361" s="584" t="s">
        <v>2247</v>
      </c>
      <c r="AF361" s="571" t="str">
        <f>$D$261</f>
        <v>bh</v>
      </c>
      <c r="AG361" s="568">
        <v>4</v>
      </c>
      <c r="AH361" s="567">
        <f>$F$261</f>
        <v>181849.04</v>
      </c>
      <c r="AI361" s="561">
        <f t="shared" ref="AI361:AI366" si="172">AG361*AH361</f>
        <v>727396.16</v>
      </c>
    </row>
    <row r="362" spans="2:37" ht="15" customHeight="1">
      <c r="B362" s="589" t="s">
        <v>2166</v>
      </c>
      <c r="C362" s="584" t="s">
        <v>2085</v>
      </c>
      <c r="D362" s="571" t="str">
        <f>$D$262</f>
        <v>kg</v>
      </c>
      <c r="E362" s="568">
        <f>I359</f>
        <v>303195.61714285717</v>
      </c>
      <c r="F362" s="567">
        <f>$F$262</f>
        <v>462.7700000000001</v>
      </c>
      <c r="G362" s="561">
        <f t="shared" si="169"/>
        <v>140309835.74520004</v>
      </c>
      <c r="N362" s="589" t="s">
        <v>2166</v>
      </c>
      <c r="O362" s="584" t="s">
        <v>2085</v>
      </c>
      <c r="P362" s="571" t="str">
        <f>$D$262</f>
        <v>kg</v>
      </c>
      <c r="Q362" s="568">
        <f>U359</f>
        <v>303195.61714285717</v>
      </c>
      <c r="R362" s="567">
        <f>$F$262</f>
        <v>462.7700000000001</v>
      </c>
      <c r="S362" s="561">
        <f t="shared" si="170"/>
        <v>140309835.74520004</v>
      </c>
      <c r="V362" s="589" t="s">
        <v>2166</v>
      </c>
      <c r="W362" s="584" t="s">
        <v>2085</v>
      </c>
      <c r="X362" s="571" t="str">
        <f>$D$262</f>
        <v>kg</v>
      </c>
      <c r="Y362" s="568">
        <f>AC359</f>
        <v>303195.61714285717</v>
      </c>
      <c r="Z362" s="567">
        <f>$F$262</f>
        <v>462.7700000000001</v>
      </c>
      <c r="AA362" s="561">
        <f t="shared" si="171"/>
        <v>140309835.74520004</v>
      </c>
      <c r="AD362" s="589" t="s">
        <v>2166</v>
      </c>
      <c r="AE362" s="584" t="s">
        <v>2085</v>
      </c>
      <c r="AF362" s="571" t="str">
        <f>$D$262</f>
        <v>kg</v>
      </c>
      <c r="AG362" s="568">
        <f>AK359</f>
        <v>303195.61714285717</v>
      </c>
      <c r="AH362" s="567">
        <f>$F$262</f>
        <v>462.7700000000001</v>
      </c>
      <c r="AI362" s="561">
        <f t="shared" si="172"/>
        <v>140309835.74520004</v>
      </c>
    </row>
    <row r="363" spans="2:37" ht="15" customHeight="1">
      <c r="B363" s="589" t="s">
        <v>2168</v>
      </c>
      <c r="C363" s="584" t="s">
        <v>2249</v>
      </c>
      <c r="D363" s="571" t="str">
        <f>$D$263</f>
        <v>bh</v>
      </c>
      <c r="E363" s="568">
        <v>4</v>
      </c>
      <c r="F363" s="567">
        <f>$F$263</f>
        <v>387825</v>
      </c>
      <c r="G363" s="561">
        <f t="shared" si="169"/>
        <v>1551300</v>
      </c>
      <c r="N363" s="589" t="s">
        <v>2168</v>
      </c>
      <c r="O363" s="584" t="s">
        <v>2249</v>
      </c>
      <c r="P363" s="571" t="str">
        <f>$D$263</f>
        <v>bh</v>
      </c>
      <c r="Q363" s="568">
        <v>4</v>
      </c>
      <c r="R363" s="567">
        <f>$F$263</f>
        <v>387825</v>
      </c>
      <c r="S363" s="561">
        <f t="shared" si="170"/>
        <v>1551300</v>
      </c>
      <c r="V363" s="589" t="s">
        <v>2168</v>
      </c>
      <c r="W363" s="584" t="s">
        <v>2249</v>
      </c>
      <c r="X363" s="571" t="str">
        <f>$D$263</f>
        <v>bh</v>
      </c>
      <c r="Y363" s="568">
        <v>4</v>
      </c>
      <c r="Z363" s="567">
        <f>$F$263</f>
        <v>387825</v>
      </c>
      <c r="AA363" s="561">
        <f t="shared" si="171"/>
        <v>1551300</v>
      </c>
      <c r="AD363" s="589" t="s">
        <v>2168</v>
      </c>
      <c r="AE363" s="584" t="s">
        <v>2249</v>
      </c>
      <c r="AF363" s="571" t="str">
        <f>$D$263</f>
        <v>bh</v>
      </c>
      <c r="AG363" s="568">
        <v>4</v>
      </c>
      <c r="AH363" s="567">
        <f>$F$263</f>
        <v>387825</v>
      </c>
      <c r="AI363" s="561">
        <f t="shared" si="172"/>
        <v>1551300</v>
      </c>
    </row>
    <row r="364" spans="2:37" ht="15" customHeight="1">
      <c r="B364" s="589" t="s">
        <v>2170</v>
      </c>
      <c r="C364" s="584" t="s">
        <v>2250</v>
      </c>
      <c r="D364" s="571" t="str">
        <f>$D$264</f>
        <v>kg</v>
      </c>
      <c r="E364" s="568">
        <f>$E$164</f>
        <v>150.93599999999998</v>
      </c>
      <c r="F364" s="567">
        <f>$F$264</f>
        <v>3758.6984549742947</v>
      </c>
      <c r="G364" s="561">
        <f t="shared" si="169"/>
        <v>567322.91</v>
      </c>
      <c r="N364" s="589" t="s">
        <v>2170</v>
      </c>
      <c r="O364" s="584" t="s">
        <v>2250</v>
      </c>
      <c r="P364" s="571" t="str">
        <f>$D$264</f>
        <v>kg</v>
      </c>
      <c r="Q364" s="568">
        <f>$Q$164</f>
        <v>239.61599999999999</v>
      </c>
      <c r="R364" s="567">
        <f>$F$264</f>
        <v>3758.6984549742947</v>
      </c>
      <c r="S364" s="561">
        <f t="shared" si="170"/>
        <v>900644.2889871205</v>
      </c>
      <c r="V364" s="589" t="s">
        <v>2170</v>
      </c>
      <c r="W364" s="584" t="s">
        <v>2269</v>
      </c>
      <c r="X364" s="571" t="str">
        <f>$D$264</f>
        <v>kg</v>
      </c>
      <c r="Y364" s="568">
        <f>$Y$164</f>
        <v>311.47199999999998</v>
      </c>
      <c r="Z364" s="567">
        <f>$F$264</f>
        <v>3758.6984549742947</v>
      </c>
      <c r="AA364" s="561">
        <f t="shared" si="171"/>
        <v>1170729.3251677535</v>
      </c>
      <c r="AD364" s="589" t="s">
        <v>2170</v>
      </c>
      <c r="AE364" s="584" t="s">
        <v>2269</v>
      </c>
      <c r="AF364" s="571" t="str">
        <f>$D$264</f>
        <v>kg</v>
      </c>
      <c r="AG364" s="568">
        <f>$AG$164</f>
        <v>403.17599999999999</v>
      </c>
      <c r="AH364" s="567">
        <f>$F$264</f>
        <v>3758.6984549742947</v>
      </c>
      <c r="AI364" s="561">
        <f t="shared" si="172"/>
        <v>1515417.0082827162</v>
      </c>
    </row>
    <row r="365" spans="2:37" ht="15" customHeight="1">
      <c r="B365" s="589" t="s">
        <v>2172</v>
      </c>
      <c r="C365" s="584" t="s">
        <v>2251</v>
      </c>
      <c r="D365" s="571" t="str">
        <f>$D$265</f>
        <v>set</v>
      </c>
      <c r="E365" s="568">
        <v>1</v>
      </c>
      <c r="F365" s="567">
        <f>$F$265</f>
        <v>855127</v>
      </c>
      <c r="G365" s="561">
        <f t="shared" si="169"/>
        <v>855127</v>
      </c>
      <c r="N365" s="589" t="s">
        <v>2172</v>
      </c>
      <c r="O365" s="584" t="s">
        <v>2251</v>
      </c>
      <c r="P365" s="571" t="str">
        <f>$D$265</f>
        <v>set</v>
      </c>
      <c r="Q365" s="568">
        <v>1</v>
      </c>
      <c r="R365" s="567">
        <f>$F$265</f>
        <v>855127</v>
      </c>
      <c r="S365" s="561">
        <f t="shared" si="170"/>
        <v>855127</v>
      </c>
      <c r="V365" s="589" t="s">
        <v>2172</v>
      </c>
      <c r="W365" s="584" t="s">
        <v>2251</v>
      </c>
      <c r="X365" s="571" t="str">
        <f>$D$265</f>
        <v>set</v>
      </c>
      <c r="Y365" s="568">
        <v>1</v>
      </c>
      <c r="Z365" s="567">
        <f>$F$265</f>
        <v>855127</v>
      </c>
      <c r="AA365" s="561">
        <f t="shared" si="171"/>
        <v>855127</v>
      </c>
      <c r="AD365" s="589" t="s">
        <v>2172</v>
      </c>
      <c r="AE365" s="584" t="s">
        <v>2251</v>
      </c>
      <c r="AF365" s="571" t="str">
        <f>$D$265</f>
        <v>set</v>
      </c>
      <c r="AG365" s="568">
        <v>1</v>
      </c>
      <c r="AH365" s="567">
        <f>$F$265</f>
        <v>855127</v>
      </c>
      <c r="AI365" s="561">
        <f t="shared" si="172"/>
        <v>855127</v>
      </c>
    </row>
    <row r="366" spans="2:37" ht="15" customHeight="1">
      <c r="B366" s="589" t="s">
        <v>2174</v>
      </c>
      <c r="C366" s="584" t="s">
        <v>2252</v>
      </c>
      <c r="D366" s="571" t="str">
        <f>$D$266</f>
        <v>set</v>
      </c>
      <c r="E366" s="568">
        <v>1</v>
      </c>
      <c r="F366" s="567">
        <f>$F$266</f>
        <v>674025</v>
      </c>
      <c r="G366" s="561">
        <f t="shared" si="169"/>
        <v>674025</v>
      </c>
      <c r="N366" s="589" t="s">
        <v>2174</v>
      </c>
      <c r="O366" s="584" t="s">
        <v>2252</v>
      </c>
      <c r="P366" s="571" t="str">
        <f>$D$266</f>
        <v>set</v>
      </c>
      <c r="Q366" s="568">
        <v>1</v>
      </c>
      <c r="R366" s="567">
        <f>$F$266</f>
        <v>674025</v>
      </c>
      <c r="S366" s="561">
        <f t="shared" si="170"/>
        <v>674025</v>
      </c>
      <c r="V366" s="589" t="s">
        <v>2174</v>
      </c>
      <c r="W366" s="584" t="s">
        <v>2252</v>
      </c>
      <c r="X366" s="571" t="str">
        <f>$D$266</f>
        <v>set</v>
      </c>
      <c r="Y366" s="568">
        <v>1</v>
      </c>
      <c r="Z366" s="567">
        <f>$F$266</f>
        <v>674025</v>
      </c>
      <c r="AA366" s="561">
        <f t="shared" si="171"/>
        <v>674025</v>
      </c>
      <c r="AD366" s="589" t="s">
        <v>2174</v>
      </c>
      <c r="AE366" s="584" t="s">
        <v>2252</v>
      </c>
      <c r="AF366" s="571" t="str">
        <f>$D$266</f>
        <v>set</v>
      </c>
      <c r="AG366" s="568">
        <v>1</v>
      </c>
      <c r="AH366" s="567">
        <f>$F$266</f>
        <v>674025</v>
      </c>
      <c r="AI366" s="561">
        <f t="shared" si="172"/>
        <v>674025</v>
      </c>
    </row>
    <row r="367" spans="2:37" ht="15" customHeight="1" thickBot="1">
      <c r="B367" s="582"/>
      <c r="C367" s="1197" t="s">
        <v>2295</v>
      </c>
      <c r="D367" s="1198"/>
      <c r="E367" s="1198"/>
      <c r="F367" s="1199"/>
      <c r="G367" s="560">
        <f>SUM(G346:G366)</f>
        <v>585708333.71503508</v>
      </c>
      <c r="N367" s="582"/>
      <c r="O367" s="1197" t="s">
        <v>2295</v>
      </c>
      <c r="P367" s="1198"/>
      <c r="Q367" s="1198"/>
      <c r="R367" s="1199"/>
      <c r="S367" s="560">
        <f>SUM(S346:S366)</f>
        <v>586041655.09402227</v>
      </c>
      <c r="V367" s="582"/>
      <c r="W367" s="1197" t="s">
        <v>2295</v>
      </c>
      <c r="X367" s="1198"/>
      <c r="Y367" s="1198"/>
      <c r="Z367" s="1199"/>
      <c r="AA367" s="560">
        <f>SUM(AA346:AA366)</f>
        <v>586311740.13020289</v>
      </c>
      <c r="AD367" s="582"/>
      <c r="AE367" s="1197" t="s">
        <v>2295</v>
      </c>
      <c r="AF367" s="1198"/>
      <c r="AG367" s="1198"/>
      <c r="AH367" s="1199"/>
      <c r="AI367" s="560">
        <f>SUM(AI346:AI366)</f>
        <v>586656427.81331778</v>
      </c>
    </row>
    <row r="368" spans="2:37" ht="15" customHeight="1" thickBot="1">
      <c r="R368" s="634"/>
      <c r="Z368" s="634"/>
      <c r="AA368" s="634"/>
      <c r="AH368" s="634"/>
      <c r="AI368" s="634"/>
    </row>
    <row r="369" spans="2:37" ht="15" customHeight="1" thickBot="1">
      <c r="B369" s="581" t="s">
        <v>2229</v>
      </c>
      <c r="C369" s="580"/>
      <c r="D369" s="579">
        <v>6</v>
      </c>
      <c r="E369" s="578"/>
      <c r="F369" s="577"/>
      <c r="G369" s="564"/>
      <c r="N369" s="581" t="s">
        <v>2230</v>
      </c>
      <c r="O369" s="580"/>
      <c r="P369" s="579">
        <v>6</v>
      </c>
      <c r="Q369" s="578"/>
      <c r="R369" s="577"/>
      <c r="S369" s="564"/>
      <c r="V369" s="581" t="s">
        <v>2231</v>
      </c>
      <c r="W369" s="580"/>
      <c r="X369" s="579"/>
      <c r="Y369" s="578"/>
      <c r="Z369" s="577"/>
      <c r="AA369" s="564"/>
      <c r="AD369" s="581" t="s">
        <v>2254</v>
      </c>
      <c r="AE369" s="580"/>
      <c r="AF369" s="579"/>
      <c r="AG369" s="578"/>
      <c r="AH369" s="577"/>
      <c r="AI369" s="564"/>
    </row>
    <row r="370" spans="2:37" ht="15" customHeight="1">
      <c r="B370" s="576"/>
      <c r="C370" s="575" t="s">
        <v>2296</v>
      </c>
      <c r="D370" s="574"/>
      <c r="E370" s="573"/>
      <c r="F370" s="572"/>
      <c r="G370" s="563"/>
      <c r="N370" s="576"/>
      <c r="O370" s="575" t="s">
        <v>2296</v>
      </c>
      <c r="P370" s="574"/>
      <c r="Q370" s="573"/>
      <c r="R370" s="572"/>
      <c r="S370" s="563"/>
      <c r="V370" s="576"/>
      <c r="W370" s="575" t="s">
        <v>2297</v>
      </c>
      <c r="X370" s="574"/>
      <c r="Y370" s="573"/>
      <c r="Z370" s="572"/>
      <c r="AA370" s="563"/>
      <c r="AD370" s="576"/>
      <c r="AE370" s="575" t="s">
        <v>2297</v>
      </c>
      <c r="AF370" s="574"/>
      <c r="AG370" s="573"/>
      <c r="AH370" s="572"/>
      <c r="AI370" s="563"/>
    </row>
    <row r="371" spans="2:37" ht="15" customHeight="1">
      <c r="B371" s="588">
        <v>1</v>
      </c>
      <c r="C371" s="587" t="s">
        <v>2234</v>
      </c>
      <c r="D371" s="571"/>
      <c r="E371" s="570"/>
      <c r="F371" s="569"/>
      <c r="G371" s="562"/>
      <c r="N371" s="588">
        <v>1</v>
      </c>
      <c r="O371" s="587" t="s">
        <v>2234</v>
      </c>
      <c r="P371" s="571"/>
      <c r="Q371" s="570"/>
      <c r="R371" s="569"/>
      <c r="S371" s="562"/>
      <c r="V371" s="588">
        <v>1</v>
      </c>
      <c r="W371" s="587" t="s">
        <v>2234</v>
      </c>
      <c r="X371" s="571"/>
      <c r="Y371" s="570"/>
      <c r="Z371" s="569"/>
      <c r="AA371" s="562"/>
      <c r="AD371" s="588">
        <v>1</v>
      </c>
      <c r="AE371" s="587" t="s">
        <v>2234</v>
      </c>
      <c r="AF371" s="571"/>
      <c r="AG371" s="570"/>
      <c r="AH371" s="569"/>
      <c r="AI371" s="562"/>
    </row>
    <row r="372" spans="2:37" ht="15" customHeight="1">
      <c r="B372" s="589" t="s">
        <v>721</v>
      </c>
      <c r="C372" s="586" t="s">
        <v>2235</v>
      </c>
      <c r="D372" s="571" t="str">
        <f>$D$247</f>
        <v>m³</v>
      </c>
      <c r="E372" s="568">
        <v>72.5</v>
      </c>
      <c r="F372" s="567">
        <f>$F$247</f>
        <v>102390.75000000001</v>
      </c>
      <c r="G372" s="561">
        <f>E372*F372</f>
        <v>7423329.3750000009</v>
      </c>
      <c r="N372" s="589" t="s">
        <v>721</v>
      </c>
      <c r="O372" s="586" t="s">
        <v>2235</v>
      </c>
      <c r="P372" s="571" t="str">
        <f>$D$247</f>
        <v>m³</v>
      </c>
      <c r="Q372" s="568">
        <v>72.5</v>
      </c>
      <c r="R372" s="567">
        <f>$F$247</f>
        <v>102390.75000000001</v>
      </c>
      <c r="S372" s="561">
        <f>Q372*R372</f>
        <v>7423329.3750000009</v>
      </c>
      <c r="V372" s="589" t="s">
        <v>721</v>
      </c>
      <c r="W372" s="586" t="s">
        <v>2235</v>
      </c>
      <c r="X372" s="571" t="str">
        <f>$D$247</f>
        <v>m³</v>
      </c>
      <c r="Y372" s="568">
        <v>72.5</v>
      </c>
      <c r="Z372" s="567">
        <f>$F$247</f>
        <v>102390.75000000001</v>
      </c>
      <c r="AA372" s="561">
        <f>Y372*Z372</f>
        <v>7423329.3750000009</v>
      </c>
      <c r="AD372" s="589" t="s">
        <v>721</v>
      </c>
      <c r="AE372" s="586" t="s">
        <v>2235</v>
      </c>
      <c r="AF372" s="571" t="str">
        <f>$D$247</f>
        <v>m³</v>
      </c>
      <c r="AG372" s="568">
        <v>72.5</v>
      </c>
      <c r="AH372" s="567">
        <f>$F$247</f>
        <v>102390.75000000001</v>
      </c>
      <c r="AI372" s="561">
        <f>AG372*AH372</f>
        <v>7423329.3750000009</v>
      </c>
    </row>
    <row r="373" spans="2:37" ht="15" customHeight="1">
      <c r="B373" s="589" t="s">
        <v>2166</v>
      </c>
      <c r="C373" s="586" t="s">
        <v>2237</v>
      </c>
      <c r="D373" s="571" t="str">
        <f>$D$248</f>
        <v>m³</v>
      </c>
      <c r="E373" s="568">
        <v>30.560000000000002</v>
      </c>
      <c r="F373" s="567">
        <f>$F$248</f>
        <v>62462.950000000012</v>
      </c>
      <c r="G373" s="561">
        <f>E373*F373</f>
        <v>1908867.7520000006</v>
      </c>
      <c r="N373" s="589" t="s">
        <v>2166</v>
      </c>
      <c r="O373" s="586" t="s">
        <v>2237</v>
      </c>
      <c r="P373" s="571" t="str">
        <f>$D$248</f>
        <v>m³</v>
      </c>
      <c r="Q373" s="568">
        <v>30.560000000000002</v>
      </c>
      <c r="R373" s="567">
        <f>$F$248</f>
        <v>62462.950000000012</v>
      </c>
      <c r="S373" s="561">
        <f>Q373*R373</f>
        <v>1908867.7520000006</v>
      </c>
      <c r="V373" s="589" t="s">
        <v>2166</v>
      </c>
      <c r="W373" s="586" t="s">
        <v>2237</v>
      </c>
      <c r="X373" s="571" t="str">
        <f>$D$248</f>
        <v>m³</v>
      </c>
      <c r="Y373" s="568">
        <v>30.560000000000002</v>
      </c>
      <c r="Z373" s="567">
        <f>$F$248</f>
        <v>62462.950000000012</v>
      </c>
      <c r="AA373" s="561">
        <f>Y373*Z373</f>
        <v>1908867.7520000006</v>
      </c>
      <c r="AD373" s="589" t="s">
        <v>2166</v>
      </c>
      <c r="AE373" s="586" t="s">
        <v>2237</v>
      </c>
      <c r="AF373" s="571" t="str">
        <f>$D$248</f>
        <v>m³</v>
      </c>
      <c r="AG373" s="568">
        <v>30.560000000000002</v>
      </c>
      <c r="AH373" s="567">
        <f>$F$248</f>
        <v>62462.950000000012</v>
      </c>
      <c r="AI373" s="561">
        <f>AG373*AH373</f>
        <v>1908867.7520000006</v>
      </c>
    </row>
    <row r="374" spans="2:37" ht="15" customHeight="1">
      <c r="B374" s="589" t="s">
        <v>2168</v>
      </c>
      <c r="C374" s="586" t="s">
        <v>2265</v>
      </c>
      <c r="D374" s="571" t="str">
        <f>$D$249</f>
        <v>m'</v>
      </c>
      <c r="E374" s="568">
        <v>360</v>
      </c>
      <c r="F374" s="567">
        <f>$F$249</f>
        <v>52230.612500000003</v>
      </c>
      <c r="G374" s="561">
        <f>E374*F374</f>
        <v>18803020.5</v>
      </c>
      <c r="N374" s="589" t="s">
        <v>2168</v>
      </c>
      <c r="O374" s="586" t="s">
        <v>2265</v>
      </c>
      <c r="P374" s="571" t="str">
        <f>$D$249</f>
        <v>m'</v>
      </c>
      <c r="Q374" s="568">
        <v>360</v>
      </c>
      <c r="R374" s="567">
        <f>$F$249</f>
        <v>52230.612500000003</v>
      </c>
      <c r="S374" s="561">
        <f>Q374*R374</f>
        <v>18803020.5</v>
      </c>
      <c r="V374" s="589" t="s">
        <v>2168</v>
      </c>
      <c r="W374" s="586" t="s">
        <v>2265</v>
      </c>
      <c r="X374" s="571" t="str">
        <f>$D$249</f>
        <v>m'</v>
      </c>
      <c r="Y374" s="568">
        <v>360</v>
      </c>
      <c r="Z374" s="567">
        <f>$F$249</f>
        <v>52230.612500000003</v>
      </c>
      <c r="AA374" s="561">
        <f>Y374*Z374</f>
        <v>18803020.5</v>
      </c>
      <c r="AD374" s="589" t="s">
        <v>2168</v>
      </c>
      <c r="AE374" s="586" t="s">
        <v>2265</v>
      </c>
      <c r="AF374" s="571" t="str">
        <f>$D$249</f>
        <v>m'</v>
      </c>
      <c r="AG374" s="568">
        <v>360</v>
      </c>
      <c r="AH374" s="567">
        <f>$F$249</f>
        <v>52230.612500000003</v>
      </c>
      <c r="AI374" s="561">
        <f>AG374*AH374</f>
        <v>18803020.5</v>
      </c>
    </row>
    <row r="375" spans="2:37" ht="15" customHeight="1">
      <c r="B375" s="585"/>
      <c r="C375" s="586"/>
      <c r="D375" s="571"/>
      <c r="E375" s="566"/>
      <c r="F375" s="567"/>
      <c r="G375" s="561"/>
      <c r="N375" s="585"/>
      <c r="O375" s="586"/>
      <c r="P375" s="571"/>
      <c r="Q375" s="566"/>
      <c r="R375" s="567"/>
      <c r="S375" s="561"/>
      <c r="V375" s="585"/>
      <c r="W375" s="586"/>
      <c r="X375" s="571"/>
      <c r="Y375" s="566"/>
      <c r="Z375" s="567"/>
      <c r="AA375" s="561"/>
      <c r="AD375" s="585"/>
      <c r="AE375" s="586"/>
      <c r="AF375" s="571"/>
      <c r="AG375" s="566"/>
      <c r="AH375" s="567"/>
      <c r="AI375" s="561"/>
    </row>
    <row r="376" spans="2:37" ht="15" customHeight="1">
      <c r="B376" s="590">
        <v>2</v>
      </c>
      <c r="C376" s="587" t="s">
        <v>2238</v>
      </c>
      <c r="D376" s="571"/>
      <c r="E376" s="566"/>
      <c r="F376" s="567"/>
      <c r="G376" s="561"/>
      <c r="H376" t="s">
        <v>2239</v>
      </c>
      <c r="N376" s="590">
        <v>2</v>
      </c>
      <c r="O376" s="587" t="s">
        <v>2238</v>
      </c>
      <c r="P376" s="571"/>
      <c r="Q376" s="566"/>
      <c r="R376" s="567"/>
      <c r="S376" s="561"/>
      <c r="T376" t="s">
        <v>2239</v>
      </c>
      <c r="V376" s="590">
        <v>2</v>
      </c>
      <c r="W376" s="587" t="s">
        <v>2238</v>
      </c>
      <c r="X376" s="571"/>
      <c r="Y376" s="566"/>
      <c r="Z376" s="567"/>
      <c r="AA376" s="561"/>
      <c r="AB376" t="s">
        <v>2239</v>
      </c>
      <c r="AD376" s="590">
        <v>2</v>
      </c>
      <c r="AE376" s="587" t="s">
        <v>2238</v>
      </c>
      <c r="AF376" s="571"/>
      <c r="AG376" s="566"/>
      <c r="AH376" s="567"/>
      <c r="AI376" s="561"/>
      <c r="AJ376" t="s">
        <v>2239</v>
      </c>
    </row>
    <row r="377" spans="2:37" ht="15" customHeight="1">
      <c r="B377" s="589" t="s">
        <v>721</v>
      </c>
      <c r="C377" s="586" t="s">
        <v>2240</v>
      </c>
      <c r="D377" s="571" t="str">
        <f>$D$252</f>
        <v>m³</v>
      </c>
      <c r="E377" s="568">
        <v>5.4</v>
      </c>
      <c r="F377" s="567">
        <f>$F$252</f>
        <v>404738.95</v>
      </c>
      <c r="G377" s="561">
        <f t="shared" ref="G377:G383" si="173">E377*F377</f>
        <v>2185590.33</v>
      </c>
      <c r="H377">
        <v>1400</v>
      </c>
      <c r="I377">
        <f t="shared" ref="I377:I383" si="174">E377*H377</f>
        <v>7560.0000000000009</v>
      </c>
      <c r="N377" s="589" t="s">
        <v>721</v>
      </c>
      <c r="O377" s="586" t="s">
        <v>2240</v>
      </c>
      <c r="P377" s="571" t="str">
        <f>$D$252</f>
        <v>m³</v>
      </c>
      <c r="Q377" s="568">
        <v>5.4</v>
      </c>
      <c r="R377" s="567">
        <f>$F$252</f>
        <v>404738.95</v>
      </c>
      <c r="S377" s="561">
        <f t="shared" ref="S377:S383" si="175">Q377*R377</f>
        <v>2185590.33</v>
      </c>
      <c r="T377">
        <v>1400</v>
      </c>
      <c r="U377">
        <f t="shared" ref="U377:U383" si="176">Q377*T377</f>
        <v>7560.0000000000009</v>
      </c>
      <c r="V377" s="589" t="s">
        <v>721</v>
      </c>
      <c r="W377" s="586" t="s">
        <v>2240</v>
      </c>
      <c r="X377" s="571" t="str">
        <f>$D$252</f>
        <v>m³</v>
      </c>
      <c r="Y377" s="568">
        <v>5.4</v>
      </c>
      <c r="Z377" s="567">
        <f>$F$252</f>
        <v>404738.95</v>
      </c>
      <c r="AA377" s="561">
        <f t="shared" ref="AA377:AA383" si="177">Y377*Z377</f>
        <v>2185590.33</v>
      </c>
      <c r="AB377">
        <v>1400</v>
      </c>
      <c r="AC377">
        <f t="shared" ref="AC377:AC383" si="178">Y377*AB377</f>
        <v>7560.0000000000009</v>
      </c>
      <c r="AD377" s="589" t="s">
        <v>721</v>
      </c>
      <c r="AE377" s="586" t="s">
        <v>2240</v>
      </c>
      <c r="AF377" s="571" t="str">
        <f>$D$252</f>
        <v>m³</v>
      </c>
      <c r="AG377" s="568">
        <v>5.4</v>
      </c>
      <c r="AH377" s="567">
        <f>$F$252</f>
        <v>404738.95</v>
      </c>
      <c r="AI377" s="561">
        <f t="shared" ref="AI377:AI383" si="179">AG377*AH377</f>
        <v>2185590.33</v>
      </c>
      <c r="AJ377">
        <v>1400</v>
      </c>
      <c r="AK377">
        <f t="shared" ref="AK377:AK383" si="180">AG377*AJ377</f>
        <v>7560.0000000000009</v>
      </c>
    </row>
    <row r="378" spans="2:37" ht="15" customHeight="1">
      <c r="B378" s="589" t="s">
        <v>2166</v>
      </c>
      <c r="C378" s="584" t="s">
        <v>2241</v>
      </c>
      <c r="D378" s="571" t="str">
        <f>$D$253</f>
        <v>m³</v>
      </c>
      <c r="E378" s="568">
        <v>2.7</v>
      </c>
      <c r="F378" s="567">
        <f>$F$253</f>
        <v>710224.707936508</v>
      </c>
      <c r="G378" s="561">
        <f t="shared" si="173"/>
        <v>1917606.7114285717</v>
      </c>
      <c r="H378">
        <v>2200</v>
      </c>
      <c r="I378">
        <f t="shared" si="174"/>
        <v>5940</v>
      </c>
      <c r="N378" s="589" t="s">
        <v>2166</v>
      </c>
      <c r="O378" s="584" t="s">
        <v>2241</v>
      </c>
      <c r="P378" s="571" t="str">
        <f>$D$253</f>
        <v>m³</v>
      </c>
      <c r="Q378" s="568">
        <v>2.7</v>
      </c>
      <c r="R378" s="567">
        <f>$F$253</f>
        <v>710224.707936508</v>
      </c>
      <c r="S378" s="561">
        <f t="shared" si="175"/>
        <v>1917606.7114285717</v>
      </c>
      <c r="T378">
        <v>2200</v>
      </c>
      <c r="U378">
        <f t="shared" si="176"/>
        <v>5940</v>
      </c>
      <c r="V378" s="589" t="s">
        <v>2166</v>
      </c>
      <c r="W378" s="584" t="s">
        <v>2241</v>
      </c>
      <c r="X378" s="571" t="str">
        <f>$D$253</f>
        <v>m³</v>
      </c>
      <c r="Y378" s="568">
        <v>2.7</v>
      </c>
      <c r="Z378" s="567">
        <f>$F$253</f>
        <v>710224.707936508</v>
      </c>
      <c r="AA378" s="561">
        <f t="shared" si="177"/>
        <v>1917606.7114285717</v>
      </c>
      <c r="AB378">
        <v>2200</v>
      </c>
      <c r="AC378">
        <f t="shared" si="178"/>
        <v>5940</v>
      </c>
      <c r="AD378" s="589" t="s">
        <v>2166</v>
      </c>
      <c r="AE378" s="584" t="s">
        <v>2241</v>
      </c>
      <c r="AF378" s="571" t="str">
        <f>$D$253</f>
        <v>m³</v>
      </c>
      <c r="AG378" s="568">
        <v>2.7</v>
      </c>
      <c r="AH378" s="567">
        <f>$F$253</f>
        <v>710224.707936508</v>
      </c>
      <c r="AI378" s="561">
        <f t="shared" si="179"/>
        <v>1917606.7114285717</v>
      </c>
      <c r="AJ378">
        <v>2200</v>
      </c>
      <c r="AK378">
        <f t="shared" si="180"/>
        <v>5940</v>
      </c>
    </row>
    <row r="379" spans="2:37" ht="15" customHeight="1">
      <c r="B379" s="589" t="s">
        <v>2168</v>
      </c>
      <c r="C379" s="584" t="s">
        <v>2266</v>
      </c>
      <c r="D379" s="571" t="str">
        <f>$D$254</f>
        <v>m³</v>
      </c>
      <c r="E379" s="568">
        <v>33.839999999999996</v>
      </c>
      <c r="F379" s="567">
        <f>$F$254</f>
        <v>1115864.6138095236</v>
      </c>
      <c r="G379" s="561">
        <f t="shared" si="173"/>
        <v>37760858.531314276</v>
      </c>
      <c r="H379">
        <v>2400</v>
      </c>
      <c r="I379">
        <f t="shared" si="174"/>
        <v>81215.999999999985</v>
      </c>
      <c r="N379" s="589" t="s">
        <v>2168</v>
      </c>
      <c r="O379" s="584" t="s">
        <v>2266</v>
      </c>
      <c r="P379" s="571" t="str">
        <f>$D$254</f>
        <v>m³</v>
      </c>
      <c r="Q379" s="568">
        <v>33.839999999999996</v>
      </c>
      <c r="R379" s="567">
        <f>$F$254</f>
        <v>1115864.6138095236</v>
      </c>
      <c r="S379" s="561">
        <f t="shared" si="175"/>
        <v>37760858.531314276</v>
      </c>
      <c r="T379">
        <v>2400</v>
      </c>
      <c r="U379">
        <f t="shared" si="176"/>
        <v>81215.999999999985</v>
      </c>
      <c r="V379" s="589" t="s">
        <v>2168</v>
      </c>
      <c r="W379" s="584" t="str">
        <f>O379</f>
        <v>Beton K 225 (Pad &amp; Chimney)</v>
      </c>
      <c r="X379" s="571" t="str">
        <f>$D$254</f>
        <v>m³</v>
      </c>
      <c r="Y379" s="568">
        <v>33.839999999999996</v>
      </c>
      <c r="Z379" s="567">
        <f>$F$254</f>
        <v>1115864.6138095236</v>
      </c>
      <c r="AA379" s="561">
        <f t="shared" si="177"/>
        <v>37760858.531314276</v>
      </c>
      <c r="AB379">
        <v>2400</v>
      </c>
      <c r="AC379">
        <f t="shared" si="178"/>
        <v>81215.999999999985</v>
      </c>
      <c r="AD379" s="589" t="s">
        <v>2168</v>
      </c>
      <c r="AE379" s="584" t="str">
        <f>W379</f>
        <v>Beton K 225 (Pad &amp; Chimney)</v>
      </c>
      <c r="AF379" s="571" t="str">
        <f>$D$254</f>
        <v>m³</v>
      </c>
      <c r="AG379" s="568">
        <v>33.839999999999996</v>
      </c>
      <c r="AH379" s="567">
        <f>$F$254</f>
        <v>1115864.6138095236</v>
      </c>
      <c r="AI379" s="561">
        <f t="shared" si="179"/>
        <v>37760858.531314276</v>
      </c>
      <c r="AJ379">
        <v>2400</v>
      </c>
      <c r="AK379">
        <f t="shared" si="180"/>
        <v>81215.999999999985</v>
      </c>
    </row>
    <row r="380" spans="2:37" ht="15" customHeight="1">
      <c r="B380" s="589" t="s">
        <v>2170</v>
      </c>
      <c r="C380" s="584" t="s">
        <v>2267</v>
      </c>
      <c r="D380" s="571" t="str">
        <f>$D$255</f>
        <v>m³</v>
      </c>
      <c r="E380" s="568">
        <v>94.361142857142866</v>
      </c>
      <c r="F380" s="567">
        <f>$F$255</f>
        <v>1057576.2423809525</v>
      </c>
      <c r="G380" s="561">
        <f t="shared" si="173"/>
        <v>99794102.889629409</v>
      </c>
      <c r="H380">
        <v>2200</v>
      </c>
      <c r="I380">
        <f t="shared" si="174"/>
        <v>207594.51428571431</v>
      </c>
      <c r="N380" s="589" t="s">
        <v>2170</v>
      </c>
      <c r="O380" s="584" t="s">
        <v>2267</v>
      </c>
      <c r="P380" s="571" t="str">
        <f>$D$255</f>
        <v>m³</v>
      </c>
      <c r="Q380" s="568">
        <v>94.361142857142866</v>
      </c>
      <c r="R380" s="567">
        <f>$F$255</f>
        <v>1057576.2423809525</v>
      </c>
      <c r="S380" s="561">
        <f t="shared" si="175"/>
        <v>99794102.889629409</v>
      </c>
      <c r="T380">
        <v>2200</v>
      </c>
      <c r="U380">
        <f t="shared" si="176"/>
        <v>207594.51428571431</v>
      </c>
      <c r="V380" s="589" t="s">
        <v>2170</v>
      </c>
      <c r="W380" s="584" t="s">
        <v>2267</v>
      </c>
      <c r="X380" s="571" t="str">
        <f>$D$255</f>
        <v>m³</v>
      </c>
      <c r="Y380" s="568">
        <v>94.361142857142866</v>
      </c>
      <c r="Z380" s="567">
        <f>$F$255</f>
        <v>1057576.2423809525</v>
      </c>
      <c r="AA380" s="561">
        <f t="shared" si="177"/>
        <v>99794102.889629409</v>
      </c>
      <c r="AB380">
        <v>2200</v>
      </c>
      <c r="AC380">
        <f t="shared" si="178"/>
        <v>207594.51428571431</v>
      </c>
      <c r="AD380" s="589" t="s">
        <v>2170</v>
      </c>
      <c r="AE380" s="584" t="s">
        <v>2267</v>
      </c>
      <c r="AF380" s="571" t="str">
        <f>$D$255</f>
        <v>m³</v>
      </c>
      <c r="AG380" s="568">
        <v>94.361142857142866</v>
      </c>
      <c r="AH380" s="567">
        <f>$F$255</f>
        <v>1057576.2423809525</v>
      </c>
      <c r="AI380" s="561">
        <f t="shared" si="179"/>
        <v>99794102.889629409</v>
      </c>
      <c r="AJ380">
        <v>2200</v>
      </c>
      <c r="AK380">
        <f t="shared" si="180"/>
        <v>207594.51428571431</v>
      </c>
    </row>
    <row r="381" spans="2:37" ht="15" customHeight="1">
      <c r="B381" s="589" t="s">
        <v>2172</v>
      </c>
      <c r="C381" s="584" t="s">
        <v>2243</v>
      </c>
      <c r="D381" s="571" t="str">
        <f>$D$256</f>
        <v>kg</v>
      </c>
      <c r="E381" s="568">
        <v>14815.608</v>
      </c>
      <c r="F381" s="567">
        <f>$F$256</f>
        <v>19478.039350000003</v>
      </c>
      <c r="G381" s="561">
        <f t="shared" si="173"/>
        <v>288578995.61817485</v>
      </c>
      <c r="H381">
        <v>1</v>
      </c>
      <c r="I381">
        <f t="shared" si="174"/>
        <v>14815.608</v>
      </c>
      <c r="N381" s="589" t="s">
        <v>2172</v>
      </c>
      <c r="O381" s="584" t="s">
        <v>2243</v>
      </c>
      <c r="P381" s="571" t="str">
        <f>$D$256</f>
        <v>kg</v>
      </c>
      <c r="Q381" s="568">
        <v>14815.608</v>
      </c>
      <c r="R381" s="567">
        <f>$F$256</f>
        <v>19478.039350000003</v>
      </c>
      <c r="S381" s="561">
        <f t="shared" si="175"/>
        <v>288578995.61817485</v>
      </c>
      <c r="T381">
        <v>1</v>
      </c>
      <c r="U381">
        <f t="shared" si="176"/>
        <v>14815.608</v>
      </c>
      <c r="V381" s="589" t="s">
        <v>2172</v>
      </c>
      <c r="W381" s="584" t="s">
        <v>2243</v>
      </c>
      <c r="X381" s="571" t="str">
        <f>$D$256</f>
        <v>kg</v>
      </c>
      <c r="Y381" s="568">
        <v>14815.608</v>
      </c>
      <c r="Z381" s="567">
        <f>$F$256</f>
        <v>19478.039350000003</v>
      </c>
      <c r="AA381" s="561">
        <f t="shared" si="177"/>
        <v>288578995.61817485</v>
      </c>
      <c r="AB381">
        <v>1</v>
      </c>
      <c r="AC381">
        <f t="shared" si="178"/>
        <v>14815.608</v>
      </c>
      <c r="AD381" s="589" t="s">
        <v>2172</v>
      </c>
      <c r="AE381" s="584" t="s">
        <v>2243</v>
      </c>
      <c r="AF381" s="571" t="str">
        <f>$D$256</f>
        <v>kg</v>
      </c>
      <c r="AG381" s="568">
        <v>14815.608</v>
      </c>
      <c r="AH381" s="567">
        <f>$F$256</f>
        <v>19478.039350000003</v>
      </c>
      <c r="AI381" s="561">
        <f t="shared" si="179"/>
        <v>288578995.61817485</v>
      </c>
      <c r="AJ381">
        <v>1</v>
      </c>
      <c r="AK381">
        <f t="shared" si="180"/>
        <v>14815.608</v>
      </c>
    </row>
    <row r="382" spans="2:37" ht="15" customHeight="1">
      <c r="B382" s="589" t="s">
        <v>2268</v>
      </c>
      <c r="C382" s="584" t="s">
        <v>2244</v>
      </c>
      <c r="D382" s="571" t="str">
        <f>$D$257</f>
        <v>m²</v>
      </c>
      <c r="E382" s="568">
        <v>45.6</v>
      </c>
      <c r="F382" s="567">
        <f>$F$257</f>
        <v>145812.67000000001</v>
      </c>
      <c r="G382" s="561">
        <f t="shared" si="173"/>
        <v>6649057.7520000003</v>
      </c>
      <c r="H382">
        <v>40</v>
      </c>
      <c r="I382">
        <f t="shared" si="174"/>
        <v>1824</v>
      </c>
      <c r="N382" s="589" t="s">
        <v>2268</v>
      </c>
      <c r="O382" s="584" t="s">
        <v>2244</v>
      </c>
      <c r="P382" s="571" t="str">
        <f>$D$257</f>
        <v>m²</v>
      </c>
      <c r="Q382" s="568">
        <v>45.6</v>
      </c>
      <c r="R382" s="567">
        <f>$F$257</f>
        <v>145812.67000000001</v>
      </c>
      <c r="S382" s="561">
        <f t="shared" si="175"/>
        <v>6649057.7520000003</v>
      </c>
      <c r="T382">
        <v>40</v>
      </c>
      <c r="U382">
        <f t="shared" si="176"/>
        <v>1824</v>
      </c>
      <c r="V382" s="589" t="s">
        <v>2268</v>
      </c>
      <c r="W382" s="584" t="s">
        <v>2244</v>
      </c>
      <c r="X382" s="571" t="str">
        <f>$D$257</f>
        <v>m²</v>
      </c>
      <c r="Y382" s="568">
        <v>45.6</v>
      </c>
      <c r="Z382" s="567">
        <f>$F$257</f>
        <v>145812.67000000001</v>
      </c>
      <c r="AA382" s="561">
        <f t="shared" si="177"/>
        <v>6649057.7520000003</v>
      </c>
      <c r="AB382">
        <v>40</v>
      </c>
      <c r="AC382">
        <f t="shared" si="178"/>
        <v>1824</v>
      </c>
      <c r="AD382" s="589" t="s">
        <v>2268</v>
      </c>
      <c r="AE382" s="584" t="s">
        <v>2244</v>
      </c>
      <c r="AF382" s="571" t="str">
        <f>$D$257</f>
        <v>m²</v>
      </c>
      <c r="AG382" s="568">
        <v>45.6</v>
      </c>
      <c r="AH382" s="567">
        <f>$F$257</f>
        <v>145812.67000000001</v>
      </c>
      <c r="AI382" s="561">
        <f t="shared" si="179"/>
        <v>6649057.7520000003</v>
      </c>
      <c r="AJ382">
        <v>40</v>
      </c>
      <c r="AK382">
        <f t="shared" si="180"/>
        <v>1824</v>
      </c>
    </row>
    <row r="383" spans="2:37" ht="15" customHeight="1">
      <c r="B383" s="589" t="s">
        <v>2176</v>
      </c>
      <c r="C383" s="565" t="s">
        <v>2246</v>
      </c>
      <c r="D383" s="571" t="str">
        <f>$D$258</f>
        <v>bh</v>
      </c>
      <c r="E383" s="568">
        <v>4</v>
      </c>
      <c r="F383" s="567">
        <f>$F$258</f>
        <v>100000</v>
      </c>
      <c r="G383" s="561">
        <f t="shared" si="173"/>
        <v>400000</v>
      </c>
      <c r="H383">
        <v>2.5</v>
      </c>
      <c r="I383">
        <f t="shared" si="174"/>
        <v>10</v>
      </c>
      <c r="N383" s="589" t="s">
        <v>2176</v>
      </c>
      <c r="O383" s="565" t="s">
        <v>2246</v>
      </c>
      <c r="P383" s="571" t="str">
        <f>$D$258</f>
        <v>bh</v>
      </c>
      <c r="Q383" s="568">
        <v>4</v>
      </c>
      <c r="R383" s="567">
        <f>$F$258</f>
        <v>100000</v>
      </c>
      <c r="S383" s="561">
        <f t="shared" si="175"/>
        <v>400000</v>
      </c>
      <c r="T383">
        <v>2.5</v>
      </c>
      <c r="U383">
        <f t="shared" si="176"/>
        <v>10</v>
      </c>
      <c r="V383" s="589" t="s">
        <v>2176</v>
      </c>
      <c r="W383" s="565" t="s">
        <v>2246</v>
      </c>
      <c r="X383" s="571" t="str">
        <f>$D$258</f>
        <v>bh</v>
      </c>
      <c r="Y383" s="568">
        <v>4</v>
      </c>
      <c r="Z383" s="567">
        <f>$F$258</f>
        <v>100000</v>
      </c>
      <c r="AA383" s="561">
        <f t="shared" si="177"/>
        <v>400000</v>
      </c>
      <c r="AB383">
        <v>2.5</v>
      </c>
      <c r="AC383">
        <f t="shared" si="178"/>
        <v>10</v>
      </c>
      <c r="AD383" s="589" t="s">
        <v>2176</v>
      </c>
      <c r="AE383" s="565" t="s">
        <v>2246</v>
      </c>
      <c r="AF383" s="571" t="str">
        <f>$D$258</f>
        <v>bh</v>
      </c>
      <c r="AG383" s="568">
        <v>4</v>
      </c>
      <c r="AH383" s="567">
        <f>$F$258</f>
        <v>100000</v>
      </c>
      <c r="AI383" s="561">
        <f t="shared" si="179"/>
        <v>400000</v>
      </c>
      <c r="AJ383">
        <v>2.5</v>
      </c>
      <c r="AK383">
        <f t="shared" si="180"/>
        <v>10</v>
      </c>
    </row>
    <row r="384" spans="2:37" ht="15" customHeight="1">
      <c r="B384" s="589"/>
      <c r="C384" s="584"/>
      <c r="D384" s="571"/>
      <c r="E384" s="566"/>
      <c r="F384" s="567"/>
      <c r="G384" s="561"/>
      <c r="I384">
        <f>SUM(I377:I382)</f>
        <v>318950.12228571431</v>
      </c>
      <c r="N384" s="589"/>
      <c r="O384" s="584"/>
      <c r="P384" s="571"/>
      <c r="Q384" s="566"/>
      <c r="R384" s="567"/>
      <c r="S384" s="561"/>
      <c r="U384">
        <f>SUM(U377:U382)</f>
        <v>318950.12228571431</v>
      </c>
      <c r="V384" s="589"/>
      <c r="W384" s="584"/>
      <c r="X384" s="571"/>
      <c r="Y384" s="566"/>
      <c r="Z384" s="567"/>
      <c r="AA384" s="561"/>
      <c r="AC384">
        <f>SUM(AC377:AC382)</f>
        <v>318950.12228571431</v>
      </c>
      <c r="AD384" s="589"/>
      <c r="AE384" s="584"/>
      <c r="AF384" s="571"/>
      <c r="AG384" s="566"/>
      <c r="AH384" s="567"/>
      <c r="AI384" s="561"/>
      <c r="AK384">
        <f>SUM(AK377:AK382)</f>
        <v>318950.12228571431</v>
      </c>
    </row>
    <row r="385" spans="2:35" ht="15" customHeight="1">
      <c r="B385" s="590">
        <v>3</v>
      </c>
      <c r="C385" s="583" t="s">
        <v>2086</v>
      </c>
      <c r="D385" s="571"/>
      <c r="E385" s="566"/>
      <c r="F385" s="567"/>
      <c r="G385" s="561"/>
      <c r="N385" s="590">
        <v>3</v>
      </c>
      <c r="O385" s="583" t="s">
        <v>2086</v>
      </c>
      <c r="P385" s="571"/>
      <c r="Q385" s="566"/>
      <c r="R385" s="567"/>
      <c r="S385" s="561"/>
      <c r="V385" s="590">
        <v>3</v>
      </c>
      <c r="W385" s="583" t="s">
        <v>2086</v>
      </c>
      <c r="X385" s="571"/>
      <c r="Y385" s="566"/>
      <c r="Z385" s="567"/>
      <c r="AA385" s="561"/>
      <c r="AD385" s="590">
        <v>3</v>
      </c>
      <c r="AE385" s="583" t="s">
        <v>2086</v>
      </c>
      <c r="AF385" s="571"/>
      <c r="AG385" s="566"/>
      <c r="AH385" s="567"/>
      <c r="AI385" s="561"/>
    </row>
    <row r="386" spans="2:35" ht="15" customHeight="1">
      <c r="B386" s="589" t="s">
        <v>721</v>
      </c>
      <c r="C386" s="584" t="s">
        <v>2247</v>
      </c>
      <c r="D386" s="571" t="str">
        <f>$D$261</f>
        <v>bh</v>
      </c>
      <c r="E386" s="568">
        <v>4</v>
      </c>
      <c r="F386" s="567">
        <f>$F$261</f>
        <v>181849.04</v>
      </c>
      <c r="G386" s="561">
        <f t="shared" ref="G386:G391" si="181">E386*F386</f>
        <v>727396.16</v>
      </c>
      <c r="N386" s="589" t="s">
        <v>721</v>
      </c>
      <c r="O386" s="584" t="s">
        <v>2247</v>
      </c>
      <c r="P386" s="571" t="str">
        <f>$D$261</f>
        <v>bh</v>
      </c>
      <c r="Q386" s="568">
        <v>4</v>
      </c>
      <c r="R386" s="567">
        <f>$F$261</f>
        <v>181849.04</v>
      </c>
      <c r="S386" s="561">
        <f t="shared" ref="S386:S391" si="182">Q386*R386</f>
        <v>727396.16</v>
      </c>
      <c r="V386" s="589" t="s">
        <v>721</v>
      </c>
      <c r="W386" s="584" t="s">
        <v>2247</v>
      </c>
      <c r="X386" s="571" t="str">
        <f>$D$261</f>
        <v>bh</v>
      </c>
      <c r="Y386" s="568">
        <v>4</v>
      </c>
      <c r="Z386" s="567">
        <f>$F$261</f>
        <v>181849.04</v>
      </c>
      <c r="AA386" s="561">
        <f t="shared" ref="AA386:AA391" si="183">Y386*Z386</f>
        <v>727396.16</v>
      </c>
      <c r="AD386" s="589" t="s">
        <v>721</v>
      </c>
      <c r="AE386" s="584" t="s">
        <v>2247</v>
      </c>
      <c r="AF386" s="571" t="str">
        <f>$D$261</f>
        <v>bh</v>
      </c>
      <c r="AG386" s="568">
        <v>4</v>
      </c>
      <c r="AH386" s="567">
        <f>$F$261</f>
        <v>181849.04</v>
      </c>
      <c r="AI386" s="561">
        <f t="shared" ref="AI386:AI391" si="184">AG386*AH386</f>
        <v>727396.16</v>
      </c>
    </row>
    <row r="387" spans="2:35" ht="15" customHeight="1">
      <c r="B387" s="589" t="s">
        <v>2166</v>
      </c>
      <c r="C387" s="584" t="s">
        <v>2085</v>
      </c>
      <c r="D387" s="571" t="str">
        <f>$D$262</f>
        <v>kg</v>
      </c>
      <c r="E387" s="568">
        <f>I384</f>
        <v>318950.12228571431</v>
      </c>
      <c r="F387" s="567">
        <f>$F$262</f>
        <v>462.7700000000001</v>
      </c>
      <c r="G387" s="561">
        <f t="shared" si="181"/>
        <v>147600548.09016004</v>
      </c>
      <c r="N387" s="589" t="s">
        <v>2166</v>
      </c>
      <c r="O387" s="584" t="s">
        <v>2085</v>
      </c>
      <c r="P387" s="571" t="str">
        <f>$D$262</f>
        <v>kg</v>
      </c>
      <c r="Q387" s="568">
        <f>U384</f>
        <v>318950.12228571431</v>
      </c>
      <c r="R387" s="567">
        <f>$F$262</f>
        <v>462.7700000000001</v>
      </c>
      <c r="S387" s="561">
        <f t="shared" si="182"/>
        <v>147600548.09016004</v>
      </c>
      <c r="V387" s="589" t="s">
        <v>2166</v>
      </c>
      <c r="W387" s="584" t="s">
        <v>2085</v>
      </c>
      <c r="X387" s="571" t="str">
        <f>$D$262</f>
        <v>kg</v>
      </c>
      <c r="Y387" s="568">
        <f>AC384</f>
        <v>318950.12228571431</v>
      </c>
      <c r="Z387" s="567">
        <f>$F$262</f>
        <v>462.7700000000001</v>
      </c>
      <c r="AA387" s="561">
        <f t="shared" si="183"/>
        <v>147600548.09016004</v>
      </c>
      <c r="AD387" s="589" t="s">
        <v>2166</v>
      </c>
      <c r="AE387" s="584" t="s">
        <v>2085</v>
      </c>
      <c r="AF387" s="571" t="str">
        <f>$D$262</f>
        <v>kg</v>
      </c>
      <c r="AG387" s="568">
        <f>AK384</f>
        <v>318950.12228571431</v>
      </c>
      <c r="AH387" s="567">
        <f>$F$262</f>
        <v>462.7700000000001</v>
      </c>
      <c r="AI387" s="561">
        <f t="shared" si="184"/>
        <v>147600548.09016004</v>
      </c>
    </row>
    <row r="388" spans="2:35" ht="15" customHeight="1">
      <c r="B388" s="589" t="s">
        <v>2168</v>
      </c>
      <c r="C388" s="584" t="s">
        <v>2249</v>
      </c>
      <c r="D388" s="571" t="str">
        <f>$D$263</f>
        <v>bh</v>
      </c>
      <c r="E388" s="568">
        <v>4</v>
      </c>
      <c r="F388" s="567">
        <f>$F$263</f>
        <v>387825</v>
      </c>
      <c r="G388" s="561">
        <f t="shared" si="181"/>
        <v>1551300</v>
      </c>
      <c r="N388" s="589" t="s">
        <v>2168</v>
      </c>
      <c r="O388" s="584" t="s">
        <v>2249</v>
      </c>
      <c r="P388" s="571" t="str">
        <f>$D$263</f>
        <v>bh</v>
      </c>
      <c r="Q388" s="568">
        <v>4</v>
      </c>
      <c r="R388" s="567">
        <f>$F$263</f>
        <v>387825</v>
      </c>
      <c r="S388" s="561">
        <f t="shared" si="182"/>
        <v>1551300</v>
      </c>
      <c r="V388" s="589" t="s">
        <v>2168</v>
      </c>
      <c r="W388" s="584" t="s">
        <v>2249</v>
      </c>
      <c r="X388" s="571" t="str">
        <f>$D$263</f>
        <v>bh</v>
      </c>
      <c r="Y388" s="568">
        <v>4</v>
      </c>
      <c r="Z388" s="567">
        <f>$F$263</f>
        <v>387825</v>
      </c>
      <c r="AA388" s="561">
        <f t="shared" si="183"/>
        <v>1551300</v>
      </c>
      <c r="AD388" s="589" t="s">
        <v>2168</v>
      </c>
      <c r="AE388" s="584" t="s">
        <v>2249</v>
      </c>
      <c r="AF388" s="571" t="str">
        <f>$D$263</f>
        <v>bh</v>
      </c>
      <c r="AG388" s="568">
        <v>4</v>
      </c>
      <c r="AH388" s="567">
        <f>$F$263</f>
        <v>387825</v>
      </c>
      <c r="AI388" s="561">
        <f t="shared" si="184"/>
        <v>1551300</v>
      </c>
    </row>
    <row r="389" spans="2:35" ht="15" customHeight="1">
      <c r="B389" s="589" t="s">
        <v>2170</v>
      </c>
      <c r="C389" s="584" t="s">
        <v>2250</v>
      </c>
      <c r="D389" s="571" t="str">
        <f>$D$264</f>
        <v>kg</v>
      </c>
      <c r="E389" s="568">
        <f>$E$164</f>
        <v>150.93599999999998</v>
      </c>
      <c r="F389" s="567">
        <f>$F$264</f>
        <v>3758.6984549742947</v>
      </c>
      <c r="G389" s="561">
        <f t="shared" si="181"/>
        <v>567322.91</v>
      </c>
      <c r="N389" s="589" t="s">
        <v>2170</v>
      </c>
      <c r="O389" s="584" t="s">
        <v>2250</v>
      </c>
      <c r="P389" s="571" t="str">
        <f>$D$264</f>
        <v>kg</v>
      </c>
      <c r="Q389" s="568">
        <f>$Q$164</f>
        <v>239.61599999999999</v>
      </c>
      <c r="R389" s="567">
        <f>$F$264</f>
        <v>3758.6984549742947</v>
      </c>
      <c r="S389" s="561">
        <f t="shared" si="182"/>
        <v>900644.2889871205</v>
      </c>
      <c r="V389" s="589" t="s">
        <v>2170</v>
      </c>
      <c r="W389" s="584" t="s">
        <v>2269</v>
      </c>
      <c r="X389" s="571" t="str">
        <f>$D$264</f>
        <v>kg</v>
      </c>
      <c r="Y389" s="568">
        <f>$Y$164</f>
        <v>311.47199999999998</v>
      </c>
      <c r="Z389" s="567">
        <f>$F$264</f>
        <v>3758.6984549742947</v>
      </c>
      <c r="AA389" s="561">
        <f t="shared" si="183"/>
        <v>1170729.3251677535</v>
      </c>
      <c r="AD389" s="589" t="s">
        <v>2170</v>
      </c>
      <c r="AE389" s="584" t="s">
        <v>2269</v>
      </c>
      <c r="AF389" s="571" t="str">
        <f>$D$264</f>
        <v>kg</v>
      </c>
      <c r="AG389" s="568">
        <f>$AG$164</f>
        <v>403.17599999999999</v>
      </c>
      <c r="AH389" s="567">
        <f>$F$264</f>
        <v>3758.6984549742947</v>
      </c>
      <c r="AI389" s="561">
        <f t="shared" si="184"/>
        <v>1515417.0082827162</v>
      </c>
    </row>
    <row r="390" spans="2:35" ht="15" customHeight="1">
      <c r="B390" s="589" t="s">
        <v>2172</v>
      </c>
      <c r="C390" s="584" t="s">
        <v>2251</v>
      </c>
      <c r="D390" s="571" t="str">
        <f>$D$265</f>
        <v>set</v>
      </c>
      <c r="E390" s="568">
        <v>1</v>
      </c>
      <c r="F390" s="567">
        <f>$F$265</f>
        <v>855127</v>
      </c>
      <c r="G390" s="561">
        <f t="shared" si="181"/>
        <v>855127</v>
      </c>
      <c r="N390" s="589" t="s">
        <v>2172</v>
      </c>
      <c r="O390" s="584" t="s">
        <v>2251</v>
      </c>
      <c r="P390" s="571" t="str">
        <f>$D$265</f>
        <v>set</v>
      </c>
      <c r="Q390" s="568">
        <v>1</v>
      </c>
      <c r="R390" s="567">
        <f>$F$265</f>
        <v>855127</v>
      </c>
      <c r="S390" s="561">
        <f t="shared" si="182"/>
        <v>855127</v>
      </c>
      <c r="V390" s="589" t="s">
        <v>2172</v>
      </c>
      <c r="W390" s="584" t="s">
        <v>2251</v>
      </c>
      <c r="X390" s="571" t="str">
        <f>$D$265</f>
        <v>set</v>
      </c>
      <c r="Y390" s="568">
        <v>1</v>
      </c>
      <c r="Z390" s="567">
        <f>$F$265</f>
        <v>855127</v>
      </c>
      <c r="AA390" s="561">
        <f t="shared" si="183"/>
        <v>855127</v>
      </c>
      <c r="AD390" s="589" t="s">
        <v>2172</v>
      </c>
      <c r="AE390" s="584" t="s">
        <v>2251</v>
      </c>
      <c r="AF390" s="571" t="str">
        <f>$D$265</f>
        <v>set</v>
      </c>
      <c r="AG390" s="568">
        <v>1</v>
      </c>
      <c r="AH390" s="567">
        <f>$F$265</f>
        <v>855127</v>
      </c>
      <c r="AI390" s="561">
        <f t="shared" si="184"/>
        <v>855127</v>
      </c>
    </row>
    <row r="391" spans="2:35" ht="15" customHeight="1">
      <c r="B391" s="589" t="s">
        <v>2174</v>
      </c>
      <c r="C391" s="584" t="s">
        <v>2252</v>
      </c>
      <c r="D391" s="571" t="str">
        <f>$D$266</f>
        <v>set</v>
      </c>
      <c r="E391" s="568">
        <v>1</v>
      </c>
      <c r="F391" s="567">
        <f>$F$266</f>
        <v>674025</v>
      </c>
      <c r="G391" s="561">
        <f t="shared" si="181"/>
        <v>674025</v>
      </c>
      <c r="N391" s="589" t="s">
        <v>2174</v>
      </c>
      <c r="O391" s="584" t="s">
        <v>2252</v>
      </c>
      <c r="P391" s="571" t="str">
        <f>$D$266</f>
        <v>set</v>
      </c>
      <c r="Q391" s="568">
        <v>1</v>
      </c>
      <c r="R391" s="567">
        <f>$F$266</f>
        <v>674025</v>
      </c>
      <c r="S391" s="561">
        <f t="shared" si="182"/>
        <v>674025</v>
      </c>
      <c r="V391" s="589" t="s">
        <v>2174</v>
      </c>
      <c r="W391" s="584" t="s">
        <v>2252</v>
      </c>
      <c r="X391" s="571" t="str">
        <f>$D$266</f>
        <v>set</v>
      </c>
      <c r="Y391" s="568">
        <v>1</v>
      </c>
      <c r="Z391" s="567">
        <f>$F$266</f>
        <v>674025</v>
      </c>
      <c r="AA391" s="561">
        <f t="shared" si="183"/>
        <v>674025</v>
      </c>
      <c r="AD391" s="589" t="s">
        <v>2174</v>
      </c>
      <c r="AE391" s="584" t="s">
        <v>2252</v>
      </c>
      <c r="AF391" s="571" t="str">
        <f>$D$266</f>
        <v>set</v>
      </c>
      <c r="AG391" s="568">
        <v>1</v>
      </c>
      <c r="AH391" s="567">
        <f>$F$266</f>
        <v>674025</v>
      </c>
      <c r="AI391" s="561">
        <f t="shared" si="184"/>
        <v>674025</v>
      </c>
    </row>
    <row r="392" spans="2:35" ht="15" customHeight="1" thickBot="1">
      <c r="B392" s="582"/>
      <c r="C392" s="1197" t="s">
        <v>2298</v>
      </c>
      <c r="D392" s="1198"/>
      <c r="E392" s="1198"/>
      <c r="F392" s="1199"/>
      <c r="G392" s="560">
        <f>SUM(G371:G391)</f>
        <v>617397148.61970711</v>
      </c>
      <c r="N392" s="582"/>
      <c r="O392" s="1197" t="s">
        <v>2298</v>
      </c>
      <c r="P392" s="1198"/>
      <c r="Q392" s="1198"/>
      <c r="R392" s="1199"/>
      <c r="S392" s="560">
        <f>SUM(S371:S391)</f>
        <v>617730469.9986943</v>
      </c>
      <c r="V392" s="582"/>
      <c r="W392" s="1197" t="s">
        <v>2298</v>
      </c>
      <c r="X392" s="1198"/>
      <c r="Y392" s="1198"/>
      <c r="Z392" s="1199"/>
      <c r="AA392" s="560">
        <f>SUM(AA371:AA391)</f>
        <v>618000555.03487492</v>
      </c>
      <c r="AD392" s="582"/>
      <c r="AE392" s="1197" t="s">
        <v>2298</v>
      </c>
      <c r="AF392" s="1198"/>
      <c r="AG392" s="1198"/>
      <c r="AH392" s="1199"/>
      <c r="AI392" s="560">
        <f>SUM(AI371:AI391)</f>
        <v>618345242.7179898</v>
      </c>
    </row>
    <row r="393" spans="2:35" ht="15" customHeight="1" thickBot="1">
      <c r="R393" s="634"/>
      <c r="Z393" s="634"/>
      <c r="AA393" s="634"/>
      <c r="AH393" s="634"/>
      <c r="AI393" s="634"/>
    </row>
    <row r="394" spans="2:35" ht="15" customHeight="1" thickBot="1">
      <c r="B394" s="581" t="s">
        <v>2229</v>
      </c>
      <c r="C394" s="580"/>
      <c r="D394" s="579">
        <v>6</v>
      </c>
      <c r="E394" s="578"/>
      <c r="F394" s="577"/>
      <c r="G394" s="564"/>
      <c r="N394" s="581" t="s">
        <v>2230</v>
      </c>
      <c r="O394" s="580"/>
      <c r="P394" s="579">
        <v>6</v>
      </c>
      <c r="Q394" s="578"/>
      <c r="R394" s="577"/>
      <c r="S394" s="564"/>
      <c r="V394" s="581" t="s">
        <v>2231</v>
      </c>
      <c r="W394" s="580"/>
      <c r="X394" s="579"/>
      <c r="Y394" s="578"/>
      <c r="Z394" s="577"/>
      <c r="AA394" s="564"/>
      <c r="AD394" s="581" t="s">
        <v>2254</v>
      </c>
      <c r="AE394" s="580"/>
      <c r="AF394" s="579"/>
      <c r="AG394" s="578"/>
      <c r="AH394" s="577"/>
      <c r="AI394" s="564"/>
    </row>
    <row r="395" spans="2:35" ht="15" customHeight="1">
      <c r="B395" s="576"/>
      <c r="C395" s="575" t="s">
        <v>2299</v>
      </c>
      <c r="D395" s="574"/>
      <c r="E395" s="573"/>
      <c r="F395" s="572"/>
      <c r="G395" s="563"/>
      <c r="N395" s="576"/>
      <c r="O395" s="575" t="s">
        <v>2299</v>
      </c>
      <c r="P395" s="574"/>
      <c r="Q395" s="573"/>
      <c r="R395" s="572"/>
      <c r="S395" s="563"/>
      <c r="V395" s="576"/>
      <c r="W395" s="575" t="s">
        <v>2300</v>
      </c>
      <c r="X395" s="574"/>
      <c r="Y395" s="573"/>
      <c r="Z395" s="572"/>
      <c r="AA395" s="563"/>
      <c r="AD395" s="576"/>
      <c r="AE395" s="575" t="s">
        <v>2300</v>
      </c>
      <c r="AF395" s="574"/>
      <c r="AG395" s="573"/>
      <c r="AH395" s="572"/>
      <c r="AI395" s="563"/>
    </row>
    <row r="396" spans="2:35" ht="15" customHeight="1">
      <c r="B396" s="588">
        <v>1</v>
      </c>
      <c r="C396" s="587" t="s">
        <v>2234</v>
      </c>
      <c r="D396" s="571"/>
      <c r="E396" s="570"/>
      <c r="F396" s="569"/>
      <c r="G396" s="562"/>
      <c r="N396" s="588">
        <v>1</v>
      </c>
      <c r="O396" s="587" t="s">
        <v>2234</v>
      </c>
      <c r="P396" s="571"/>
      <c r="Q396" s="570"/>
      <c r="R396" s="569"/>
      <c r="S396" s="562"/>
      <c r="V396" s="588">
        <v>1</v>
      </c>
      <c r="W396" s="587" t="s">
        <v>2234</v>
      </c>
      <c r="X396" s="571"/>
      <c r="Y396" s="570"/>
      <c r="Z396" s="569"/>
      <c r="AA396" s="562"/>
      <c r="AD396" s="588">
        <v>1</v>
      </c>
      <c r="AE396" s="587" t="s">
        <v>2234</v>
      </c>
      <c r="AF396" s="571"/>
      <c r="AG396" s="570"/>
      <c r="AH396" s="569"/>
      <c r="AI396" s="562"/>
    </row>
    <row r="397" spans="2:35" ht="15" customHeight="1">
      <c r="B397" s="589" t="s">
        <v>721</v>
      </c>
      <c r="C397" s="586" t="s">
        <v>2235</v>
      </c>
      <c r="D397" s="571" t="str">
        <f>$D$247</f>
        <v>m³</v>
      </c>
      <c r="E397" s="568">
        <v>72.5</v>
      </c>
      <c r="F397" s="567">
        <f>$F$247</f>
        <v>102390.75000000001</v>
      </c>
      <c r="G397" s="561">
        <f>E397*F397</f>
        <v>7423329.3750000009</v>
      </c>
      <c r="N397" s="589" t="s">
        <v>721</v>
      </c>
      <c r="O397" s="586" t="s">
        <v>2235</v>
      </c>
      <c r="P397" s="571" t="str">
        <f>$D$247</f>
        <v>m³</v>
      </c>
      <c r="Q397" s="568">
        <v>72.5</v>
      </c>
      <c r="R397" s="567">
        <f>$F$247</f>
        <v>102390.75000000001</v>
      </c>
      <c r="S397" s="561">
        <f>Q397*R397</f>
        <v>7423329.3750000009</v>
      </c>
      <c r="V397" s="589" t="s">
        <v>721</v>
      </c>
      <c r="W397" s="586" t="s">
        <v>2235</v>
      </c>
      <c r="X397" s="571" t="str">
        <f>$D$247</f>
        <v>m³</v>
      </c>
      <c r="Y397" s="568">
        <v>72.5</v>
      </c>
      <c r="Z397" s="567">
        <f>$F$247</f>
        <v>102390.75000000001</v>
      </c>
      <c r="AA397" s="561">
        <f>Y397*Z397</f>
        <v>7423329.3750000009</v>
      </c>
      <c r="AD397" s="589" t="s">
        <v>721</v>
      </c>
      <c r="AE397" s="586" t="s">
        <v>2235</v>
      </c>
      <c r="AF397" s="571" t="str">
        <f>$D$247</f>
        <v>m³</v>
      </c>
      <c r="AG397" s="568">
        <v>72.5</v>
      </c>
      <c r="AH397" s="567">
        <f>$F$247</f>
        <v>102390.75000000001</v>
      </c>
      <c r="AI397" s="561">
        <f>AG397*AH397</f>
        <v>7423329.3750000009</v>
      </c>
    </row>
    <row r="398" spans="2:35" ht="15" customHeight="1">
      <c r="B398" s="589" t="s">
        <v>2166</v>
      </c>
      <c r="C398" s="586" t="s">
        <v>2237</v>
      </c>
      <c r="D398" s="571" t="str">
        <f>$D$248</f>
        <v>m³</v>
      </c>
      <c r="E398" s="568">
        <v>30.560000000000002</v>
      </c>
      <c r="F398" s="567">
        <f>$F$248</f>
        <v>62462.950000000012</v>
      </c>
      <c r="G398" s="561">
        <f>E398*F398</f>
        <v>1908867.7520000006</v>
      </c>
      <c r="N398" s="589" t="s">
        <v>2166</v>
      </c>
      <c r="O398" s="586" t="s">
        <v>2237</v>
      </c>
      <c r="P398" s="571" t="str">
        <f>$D$248</f>
        <v>m³</v>
      </c>
      <c r="Q398" s="568">
        <v>30.560000000000002</v>
      </c>
      <c r="R398" s="567">
        <f>$F$248</f>
        <v>62462.950000000012</v>
      </c>
      <c r="S398" s="561">
        <f>Q398*R398</f>
        <v>1908867.7520000006</v>
      </c>
      <c r="V398" s="589" t="s">
        <v>2166</v>
      </c>
      <c r="W398" s="586" t="s">
        <v>2237</v>
      </c>
      <c r="X398" s="571" t="str">
        <f>$D$248</f>
        <v>m³</v>
      </c>
      <c r="Y398" s="568">
        <v>30.560000000000002</v>
      </c>
      <c r="Z398" s="567">
        <f>$F$248</f>
        <v>62462.950000000012</v>
      </c>
      <c r="AA398" s="561">
        <f>Y398*Z398</f>
        <v>1908867.7520000006</v>
      </c>
      <c r="AD398" s="589" t="s">
        <v>2166</v>
      </c>
      <c r="AE398" s="586" t="s">
        <v>2237</v>
      </c>
      <c r="AF398" s="571" t="str">
        <f>$D$248</f>
        <v>m³</v>
      </c>
      <c r="AG398" s="568">
        <v>30.560000000000002</v>
      </c>
      <c r="AH398" s="567">
        <f>$F$248</f>
        <v>62462.950000000012</v>
      </c>
      <c r="AI398" s="561">
        <f>AG398*AH398</f>
        <v>1908867.7520000006</v>
      </c>
    </row>
    <row r="399" spans="2:35" ht="15" customHeight="1">
      <c r="B399" s="589" t="s">
        <v>2168</v>
      </c>
      <c r="C399" s="586" t="s">
        <v>2265</v>
      </c>
      <c r="D399" s="571" t="str">
        <f>$D$249</f>
        <v>m'</v>
      </c>
      <c r="E399" s="568">
        <v>384</v>
      </c>
      <c r="F399" s="567">
        <f>$F$249</f>
        <v>52230.612500000003</v>
      </c>
      <c r="G399" s="561">
        <f>E399*F399</f>
        <v>20056555.200000003</v>
      </c>
      <c r="N399" s="589" t="s">
        <v>2168</v>
      </c>
      <c r="O399" s="586" t="s">
        <v>2265</v>
      </c>
      <c r="P399" s="571" t="str">
        <f>$D$249</f>
        <v>m'</v>
      </c>
      <c r="Q399" s="568">
        <v>384</v>
      </c>
      <c r="R399" s="567">
        <f>$F$249</f>
        <v>52230.612500000003</v>
      </c>
      <c r="S399" s="561">
        <f>Q399*R399</f>
        <v>20056555.200000003</v>
      </c>
      <c r="V399" s="589" t="s">
        <v>2168</v>
      </c>
      <c r="W399" s="586" t="s">
        <v>2265</v>
      </c>
      <c r="X399" s="571" t="str">
        <f>$D$249</f>
        <v>m'</v>
      </c>
      <c r="Y399" s="568">
        <v>384</v>
      </c>
      <c r="Z399" s="567">
        <f>$F$249</f>
        <v>52230.612500000003</v>
      </c>
      <c r="AA399" s="561">
        <f>Y399*Z399</f>
        <v>20056555.200000003</v>
      </c>
      <c r="AD399" s="589" t="s">
        <v>2168</v>
      </c>
      <c r="AE399" s="586" t="s">
        <v>2265</v>
      </c>
      <c r="AF399" s="571" t="str">
        <f>$D$249</f>
        <v>m'</v>
      </c>
      <c r="AG399" s="568">
        <v>384</v>
      </c>
      <c r="AH399" s="567">
        <f>$F$249</f>
        <v>52230.612500000003</v>
      </c>
      <c r="AI399" s="561">
        <f>AG399*AH399</f>
        <v>20056555.200000003</v>
      </c>
    </row>
    <row r="400" spans="2:35" ht="15" customHeight="1">
      <c r="B400" s="585"/>
      <c r="C400" s="586"/>
      <c r="D400" s="571"/>
      <c r="E400" s="566"/>
      <c r="F400" s="567"/>
      <c r="G400" s="561"/>
      <c r="N400" s="585"/>
      <c r="O400" s="586"/>
      <c r="P400" s="571"/>
      <c r="Q400" s="566"/>
      <c r="R400" s="567"/>
      <c r="S400" s="561"/>
      <c r="V400" s="585"/>
      <c r="W400" s="586"/>
      <c r="X400" s="571"/>
      <c r="Y400" s="566"/>
      <c r="Z400" s="567"/>
      <c r="AA400" s="561"/>
      <c r="AD400" s="585"/>
      <c r="AE400" s="586"/>
      <c r="AF400" s="571"/>
      <c r="AG400" s="566"/>
      <c r="AH400" s="567"/>
      <c r="AI400" s="561"/>
    </row>
    <row r="401" spans="2:37" ht="15" customHeight="1">
      <c r="B401" s="590">
        <v>2</v>
      </c>
      <c r="C401" s="587" t="s">
        <v>2238</v>
      </c>
      <c r="D401" s="571"/>
      <c r="E401" s="566"/>
      <c r="F401" s="567"/>
      <c r="G401" s="561"/>
      <c r="H401" t="s">
        <v>2239</v>
      </c>
      <c r="N401" s="590">
        <v>2</v>
      </c>
      <c r="O401" s="587" t="s">
        <v>2238</v>
      </c>
      <c r="P401" s="571"/>
      <c r="Q401" s="566"/>
      <c r="R401" s="567"/>
      <c r="S401" s="561"/>
      <c r="T401" t="s">
        <v>2239</v>
      </c>
      <c r="V401" s="590">
        <v>2</v>
      </c>
      <c r="W401" s="587" t="s">
        <v>2238</v>
      </c>
      <c r="X401" s="571"/>
      <c r="Y401" s="566"/>
      <c r="Z401" s="567"/>
      <c r="AA401" s="561"/>
      <c r="AB401" t="s">
        <v>2239</v>
      </c>
      <c r="AD401" s="590">
        <v>2</v>
      </c>
      <c r="AE401" s="587" t="s">
        <v>2238</v>
      </c>
      <c r="AF401" s="571"/>
      <c r="AG401" s="566"/>
      <c r="AH401" s="567"/>
      <c r="AI401" s="561"/>
      <c r="AJ401" t="s">
        <v>2239</v>
      </c>
    </row>
    <row r="402" spans="2:37" ht="15" customHeight="1">
      <c r="B402" s="589" t="s">
        <v>721</v>
      </c>
      <c r="C402" s="586" t="s">
        <v>2240</v>
      </c>
      <c r="D402" s="571" t="str">
        <f>$D$252</f>
        <v>m³</v>
      </c>
      <c r="E402" s="568">
        <v>5.4</v>
      </c>
      <c r="F402" s="567">
        <f>$F$252</f>
        <v>404738.95</v>
      </c>
      <c r="G402" s="561">
        <f t="shared" ref="G402:G408" si="185">E402*F402</f>
        <v>2185590.33</v>
      </c>
      <c r="H402">
        <v>1400</v>
      </c>
      <c r="I402">
        <f t="shared" ref="I402:I408" si="186">E402*H402</f>
        <v>7560.0000000000009</v>
      </c>
      <c r="N402" s="589" t="s">
        <v>721</v>
      </c>
      <c r="O402" s="586" t="s">
        <v>2240</v>
      </c>
      <c r="P402" s="571" t="str">
        <f>$D$252</f>
        <v>m³</v>
      </c>
      <c r="Q402" s="568">
        <v>5.4</v>
      </c>
      <c r="R402" s="567">
        <f>$F$252</f>
        <v>404738.95</v>
      </c>
      <c r="S402" s="561">
        <f t="shared" ref="S402:S408" si="187">Q402*R402</f>
        <v>2185590.33</v>
      </c>
      <c r="T402">
        <v>1400</v>
      </c>
      <c r="U402">
        <f t="shared" ref="U402:U408" si="188">Q402*T402</f>
        <v>7560.0000000000009</v>
      </c>
      <c r="V402" s="589" t="s">
        <v>721</v>
      </c>
      <c r="W402" s="586" t="s">
        <v>2240</v>
      </c>
      <c r="X402" s="571" t="str">
        <f>$D$252</f>
        <v>m³</v>
      </c>
      <c r="Y402" s="568">
        <v>5.4</v>
      </c>
      <c r="Z402" s="567">
        <f>$F$252</f>
        <v>404738.95</v>
      </c>
      <c r="AA402" s="561">
        <f t="shared" ref="AA402:AA408" si="189">Y402*Z402</f>
        <v>2185590.33</v>
      </c>
      <c r="AB402">
        <v>1400</v>
      </c>
      <c r="AC402">
        <f t="shared" ref="AC402:AC408" si="190">Y402*AB402</f>
        <v>7560.0000000000009</v>
      </c>
      <c r="AD402" s="589" t="s">
        <v>721</v>
      </c>
      <c r="AE402" s="586" t="s">
        <v>2240</v>
      </c>
      <c r="AF402" s="571" t="str">
        <f>$D$252</f>
        <v>m³</v>
      </c>
      <c r="AG402" s="568">
        <v>5.4</v>
      </c>
      <c r="AH402" s="567">
        <f>$F$252</f>
        <v>404738.95</v>
      </c>
      <c r="AI402" s="561">
        <f t="shared" ref="AI402:AI408" si="191">AG402*AH402</f>
        <v>2185590.33</v>
      </c>
      <c r="AJ402">
        <v>1400</v>
      </c>
      <c r="AK402">
        <f t="shared" ref="AK402:AK408" si="192">AG402*AJ402</f>
        <v>7560.0000000000009</v>
      </c>
    </row>
    <row r="403" spans="2:37" ht="15" customHeight="1">
      <c r="B403" s="589" t="s">
        <v>2166</v>
      </c>
      <c r="C403" s="584" t="s">
        <v>2241</v>
      </c>
      <c r="D403" s="571" t="str">
        <f>$D$253</f>
        <v>m³</v>
      </c>
      <c r="E403" s="568">
        <v>2.7</v>
      </c>
      <c r="F403" s="567">
        <f>$F$253</f>
        <v>710224.707936508</v>
      </c>
      <c r="G403" s="561">
        <f t="shared" si="185"/>
        <v>1917606.7114285717</v>
      </c>
      <c r="H403">
        <v>2200</v>
      </c>
      <c r="I403">
        <f t="shared" si="186"/>
        <v>5940</v>
      </c>
      <c r="N403" s="589" t="s">
        <v>2166</v>
      </c>
      <c r="O403" s="584" t="s">
        <v>2241</v>
      </c>
      <c r="P403" s="571" t="str">
        <f>$D$253</f>
        <v>m³</v>
      </c>
      <c r="Q403" s="568">
        <v>2.7</v>
      </c>
      <c r="R403" s="567">
        <f>$F$253</f>
        <v>710224.707936508</v>
      </c>
      <c r="S403" s="561">
        <f t="shared" si="187"/>
        <v>1917606.7114285717</v>
      </c>
      <c r="T403">
        <v>2200</v>
      </c>
      <c r="U403">
        <f t="shared" si="188"/>
        <v>5940</v>
      </c>
      <c r="V403" s="589" t="s">
        <v>2166</v>
      </c>
      <c r="W403" s="584" t="s">
        <v>2241</v>
      </c>
      <c r="X403" s="571" t="str">
        <f>$D$253</f>
        <v>m³</v>
      </c>
      <c r="Y403" s="568">
        <v>2.7</v>
      </c>
      <c r="Z403" s="567">
        <f>$F$253</f>
        <v>710224.707936508</v>
      </c>
      <c r="AA403" s="561">
        <f t="shared" si="189"/>
        <v>1917606.7114285717</v>
      </c>
      <c r="AB403">
        <v>2200</v>
      </c>
      <c r="AC403">
        <f t="shared" si="190"/>
        <v>5940</v>
      </c>
      <c r="AD403" s="589" t="s">
        <v>2166</v>
      </c>
      <c r="AE403" s="584" t="s">
        <v>2241</v>
      </c>
      <c r="AF403" s="571" t="str">
        <f>$D$253</f>
        <v>m³</v>
      </c>
      <c r="AG403" s="568">
        <v>2.7</v>
      </c>
      <c r="AH403" s="567">
        <f>$F$253</f>
        <v>710224.707936508</v>
      </c>
      <c r="AI403" s="561">
        <f t="shared" si="191"/>
        <v>1917606.7114285717</v>
      </c>
      <c r="AJ403">
        <v>2200</v>
      </c>
      <c r="AK403">
        <f t="shared" si="192"/>
        <v>5940</v>
      </c>
    </row>
    <row r="404" spans="2:37" ht="15" customHeight="1">
      <c r="B404" s="589" t="s">
        <v>2168</v>
      </c>
      <c r="C404" s="584" t="s">
        <v>2266</v>
      </c>
      <c r="D404" s="571" t="str">
        <f>$D$254</f>
        <v>m³</v>
      </c>
      <c r="E404" s="568">
        <v>33.839999999999996</v>
      </c>
      <c r="F404" s="567">
        <f>$F$254</f>
        <v>1115864.6138095236</v>
      </c>
      <c r="G404" s="561">
        <f t="shared" si="185"/>
        <v>37760858.531314276</v>
      </c>
      <c r="H404">
        <v>2400</v>
      </c>
      <c r="I404">
        <f t="shared" si="186"/>
        <v>81215.999999999985</v>
      </c>
      <c r="N404" s="589" t="s">
        <v>2168</v>
      </c>
      <c r="O404" s="584" t="s">
        <v>2266</v>
      </c>
      <c r="P404" s="571" t="str">
        <f>$D$254</f>
        <v>m³</v>
      </c>
      <c r="Q404" s="568">
        <v>33.839999999999996</v>
      </c>
      <c r="R404" s="567">
        <f>$F$254</f>
        <v>1115864.6138095236</v>
      </c>
      <c r="S404" s="561">
        <f t="shared" si="187"/>
        <v>37760858.531314276</v>
      </c>
      <c r="T404">
        <v>2400</v>
      </c>
      <c r="U404">
        <f t="shared" si="188"/>
        <v>81215.999999999985</v>
      </c>
      <c r="V404" s="589" t="s">
        <v>2168</v>
      </c>
      <c r="W404" s="584" t="str">
        <f>O404</f>
        <v>Beton K 225 (Pad &amp; Chimney)</v>
      </c>
      <c r="X404" s="571" t="str">
        <f>$D$254</f>
        <v>m³</v>
      </c>
      <c r="Y404" s="568">
        <v>33.839999999999996</v>
      </c>
      <c r="Z404" s="567">
        <f>$F$254</f>
        <v>1115864.6138095236</v>
      </c>
      <c r="AA404" s="561">
        <f t="shared" si="189"/>
        <v>37760858.531314276</v>
      </c>
      <c r="AB404">
        <v>2400</v>
      </c>
      <c r="AC404">
        <f t="shared" si="190"/>
        <v>81215.999999999985</v>
      </c>
      <c r="AD404" s="589" t="s">
        <v>2168</v>
      </c>
      <c r="AE404" s="584" t="str">
        <f>W404</f>
        <v>Beton K 225 (Pad &amp; Chimney)</v>
      </c>
      <c r="AF404" s="571" t="str">
        <f>$D$254</f>
        <v>m³</v>
      </c>
      <c r="AG404" s="568">
        <v>33.839999999999996</v>
      </c>
      <c r="AH404" s="567">
        <f>$F$254</f>
        <v>1115864.6138095236</v>
      </c>
      <c r="AI404" s="561">
        <f t="shared" si="191"/>
        <v>37760858.531314276</v>
      </c>
      <c r="AJ404">
        <v>2400</v>
      </c>
      <c r="AK404">
        <f t="shared" si="192"/>
        <v>81215.999999999985</v>
      </c>
    </row>
    <row r="405" spans="2:37" ht="15" customHeight="1">
      <c r="B405" s="589" t="s">
        <v>2170</v>
      </c>
      <c r="C405" s="584" t="s">
        <v>2267</v>
      </c>
      <c r="D405" s="571" t="str">
        <f>$D$255</f>
        <v>m³</v>
      </c>
      <c r="E405" s="568">
        <v>101.14971428571428</v>
      </c>
      <c r="F405" s="567">
        <f>$F$255</f>
        <v>1057576.2423809525</v>
      </c>
      <c r="G405" s="561">
        <f t="shared" si="185"/>
        <v>106973534.75219266</v>
      </c>
      <c r="H405">
        <v>2200</v>
      </c>
      <c r="I405">
        <f t="shared" si="186"/>
        <v>222529.37142857141</v>
      </c>
      <c r="N405" s="589" t="s">
        <v>2170</v>
      </c>
      <c r="O405" s="584" t="s">
        <v>2267</v>
      </c>
      <c r="P405" s="571" t="str">
        <f>$D$255</f>
        <v>m³</v>
      </c>
      <c r="Q405" s="568">
        <v>101.14971428571428</v>
      </c>
      <c r="R405" s="567">
        <f>$F$255</f>
        <v>1057576.2423809525</v>
      </c>
      <c r="S405" s="561">
        <f t="shared" si="187"/>
        <v>106973534.75219266</v>
      </c>
      <c r="T405">
        <v>2200</v>
      </c>
      <c r="U405">
        <f t="shared" si="188"/>
        <v>222529.37142857141</v>
      </c>
      <c r="V405" s="589" t="s">
        <v>2170</v>
      </c>
      <c r="W405" s="584" t="s">
        <v>2267</v>
      </c>
      <c r="X405" s="571" t="str">
        <f>$D$255</f>
        <v>m³</v>
      </c>
      <c r="Y405" s="568">
        <v>101.14971428571428</v>
      </c>
      <c r="Z405" s="567">
        <f>$F$255</f>
        <v>1057576.2423809525</v>
      </c>
      <c r="AA405" s="561">
        <f t="shared" si="189"/>
        <v>106973534.75219266</v>
      </c>
      <c r="AB405">
        <v>2200</v>
      </c>
      <c r="AC405">
        <f t="shared" si="190"/>
        <v>222529.37142857141</v>
      </c>
      <c r="AD405" s="589" t="s">
        <v>2170</v>
      </c>
      <c r="AE405" s="584" t="s">
        <v>2267</v>
      </c>
      <c r="AF405" s="571" t="str">
        <f>$D$255</f>
        <v>m³</v>
      </c>
      <c r="AG405" s="568">
        <v>101.14971428571428</v>
      </c>
      <c r="AH405" s="567">
        <f>$F$255</f>
        <v>1057576.2423809525</v>
      </c>
      <c r="AI405" s="561">
        <f t="shared" si="191"/>
        <v>106973534.75219266</v>
      </c>
      <c r="AJ405">
        <v>2200</v>
      </c>
      <c r="AK405">
        <f t="shared" si="192"/>
        <v>222529.37142857141</v>
      </c>
    </row>
    <row r="406" spans="2:37" ht="15" customHeight="1">
      <c r="B406" s="589" t="s">
        <v>2172</v>
      </c>
      <c r="C406" s="584" t="s">
        <v>2243</v>
      </c>
      <c r="D406" s="571" t="str">
        <f>$D$256</f>
        <v>kg</v>
      </c>
      <c r="E406" s="568">
        <v>15634.967999999999</v>
      </c>
      <c r="F406" s="567">
        <f>$F$256</f>
        <v>19478.039350000003</v>
      </c>
      <c r="G406" s="561">
        <f t="shared" si="185"/>
        <v>304538521.93999082</v>
      </c>
      <c r="H406">
        <v>1</v>
      </c>
      <c r="I406">
        <f t="shared" si="186"/>
        <v>15634.967999999999</v>
      </c>
      <c r="N406" s="589" t="s">
        <v>2172</v>
      </c>
      <c r="O406" s="584" t="s">
        <v>2243</v>
      </c>
      <c r="P406" s="571" t="str">
        <f>$D$256</f>
        <v>kg</v>
      </c>
      <c r="Q406" s="568">
        <v>15634.967999999999</v>
      </c>
      <c r="R406" s="567">
        <f>$F$256</f>
        <v>19478.039350000003</v>
      </c>
      <c r="S406" s="561">
        <f t="shared" si="187"/>
        <v>304538521.93999082</v>
      </c>
      <c r="T406">
        <v>1</v>
      </c>
      <c r="U406">
        <f t="shared" si="188"/>
        <v>15634.967999999999</v>
      </c>
      <c r="V406" s="589" t="s">
        <v>2172</v>
      </c>
      <c r="W406" s="584" t="s">
        <v>2243</v>
      </c>
      <c r="X406" s="571" t="str">
        <f>$D$256</f>
        <v>kg</v>
      </c>
      <c r="Y406" s="568">
        <v>15634.967999999999</v>
      </c>
      <c r="Z406" s="567">
        <f>$F$256</f>
        <v>19478.039350000003</v>
      </c>
      <c r="AA406" s="561">
        <f t="shared" si="189"/>
        <v>304538521.93999082</v>
      </c>
      <c r="AB406">
        <v>1</v>
      </c>
      <c r="AC406">
        <f t="shared" si="190"/>
        <v>15634.967999999999</v>
      </c>
      <c r="AD406" s="589" t="s">
        <v>2172</v>
      </c>
      <c r="AE406" s="584" t="s">
        <v>2243</v>
      </c>
      <c r="AF406" s="571" t="str">
        <f>$D$256</f>
        <v>kg</v>
      </c>
      <c r="AG406" s="568">
        <v>15634.967999999999</v>
      </c>
      <c r="AH406" s="567">
        <f>$F$256</f>
        <v>19478.039350000003</v>
      </c>
      <c r="AI406" s="561">
        <f t="shared" si="191"/>
        <v>304538521.93999082</v>
      </c>
      <c r="AJ406">
        <v>1</v>
      </c>
      <c r="AK406">
        <f t="shared" si="192"/>
        <v>15634.967999999999</v>
      </c>
    </row>
    <row r="407" spans="2:37" ht="15" customHeight="1">
      <c r="B407" s="589" t="s">
        <v>2268</v>
      </c>
      <c r="C407" s="584" t="s">
        <v>2244</v>
      </c>
      <c r="D407" s="571" t="str">
        <f>$D$257</f>
        <v>m²</v>
      </c>
      <c r="E407" s="568">
        <v>45.6</v>
      </c>
      <c r="F407" s="567">
        <f>$F$257</f>
        <v>145812.67000000001</v>
      </c>
      <c r="G407" s="561">
        <f t="shared" si="185"/>
        <v>6649057.7520000003</v>
      </c>
      <c r="H407">
        <v>40</v>
      </c>
      <c r="I407">
        <f t="shared" si="186"/>
        <v>1824</v>
      </c>
      <c r="N407" s="589" t="s">
        <v>2268</v>
      </c>
      <c r="O407" s="584" t="s">
        <v>2244</v>
      </c>
      <c r="P407" s="571" t="str">
        <f>$D$257</f>
        <v>m²</v>
      </c>
      <c r="Q407" s="568">
        <v>45.6</v>
      </c>
      <c r="R407" s="567">
        <f>$F$257</f>
        <v>145812.67000000001</v>
      </c>
      <c r="S407" s="561">
        <f t="shared" si="187"/>
        <v>6649057.7520000003</v>
      </c>
      <c r="T407">
        <v>40</v>
      </c>
      <c r="U407">
        <f t="shared" si="188"/>
        <v>1824</v>
      </c>
      <c r="V407" s="589" t="s">
        <v>2268</v>
      </c>
      <c r="W407" s="584" t="s">
        <v>2244</v>
      </c>
      <c r="X407" s="571" t="str">
        <f>$D$257</f>
        <v>m²</v>
      </c>
      <c r="Y407" s="568">
        <v>45.6</v>
      </c>
      <c r="Z407" s="567">
        <f>$F$257</f>
        <v>145812.67000000001</v>
      </c>
      <c r="AA407" s="561">
        <f t="shared" si="189"/>
        <v>6649057.7520000003</v>
      </c>
      <c r="AB407">
        <v>40</v>
      </c>
      <c r="AC407">
        <f t="shared" si="190"/>
        <v>1824</v>
      </c>
      <c r="AD407" s="589" t="s">
        <v>2268</v>
      </c>
      <c r="AE407" s="584" t="s">
        <v>2244</v>
      </c>
      <c r="AF407" s="571" t="str">
        <f>$D$257</f>
        <v>m²</v>
      </c>
      <c r="AG407" s="568">
        <v>45.6</v>
      </c>
      <c r="AH407" s="567">
        <f>$F$257</f>
        <v>145812.67000000001</v>
      </c>
      <c r="AI407" s="561">
        <f t="shared" si="191"/>
        <v>6649057.7520000003</v>
      </c>
      <c r="AJ407">
        <v>40</v>
      </c>
      <c r="AK407">
        <f t="shared" si="192"/>
        <v>1824</v>
      </c>
    </row>
    <row r="408" spans="2:37" ht="15" customHeight="1">
      <c r="B408" s="589" t="s">
        <v>2176</v>
      </c>
      <c r="C408" s="565" t="s">
        <v>2246</v>
      </c>
      <c r="D408" s="571" t="str">
        <f>$D$258</f>
        <v>bh</v>
      </c>
      <c r="E408" s="568">
        <v>4</v>
      </c>
      <c r="F408" s="567">
        <f>$F$258</f>
        <v>100000</v>
      </c>
      <c r="G408" s="561">
        <f t="shared" si="185"/>
        <v>400000</v>
      </c>
      <c r="H408">
        <v>2.5</v>
      </c>
      <c r="I408">
        <f t="shared" si="186"/>
        <v>10</v>
      </c>
      <c r="N408" s="589" t="s">
        <v>2176</v>
      </c>
      <c r="O408" s="565" t="s">
        <v>2246</v>
      </c>
      <c r="P408" s="571" t="str">
        <f>$D$258</f>
        <v>bh</v>
      </c>
      <c r="Q408" s="568">
        <v>4</v>
      </c>
      <c r="R408" s="567">
        <f>$F$258</f>
        <v>100000</v>
      </c>
      <c r="S408" s="561">
        <f t="shared" si="187"/>
        <v>400000</v>
      </c>
      <c r="T408">
        <v>2.5</v>
      </c>
      <c r="U408">
        <f t="shared" si="188"/>
        <v>10</v>
      </c>
      <c r="V408" s="589" t="s">
        <v>2176</v>
      </c>
      <c r="W408" s="565" t="s">
        <v>2246</v>
      </c>
      <c r="X408" s="571" t="str">
        <f>$D$258</f>
        <v>bh</v>
      </c>
      <c r="Y408" s="568">
        <v>4</v>
      </c>
      <c r="Z408" s="567">
        <f>$F$258</f>
        <v>100000</v>
      </c>
      <c r="AA408" s="561">
        <f t="shared" si="189"/>
        <v>400000</v>
      </c>
      <c r="AB408">
        <v>2.5</v>
      </c>
      <c r="AC408">
        <f t="shared" si="190"/>
        <v>10</v>
      </c>
      <c r="AD408" s="589" t="s">
        <v>2176</v>
      </c>
      <c r="AE408" s="565" t="s">
        <v>2246</v>
      </c>
      <c r="AF408" s="571" t="str">
        <f>$D$258</f>
        <v>bh</v>
      </c>
      <c r="AG408" s="568">
        <v>4</v>
      </c>
      <c r="AH408" s="567">
        <f>$F$258</f>
        <v>100000</v>
      </c>
      <c r="AI408" s="561">
        <f t="shared" si="191"/>
        <v>400000</v>
      </c>
      <c r="AJ408">
        <v>2.5</v>
      </c>
      <c r="AK408">
        <f t="shared" si="192"/>
        <v>10</v>
      </c>
    </row>
    <row r="409" spans="2:37" ht="15" customHeight="1">
      <c r="B409" s="589"/>
      <c r="C409" s="584"/>
      <c r="D409" s="571"/>
      <c r="E409" s="566"/>
      <c r="F409" s="567"/>
      <c r="G409" s="561"/>
      <c r="I409">
        <f>SUM(I402:I407)</f>
        <v>334704.3394285714</v>
      </c>
      <c r="N409" s="589"/>
      <c r="O409" s="584"/>
      <c r="P409" s="571"/>
      <c r="Q409" s="566"/>
      <c r="R409" s="567"/>
      <c r="S409" s="561"/>
      <c r="U409">
        <f>SUM(U402:U407)</f>
        <v>334704.3394285714</v>
      </c>
      <c r="V409" s="589"/>
      <c r="W409" s="584"/>
      <c r="X409" s="571"/>
      <c r="Y409" s="566"/>
      <c r="Z409" s="567"/>
      <c r="AA409" s="561"/>
      <c r="AC409">
        <f>SUM(AC402:AC407)</f>
        <v>334704.3394285714</v>
      </c>
      <c r="AD409" s="589"/>
      <c r="AE409" s="584"/>
      <c r="AF409" s="571"/>
      <c r="AG409" s="566"/>
      <c r="AH409" s="567"/>
      <c r="AI409" s="561"/>
      <c r="AK409">
        <f>SUM(AK402:AK407)</f>
        <v>334704.3394285714</v>
      </c>
    </row>
    <row r="410" spans="2:37" ht="15" customHeight="1">
      <c r="B410" s="590">
        <v>3</v>
      </c>
      <c r="C410" s="583" t="s">
        <v>2086</v>
      </c>
      <c r="D410" s="571"/>
      <c r="E410" s="566"/>
      <c r="F410" s="567"/>
      <c r="G410" s="561"/>
      <c r="N410" s="590">
        <v>3</v>
      </c>
      <c r="O410" s="583" t="s">
        <v>2086</v>
      </c>
      <c r="P410" s="571"/>
      <c r="Q410" s="566"/>
      <c r="R410" s="567"/>
      <c r="S410" s="561"/>
      <c r="V410" s="590">
        <v>3</v>
      </c>
      <c r="W410" s="583" t="s">
        <v>2086</v>
      </c>
      <c r="X410" s="571"/>
      <c r="Y410" s="566"/>
      <c r="Z410" s="567"/>
      <c r="AA410" s="561"/>
      <c r="AD410" s="590">
        <v>3</v>
      </c>
      <c r="AE410" s="583" t="s">
        <v>2086</v>
      </c>
      <c r="AF410" s="571"/>
      <c r="AG410" s="566"/>
      <c r="AH410" s="567"/>
      <c r="AI410" s="561"/>
    </row>
    <row r="411" spans="2:37" ht="15" customHeight="1">
      <c r="B411" s="589" t="s">
        <v>721</v>
      </c>
      <c r="C411" s="584" t="s">
        <v>2247</v>
      </c>
      <c r="D411" s="571" t="str">
        <f>$D$261</f>
        <v>bh</v>
      </c>
      <c r="E411" s="568">
        <v>4</v>
      </c>
      <c r="F411" s="567">
        <f>$F$261</f>
        <v>181849.04</v>
      </c>
      <c r="G411" s="561">
        <f t="shared" ref="G411:G416" si="193">E411*F411</f>
        <v>727396.16</v>
      </c>
      <c r="N411" s="589" t="s">
        <v>721</v>
      </c>
      <c r="O411" s="584" t="s">
        <v>2247</v>
      </c>
      <c r="P411" s="571" t="str">
        <f>$D$261</f>
        <v>bh</v>
      </c>
      <c r="Q411" s="568">
        <v>4</v>
      </c>
      <c r="R411" s="567">
        <f>$F$261</f>
        <v>181849.04</v>
      </c>
      <c r="S411" s="561">
        <f t="shared" ref="S411:S416" si="194">Q411*R411</f>
        <v>727396.16</v>
      </c>
      <c r="V411" s="589" t="s">
        <v>721</v>
      </c>
      <c r="W411" s="584" t="s">
        <v>2247</v>
      </c>
      <c r="X411" s="571" t="str">
        <f>$D$261</f>
        <v>bh</v>
      </c>
      <c r="Y411" s="568">
        <v>4</v>
      </c>
      <c r="Z411" s="567">
        <f>$F$261</f>
        <v>181849.04</v>
      </c>
      <c r="AA411" s="561">
        <f t="shared" ref="AA411:AA416" si="195">Y411*Z411</f>
        <v>727396.16</v>
      </c>
      <c r="AD411" s="589" t="s">
        <v>721</v>
      </c>
      <c r="AE411" s="584" t="s">
        <v>2247</v>
      </c>
      <c r="AF411" s="571" t="str">
        <f>$D$261</f>
        <v>bh</v>
      </c>
      <c r="AG411" s="568">
        <v>4</v>
      </c>
      <c r="AH411" s="567">
        <f>$F$261</f>
        <v>181849.04</v>
      </c>
      <c r="AI411" s="561">
        <f t="shared" ref="AI411:AI416" si="196">AG411*AH411</f>
        <v>727396.16</v>
      </c>
    </row>
    <row r="412" spans="2:37" ht="15" customHeight="1">
      <c r="B412" s="589" t="s">
        <v>2166</v>
      </c>
      <c r="C412" s="584" t="s">
        <v>2085</v>
      </c>
      <c r="D412" s="571" t="str">
        <f>$D$262</f>
        <v>kg</v>
      </c>
      <c r="E412" s="568">
        <f>I409</f>
        <v>334704.3394285714</v>
      </c>
      <c r="F412" s="567">
        <f>$F$262</f>
        <v>462.7700000000001</v>
      </c>
      <c r="G412" s="561">
        <f t="shared" si="193"/>
        <v>154891127.15736002</v>
      </c>
      <c r="N412" s="589" t="s">
        <v>2166</v>
      </c>
      <c r="O412" s="584" t="s">
        <v>2085</v>
      </c>
      <c r="P412" s="571" t="str">
        <f>$D$262</f>
        <v>kg</v>
      </c>
      <c r="Q412" s="568">
        <f>U409</f>
        <v>334704.3394285714</v>
      </c>
      <c r="R412" s="567">
        <f>$F$262</f>
        <v>462.7700000000001</v>
      </c>
      <c r="S412" s="561">
        <f t="shared" si="194"/>
        <v>154891127.15736002</v>
      </c>
      <c r="V412" s="589" t="s">
        <v>2166</v>
      </c>
      <c r="W412" s="584" t="s">
        <v>2085</v>
      </c>
      <c r="X412" s="571" t="str">
        <f>$D$262</f>
        <v>kg</v>
      </c>
      <c r="Y412" s="568">
        <f>AC409</f>
        <v>334704.3394285714</v>
      </c>
      <c r="Z412" s="567">
        <f>$F$262</f>
        <v>462.7700000000001</v>
      </c>
      <c r="AA412" s="561">
        <f t="shared" si="195"/>
        <v>154891127.15736002</v>
      </c>
      <c r="AD412" s="589" t="s">
        <v>2166</v>
      </c>
      <c r="AE412" s="584" t="s">
        <v>2085</v>
      </c>
      <c r="AF412" s="571" t="str">
        <f>$D$262</f>
        <v>kg</v>
      </c>
      <c r="AG412" s="568">
        <f>AK409</f>
        <v>334704.3394285714</v>
      </c>
      <c r="AH412" s="567">
        <f>$F$262</f>
        <v>462.7700000000001</v>
      </c>
      <c r="AI412" s="561">
        <f t="shared" si="196"/>
        <v>154891127.15736002</v>
      </c>
    </row>
    <row r="413" spans="2:37" ht="15" customHeight="1">
      <c r="B413" s="589" t="s">
        <v>2168</v>
      </c>
      <c r="C413" s="584" t="s">
        <v>2249</v>
      </c>
      <c r="D413" s="571" t="str">
        <f>$D$263</f>
        <v>bh</v>
      </c>
      <c r="E413" s="568">
        <v>4</v>
      </c>
      <c r="F413" s="567">
        <f>$F$263</f>
        <v>387825</v>
      </c>
      <c r="G413" s="561">
        <f t="shared" si="193"/>
        <v>1551300</v>
      </c>
      <c r="N413" s="589" t="s">
        <v>2168</v>
      </c>
      <c r="O413" s="584" t="s">
        <v>2249</v>
      </c>
      <c r="P413" s="571" t="str">
        <f>$D$263</f>
        <v>bh</v>
      </c>
      <c r="Q413" s="568">
        <v>4</v>
      </c>
      <c r="R413" s="567">
        <f>$F$263</f>
        <v>387825</v>
      </c>
      <c r="S413" s="561">
        <f t="shared" si="194"/>
        <v>1551300</v>
      </c>
      <c r="V413" s="589" t="s">
        <v>2168</v>
      </c>
      <c r="W413" s="584" t="s">
        <v>2249</v>
      </c>
      <c r="X413" s="571" t="str">
        <f>$D$263</f>
        <v>bh</v>
      </c>
      <c r="Y413" s="568">
        <v>4</v>
      </c>
      <c r="Z413" s="567">
        <f>$F$263</f>
        <v>387825</v>
      </c>
      <c r="AA413" s="561">
        <f t="shared" si="195"/>
        <v>1551300</v>
      </c>
      <c r="AD413" s="589" t="s">
        <v>2168</v>
      </c>
      <c r="AE413" s="584" t="s">
        <v>2249</v>
      </c>
      <c r="AF413" s="571" t="str">
        <f>$D$263</f>
        <v>bh</v>
      </c>
      <c r="AG413" s="568">
        <v>4</v>
      </c>
      <c r="AH413" s="567">
        <f>$F$263</f>
        <v>387825</v>
      </c>
      <c r="AI413" s="561">
        <f t="shared" si="196"/>
        <v>1551300</v>
      </c>
    </row>
    <row r="414" spans="2:37" ht="15" customHeight="1">
      <c r="B414" s="589" t="s">
        <v>2170</v>
      </c>
      <c r="C414" s="584" t="s">
        <v>2250</v>
      </c>
      <c r="D414" s="571" t="str">
        <f>$D$264</f>
        <v>kg</v>
      </c>
      <c r="E414" s="568">
        <f>$E$164</f>
        <v>150.93599999999998</v>
      </c>
      <c r="F414" s="567">
        <f>$F$264</f>
        <v>3758.6984549742947</v>
      </c>
      <c r="G414" s="561">
        <f t="shared" si="193"/>
        <v>567322.91</v>
      </c>
      <c r="N414" s="589" t="s">
        <v>2170</v>
      </c>
      <c r="O414" s="584" t="s">
        <v>2250</v>
      </c>
      <c r="P414" s="571" t="str">
        <f>$D$264</f>
        <v>kg</v>
      </c>
      <c r="Q414" s="568">
        <f>$Q$164</f>
        <v>239.61599999999999</v>
      </c>
      <c r="R414" s="567">
        <f>$F$264</f>
        <v>3758.6984549742947</v>
      </c>
      <c r="S414" s="561">
        <f t="shared" si="194"/>
        <v>900644.2889871205</v>
      </c>
      <c r="V414" s="589" t="s">
        <v>2170</v>
      </c>
      <c r="W414" s="584" t="s">
        <v>2269</v>
      </c>
      <c r="X414" s="571" t="str">
        <f>$D$264</f>
        <v>kg</v>
      </c>
      <c r="Y414" s="568">
        <f>$Y$164</f>
        <v>311.47199999999998</v>
      </c>
      <c r="Z414" s="567">
        <f>$F$264</f>
        <v>3758.6984549742947</v>
      </c>
      <c r="AA414" s="561">
        <f t="shared" si="195"/>
        <v>1170729.3251677535</v>
      </c>
      <c r="AD414" s="589" t="s">
        <v>2170</v>
      </c>
      <c r="AE414" s="584" t="s">
        <v>2269</v>
      </c>
      <c r="AF414" s="571" t="str">
        <f>$D$264</f>
        <v>kg</v>
      </c>
      <c r="AG414" s="568">
        <f>$AG$164</f>
        <v>403.17599999999999</v>
      </c>
      <c r="AH414" s="567">
        <f>$F$264</f>
        <v>3758.6984549742947</v>
      </c>
      <c r="AI414" s="561">
        <f t="shared" si="196"/>
        <v>1515417.0082827162</v>
      </c>
    </row>
    <row r="415" spans="2:37" ht="15" customHeight="1">
      <c r="B415" s="589" t="s">
        <v>2172</v>
      </c>
      <c r="C415" s="584" t="s">
        <v>2251</v>
      </c>
      <c r="D415" s="571" t="str">
        <f>$D$265</f>
        <v>set</v>
      </c>
      <c r="E415" s="568">
        <v>1</v>
      </c>
      <c r="F415" s="567">
        <f>$F$265</f>
        <v>855127</v>
      </c>
      <c r="G415" s="561">
        <f t="shared" si="193"/>
        <v>855127</v>
      </c>
      <c r="N415" s="589" t="s">
        <v>2172</v>
      </c>
      <c r="O415" s="584" t="s">
        <v>2251</v>
      </c>
      <c r="P415" s="571" t="str">
        <f>$D$265</f>
        <v>set</v>
      </c>
      <c r="Q415" s="568">
        <v>1</v>
      </c>
      <c r="R415" s="567">
        <f>$F$265</f>
        <v>855127</v>
      </c>
      <c r="S415" s="561">
        <f t="shared" si="194"/>
        <v>855127</v>
      </c>
      <c r="V415" s="589" t="s">
        <v>2172</v>
      </c>
      <c r="W415" s="584" t="s">
        <v>2251</v>
      </c>
      <c r="X415" s="571" t="str">
        <f>$D$265</f>
        <v>set</v>
      </c>
      <c r="Y415" s="568">
        <v>1</v>
      </c>
      <c r="Z415" s="567">
        <f>$F$265</f>
        <v>855127</v>
      </c>
      <c r="AA415" s="561">
        <f t="shared" si="195"/>
        <v>855127</v>
      </c>
      <c r="AD415" s="589" t="s">
        <v>2172</v>
      </c>
      <c r="AE415" s="584" t="s">
        <v>2251</v>
      </c>
      <c r="AF415" s="571" t="str">
        <f>$D$265</f>
        <v>set</v>
      </c>
      <c r="AG415" s="568">
        <v>1</v>
      </c>
      <c r="AH415" s="567">
        <f>$F$265</f>
        <v>855127</v>
      </c>
      <c r="AI415" s="561">
        <f t="shared" si="196"/>
        <v>855127</v>
      </c>
    </row>
    <row r="416" spans="2:37" ht="15" customHeight="1">
      <c r="B416" s="589" t="s">
        <v>2174</v>
      </c>
      <c r="C416" s="584" t="s">
        <v>2252</v>
      </c>
      <c r="D416" s="571" t="str">
        <f>$D$266</f>
        <v>set</v>
      </c>
      <c r="E416" s="568">
        <v>1</v>
      </c>
      <c r="F416" s="567">
        <f>$F$266</f>
        <v>674025</v>
      </c>
      <c r="G416" s="561">
        <f t="shared" si="193"/>
        <v>674025</v>
      </c>
      <c r="N416" s="589" t="s">
        <v>2174</v>
      </c>
      <c r="O416" s="584" t="s">
        <v>2252</v>
      </c>
      <c r="P416" s="571" t="str">
        <f>$D$266</f>
        <v>set</v>
      </c>
      <c r="Q416" s="568">
        <v>1</v>
      </c>
      <c r="R416" s="567">
        <f>$F$266</f>
        <v>674025</v>
      </c>
      <c r="S416" s="561">
        <f t="shared" si="194"/>
        <v>674025</v>
      </c>
      <c r="V416" s="589" t="s">
        <v>2174</v>
      </c>
      <c r="W416" s="584" t="s">
        <v>2252</v>
      </c>
      <c r="X416" s="571" t="str">
        <f>$D$266</f>
        <v>set</v>
      </c>
      <c r="Y416" s="568">
        <v>1</v>
      </c>
      <c r="Z416" s="567">
        <f>$F$266</f>
        <v>674025</v>
      </c>
      <c r="AA416" s="561">
        <f t="shared" si="195"/>
        <v>674025</v>
      </c>
      <c r="AD416" s="589" t="s">
        <v>2174</v>
      </c>
      <c r="AE416" s="584" t="s">
        <v>2252</v>
      </c>
      <c r="AF416" s="571" t="str">
        <f>$D$266</f>
        <v>set</v>
      </c>
      <c r="AG416" s="568">
        <v>1</v>
      </c>
      <c r="AH416" s="567">
        <f>$F$266</f>
        <v>674025</v>
      </c>
      <c r="AI416" s="561">
        <f t="shared" si="196"/>
        <v>674025</v>
      </c>
    </row>
    <row r="417" spans="2:37" ht="15" customHeight="1" thickBot="1">
      <c r="B417" s="582"/>
      <c r="C417" s="1197" t="s">
        <v>2301</v>
      </c>
      <c r="D417" s="1198"/>
      <c r="E417" s="1198"/>
      <c r="F417" s="1199"/>
      <c r="G417" s="560">
        <f>SUM(G396:G416)</f>
        <v>649080220.57128632</v>
      </c>
      <c r="N417" s="582"/>
      <c r="O417" s="1197" t="s">
        <v>2301</v>
      </c>
      <c r="P417" s="1198"/>
      <c r="Q417" s="1198"/>
      <c r="R417" s="1199"/>
      <c r="S417" s="560">
        <f>SUM(S396:S416)</f>
        <v>649413541.95027351</v>
      </c>
      <c r="V417" s="582"/>
      <c r="W417" s="1197" t="s">
        <v>2301</v>
      </c>
      <c r="X417" s="1198"/>
      <c r="Y417" s="1198"/>
      <c r="Z417" s="1199"/>
      <c r="AA417" s="560">
        <f>SUM(AA396:AA416)</f>
        <v>649683626.98645413</v>
      </c>
      <c r="AD417" s="582"/>
      <c r="AE417" s="1197" t="s">
        <v>2301</v>
      </c>
      <c r="AF417" s="1198"/>
      <c r="AG417" s="1198"/>
      <c r="AH417" s="1199"/>
      <c r="AI417" s="560">
        <f>SUM(AI396:AI416)</f>
        <v>650028314.66956902</v>
      </c>
    </row>
    <row r="418" spans="2:37" ht="15" customHeight="1" thickBot="1">
      <c r="R418" s="634"/>
      <c r="Z418" s="634"/>
      <c r="AA418" s="634"/>
      <c r="AH418" s="634"/>
      <c r="AI418" s="634"/>
    </row>
    <row r="419" spans="2:37" ht="15" customHeight="1" thickBot="1">
      <c r="B419" s="581" t="s">
        <v>2229</v>
      </c>
      <c r="C419" s="580"/>
      <c r="D419" s="579">
        <v>6</v>
      </c>
      <c r="E419" s="578"/>
      <c r="F419" s="577"/>
      <c r="G419" s="564"/>
      <c r="N419" s="581" t="s">
        <v>2230</v>
      </c>
      <c r="O419" s="580"/>
      <c r="P419" s="579">
        <v>6</v>
      </c>
      <c r="Q419" s="578"/>
      <c r="R419" s="577"/>
      <c r="S419" s="564"/>
      <c r="V419" s="581" t="s">
        <v>2231</v>
      </c>
      <c r="W419" s="580"/>
      <c r="X419" s="579"/>
      <c r="Y419" s="578"/>
      <c r="Z419" s="577"/>
      <c r="AA419" s="564"/>
      <c r="AD419" s="581" t="s">
        <v>2254</v>
      </c>
      <c r="AE419" s="580"/>
      <c r="AF419" s="579"/>
      <c r="AG419" s="578"/>
      <c r="AH419" s="577"/>
      <c r="AI419" s="564"/>
    </row>
    <row r="420" spans="2:37" ht="15" customHeight="1">
      <c r="B420" s="576"/>
      <c r="C420" s="575" t="s">
        <v>2302</v>
      </c>
      <c r="D420" s="574"/>
      <c r="E420" s="573"/>
      <c r="F420" s="572"/>
      <c r="G420" s="563"/>
      <c r="N420" s="576"/>
      <c r="O420" s="575" t="s">
        <v>2302</v>
      </c>
      <c r="P420" s="574"/>
      <c r="Q420" s="573"/>
      <c r="R420" s="572"/>
      <c r="S420" s="563"/>
      <c r="V420" s="576"/>
      <c r="W420" s="575" t="s">
        <v>2303</v>
      </c>
      <c r="X420" s="574"/>
      <c r="Y420" s="573"/>
      <c r="Z420" s="572"/>
      <c r="AA420" s="563"/>
      <c r="AD420" s="576"/>
      <c r="AE420" s="575" t="s">
        <v>2303</v>
      </c>
      <c r="AF420" s="574"/>
      <c r="AG420" s="573"/>
      <c r="AH420" s="572"/>
      <c r="AI420" s="563"/>
    </row>
    <row r="421" spans="2:37" ht="15" customHeight="1">
      <c r="B421" s="588">
        <v>1</v>
      </c>
      <c r="C421" s="587" t="s">
        <v>2234</v>
      </c>
      <c r="D421" s="571"/>
      <c r="E421" s="570"/>
      <c r="F421" s="569"/>
      <c r="G421" s="562"/>
      <c r="N421" s="588">
        <v>1</v>
      </c>
      <c r="O421" s="587" t="s">
        <v>2234</v>
      </c>
      <c r="P421" s="571"/>
      <c r="Q421" s="570"/>
      <c r="R421" s="569"/>
      <c r="S421" s="562"/>
      <c r="V421" s="588">
        <v>1</v>
      </c>
      <c r="W421" s="587" t="s">
        <v>2234</v>
      </c>
      <c r="X421" s="571"/>
      <c r="Y421" s="570"/>
      <c r="Z421" s="569"/>
      <c r="AA421" s="562"/>
      <c r="AD421" s="588">
        <v>1</v>
      </c>
      <c r="AE421" s="587" t="s">
        <v>2234</v>
      </c>
      <c r="AF421" s="571"/>
      <c r="AG421" s="570"/>
      <c r="AH421" s="569"/>
      <c r="AI421" s="562"/>
    </row>
    <row r="422" spans="2:37" ht="15" customHeight="1">
      <c r="B422" s="589" t="s">
        <v>721</v>
      </c>
      <c r="C422" s="586" t="s">
        <v>2235</v>
      </c>
      <c r="D422" s="571" t="str">
        <f>$D$247</f>
        <v>m³</v>
      </c>
      <c r="E422" s="568">
        <v>72.5</v>
      </c>
      <c r="F422" s="567">
        <f>$F$247</f>
        <v>102390.75000000001</v>
      </c>
      <c r="G422" s="561">
        <f>E422*F422</f>
        <v>7423329.3750000009</v>
      </c>
      <c r="N422" s="589" t="s">
        <v>721</v>
      </c>
      <c r="O422" s="586" t="s">
        <v>2235</v>
      </c>
      <c r="P422" s="571" t="str">
        <f>$D$247</f>
        <v>m³</v>
      </c>
      <c r="Q422" s="568">
        <v>72.5</v>
      </c>
      <c r="R422" s="567">
        <f>$F$247</f>
        <v>102390.75000000001</v>
      </c>
      <c r="S422" s="561">
        <f>Q422*R422</f>
        <v>7423329.3750000009</v>
      </c>
      <c r="V422" s="589" t="s">
        <v>721</v>
      </c>
      <c r="W422" s="586" t="s">
        <v>2235</v>
      </c>
      <c r="X422" s="571" t="str">
        <f>$D$247</f>
        <v>m³</v>
      </c>
      <c r="Y422" s="568">
        <v>72.5</v>
      </c>
      <c r="Z422" s="567">
        <f>$F$247</f>
        <v>102390.75000000001</v>
      </c>
      <c r="AA422" s="561">
        <f>Y422*Z422</f>
        <v>7423329.3750000009</v>
      </c>
      <c r="AD422" s="589" t="s">
        <v>721</v>
      </c>
      <c r="AE422" s="586" t="s">
        <v>2235</v>
      </c>
      <c r="AF422" s="571" t="str">
        <f>$D$247</f>
        <v>m³</v>
      </c>
      <c r="AG422" s="568">
        <v>72.5</v>
      </c>
      <c r="AH422" s="567">
        <f>$F$247</f>
        <v>102390.75000000001</v>
      </c>
      <c r="AI422" s="561">
        <f>AG422*AH422</f>
        <v>7423329.3750000009</v>
      </c>
    </row>
    <row r="423" spans="2:37" ht="15" customHeight="1">
      <c r="B423" s="589" t="s">
        <v>2166</v>
      </c>
      <c r="C423" s="586" t="s">
        <v>2237</v>
      </c>
      <c r="D423" s="571" t="str">
        <f>$D$248</f>
        <v>m³</v>
      </c>
      <c r="E423" s="568">
        <v>30.560000000000002</v>
      </c>
      <c r="F423" s="567">
        <f>$F$248</f>
        <v>62462.950000000012</v>
      </c>
      <c r="G423" s="561">
        <f>E423*F423</f>
        <v>1908867.7520000006</v>
      </c>
      <c r="N423" s="589" t="s">
        <v>2166</v>
      </c>
      <c r="O423" s="586" t="s">
        <v>2237</v>
      </c>
      <c r="P423" s="571" t="str">
        <f>$D$248</f>
        <v>m³</v>
      </c>
      <c r="Q423" s="568">
        <v>30.560000000000002</v>
      </c>
      <c r="R423" s="567">
        <f>$F$248</f>
        <v>62462.950000000012</v>
      </c>
      <c r="S423" s="561">
        <f>Q423*R423</f>
        <v>1908867.7520000006</v>
      </c>
      <c r="V423" s="589" t="s">
        <v>2166</v>
      </c>
      <c r="W423" s="586" t="s">
        <v>2237</v>
      </c>
      <c r="X423" s="571" t="str">
        <f>$D$248</f>
        <v>m³</v>
      </c>
      <c r="Y423" s="568">
        <v>30.560000000000002</v>
      </c>
      <c r="Z423" s="567">
        <f>$F$248</f>
        <v>62462.950000000012</v>
      </c>
      <c r="AA423" s="561">
        <f>Y423*Z423</f>
        <v>1908867.7520000006</v>
      </c>
      <c r="AD423" s="589" t="s">
        <v>2166</v>
      </c>
      <c r="AE423" s="586" t="s">
        <v>2237</v>
      </c>
      <c r="AF423" s="571" t="str">
        <f>$D$248</f>
        <v>m³</v>
      </c>
      <c r="AG423" s="568">
        <v>30.560000000000002</v>
      </c>
      <c r="AH423" s="567">
        <f>$F$248</f>
        <v>62462.950000000012</v>
      </c>
      <c r="AI423" s="561">
        <f>AG423*AH423</f>
        <v>1908867.7520000006</v>
      </c>
    </row>
    <row r="424" spans="2:37" ht="15" customHeight="1">
      <c r="B424" s="589" t="s">
        <v>2168</v>
      </c>
      <c r="C424" s="586" t="s">
        <v>2265</v>
      </c>
      <c r="D424" s="571" t="str">
        <f>$D$249</f>
        <v>m'</v>
      </c>
      <c r="E424" s="568">
        <v>408</v>
      </c>
      <c r="F424" s="567">
        <f>$F$249</f>
        <v>52230.612500000003</v>
      </c>
      <c r="G424" s="561">
        <f>E424*F424</f>
        <v>21310089.900000002</v>
      </c>
      <c r="N424" s="589" t="s">
        <v>2168</v>
      </c>
      <c r="O424" s="586" t="s">
        <v>2265</v>
      </c>
      <c r="P424" s="571" t="str">
        <f>$D$249</f>
        <v>m'</v>
      </c>
      <c r="Q424" s="568">
        <v>408</v>
      </c>
      <c r="R424" s="567">
        <f>$F$249</f>
        <v>52230.612500000003</v>
      </c>
      <c r="S424" s="561">
        <f>Q424*R424</f>
        <v>21310089.900000002</v>
      </c>
      <c r="V424" s="589" t="s">
        <v>2168</v>
      </c>
      <c r="W424" s="586" t="s">
        <v>2265</v>
      </c>
      <c r="X424" s="571" t="str">
        <f>$D$249</f>
        <v>m'</v>
      </c>
      <c r="Y424" s="568">
        <v>408</v>
      </c>
      <c r="Z424" s="567">
        <f>$F$249</f>
        <v>52230.612500000003</v>
      </c>
      <c r="AA424" s="561">
        <f>Y424*Z424</f>
        <v>21310089.900000002</v>
      </c>
      <c r="AD424" s="589" t="s">
        <v>2168</v>
      </c>
      <c r="AE424" s="586" t="s">
        <v>2265</v>
      </c>
      <c r="AF424" s="571" t="str">
        <f>$D$249</f>
        <v>m'</v>
      </c>
      <c r="AG424" s="568">
        <v>408</v>
      </c>
      <c r="AH424" s="567">
        <f>$F$249</f>
        <v>52230.612500000003</v>
      </c>
      <c r="AI424" s="561">
        <f>AG424*AH424</f>
        <v>21310089.900000002</v>
      </c>
    </row>
    <row r="425" spans="2:37" ht="15" customHeight="1">
      <c r="B425" s="585"/>
      <c r="C425" s="586"/>
      <c r="D425" s="571"/>
      <c r="E425" s="566"/>
      <c r="F425" s="567"/>
      <c r="G425" s="561"/>
      <c r="N425" s="585"/>
      <c r="O425" s="586"/>
      <c r="P425" s="571"/>
      <c r="Q425" s="566"/>
      <c r="R425" s="567"/>
      <c r="S425" s="561"/>
      <c r="V425" s="585"/>
      <c r="W425" s="586"/>
      <c r="X425" s="571"/>
      <c r="Y425" s="566"/>
      <c r="Z425" s="567"/>
      <c r="AA425" s="561"/>
      <c r="AD425" s="585"/>
      <c r="AE425" s="586"/>
      <c r="AF425" s="571"/>
      <c r="AG425" s="566"/>
      <c r="AH425" s="567"/>
      <c r="AI425" s="561"/>
    </row>
    <row r="426" spans="2:37" ht="15" customHeight="1">
      <c r="B426" s="590">
        <v>2</v>
      </c>
      <c r="C426" s="587" t="s">
        <v>2238</v>
      </c>
      <c r="D426" s="571"/>
      <c r="E426" s="566"/>
      <c r="F426" s="567"/>
      <c r="G426" s="561"/>
      <c r="H426" t="s">
        <v>2239</v>
      </c>
      <c r="N426" s="590">
        <v>2</v>
      </c>
      <c r="O426" s="587" t="s">
        <v>2238</v>
      </c>
      <c r="P426" s="571"/>
      <c r="Q426" s="566"/>
      <c r="R426" s="567"/>
      <c r="S426" s="561"/>
      <c r="T426" t="s">
        <v>2239</v>
      </c>
      <c r="V426" s="590">
        <v>2</v>
      </c>
      <c r="W426" s="587" t="s">
        <v>2238</v>
      </c>
      <c r="X426" s="571"/>
      <c r="Y426" s="566"/>
      <c r="Z426" s="567"/>
      <c r="AA426" s="561"/>
      <c r="AB426" t="s">
        <v>2239</v>
      </c>
      <c r="AD426" s="590">
        <v>2</v>
      </c>
      <c r="AE426" s="587" t="s">
        <v>2238</v>
      </c>
      <c r="AF426" s="571"/>
      <c r="AG426" s="566"/>
      <c r="AH426" s="567"/>
      <c r="AI426" s="561"/>
      <c r="AJ426" t="s">
        <v>2239</v>
      </c>
    </row>
    <row r="427" spans="2:37" ht="15" customHeight="1">
      <c r="B427" s="589" t="s">
        <v>721</v>
      </c>
      <c r="C427" s="586" t="s">
        <v>2240</v>
      </c>
      <c r="D427" s="571" t="str">
        <f>$D$252</f>
        <v>m³</v>
      </c>
      <c r="E427" s="568">
        <v>5.4</v>
      </c>
      <c r="F427" s="567">
        <f>$F$252</f>
        <v>404738.95</v>
      </c>
      <c r="G427" s="561">
        <f t="shared" ref="G427:G433" si="197">E427*F427</f>
        <v>2185590.33</v>
      </c>
      <c r="H427">
        <v>1400</v>
      </c>
      <c r="I427">
        <f t="shared" ref="I427:I433" si="198">E427*H427</f>
        <v>7560.0000000000009</v>
      </c>
      <c r="N427" s="589" t="s">
        <v>721</v>
      </c>
      <c r="O427" s="586" t="s">
        <v>2240</v>
      </c>
      <c r="P427" s="571" t="str">
        <f>$D$252</f>
        <v>m³</v>
      </c>
      <c r="Q427" s="568">
        <v>5.4</v>
      </c>
      <c r="R427" s="567">
        <f>$F$252</f>
        <v>404738.95</v>
      </c>
      <c r="S427" s="561">
        <f t="shared" ref="S427:S433" si="199">Q427*R427</f>
        <v>2185590.33</v>
      </c>
      <c r="T427">
        <v>1400</v>
      </c>
      <c r="U427">
        <f t="shared" ref="U427:U433" si="200">Q427*T427</f>
        <v>7560.0000000000009</v>
      </c>
      <c r="V427" s="589" t="s">
        <v>721</v>
      </c>
      <c r="W427" s="586" t="s">
        <v>2240</v>
      </c>
      <c r="X427" s="571" t="str">
        <f>$D$252</f>
        <v>m³</v>
      </c>
      <c r="Y427" s="568">
        <v>5.4</v>
      </c>
      <c r="Z427" s="567">
        <f>$F$252</f>
        <v>404738.95</v>
      </c>
      <c r="AA427" s="561">
        <f t="shared" ref="AA427:AA433" si="201">Y427*Z427</f>
        <v>2185590.33</v>
      </c>
      <c r="AB427">
        <v>1400</v>
      </c>
      <c r="AC427">
        <f t="shared" ref="AC427:AC433" si="202">Y427*AB427</f>
        <v>7560.0000000000009</v>
      </c>
      <c r="AD427" s="589" t="s">
        <v>721</v>
      </c>
      <c r="AE427" s="586" t="s">
        <v>2240</v>
      </c>
      <c r="AF427" s="571" t="str">
        <f>$D$252</f>
        <v>m³</v>
      </c>
      <c r="AG427" s="568">
        <v>5.4</v>
      </c>
      <c r="AH427" s="567">
        <f>$F$252</f>
        <v>404738.95</v>
      </c>
      <c r="AI427" s="561">
        <f t="shared" ref="AI427:AI433" si="203">AG427*AH427</f>
        <v>2185590.33</v>
      </c>
      <c r="AJ427">
        <v>1400</v>
      </c>
      <c r="AK427">
        <f t="shared" ref="AK427:AK433" si="204">AG427*AJ427</f>
        <v>7560.0000000000009</v>
      </c>
    </row>
    <row r="428" spans="2:37" ht="15" customHeight="1">
      <c r="B428" s="589" t="s">
        <v>2166</v>
      </c>
      <c r="C428" s="584" t="s">
        <v>2241</v>
      </c>
      <c r="D428" s="571" t="str">
        <f>$D$253</f>
        <v>m³</v>
      </c>
      <c r="E428" s="568">
        <v>2.7</v>
      </c>
      <c r="F428" s="567">
        <f>$F$253</f>
        <v>710224.707936508</v>
      </c>
      <c r="G428" s="561">
        <f t="shared" si="197"/>
        <v>1917606.7114285717</v>
      </c>
      <c r="H428">
        <v>2200</v>
      </c>
      <c r="I428">
        <f t="shared" si="198"/>
        <v>5940</v>
      </c>
      <c r="N428" s="589" t="s">
        <v>2166</v>
      </c>
      <c r="O428" s="584" t="s">
        <v>2241</v>
      </c>
      <c r="P428" s="571" t="str">
        <f>$D$253</f>
        <v>m³</v>
      </c>
      <c r="Q428" s="568">
        <v>2.7</v>
      </c>
      <c r="R428" s="567">
        <f>$F$253</f>
        <v>710224.707936508</v>
      </c>
      <c r="S428" s="561">
        <f t="shared" si="199"/>
        <v>1917606.7114285717</v>
      </c>
      <c r="T428">
        <v>2200</v>
      </c>
      <c r="U428">
        <f t="shared" si="200"/>
        <v>5940</v>
      </c>
      <c r="V428" s="589" t="s">
        <v>2166</v>
      </c>
      <c r="W428" s="584" t="s">
        <v>2241</v>
      </c>
      <c r="X428" s="571" t="str">
        <f>$D$253</f>
        <v>m³</v>
      </c>
      <c r="Y428" s="568">
        <v>2.7</v>
      </c>
      <c r="Z428" s="567">
        <f>$F$253</f>
        <v>710224.707936508</v>
      </c>
      <c r="AA428" s="561">
        <f t="shared" si="201"/>
        <v>1917606.7114285717</v>
      </c>
      <c r="AB428">
        <v>2200</v>
      </c>
      <c r="AC428">
        <f t="shared" si="202"/>
        <v>5940</v>
      </c>
      <c r="AD428" s="589" t="s">
        <v>2166</v>
      </c>
      <c r="AE428" s="584" t="s">
        <v>2241</v>
      </c>
      <c r="AF428" s="571" t="str">
        <f>$D$253</f>
        <v>m³</v>
      </c>
      <c r="AG428" s="568">
        <v>2.7</v>
      </c>
      <c r="AH428" s="567">
        <f>$F$253</f>
        <v>710224.707936508</v>
      </c>
      <c r="AI428" s="561">
        <f t="shared" si="203"/>
        <v>1917606.7114285717</v>
      </c>
      <c r="AJ428">
        <v>2200</v>
      </c>
      <c r="AK428">
        <f t="shared" si="204"/>
        <v>5940</v>
      </c>
    </row>
    <row r="429" spans="2:37" ht="15" customHeight="1">
      <c r="B429" s="589" t="s">
        <v>2168</v>
      </c>
      <c r="C429" s="584" t="s">
        <v>2266</v>
      </c>
      <c r="D429" s="571" t="str">
        <f>$D$254</f>
        <v>m³</v>
      </c>
      <c r="E429" s="568">
        <v>33.839999999999996</v>
      </c>
      <c r="F429" s="567">
        <f>$F$254</f>
        <v>1115864.6138095236</v>
      </c>
      <c r="G429" s="561">
        <f t="shared" si="197"/>
        <v>37760858.531314276</v>
      </c>
      <c r="H429">
        <v>2400</v>
      </c>
      <c r="I429">
        <f t="shared" si="198"/>
        <v>81215.999999999985</v>
      </c>
      <c r="N429" s="589" t="s">
        <v>2168</v>
      </c>
      <c r="O429" s="584" t="s">
        <v>2266</v>
      </c>
      <c r="P429" s="571" t="str">
        <f>$D$254</f>
        <v>m³</v>
      </c>
      <c r="Q429" s="568">
        <v>33.839999999999996</v>
      </c>
      <c r="R429" s="567">
        <f>$F$254</f>
        <v>1115864.6138095236</v>
      </c>
      <c r="S429" s="561">
        <f t="shared" si="199"/>
        <v>37760858.531314276</v>
      </c>
      <c r="T429">
        <v>2400</v>
      </c>
      <c r="U429">
        <f t="shared" si="200"/>
        <v>81215.999999999985</v>
      </c>
      <c r="V429" s="589" t="s">
        <v>2168</v>
      </c>
      <c r="W429" s="584" t="str">
        <f>O429</f>
        <v>Beton K 225 (Pad &amp; Chimney)</v>
      </c>
      <c r="X429" s="571" t="str">
        <f>$D$254</f>
        <v>m³</v>
      </c>
      <c r="Y429" s="568">
        <v>33.839999999999996</v>
      </c>
      <c r="Z429" s="567">
        <f>$F$254</f>
        <v>1115864.6138095236</v>
      </c>
      <c r="AA429" s="561">
        <f t="shared" si="201"/>
        <v>37760858.531314276</v>
      </c>
      <c r="AB429">
        <v>2400</v>
      </c>
      <c r="AC429">
        <f t="shared" si="202"/>
        <v>81215.999999999985</v>
      </c>
      <c r="AD429" s="589" t="s">
        <v>2168</v>
      </c>
      <c r="AE429" s="584" t="str">
        <f>W429</f>
        <v>Beton K 225 (Pad &amp; Chimney)</v>
      </c>
      <c r="AF429" s="571" t="str">
        <f>$D$254</f>
        <v>m³</v>
      </c>
      <c r="AG429" s="568">
        <v>33.839999999999996</v>
      </c>
      <c r="AH429" s="567">
        <f>$F$254</f>
        <v>1115864.6138095236</v>
      </c>
      <c r="AI429" s="561">
        <f t="shared" si="203"/>
        <v>37760858.531314276</v>
      </c>
      <c r="AJ429">
        <v>2400</v>
      </c>
      <c r="AK429">
        <f t="shared" si="204"/>
        <v>81215.999999999985</v>
      </c>
    </row>
    <row r="430" spans="2:37" ht="15" customHeight="1">
      <c r="B430" s="589" t="s">
        <v>2170</v>
      </c>
      <c r="C430" s="584" t="s">
        <v>2267</v>
      </c>
      <c r="D430" s="571" t="str">
        <f>$D$255</f>
        <v>m³</v>
      </c>
      <c r="E430" s="568">
        <v>107.93828571428571</v>
      </c>
      <c r="F430" s="567">
        <f>$F$255</f>
        <v>1057576.2423809525</v>
      </c>
      <c r="G430" s="561">
        <f t="shared" si="197"/>
        <v>114152966.61475593</v>
      </c>
      <c r="H430">
        <v>2200</v>
      </c>
      <c r="I430">
        <f t="shared" si="198"/>
        <v>237464.22857142857</v>
      </c>
      <c r="N430" s="589" t="s">
        <v>2170</v>
      </c>
      <c r="O430" s="584" t="s">
        <v>2267</v>
      </c>
      <c r="P430" s="571" t="str">
        <f>$D$255</f>
        <v>m³</v>
      </c>
      <c r="Q430" s="568">
        <v>107.93828571428571</v>
      </c>
      <c r="R430" s="567">
        <f>$F$255</f>
        <v>1057576.2423809525</v>
      </c>
      <c r="S430" s="561">
        <f t="shared" si="199"/>
        <v>114152966.61475593</v>
      </c>
      <c r="T430">
        <v>2200</v>
      </c>
      <c r="U430">
        <f t="shared" si="200"/>
        <v>237464.22857142857</v>
      </c>
      <c r="V430" s="589" t="s">
        <v>2170</v>
      </c>
      <c r="W430" s="584" t="s">
        <v>2267</v>
      </c>
      <c r="X430" s="571" t="str">
        <f>$D$255</f>
        <v>m³</v>
      </c>
      <c r="Y430" s="568">
        <v>107.93828571428571</v>
      </c>
      <c r="Z430" s="567">
        <f>$F$255</f>
        <v>1057576.2423809525</v>
      </c>
      <c r="AA430" s="561">
        <f t="shared" si="201"/>
        <v>114152966.61475593</v>
      </c>
      <c r="AB430">
        <v>2200</v>
      </c>
      <c r="AC430">
        <f t="shared" si="202"/>
        <v>237464.22857142857</v>
      </c>
      <c r="AD430" s="589" t="s">
        <v>2170</v>
      </c>
      <c r="AE430" s="584" t="s">
        <v>2267</v>
      </c>
      <c r="AF430" s="571" t="str">
        <f>$D$255</f>
        <v>m³</v>
      </c>
      <c r="AG430" s="568">
        <v>107.93828571428571</v>
      </c>
      <c r="AH430" s="567">
        <f>$F$255</f>
        <v>1057576.2423809525</v>
      </c>
      <c r="AI430" s="561">
        <f t="shared" si="203"/>
        <v>114152966.61475593</v>
      </c>
      <c r="AJ430">
        <v>2200</v>
      </c>
      <c r="AK430">
        <f t="shared" si="204"/>
        <v>237464.22857142857</v>
      </c>
    </row>
    <row r="431" spans="2:37" ht="15" customHeight="1">
      <c r="B431" s="589" t="s">
        <v>2172</v>
      </c>
      <c r="C431" s="584" t="s">
        <v>2243</v>
      </c>
      <c r="D431" s="571" t="str">
        <f>$D$256</f>
        <v>kg</v>
      </c>
      <c r="E431" s="568">
        <v>16454.616000000002</v>
      </c>
      <c r="F431" s="567">
        <f>$F$256</f>
        <v>19478.039350000003</v>
      </c>
      <c r="G431" s="561">
        <f t="shared" si="197"/>
        <v>320503657.93713969</v>
      </c>
      <c r="H431">
        <v>1</v>
      </c>
      <c r="I431">
        <f t="shared" si="198"/>
        <v>16454.616000000002</v>
      </c>
      <c r="N431" s="589" t="s">
        <v>2172</v>
      </c>
      <c r="O431" s="584" t="s">
        <v>2243</v>
      </c>
      <c r="P431" s="571" t="str">
        <f>$D$256</f>
        <v>kg</v>
      </c>
      <c r="Q431" s="568">
        <v>16454.616000000002</v>
      </c>
      <c r="R431" s="567">
        <f>$F$256</f>
        <v>19478.039350000003</v>
      </c>
      <c r="S431" s="561">
        <f t="shared" si="199"/>
        <v>320503657.93713969</v>
      </c>
      <c r="T431">
        <v>1</v>
      </c>
      <c r="U431">
        <f t="shared" si="200"/>
        <v>16454.616000000002</v>
      </c>
      <c r="V431" s="589" t="s">
        <v>2172</v>
      </c>
      <c r="W431" s="584" t="s">
        <v>2243</v>
      </c>
      <c r="X431" s="571" t="str">
        <f>$D$256</f>
        <v>kg</v>
      </c>
      <c r="Y431" s="568">
        <v>16454.616000000002</v>
      </c>
      <c r="Z431" s="567">
        <f>$F$256</f>
        <v>19478.039350000003</v>
      </c>
      <c r="AA431" s="561">
        <f t="shared" si="201"/>
        <v>320503657.93713969</v>
      </c>
      <c r="AB431">
        <v>1</v>
      </c>
      <c r="AC431">
        <f t="shared" si="202"/>
        <v>16454.616000000002</v>
      </c>
      <c r="AD431" s="589" t="s">
        <v>2172</v>
      </c>
      <c r="AE431" s="584" t="s">
        <v>2243</v>
      </c>
      <c r="AF431" s="571" t="str">
        <f>$D$256</f>
        <v>kg</v>
      </c>
      <c r="AG431" s="568">
        <v>16454.616000000002</v>
      </c>
      <c r="AH431" s="567">
        <f>$F$256</f>
        <v>19478.039350000003</v>
      </c>
      <c r="AI431" s="561">
        <f t="shared" si="203"/>
        <v>320503657.93713969</v>
      </c>
      <c r="AJ431">
        <v>1</v>
      </c>
      <c r="AK431">
        <f t="shared" si="204"/>
        <v>16454.616000000002</v>
      </c>
    </row>
    <row r="432" spans="2:37" ht="15" customHeight="1">
      <c r="B432" s="589" t="s">
        <v>2268</v>
      </c>
      <c r="C432" s="584" t="s">
        <v>2244</v>
      </c>
      <c r="D432" s="571" t="str">
        <f>$D$257</f>
        <v>m²</v>
      </c>
      <c r="E432" s="568">
        <v>45.6</v>
      </c>
      <c r="F432" s="567">
        <f>$F$257</f>
        <v>145812.67000000001</v>
      </c>
      <c r="G432" s="561">
        <f t="shared" si="197"/>
        <v>6649057.7520000003</v>
      </c>
      <c r="H432">
        <v>40</v>
      </c>
      <c r="I432">
        <f t="shared" si="198"/>
        <v>1824</v>
      </c>
      <c r="N432" s="589" t="s">
        <v>2268</v>
      </c>
      <c r="O432" s="584" t="s">
        <v>2244</v>
      </c>
      <c r="P432" s="571" t="str">
        <f>$D$257</f>
        <v>m²</v>
      </c>
      <c r="Q432" s="568">
        <v>45.6</v>
      </c>
      <c r="R432" s="567">
        <f>$F$257</f>
        <v>145812.67000000001</v>
      </c>
      <c r="S432" s="561">
        <f t="shared" si="199"/>
        <v>6649057.7520000003</v>
      </c>
      <c r="T432">
        <v>40</v>
      </c>
      <c r="U432">
        <f t="shared" si="200"/>
        <v>1824</v>
      </c>
      <c r="V432" s="589" t="s">
        <v>2268</v>
      </c>
      <c r="W432" s="584" t="s">
        <v>2244</v>
      </c>
      <c r="X432" s="571" t="str">
        <f>$D$257</f>
        <v>m²</v>
      </c>
      <c r="Y432" s="568">
        <v>45.6</v>
      </c>
      <c r="Z432" s="567">
        <f>$F$257</f>
        <v>145812.67000000001</v>
      </c>
      <c r="AA432" s="561">
        <f t="shared" si="201"/>
        <v>6649057.7520000003</v>
      </c>
      <c r="AB432">
        <v>40</v>
      </c>
      <c r="AC432">
        <f t="shared" si="202"/>
        <v>1824</v>
      </c>
      <c r="AD432" s="589" t="s">
        <v>2268</v>
      </c>
      <c r="AE432" s="584" t="s">
        <v>2244</v>
      </c>
      <c r="AF432" s="571" t="str">
        <f>$D$257</f>
        <v>m²</v>
      </c>
      <c r="AG432" s="568">
        <v>45.6</v>
      </c>
      <c r="AH432" s="567">
        <f>$F$257</f>
        <v>145812.67000000001</v>
      </c>
      <c r="AI432" s="561">
        <f t="shared" si="203"/>
        <v>6649057.7520000003</v>
      </c>
      <c r="AJ432">
        <v>40</v>
      </c>
      <c r="AK432">
        <f t="shared" si="204"/>
        <v>1824</v>
      </c>
    </row>
    <row r="433" spans="2:37" ht="15" customHeight="1">
      <c r="B433" s="589" t="s">
        <v>2176</v>
      </c>
      <c r="C433" s="565" t="s">
        <v>2246</v>
      </c>
      <c r="D433" s="571" t="str">
        <f>$D$258</f>
        <v>bh</v>
      </c>
      <c r="E433" s="568">
        <v>4</v>
      </c>
      <c r="F433" s="567">
        <f>$F$258</f>
        <v>100000</v>
      </c>
      <c r="G433" s="561">
        <f t="shared" si="197"/>
        <v>400000</v>
      </c>
      <c r="H433">
        <v>2.5</v>
      </c>
      <c r="I433">
        <f t="shared" si="198"/>
        <v>10</v>
      </c>
      <c r="N433" s="589" t="s">
        <v>2176</v>
      </c>
      <c r="O433" s="565" t="s">
        <v>2246</v>
      </c>
      <c r="P433" s="571" t="str">
        <f>$D$258</f>
        <v>bh</v>
      </c>
      <c r="Q433" s="568">
        <v>4</v>
      </c>
      <c r="R433" s="567">
        <f>$F$258</f>
        <v>100000</v>
      </c>
      <c r="S433" s="561">
        <f t="shared" si="199"/>
        <v>400000</v>
      </c>
      <c r="T433">
        <v>2.5</v>
      </c>
      <c r="U433">
        <f t="shared" si="200"/>
        <v>10</v>
      </c>
      <c r="V433" s="589" t="s">
        <v>2176</v>
      </c>
      <c r="W433" s="565" t="s">
        <v>2246</v>
      </c>
      <c r="X433" s="571" t="str">
        <f>$D$258</f>
        <v>bh</v>
      </c>
      <c r="Y433" s="568">
        <v>4</v>
      </c>
      <c r="Z433" s="567">
        <f>$F$258</f>
        <v>100000</v>
      </c>
      <c r="AA433" s="561">
        <f t="shared" si="201"/>
        <v>400000</v>
      </c>
      <c r="AB433">
        <v>2.5</v>
      </c>
      <c r="AC433">
        <f t="shared" si="202"/>
        <v>10</v>
      </c>
      <c r="AD433" s="589" t="s">
        <v>2176</v>
      </c>
      <c r="AE433" s="565" t="s">
        <v>2246</v>
      </c>
      <c r="AF433" s="571" t="str">
        <f>$D$258</f>
        <v>bh</v>
      </c>
      <c r="AG433" s="568">
        <v>4</v>
      </c>
      <c r="AH433" s="567">
        <f>$F$258</f>
        <v>100000</v>
      </c>
      <c r="AI433" s="561">
        <f t="shared" si="203"/>
        <v>400000</v>
      </c>
      <c r="AJ433">
        <v>2.5</v>
      </c>
      <c r="AK433">
        <f t="shared" si="204"/>
        <v>10</v>
      </c>
    </row>
    <row r="434" spans="2:37" ht="15" customHeight="1">
      <c r="B434" s="589"/>
      <c r="C434" s="584"/>
      <c r="D434" s="571"/>
      <c r="E434" s="566"/>
      <c r="F434" s="567"/>
      <c r="G434" s="561"/>
      <c r="I434">
        <f>SUM(I427:I432)</f>
        <v>350458.84457142855</v>
      </c>
      <c r="N434" s="589"/>
      <c r="O434" s="584"/>
      <c r="P434" s="571"/>
      <c r="Q434" s="566"/>
      <c r="R434" s="567"/>
      <c r="S434" s="561"/>
      <c r="U434">
        <f>SUM(U427:U432)</f>
        <v>350458.84457142855</v>
      </c>
      <c r="V434" s="589"/>
      <c r="W434" s="584"/>
      <c r="X434" s="571"/>
      <c r="Y434" s="566"/>
      <c r="Z434" s="567"/>
      <c r="AA434" s="561"/>
      <c r="AC434">
        <f>SUM(AC427:AC432)</f>
        <v>350458.84457142855</v>
      </c>
      <c r="AD434" s="589"/>
      <c r="AE434" s="584"/>
      <c r="AF434" s="571"/>
      <c r="AG434" s="566"/>
      <c r="AH434" s="567"/>
      <c r="AI434" s="561"/>
      <c r="AK434">
        <f>SUM(AK427:AK432)</f>
        <v>350458.84457142855</v>
      </c>
    </row>
    <row r="435" spans="2:37" ht="15" customHeight="1">
      <c r="B435" s="590">
        <v>3</v>
      </c>
      <c r="C435" s="583" t="s">
        <v>2086</v>
      </c>
      <c r="D435" s="571"/>
      <c r="E435" s="566"/>
      <c r="F435" s="567"/>
      <c r="G435" s="561"/>
      <c r="N435" s="590">
        <v>3</v>
      </c>
      <c r="O435" s="583" t="s">
        <v>2086</v>
      </c>
      <c r="P435" s="571"/>
      <c r="Q435" s="566"/>
      <c r="R435" s="567"/>
      <c r="S435" s="561"/>
      <c r="V435" s="590">
        <v>3</v>
      </c>
      <c r="W435" s="583" t="s">
        <v>2086</v>
      </c>
      <c r="X435" s="571"/>
      <c r="Y435" s="566"/>
      <c r="Z435" s="567"/>
      <c r="AA435" s="561"/>
      <c r="AD435" s="590">
        <v>3</v>
      </c>
      <c r="AE435" s="583" t="s">
        <v>2086</v>
      </c>
      <c r="AF435" s="571"/>
      <c r="AG435" s="566"/>
      <c r="AH435" s="567"/>
      <c r="AI435" s="561"/>
    </row>
    <row r="436" spans="2:37" ht="15" customHeight="1">
      <c r="B436" s="589" t="s">
        <v>721</v>
      </c>
      <c r="C436" s="584" t="s">
        <v>2247</v>
      </c>
      <c r="D436" s="571" t="str">
        <f>$D$261</f>
        <v>bh</v>
      </c>
      <c r="E436" s="568">
        <v>4</v>
      </c>
      <c r="F436" s="567">
        <f>$F$261</f>
        <v>181849.04</v>
      </c>
      <c r="G436" s="561">
        <f t="shared" ref="G436:G441" si="205">E436*F436</f>
        <v>727396.16</v>
      </c>
      <c r="N436" s="589" t="s">
        <v>721</v>
      </c>
      <c r="O436" s="584" t="s">
        <v>2247</v>
      </c>
      <c r="P436" s="571" t="str">
        <f>$D$261</f>
        <v>bh</v>
      </c>
      <c r="Q436" s="568">
        <v>4</v>
      </c>
      <c r="R436" s="567">
        <f>$F$261</f>
        <v>181849.04</v>
      </c>
      <c r="S436" s="561">
        <f t="shared" ref="S436:S441" si="206">Q436*R436</f>
        <v>727396.16</v>
      </c>
      <c r="V436" s="589" t="s">
        <v>721</v>
      </c>
      <c r="W436" s="584" t="s">
        <v>2247</v>
      </c>
      <c r="X436" s="571" t="str">
        <f>$D$261</f>
        <v>bh</v>
      </c>
      <c r="Y436" s="568">
        <v>4</v>
      </c>
      <c r="Z436" s="567">
        <f>$F$261</f>
        <v>181849.04</v>
      </c>
      <c r="AA436" s="561">
        <f t="shared" ref="AA436:AA441" si="207">Y436*Z436</f>
        <v>727396.16</v>
      </c>
      <c r="AD436" s="589" t="s">
        <v>721</v>
      </c>
      <c r="AE436" s="584" t="s">
        <v>2247</v>
      </c>
      <c r="AF436" s="571" t="str">
        <f>$D$261</f>
        <v>bh</v>
      </c>
      <c r="AG436" s="568">
        <v>4</v>
      </c>
      <c r="AH436" s="567">
        <f>$F$261</f>
        <v>181849.04</v>
      </c>
      <c r="AI436" s="561">
        <f t="shared" ref="AI436:AI441" si="208">AG436*AH436</f>
        <v>727396.16</v>
      </c>
    </row>
    <row r="437" spans="2:37" ht="15" customHeight="1">
      <c r="B437" s="589" t="s">
        <v>2166</v>
      </c>
      <c r="C437" s="584" t="s">
        <v>2085</v>
      </c>
      <c r="D437" s="571" t="str">
        <f>$D$262</f>
        <v>kg</v>
      </c>
      <c r="E437" s="568">
        <f>I434</f>
        <v>350458.84457142855</v>
      </c>
      <c r="F437" s="567">
        <f>$F$262</f>
        <v>462.7700000000001</v>
      </c>
      <c r="G437" s="561">
        <f t="shared" si="205"/>
        <v>162181839.50232002</v>
      </c>
      <c r="N437" s="589" t="s">
        <v>2166</v>
      </c>
      <c r="O437" s="584" t="s">
        <v>2085</v>
      </c>
      <c r="P437" s="571" t="str">
        <f>$D$262</f>
        <v>kg</v>
      </c>
      <c r="Q437" s="568">
        <f>U434</f>
        <v>350458.84457142855</v>
      </c>
      <c r="R437" s="567">
        <f>$F$262</f>
        <v>462.7700000000001</v>
      </c>
      <c r="S437" s="561">
        <f t="shared" si="206"/>
        <v>162181839.50232002</v>
      </c>
      <c r="V437" s="589" t="s">
        <v>2166</v>
      </c>
      <c r="W437" s="584" t="s">
        <v>2085</v>
      </c>
      <c r="X437" s="571" t="str">
        <f>$D$262</f>
        <v>kg</v>
      </c>
      <c r="Y437" s="568">
        <f>AC434</f>
        <v>350458.84457142855</v>
      </c>
      <c r="Z437" s="567">
        <f>$F$262</f>
        <v>462.7700000000001</v>
      </c>
      <c r="AA437" s="561">
        <f t="shared" si="207"/>
        <v>162181839.50232002</v>
      </c>
      <c r="AD437" s="589" t="s">
        <v>2166</v>
      </c>
      <c r="AE437" s="584" t="s">
        <v>2085</v>
      </c>
      <c r="AF437" s="571" t="str">
        <f>$D$262</f>
        <v>kg</v>
      </c>
      <c r="AG437" s="568">
        <f>AK434</f>
        <v>350458.84457142855</v>
      </c>
      <c r="AH437" s="567">
        <f>$F$262</f>
        <v>462.7700000000001</v>
      </c>
      <c r="AI437" s="561">
        <f t="shared" si="208"/>
        <v>162181839.50232002</v>
      </c>
    </row>
    <row r="438" spans="2:37" ht="15" customHeight="1">
      <c r="B438" s="589" t="s">
        <v>2168</v>
      </c>
      <c r="C438" s="584" t="s">
        <v>2249</v>
      </c>
      <c r="D438" s="571" t="str">
        <f>$D$263</f>
        <v>bh</v>
      </c>
      <c r="E438" s="568">
        <v>4</v>
      </c>
      <c r="F438" s="567">
        <f>$F$263</f>
        <v>387825</v>
      </c>
      <c r="G438" s="561">
        <f t="shared" si="205"/>
        <v>1551300</v>
      </c>
      <c r="N438" s="589" t="s">
        <v>2168</v>
      </c>
      <c r="O438" s="584" t="s">
        <v>2249</v>
      </c>
      <c r="P438" s="571" t="str">
        <f>$D$263</f>
        <v>bh</v>
      </c>
      <c r="Q438" s="568">
        <v>4</v>
      </c>
      <c r="R438" s="567">
        <f>$F$263</f>
        <v>387825</v>
      </c>
      <c r="S438" s="561">
        <f t="shared" si="206"/>
        <v>1551300</v>
      </c>
      <c r="V438" s="589" t="s">
        <v>2168</v>
      </c>
      <c r="W438" s="584" t="s">
        <v>2249</v>
      </c>
      <c r="X438" s="571" t="str">
        <f>$D$263</f>
        <v>bh</v>
      </c>
      <c r="Y438" s="568">
        <v>4</v>
      </c>
      <c r="Z438" s="567">
        <f>$F$263</f>
        <v>387825</v>
      </c>
      <c r="AA438" s="561">
        <f t="shared" si="207"/>
        <v>1551300</v>
      </c>
      <c r="AD438" s="589" t="s">
        <v>2168</v>
      </c>
      <c r="AE438" s="584" t="s">
        <v>2249</v>
      </c>
      <c r="AF438" s="571" t="str">
        <f>$D$263</f>
        <v>bh</v>
      </c>
      <c r="AG438" s="568">
        <v>4</v>
      </c>
      <c r="AH438" s="567">
        <f>$F$263</f>
        <v>387825</v>
      </c>
      <c r="AI438" s="561">
        <f t="shared" si="208"/>
        <v>1551300</v>
      </c>
    </row>
    <row r="439" spans="2:37" ht="15" customHeight="1">
      <c r="B439" s="589" t="s">
        <v>2170</v>
      </c>
      <c r="C439" s="584" t="s">
        <v>2250</v>
      </c>
      <c r="D439" s="571" t="str">
        <f>$D$264</f>
        <v>kg</v>
      </c>
      <c r="E439" s="568">
        <f>$E$164</f>
        <v>150.93599999999998</v>
      </c>
      <c r="F439" s="567">
        <f>$F$264</f>
        <v>3758.6984549742947</v>
      </c>
      <c r="G439" s="561">
        <f t="shared" si="205"/>
        <v>567322.91</v>
      </c>
      <c r="N439" s="589" t="s">
        <v>2170</v>
      </c>
      <c r="O439" s="584" t="s">
        <v>2250</v>
      </c>
      <c r="P439" s="571" t="str">
        <f>$D$264</f>
        <v>kg</v>
      </c>
      <c r="Q439" s="568">
        <f>$Q$164</f>
        <v>239.61599999999999</v>
      </c>
      <c r="R439" s="567">
        <f>$F$264</f>
        <v>3758.6984549742947</v>
      </c>
      <c r="S439" s="561">
        <f t="shared" si="206"/>
        <v>900644.2889871205</v>
      </c>
      <c r="V439" s="589" t="s">
        <v>2170</v>
      </c>
      <c r="W439" s="584" t="s">
        <v>2269</v>
      </c>
      <c r="X439" s="571" t="str">
        <f>$D$264</f>
        <v>kg</v>
      </c>
      <c r="Y439" s="568">
        <f>$Y$164</f>
        <v>311.47199999999998</v>
      </c>
      <c r="Z439" s="567">
        <f>$F$264</f>
        <v>3758.6984549742947</v>
      </c>
      <c r="AA439" s="561">
        <f t="shared" si="207"/>
        <v>1170729.3251677535</v>
      </c>
      <c r="AD439" s="589" t="s">
        <v>2170</v>
      </c>
      <c r="AE439" s="584" t="s">
        <v>2269</v>
      </c>
      <c r="AF439" s="571" t="str">
        <f>$D$264</f>
        <v>kg</v>
      </c>
      <c r="AG439" s="568">
        <f>$AG$164</f>
        <v>403.17599999999999</v>
      </c>
      <c r="AH439" s="567">
        <f>$F$264</f>
        <v>3758.6984549742947</v>
      </c>
      <c r="AI439" s="561">
        <f t="shared" si="208"/>
        <v>1515417.0082827162</v>
      </c>
    </row>
    <row r="440" spans="2:37" ht="15" customHeight="1">
      <c r="B440" s="589" t="s">
        <v>2172</v>
      </c>
      <c r="C440" s="584" t="s">
        <v>2251</v>
      </c>
      <c r="D440" s="571" t="str">
        <f>$D$265</f>
        <v>set</v>
      </c>
      <c r="E440" s="568">
        <v>1</v>
      </c>
      <c r="F440" s="567">
        <f>$F$265</f>
        <v>855127</v>
      </c>
      <c r="G440" s="561">
        <f t="shared" si="205"/>
        <v>855127</v>
      </c>
      <c r="N440" s="589" t="s">
        <v>2172</v>
      </c>
      <c r="O440" s="584" t="s">
        <v>2251</v>
      </c>
      <c r="P440" s="571" t="str">
        <f>$D$265</f>
        <v>set</v>
      </c>
      <c r="Q440" s="568">
        <v>1</v>
      </c>
      <c r="R440" s="567">
        <f>$F$265</f>
        <v>855127</v>
      </c>
      <c r="S440" s="561">
        <f t="shared" si="206"/>
        <v>855127</v>
      </c>
      <c r="V440" s="589" t="s">
        <v>2172</v>
      </c>
      <c r="W440" s="584" t="s">
        <v>2251</v>
      </c>
      <c r="X440" s="571" t="str">
        <f>$D$265</f>
        <v>set</v>
      </c>
      <c r="Y440" s="568">
        <v>1</v>
      </c>
      <c r="Z440" s="567">
        <f>$F$265</f>
        <v>855127</v>
      </c>
      <c r="AA440" s="561">
        <f t="shared" si="207"/>
        <v>855127</v>
      </c>
      <c r="AD440" s="589" t="s">
        <v>2172</v>
      </c>
      <c r="AE440" s="584" t="s">
        <v>2251</v>
      </c>
      <c r="AF440" s="571" t="str">
        <f>$D$265</f>
        <v>set</v>
      </c>
      <c r="AG440" s="568">
        <v>1</v>
      </c>
      <c r="AH440" s="567">
        <f>$F$265</f>
        <v>855127</v>
      </c>
      <c r="AI440" s="561">
        <f t="shared" si="208"/>
        <v>855127</v>
      </c>
    </row>
    <row r="441" spans="2:37" ht="15" customHeight="1">
      <c r="B441" s="589" t="s">
        <v>2174</v>
      </c>
      <c r="C441" s="584" t="s">
        <v>2252</v>
      </c>
      <c r="D441" s="571" t="str">
        <f>$D$266</f>
        <v>set</v>
      </c>
      <c r="E441" s="568">
        <v>1</v>
      </c>
      <c r="F441" s="567">
        <f>$F$266</f>
        <v>674025</v>
      </c>
      <c r="G441" s="561">
        <f t="shared" si="205"/>
        <v>674025</v>
      </c>
      <c r="N441" s="589" t="s">
        <v>2174</v>
      </c>
      <c r="O441" s="584" t="s">
        <v>2252</v>
      </c>
      <c r="P441" s="571" t="str">
        <f>$D$266</f>
        <v>set</v>
      </c>
      <c r="Q441" s="568">
        <v>1</v>
      </c>
      <c r="R441" s="567">
        <f>$F$266</f>
        <v>674025</v>
      </c>
      <c r="S441" s="561">
        <f t="shared" si="206"/>
        <v>674025</v>
      </c>
      <c r="V441" s="589" t="s">
        <v>2174</v>
      </c>
      <c r="W441" s="584" t="s">
        <v>2252</v>
      </c>
      <c r="X441" s="571" t="str">
        <f>$D$266</f>
        <v>set</v>
      </c>
      <c r="Y441" s="568">
        <v>1</v>
      </c>
      <c r="Z441" s="567">
        <f>$F$266</f>
        <v>674025</v>
      </c>
      <c r="AA441" s="561">
        <f t="shared" si="207"/>
        <v>674025</v>
      </c>
      <c r="AD441" s="589" t="s">
        <v>2174</v>
      </c>
      <c r="AE441" s="584" t="s">
        <v>2252</v>
      </c>
      <c r="AF441" s="571" t="str">
        <f>$D$266</f>
        <v>set</v>
      </c>
      <c r="AG441" s="568">
        <v>1</v>
      </c>
      <c r="AH441" s="567">
        <f>$F$266</f>
        <v>674025</v>
      </c>
      <c r="AI441" s="561">
        <f t="shared" si="208"/>
        <v>674025</v>
      </c>
    </row>
    <row r="442" spans="2:37" ht="15" customHeight="1" thickBot="1">
      <c r="B442" s="582"/>
      <c r="C442" s="1197" t="s">
        <v>2304</v>
      </c>
      <c r="D442" s="1198"/>
      <c r="E442" s="1198"/>
      <c r="F442" s="1199"/>
      <c r="G442" s="560">
        <f>SUM(G421:G441)</f>
        <v>680769035.47595847</v>
      </c>
      <c r="N442" s="582"/>
      <c r="O442" s="1197" t="s">
        <v>2304</v>
      </c>
      <c r="P442" s="1198"/>
      <c r="Q442" s="1198"/>
      <c r="R442" s="1199"/>
      <c r="S442" s="560">
        <f>SUM(S421:S441)</f>
        <v>681102356.85494566</v>
      </c>
      <c r="V442" s="582"/>
      <c r="W442" s="1197" t="s">
        <v>2304</v>
      </c>
      <c r="X442" s="1198"/>
      <c r="Y442" s="1198"/>
      <c r="Z442" s="1199"/>
      <c r="AA442" s="560">
        <f>SUM(AA421:AA441)</f>
        <v>681372441.89112628</v>
      </c>
      <c r="AD442" s="582"/>
      <c r="AE442" s="1197" t="s">
        <v>2304</v>
      </c>
      <c r="AF442" s="1198"/>
      <c r="AG442" s="1198"/>
      <c r="AH442" s="1199"/>
      <c r="AI442" s="560">
        <f>SUM(AI421:AI441)</f>
        <v>681717129.57424116</v>
      </c>
    </row>
    <row r="443" spans="2:37" ht="15" customHeight="1" thickBot="1">
      <c r="R443" s="634"/>
      <c r="Z443" s="634"/>
      <c r="AA443" s="634"/>
      <c r="AH443" s="634"/>
      <c r="AI443" s="634"/>
    </row>
    <row r="444" spans="2:37" ht="15" customHeight="1" thickBot="1">
      <c r="B444" s="581" t="s">
        <v>2229</v>
      </c>
      <c r="C444" s="580"/>
      <c r="D444" s="579">
        <v>6</v>
      </c>
      <c r="E444" s="578"/>
      <c r="F444" s="577"/>
      <c r="G444" s="564"/>
      <c r="N444" s="581" t="s">
        <v>2230</v>
      </c>
      <c r="O444" s="580"/>
      <c r="P444" s="579">
        <v>6</v>
      </c>
      <c r="Q444" s="578"/>
      <c r="R444" s="577"/>
      <c r="S444" s="564"/>
      <c r="V444" s="581" t="s">
        <v>2231</v>
      </c>
      <c r="W444" s="580"/>
      <c r="X444" s="579"/>
      <c r="Y444" s="578"/>
      <c r="Z444" s="577"/>
      <c r="AA444" s="564"/>
      <c r="AD444" s="581" t="s">
        <v>2254</v>
      </c>
      <c r="AE444" s="580"/>
      <c r="AF444" s="579"/>
      <c r="AG444" s="578"/>
      <c r="AH444" s="577"/>
      <c r="AI444" s="564"/>
    </row>
    <row r="445" spans="2:37" ht="15" customHeight="1">
      <c r="B445" s="576"/>
      <c r="C445" s="575" t="s">
        <v>2305</v>
      </c>
      <c r="D445" s="574"/>
      <c r="E445" s="573"/>
      <c r="F445" s="572"/>
      <c r="G445" s="563"/>
      <c r="N445" s="576"/>
      <c r="O445" s="575" t="s">
        <v>2305</v>
      </c>
      <c r="P445" s="574"/>
      <c r="Q445" s="573"/>
      <c r="R445" s="572"/>
      <c r="S445" s="563"/>
      <c r="V445" s="576"/>
      <c r="W445" s="575" t="s">
        <v>2306</v>
      </c>
      <c r="X445" s="574"/>
      <c r="Y445" s="573"/>
      <c r="Z445" s="572"/>
      <c r="AA445" s="563"/>
      <c r="AD445" s="576"/>
      <c r="AE445" s="575" t="s">
        <v>2306</v>
      </c>
      <c r="AF445" s="574"/>
      <c r="AG445" s="573"/>
      <c r="AH445" s="572"/>
      <c r="AI445" s="563"/>
    </row>
    <row r="446" spans="2:37" ht="15" customHeight="1">
      <c r="B446" s="588">
        <v>1</v>
      </c>
      <c r="C446" s="587" t="s">
        <v>2234</v>
      </c>
      <c r="D446" s="571"/>
      <c r="E446" s="570"/>
      <c r="F446" s="569"/>
      <c r="G446" s="562"/>
      <c r="N446" s="588">
        <v>1</v>
      </c>
      <c r="O446" s="587" t="s">
        <v>2234</v>
      </c>
      <c r="P446" s="571"/>
      <c r="Q446" s="570"/>
      <c r="R446" s="569"/>
      <c r="S446" s="562"/>
      <c r="V446" s="588">
        <v>1</v>
      </c>
      <c r="W446" s="587" t="s">
        <v>2234</v>
      </c>
      <c r="X446" s="571"/>
      <c r="Y446" s="570"/>
      <c r="Z446" s="569"/>
      <c r="AA446" s="562"/>
      <c r="AD446" s="588">
        <v>1</v>
      </c>
      <c r="AE446" s="587" t="s">
        <v>2234</v>
      </c>
      <c r="AF446" s="571"/>
      <c r="AG446" s="570"/>
      <c r="AH446" s="569"/>
      <c r="AI446" s="562"/>
    </row>
    <row r="447" spans="2:37" ht="15" customHeight="1">
      <c r="B447" s="589" t="s">
        <v>721</v>
      </c>
      <c r="C447" s="586" t="s">
        <v>2235</v>
      </c>
      <c r="D447" s="571" t="str">
        <f>$D$247</f>
        <v>m³</v>
      </c>
      <c r="E447" s="568">
        <v>72.5</v>
      </c>
      <c r="F447" s="567">
        <f>$F$247</f>
        <v>102390.75000000001</v>
      </c>
      <c r="G447" s="561">
        <f>E447*F447</f>
        <v>7423329.3750000009</v>
      </c>
      <c r="N447" s="589" t="s">
        <v>721</v>
      </c>
      <c r="O447" s="586" t="s">
        <v>2235</v>
      </c>
      <c r="P447" s="571" t="str">
        <f>$D$247</f>
        <v>m³</v>
      </c>
      <c r="Q447" s="568">
        <v>72.5</v>
      </c>
      <c r="R447" s="567">
        <f>$F$247</f>
        <v>102390.75000000001</v>
      </c>
      <c r="S447" s="561">
        <f>Q447*R447</f>
        <v>7423329.3750000009</v>
      </c>
      <c r="V447" s="589" t="s">
        <v>721</v>
      </c>
      <c r="W447" s="586" t="s">
        <v>2235</v>
      </c>
      <c r="X447" s="571" t="str">
        <f>$D$247</f>
        <v>m³</v>
      </c>
      <c r="Y447" s="568">
        <v>72.5</v>
      </c>
      <c r="Z447" s="567">
        <f>$F$247</f>
        <v>102390.75000000001</v>
      </c>
      <c r="AA447" s="561">
        <f>Y447*Z447</f>
        <v>7423329.3750000009</v>
      </c>
      <c r="AD447" s="589" t="s">
        <v>721</v>
      </c>
      <c r="AE447" s="586" t="s">
        <v>2235</v>
      </c>
      <c r="AF447" s="571" t="str">
        <f>$D$247</f>
        <v>m³</v>
      </c>
      <c r="AG447" s="568">
        <v>72.5</v>
      </c>
      <c r="AH447" s="567">
        <f>$F$247</f>
        <v>102390.75000000001</v>
      </c>
      <c r="AI447" s="561">
        <f>AG447*AH447</f>
        <v>7423329.3750000009</v>
      </c>
    </row>
    <row r="448" spans="2:37" ht="15" customHeight="1">
      <c r="B448" s="589" t="s">
        <v>2166</v>
      </c>
      <c r="C448" s="586" t="s">
        <v>2237</v>
      </c>
      <c r="D448" s="571" t="str">
        <f>$D$248</f>
        <v>m³</v>
      </c>
      <c r="E448" s="568">
        <v>30.560000000000002</v>
      </c>
      <c r="F448" s="567">
        <f>$F$248</f>
        <v>62462.950000000012</v>
      </c>
      <c r="G448" s="561">
        <f>E448*F448</f>
        <v>1908867.7520000006</v>
      </c>
      <c r="N448" s="589" t="s">
        <v>2166</v>
      </c>
      <c r="O448" s="586" t="s">
        <v>2237</v>
      </c>
      <c r="P448" s="571" t="str">
        <f>$D$248</f>
        <v>m³</v>
      </c>
      <c r="Q448" s="568">
        <v>30.560000000000002</v>
      </c>
      <c r="R448" s="567">
        <f>$F$248</f>
        <v>62462.950000000012</v>
      </c>
      <c r="S448" s="561">
        <f>Q448*R448</f>
        <v>1908867.7520000006</v>
      </c>
      <c r="V448" s="589" t="s">
        <v>2166</v>
      </c>
      <c r="W448" s="586" t="s">
        <v>2237</v>
      </c>
      <c r="X448" s="571" t="str">
        <f>$D$248</f>
        <v>m³</v>
      </c>
      <c r="Y448" s="568">
        <v>30.560000000000002</v>
      </c>
      <c r="Z448" s="567">
        <f>$F$248</f>
        <v>62462.950000000012</v>
      </c>
      <c r="AA448" s="561">
        <f>Y448*Z448</f>
        <v>1908867.7520000006</v>
      </c>
      <c r="AD448" s="589" t="s">
        <v>2166</v>
      </c>
      <c r="AE448" s="586" t="s">
        <v>2237</v>
      </c>
      <c r="AF448" s="571" t="str">
        <f>$D$248</f>
        <v>m³</v>
      </c>
      <c r="AG448" s="568">
        <v>30.560000000000002</v>
      </c>
      <c r="AH448" s="567">
        <f>$F$248</f>
        <v>62462.950000000012</v>
      </c>
      <c r="AI448" s="561">
        <f>AG448*AH448</f>
        <v>1908867.7520000006</v>
      </c>
    </row>
    <row r="449" spans="2:37" ht="15" customHeight="1">
      <c r="B449" s="589" t="s">
        <v>2168</v>
      </c>
      <c r="C449" s="586" t="s">
        <v>2265</v>
      </c>
      <c r="D449" s="571" t="str">
        <f>$D$249</f>
        <v>m'</v>
      </c>
      <c r="E449" s="568">
        <v>432</v>
      </c>
      <c r="F449" s="567">
        <f>$F$249</f>
        <v>52230.612500000003</v>
      </c>
      <c r="G449" s="561">
        <f>E449*F449</f>
        <v>22563624.600000001</v>
      </c>
      <c r="N449" s="589" t="s">
        <v>2168</v>
      </c>
      <c r="O449" s="586" t="s">
        <v>2265</v>
      </c>
      <c r="P449" s="571" t="str">
        <f>$D$249</f>
        <v>m'</v>
      </c>
      <c r="Q449" s="568">
        <v>432</v>
      </c>
      <c r="R449" s="567">
        <f>$F$249</f>
        <v>52230.612500000003</v>
      </c>
      <c r="S449" s="561">
        <f>Q449*R449</f>
        <v>22563624.600000001</v>
      </c>
      <c r="V449" s="589" t="s">
        <v>2168</v>
      </c>
      <c r="W449" s="586" t="s">
        <v>2265</v>
      </c>
      <c r="X449" s="571" t="str">
        <f>$D$249</f>
        <v>m'</v>
      </c>
      <c r="Y449" s="568">
        <v>432</v>
      </c>
      <c r="Z449" s="567">
        <f>$F$249</f>
        <v>52230.612500000003</v>
      </c>
      <c r="AA449" s="561">
        <f>Y449*Z449</f>
        <v>22563624.600000001</v>
      </c>
      <c r="AD449" s="589" t="s">
        <v>2168</v>
      </c>
      <c r="AE449" s="586" t="s">
        <v>2265</v>
      </c>
      <c r="AF449" s="571" t="str">
        <f>$D$249</f>
        <v>m'</v>
      </c>
      <c r="AG449" s="568">
        <v>432</v>
      </c>
      <c r="AH449" s="567">
        <f>$F$249</f>
        <v>52230.612500000003</v>
      </c>
      <c r="AI449" s="561">
        <f>AG449*AH449</f>
        <v>22563624.600000001</v>
      </c>
    </row>
    <row r="450" spans="2:37" ht="15" customHeight="1">
      <c r="B450" s="585"/>
      <c r="C450" s="586"/>
      <c r="D450" s="571"/>
      <c r="E450" s="566"/>
      <c r="F450" s="567"/>
      <c r="G450" s="561"/>
      <c r="N450" s="585"/>
      <c r="O450" s="586"/>
      <c r="P450" s="571"/>
      <c r="Q450" s="566"/>
      <c r="R450" s="567"/>
      <c r="S450" s="561"/>
      <c r="V450" s="585"/>
      <c r="W450" s="586"/>
      <c r="X450" s="571"/>
      <c r="Y450" s="566"/>
      <c r="Z450" s="567"/>
      <c r="AA450" s="561"/>
      <c r="AD450" s="585"/>
      <c r="AE450" s="586"/>
      <c r="AF450" s="571"/>
      <c r="AG450" s="566"/>
      <c r="AH450" s="567"/>
      <c r="AI450" s="561"/>
    </row>
    <row r="451" spans="2:37" ht="15" customHeight="1">
      <c r="B451" s="590">
        <v>2</v>
      </c>
      <c r="C451" s="587" t="s">
        <v>2238</v>
      </c>
      <c r="D451" s="571"/>
      <c r="E451" s="566"/>
      <c r="F451" s="567"/>
      <c r="G451" s="561"/>
      <c r="H451" t="s">
        <v>2239</v>
      </c>
      <c r="N451" s="590">
        <v>2</v>
      </c>
      <c r="O451" s="587" t="s">
        <v>2238</v>
      </c>
      <c r="P451" s="571"/>
      <c r="Q451" s="566"/>
      <c r="R451" s="567"/>
      <c r="S451" s="561"/>
      <c r="T451" t="s">
        <v>2239</v>
      </c>
      <c r="V451" s="590">
        <v>2</v>
      </c>
      <c r="W451" s="587" t="s">
        <v>2238</v>
      </c>
      <c r="X451" s="571"/>
      <c r="Y451" s="566"/>
      <c r="Z451" s="567"/>
      <c r="AA451" s="561"/>
      <c r="AB451" t="s">
        <v>2239</v>
      </c>
      <c r="AD451" s="590">
        <v>2</v>
      </c>
      <c r="AE451" s="587" t="s">
        <v>2238</v>
      </c>
      <c r="AF451" s="571"/>
      <c r="AG451" s="566"/>
      <c r="AH451" s="567"/>
      <c r="AI451" s="561"/>
      <c r="AJ451" t="s">
        <v>2239</v>
      </c>
    </row>
    <row r="452" spans="2:37" ht="15" customHeight="1">
      <c r="B452" s="589" t="s">
        <v>721</v>
      </c>
      <c r="C452" s="586" t="s">
        <v>2240</v>
      </c>
      <c r="D452" s="571" t="str">
        <f>$D$252</f>
        <v>m³</v>
      </c>
      <c r="E452" s="568">
        <v>5.4</v>
      </c>
      <c r="F452" s="567">
        <f>$F$252</f>
        <v>404738.95</v>
      </c>
      <c r="G452" s="561">
        <f t="shared" ref="G452:G458" si="209">E452*F452</f>
        <v>2185590.33</v>
      </c>
      <c r="H452">
        <v>1400</v>
      </c>
      <c r="I452">
        <f t="shared" ref="I452:I458" si="210">E452*H452</f>
        <v>7560.0000000000009</v>
      </c>
      <c r="N452" s="589" t="s">
        <v>721</v>
      </c>
      <c r="O452" s="586" t="s">
        <v>2240</v>
      </c>
      <c r="P452" s="571" t="str">
        <f>$D$252</f>
        <v>m³</v>
      </c>
      <c r="Q452" s="568">
        <v>5.4</v>
      </c>
      <c r="R452" s="567">
        <f>$F$252</f>
        <v>404738.95</v>
      </c>
      <c r="S452" s="561">
        <f t="shared" ref="S452:S458" si="211">Q452*R452</f>
        <v>2185590.33</v>
      </c>
      <c r="T452">
        <v>1400</v>
      </c>
      <c r="U452">
        <f t="shared" ref="U452:U458" si="212">Q452*T452</f>
        <v>7560.0000000000009</v>
      </c>
      <c r="V452" s="589" t="s">
        <v>721</v>
      </c>
      <c r="W452" s="586" t="s">
        <v>2240</v>
      </c>
      <c r="X452" s="571" t="str">
        <f>$D$252</f>
        <v>m³</v>
      </c>
      <c r="Y452" s="568">
        <v>5.4</v>
      </c>
      <c r="Z452" s="567">
        <f>$F$252</f>
        <v>404738.95</v>
      </c>
      <c r="AA452" s="561">
        <f t="shared" ref="AA452:AA458" si="213">Y452*Z452</f>
        <v>2185590.33</v>
      </c>
      <c r="AB452">
        <v>1400</v>
      </c>
      <c r="AC452">
        <f t="shared" ref="AC452:AC458" si="214">Y452*AB452</f>
        <v>7560.0000000000009</v>
      </c>
      <c r="AD452" s="589" t="s">
        <v>721</v>
      </c>
      <c r="AE452" s="586" t="s">
        <v>2240</v>
      </c>
      <c r="AF452" s="571" t="str">
        <f>$D$252</f>
        <v>m³</v>
      </c>
      <c r="AG452" s="568">
        <v>5.4</v>
      </c>
      <c r="AH452" s="567">
        <f>$F$252</f>
        <v>404738.95</v>
      </c>
      <c r="AI452" s="561">
        <f t="shared" ref="AI452:AI458" si="215">AG452*AH452</f>
        <v>2185590.33</v>
      </c>
      <c r="AJ452">
        <v>1400</v>
      </c>
      <c r="AK452">
        <f t="shared" ref="AK452:AK458" si="216">AG452*AJ452</f>
        <v>7560.0000000000009</v>
      </c>
    </row>
    <row r="453" spans="2:37" ht="15" customHeight="1">
      <c r="B453" s="589" t="s">
        <v>2166</v>
      </c>
      <c r="C453" s="584" t="s">
        <v>2241</v>
      </c>
      <c r="D453" s="571" t="str">
        <f>$D$253</f>
        <v>m³</v>
      </c>
      <c r="E453" s="568">
        <v>2.7</v>
      </c>
      <c r="F453" s="567">
        <f>$F$253</f>
        <v>710224.707936508</v>
      </c>
      <c r="G453" s="561">
        <f t="shared" si="209"/>
        <v>1917606.7114285717</v>
      </c>
      <c r="H453">
        <v>2200</v>
      </c>
      <c r="I453">
        <f t="shared" si="210"/>
        <v>5940</v>
      </c>
      <c r="N453" s="589" t="s">
        <v>2166</v>
      </c>
      <c r="O453" s="584" t="s">
        <v>2241</v>
      </c>
      <c r="P453" s="571" t="str">
        <f>$D$253</f>
        <v>m³</v>
      </c>
      <c r="Q453" s="568">
        <v>2.7</v>
      </c>
      <c r="R453" s="567">
        <f>$F$253</f>
        <v>710224.707936508</v>
      </c>
      <c r="S453" s="561">
        <f t="shared" si="211"/>
        <v>1917606.7114285717</v>
      </c>
      <c r="T453">
        <v>2200</v>
      </c>
      <c r="U453">
        <f t="shared" si="212"/>
        <v>5940</v>
      </c>
      <c r="V453" s="589" t="s">
        <v>2166</v>
      </c>
      <c r="W453" s="584" t="s">
        <v>2241</v>
      </c>
      <c r="X453" s="571" t="str">
        <f>$D$253</f>
        <v>m³</v>
      </c>
      <c r="Y453" s="568">
        <v>2.7</v>
      </c>
      <c r="Z453" s="567">
        <f>$F$253</f>
        <v>710224.707936508</v>
      </c>
      <c r="AA453" s="561">
        <f t="shared" si="213"/>
        <v>1917606.7114285717</v>
      </c>
      <c r="AB453">
        <v>2200</v>
      </c>
      <c r="AC453">
        <f t="shared" si="214"/>
        <v>5940</v>
      </c>
      <c r="AD453" s="589" t="s">
        <v>2166</v>
      </c>
      <c r="AE453" s="584" t="s">
        <v>2241</v>
      </c>
      <c r="AF453" s="571" t="str">
        <f>$D$253</f>
        <v>m³</v>
      </c>
      <c r="AG453" s="568">
        <v>2.7</v>
      </c>
      <c r="AH453" s="567">
        <f>$F$253</f>
        <v>710224.707936508</v>
      </c>
      <c r="AI453" s="561">
        <f t="shared" si="215"/>
        <v>1917606.7114285717</v>
      </c>
      <c r="AJ453">
        <v>2200</v>
      </c>
      <c r="AK453">
        <f t="shared" si="216"/>
        <v>5940</v>
      </c>
    </row>
    <row r="454" spans="2:37" ht="15" customHeight="1">
      <c r="B454" s="589" t="s">
        <v>2168</v>
      </c>
      <c r="C454" s="584" t="s">
        <v>2266</v>
      </c>
      <c r="D454" s="571" t="str">
        <f>$D$254</f>
        <v>m³</v>
      </c>
      <c r="E454" s="568">
        <v>33.839999999999996</v>
      </c>
      <c r="F454" s="567">
        <f>$F$254</f>
        <v>1115864.6138095236</v>
      </c>
      <c r="G454" s="561">
        <f t="shared" si="209"/>
        <v>37760858.531314276</v>
      </c>
      <c r="H454">
        <v>2400</v>
      </c>
      <c r="I454">
        <f t="shared" si="210"/>
        <v>81215.999999999985</v>
      </c>
      <c r="N454" s="589" t="s">
        <v>2168</v>
      </c>
      <c r="O454" s="584" t="s">
        <v>2266</v>
      </c>
      <c r="P454" s="571" t="str">
        <f>$D$254</f>
        <v>m³</v>
      </c>
      <c r="Q454" s="568">
        <v>33.839999999999996</v>
      </c>
      <c r="R454" s="567">
        <f>$F$254</f>
        <v>1115864.6138095236</v>
      </c>
      <c r="S454" s="561">
        <f t="shared" si="211"/>
        <v>37760858.531314276</v>
      </c>
      <c r="T454">
        <v>2400</v>
      </c>
      <c r="U454">
        <f t="shared" si="212"/>
        <v>81215.999999999985</v>
      </c>
      <c r="V454" s="589" t="s">
        <v>2168</v>
      </c>
      <c r="W454" s="584" t="str">
        <f>O454</f>
        <v>Beton K 225 (Pad &amp; Chimney)</v>
      </c>
      <c r="X454" s="571" t="str">
        <f>$D$254</f>
        <v>m³</v>
      </c>
      <c r="Y454" s="568">
        <v>33.839999999999996</v>
      </c>
      <c r="Z454" s="567">
        <f>$F$254</f>
        <v>1115864.6138095236</v>
      </c>
      <c r="AA454" s="561">
        <f t="shared" si="213"/>
        <v>37760858.531314276</v>
      </c>
      <c r="AB454">
        <v>2400</v>
      </c>
      <c r="AC454">
        <f t="shared" si="214"/>
        <v>81215.999999999985</v>
      </c>
      <c r="AD454" s="589" t="s">
        <v>2168</v>
      </c>
      <c r="AE454" s="584" t="str">
        <f>W454</f>
        <v>Beton K 225 (Pad &amp; Chimney)</v>
      </c>
      <c r="AF454" s="571" t="str">
        <f>$D$254</f>
        <v>m³</v>
      </c>
      <c r="AG454" s="568">
        <v>33.839999999999996</v>
      </c>
      <c r="AH454" s="567">
        <f>$F$254</f>
        <v>1115864.6138095236</v>
      </c>
      <c r="AI454" s="561">
        <f t="shared" si="215"/>
        <v>37760858.531314276</v>
      </c>
      <c r="AJ454">
        <v>2400</v>
      </c>
      <c r="AK454">
        <f t="shared" si="216"/>
        <v>81215.999999999985</v>
      </c>
    </row>
    <row r="455" spans="2:37" ht="15" customHeight="1">
      <c r="B455" s="589" t="s">
        <v>2170</v>
      </c>
      <c r="C455" s="584" t="s">
        <v>2267</v>
      </c>
      <c r="D455" s="571" t="str">
        <f>$D$255</f>
        <v>m³</v>
      </c>
      <c r="E455" s="568">
        <v>114.72685714285714</v>
      </c>
      <c r="F455" s="567">
        <f>$F$255</f>
        <v>1057576.2423809525</v>
      </c>
      <c r="G455" s="561">
        <f t="shared" si="209"/>
        <v>121332398.4773192</v>
      </c>
      <c r="H455">
        <v>2200</v>
      </c>
      <c r="I455">
        <f t="shared" si="210"/>
        <v>252399.0857142857</v>
      </c>
      <c r="N455" s="589" t="s">
        <v>2170</v>
      </c>
      <c r="O455" s="584" t="s">
        <v>2267</v>
      </c>
      <c r="P455" s="571" t="str">
        <f>$D$255</f>
        <v>m³</v>
      </c>
      <c r="Q455" s="568">
        <v>114.72685714285714</v>
      </c>
      <c r="R455" s="567">
        <f>$F$255</f>
        <v>1057576.2423809525</v>
      </c>
      <c r="S455" s="561">
        <f t="shared" si="211"/>
        <v>121332398.4773192</v>
      </c>
      <c r="T455">
        <v>2200</v>
      </c>
      <c r="U455">
        <f t="shared" si="212"/>
        <v>252399.0857142857</v>
      </c>
      <c r="V455" s="589" t="s">
        <v>2170</v>
      </c>
      <c r="W455" s="584" t="s">
        <v>2267</v>
      </c>
      <c r="X455" s="571" t="str">
        <f>$D$255</f>
        <v>m³</v>
      </c>
      <c r="Y455" s="568">
        <v>114.72685714285714</v>
      </c>
      <c r="Z455" s="567">
        <f>$F$255</f>
        <v>1057576.2423809525</v>
      </c>
      <c r="AA455" s="561">
        <f t="shared" si="213"/>
        <v>121332398.4773192</v>
      </c>
      <c r="AB455">
        <v>2200</v>
      </c>
      <c r="AC455">
        <f t="shared" si="214"/>
        <v>252399.0857142857</v>
      </c>
      <c r="AD455" s="589" t="s">
        <v>2170</v>
      </c>
      <c r="AE455" s="584" t="s">
        <v>2267</v>
      </c>
      <c r="AF455" s="571" t="str">
        <f>$D$255</f>
        <v>m³</v>
      </c>
      <c r="AG455" s="568">
        <v>114.72685714285714</v>
      </c>
      <c r="AH455" s="567">
        <f>$F$255</f>
        <v>1057576.2423809525</v>
      </c>
      <c r="AI455" s="561">
        <f t="shared" si="215"/>
        <v>121332398.4773192</v>
      </c>
      <c r="AJ455">
        <v>2200</v>
      </c>
      <c r="AK455">
        <f t="shared" si="216"/>
        <v>252399.0857142857</v>
      </c>
    </row>
    <row r="456" spans="2:37" ht="15" customHeight="1">
      <c r="B456" s="589" t="s">
        <v>2172</v>
      </c>
      <c r="C456" s="584" t="s">
        <v>2243</v>
      </c>
      <c r="D456" s="571" t="str">
        <f>$D$256</f>
        <v>kg</v>
      </c>
      <c r="E456" s="568">
        <v>17274.263999999999</v>
      </c>
      <c r="F456" s="567">
        <f>$F$256</f>
        <v>19478.039350000003</v>
      </c>
      <c r="G456" s="561">
        <f t="shared" si="209"/>
        <v>336468793.93428844</v>
      </c>
      <c r="H456">
        <v>1</v>
      </c>
      <c r="I456">
        <f t="shared" si="210"/>
        <v>17274.263999999999</v>
      </c>
      <c r="N456" s="589" t="s">
        <v>2172</v>
      </c>
      <c r="O456" s="584" t="s">
        <v>2243</v>
      </c>
      <c r="P456" s="571" t="str">
        <f>$D$256</f>
        <v>kg</v>
      </c>
      <c r="Q456" s="568">
        <v>17274.263999999999</v>
      </c>
      <c r="R456" s="567">
        <f>$F$256</f>
        <v>19478.039350000003</v>
      </c>
      <c r="S456" s="561">
        <f t="shared" si="211"/>
        <v>336468793.93428844</v>
      </c>
      <c r="T456">
        <v>1</v>
      </c>
      <c r="U456">
        <f t="shared" si="212"/>
        <v>17274.263999999999</v>
      </c>
      <c r="V456" s="589" t="s">
        <v>2172</v>
      </c>
      <c r="W456" s="584" t="s">
        <v>2243</v>
      </c>
      <c r="X456" s="571" t="str">
        <f>$D$256</f>
        <v>kg</v>
      </c>
      <c r="Y456" s="568">
        <v>17274.263999999999</v>
      </c>
      <c r="Z456" s="567">
        <f>$F$256</f>
        <v>19478.039350000003</v>
      </c>
      <c r="AA456" s="561">
        <f t="shared" si="213"/>
        <v>336468793.93428844</v>
      </c>
      <c r="AB456">
        <v>1</v>
      </c>
      <c r="AC456">
        <f t="shared" si="214"/>
        <v>17274.263999999999</v>
      </c>
      <c r="AD456" s="589" t="s">
        <v>2172</v>
      </c>
      <c r="AE456" s="584" t="s">
        <v>2243</v>
      </c>
      <c r="AF456" s="571" t="str">
        <f>$D$256</f>
        <v>kg</v>
      </c>
      <c r="AG456" s="568">
        <v>17274.263999999999</v>
      </c>
      <c r="AH456" s="567">
        <f>$F$256</f>
        <v>19478.039350000003</v>
      </c>
      <c r="AI456" s="561">
        <f t="shared" si="215"/>
        <v>336468793.93428844</v>
      </c>
      <c r="AJ456">
        <v>1</v>
      </c>
      <c r="AK456">
        <f t="shared" si="216"/>
        <v>17274.263999999999</v>
      </c>
    </row>
    <row r="457" spans="2:37" ht="15" customHeight="1">
      <c r="B457" s="589" t="s">
        <v>2268</v>
      </c>
      <c r="C457" s="584" t="s">
        <v>2244</v>
      </c>
      <c r="D457" s="571" t="str">
        <f>$D$257</f>
        <v>m²</v>
      </c>
      <c r="E457" s="568">
        <v>45.6</v>
      </c>
      <c r="F457" s="567">
        <f>$F$257</f>
        <v>145812.67000000001</v>
      </c>
      <c r="G457" s="561">
        <f t="shared" si="209"/>
        <v>6649057.7520000003</v>
      </c>
      <c r="H457">
        <v>40</v>
      </c>
      <c r="I457">
        <f t="shared" si="210"/>
        <v>1824</v>
      </c>
      <c r="N457" s="589" t="s">
        <v>2268</v>
      </c>
      <c r="O457" s="584" t="s">
        <v>2244</v>
      </c>
      <c r="P457" s="571" t="str">
        <f>$D$257</f>
        <v>m²</v>
      </c>
      <c r="Q457" s="568">
        <v>45.6</v>
      </c>
      <c r="R457" s="567">
        <f>$F$257</f>
        <v>145812.67000000001</v>
      </c>
      <c r="S457" s="561">
        <f t="shared" si="211"/>
        <v>6649057.7520000003</v>
      </c>
      <c r="T457">
        <v>40</v>
      </c>
      <c r="U457">
        <f t="shared" si="212"/>
        <v>1824</v>
      </c>
      <c r="V457" s="589" t="s">
        <v>2268</v>
      </c>
      <c r="W457" s="584" t="s">
        <v>2244</v>
      </c>
      <c r="X457" s="571" t="str">
        <f>$D$257</f>
        <v>m²</v>
      </c>
      <c r="Y457" s="568">
        <v>45.6</v>
      </c>
      <c r="Z457" s="567">
        <f>$F$257</f>
        <v>145812.67000000001</v>
      </c>
      <c r="AA457" s="561">
        <f t="shared" si="213"/>
        <v>6649057.7520000003</v>
      </c>
      <c r="AB457">
        <v>40</v>
      </c>
      <c r="AC457">
        <f t="shared" si="214"/>
        <v>1824</v>
      </c>
      <c r="AD457" s="589" t="s">
        <v>2268</v>
      </c>
      <c r="AE457" s="584" t="s">
        <v>2244</v>
      </c>
      <c r="AF457" s="571" t="str">
        <f>$D$257</f>
        <v>m²</v>
      </c>
      <c r="AG457" s="568">
        <v>45.6</v>
      </c>
      <c r="AH457" s="567">
        <f>$F$257</f>
        <v>145812.67000000001</v>
      </c>
      <c r="AI457" s="561">
        <f t="shared" si="215"/>
        <v>6649057.7520000003</v>
      </c>
      <c r="AJ457">
        <v>40</v>
      </c>
      <c r="AK457">
        <f t="shared" si="216"/>
        <v>1824</v>
      </c>
    </row>
    <row r="458" spans="2:37" ht="15" customHeight="1">
      <c r="B458" s="589" t="s">
        <v>2176</v>
      </c>
      <c r="C458" s="565" t="s">
        <v>2246</v>
      </c>
      <c r="D458" s="571" t="str">
        <f>$D$258</f>
        <v>bh</v>
      </c>
      <c r="E458" s="568">
        <v>4</v>
      </c>
      <c r="F458" s="567">
        <f>$F$258</f>
        <v>100000</v>
      </c>
      <c r="G458" s="561">
        <f t="shared" si="209"/>
        <v>400000</v>
      </c>
      <c r="H458">
        <v>2.5</v>
      </c>
      <c r="I458">
        <f t="shared" si="210"/>
        <v>10</v>
      </c>
      <c r="N458" s="589" t="s">
        <v>2176</v>
      </c>
      <c r="O458" s="565" t="s">
        <v>2246</v>
      </c>
      <c r="P458" s="571" t="str">
        <f>$D$258</f>
        <v>bh</v>
      </c>
      <c r="Q458" s="568">
        <v>4</v>
      </c>
      <c r="R458" s="567">
        <f>$F$258</f>
        <v>100000</v>
      </c>
      <c r="S458" s="561">
        <f t="shared" si="211"/>
        <v>400000</v>
      </c>
      <c r="T458">
        <v>2.5</v>
      </c>
      <c r="U458">
        <f t="shared" si="212"/>
        <v>10</v>
      </c>
      <c r="V458" s="589" t="s">
        <v>2176</v>
      </c>
      <c r="W458" s="565" t="s">
        <v>2246</v>
      </c>
      <c r="X458" s="571" t="str">
        <f>$D$258</f>
        <v>bh</v>
      </c>
      <c r="Y458" s="568">
        <v>4</v>
      </c>
      <c r="Z458" s="567">
        <f>$F$258</f>
        <v>100000</v>
      </c>
      <c r="AA458" s="561">
        <f t="shared" si="213"/>
        <v>400000</v>
      </c>
      <c r="AB458">
        <v>2.5</v>
      </c>
      <c r="AC458">
        <f t="shared" si="214"/>
        <v>10</v>
      </c>
      <c r="AD458" s="589" t="s">
        <v>2176</v>
      </c>
      <c r="AE458" s="565" t="s">
        <v>2246</v>
      </c>
      <c r="AF458" s="571" t="str">
        <f>$D$258</f>
        <v>bh</v>
      </c>
      <c r="AG458" s="568">
        <v>4</v>
      </c>
      <c r="AH458" s="567">
        <f>$F$258</f>
        <v>100000</v>
      </c>
      <c r="AI458" s="561">
        <f t="shared" si="215"/>
        <v>400000</v>
      </c>
      <c r="AJ458">
        <v>2.5</v>
      </c>
      <c r="AK458">
        <f t="shared" si="216"/>
        <v>10</v>
      </c>
    </row>
    <row r="459" spans="2:37" ht="15" customHeight="1">
      <c r="B459" s="589"/>
      <c r="C459" s="584"/>
      <c r="D459" s="571"/>
      <c r="E459" s="566"/>
      <c r="F459" s="567"/>
      <c r="G459" s="561"/>
      <c r="I459">
        <f>SUM(I452:I457)</f>
        <v>366213.34971428569</v>
      </c>
      <c r="N459" s="589"/>
      <c r="O459" s="584"/>
      <c r="P459" s="571"/>
      <c r="Q459" s="566"/>
      <c r="R459" s="567"/>
      <c r="S459" s="561"/>
      <c r="U459">
        <f>SUM(U452:U457)</f>
        <v>366213.34971428569</v>
      </c>
      <c r="V459" s="589"/>
      <c r="W459" s="584"/>
      <c r="X459" s="571"/>
      <c r="Y459" s="566"/>
      <c r="Z459" s="567"/>
      <c r="AA459" s="561"/>
      <c r="AC459">
        <f>SUM(AC452:AC457)</f>
        <v>366213.34971428569</v>
      </c>
      <c r="AD459" s="589"/>
      <c r="AE459" s="584"/>
      <c r="AF459" s="571"/>
      <c r="AG459" s="566"/>
      <c r="AH459" s="567"/>
      <c r="AI459" s="561"/>
      <c r="AK459">
        <f>SUM(AK452:AK457)</f>
        <v>366213.34971428569</v>
      </c>
    </row>
    <row r="460" spans="2:37" ht="15" customHeight="1">
      <c r="B460" s="590">
        <v>3</v>
      </c>
      <c r="C460" s="583" t="s">
        <v>2086</v>
      </c>
      <c r="D460" s="571"/>
      <c r="E460" s="566"/>
      <c r="F460" s="567"/>
      <c r="G460" s="561"/>
      <c r="N460" s="590">
        <v>3</v>
      </c>
      <c r="O460" s="583" t="s">
        <v>2086</v>
      </c>
      <c r="P460" s="571"/>
      <c r="Q460" s="566"/>
      <c r="R460" s="567"/>
      <c r="S460" s="561"/>
      <c r="V460" s="590">
        <v>3</v>
      </c>
      <c r="W460" s="583" t="s">
        <v>2086</v>
      </c>
      <c r="X460" s="571"/>
      <c r="Y460" s="566"/>
      <c r="Z460" s="567"/>
      <c r="AA460" s="561"/>
      <c r="AD460" s="590">
        <v>3</v>
      </c>
      <c r="AE460" s="583" t="s">
        <v>2086</v>
      </c>
      <c r="AF460" s="571"/>
      <c r="AG460" s="566"/>
      <c r="AH460" s="567"/>
      <c r="AI460" s="561"/>
    </row>
    <row r="461" spans="2:37" ht="15" customHeight="1">
      <c r="B461" s="589" t="s">
        <v>721</v>
      </c>
      <c r="C461" s="584" t="s">
        <v>2247</v>
      </c>
      <c r="D461" s="571" t="str">
        <f>$D$261</f>
        <v>bh</v>
      </c>
      <c r="E461" s="568">
        <v>4</v>
      </c>
      <c r="F461" s="567">
        <f>$F$261</f>
        <v>181849.04</v>
      </c>
      <c r="G461" s="561">
        <f t="shared" ref="G461:G466" si="217">E461*F461</f>
        <v>727396.16</v>
      </c>
      <c r="N461" s="589" t="s">
        <v>721</v>
      </c>
      <c r="O461" s="584" t="s">
        <v>2247</v>
      </c>
      <c r="P461" s="571" t="str">
        <f>$D$261</f>
        <v>bh</v>
      </c>
      <c r="Q461" s="568">
        <v>4</v>
      </c>
      <c r="R461" s="567">
        <f>$F$261</f>
        <v>181849.04</v>
      </c>
      <c r="S461" s="561">
        <f t="shared" ref="S461:S466" si="218">Q461*R461</f>
        <v>727396.16</v>
      </c>
      <c r="V461" s="589" t="s">
        <v>721</v>
      </c>
      <c r="W461" s="584" t="s">
        <v>2247</v>
      </c>
      <c r="X461" s="571" t="str">
        <f>$D$261</f>
        <v>bh</v>
      </c>
      <c r="Y461" s="568">
        <v>4</v>
      </c>
      <c r="Z461" s="567">
        <f>$F$261</f>
        <v>181849.04</v>
      </c>
      <c r="AA461" s="561">
        <f t="shared" ref="AA461:AA466" si="219">Y461*Z461</f>
        <v>727396.16</v>
      </c>
      <c r="AD461" s="589" t="s">
        <v>721</v>
      </c>
      <c r="AE461" s="584" t="s">
        <v>2247</v>
      </c>
      <c r="AF461" s="571" t="str">
        <f>$D$261</f>
        <v>bh</v>
      </c>
      <c r="AG461" s="568">
        <v>4</v>
      </c>
      <c r="AH461" s="567">
        <f>$F$261</f>
        <v>181849.04</v>
      </c>
      <c r="AI461" s="561">
        <f t="shared" ref="AI461:AI466" si="220">AG461*AH461</f>
        <v>727396.16</v>
      </c>
    </row>
    <row r="462" spans="2:37" ht="15" customHeight="1">
      <c r="B462" s="589" t="s">
        <v>2166</v>
      </c>
      <c r="C462" s="584" t="s">
        <v>2085</v>
      </c>
      <c r="D462" s="571" t="str">
        <f>$D$262</f>
        <v>kg</v>
      </c>
      <c r="E462" s="568">
        <f>I459</f>
        <v>366213.34971428569</v>
      </c>
      <c r="F462" s="567">
        <f>$F$262</f>
        <v>462.7700000000001</v>
      </c>
      <c r="G462" s="561">
        <f t="shared" si="217"/>
        <v>169472551.84728003</v>
      </c>
      <c r="N462" s="589" t="s">
        <v>2166</v>
      </c>
      <c r="O462" s="584" t="s">
        <v>2085</v>
      </c>
      <c r="P462" s="571" t="str">
        <f>$D$262</f>
        <v>kg</v>
      </c>
      <c r="Q462" s="568">
        <f>U459</f>
        <v>366213.34971428569</v>
      </c>
      <c r="R462" s="567">
        <f>$F$262</f>
        <v>462.7700000000001</v>
      </c>
      <c r="S462" s="561">
        <f t="shared" si="218"/>
        <v>169472551.84728003</v>
      </c>
      <c r="V462" s="589" t="s">
        <v>2166</v>
      </c>
      <c r="W462" s="584" t="s">
        <v>2085</v>
      </c>
      <c r="X462" s="571" t="str">
        <f>$D$262</f>
        <v>kg</v>
      </c>
      <c r="Y462" s="568">
        <f>AC459</f>
        <v>366213.34971428569</v>
      </c>
      <c r="Z462" s="567">
        <f>$F$262</f>
        <v>462.7700000000001</v>
      </c>
      <c r="AA462" s="561">
        <f t="shared" si="219"/>
        <v>169472551.84728003</v>
      </c>
      <c r="AD462" s="589" t="s">
        <v>2166</v>
      </c>
      <c r="AE462" s="584" t="s">
        <v>2085</v>
      </c>
      <c r="AF462" s="571" t="str">
        <f>$D$262</f>
        <v>kg</v>
      </c>
      <c r="AG462" s="568">
        <f>AK459</f>
        <v>366213.34971428569</v>
      </c>
      <c r="AH462" s="567">
        <f>$F$262</f>
        <v>462.7700000000001</v>
      </c>
      <c r="AI462" s="561">
        <f t="shared" si="220"/>
        <v>169472551.84728003</v>
      </c>
    </row>
    <row r="463" spans="2:37" ht="15" customHeight="1">
      <c r="B463" s="589" t="s">
        <v>2168</v>
      </c>
      <c r="C463" s="584" t="s">
        <v>2249</v>
      </c>
      <c r="D463" s="571" t="str">
        <f>$D$263</f>
        <v>bh</v>
      </c>
      <c r="E463" s="568">
        <v>4</v>
      </c>
      <c r="F463" s="567">
        <f>$F$263</f>
        <v>387825</v>
      </c>
      <c r="G463" s="561">
        <f t="shared" si="217"/>
        <v>1551300</v>
      </c>
      <c r="N463" s="589" t="s">
        <v>2168</v>
      </c>
      <c r="O463" s="584" t="s">
        <v>2249</v>
      </c>
      <c r="P463" s="571" t="str">
        <f>$D$263</f>
        <v>bh</v>
      </c>
      <c r="Q463" s="568">
        <v>4</v>
      </c>
      <c r="R463" s="567">
        <f>$F$263</f>
        <v>387825</v>
      </c>
      <c r="S463" s="561">
        <f t="shared" si="218"/>
        <v>1551300</v>
      </c>
      <c r="V463" s="589" t="s">
        <v>2168</v>
      </c>
      <c r="W463" s="584" t="s">
        <v>2249</v>
      </c>
      <c r="X463" s="571" t="str">
        <f>$D$263</f>
        <v>bh</v>
      </c>
      <c r="Y463" s="568">
        <v>4</v>
      </c>
      <c r="Z463" s="567">
        <f>$F$263</f>
        <v>387825</v>
      </c>
      <c r="AA463" s="561">
        <f t="shared" si="219"/>
        <v>1551300</v>
      </c>
      <c r="AD463" s="589" t="s">
        <v>2168</v>
      </c>
      <c r="AE463" s="584" t="s">
        <v>2249</v>
      </c>
      <c r="AF463" s="571" t="str">
        <f>$D$263</f>
        <v>bh</v>
      </c>
      <c r="AG463" s="568">
        <v>4</v>
      </c>
      <c r="AH463" s="567">
        <f>$F$263</f>
        <v>387825</v>
      </c>
      <c r="AI463" s="561">
        <f t="shared" si="220"/>
        <v>1551300</v>
      </c>
    </row>
    <row r="464" spans="2:37" ht="15" customHeight="1">
      <c r="B464" s="589" t="s">
        <v>2170</v>
      </c>
      <c r="C464" s="584" t="s">
        <v>2250</v>
      </c>
      <c r="D464" s="571" t="str">
        <f>$D$264</f>
        <v>kg</v>
      </c>
      <c r="E464" s="568">
        <f>$E$164</f>
        <v>150.93599999999998</v>
      </c>
      <c r="F464" s="567">
        <f>$F$264</f>
        <v>3758.6984549742947</v>
      </c>
      <c r="G464" s="561">
        <f t="shared" si="217"/>
        <v>567322.91</v>
      </c>
      <c r="N464" s="589" t="s">
        <v>2170</v>
      </c>
      <c r="O464" s="584" t="s">
        <v>2250</v>
      </c>
      <c r="P464" s="571" t="str">
        <f>$D$264</f>
        <v>kg</v>
      </c>
      <c r="Q464" s="568">
        <f>$Q$164</f>
        <v>239.61599999999999</v>
      </c>
      <c r="R464" s="567">
        <f>$F$264</f>
        <v>3758.6984549742947</v>
      </c>
      <c r="S464" s="561">
        <f t="shared" si="218"/>
        <v>900644.2889871205</v>
      </c>
      <c r="V464" s="589" t="s">
        <v>2170</v>
      </c>
      <c r="W464" s="584" t="s">
        <v>2269</v>
      </c>
      <c r="X464" s="571" t="str">
        <f>$D$264</f>
        <v>kg</v>
      </c>
      <c r="Y464" s="568">
        <f>$Y$164</f>
        <v>311.47199999999998</v>
      </c>
      <c r="Z464" s="567">
        <f>$F$264</f>
        <v>3758.6984549742947</v>
      </c>
      <c r="AA464" s="561">
        <f t="shared" si="219"/>
        <v>1170729.3251677535</v>
      </c>
      <c r="AD464" s="589" t="s">
        <v>2170</v>
      </c>
      <c r="AE464" s="584" t="s">
        <v>2269</v>
      </c>
      <c r="AF464" s="571" t="str">
        <f>$D$264</f>
        <v>kg</v>
      </c>
      <c r="AG464" s="568">
        <f>$AG$164</f>
        <v>403.17599999999999</v>
      </c>
      <c r="AH464" s="567">
        <f>$F$264</f>
        <v>3758.6984549742947</v>
      </c>
      <c r="AI464" s="561">
        <f t="shared" si="220"/>
        <v>1515417.0082827162</v>
      </c>
    </row>
    <row r="465" spans="2:37" ht="15" customHeight="1">
      <c r="B465" s="589" t="s">
        <v>2172</v>
      </c>
      <c r="C465" s="584" t="s">
        <v>2251</v>
      </c>
      <c r="D465" s="571" t="str">
        <f>$D$265</f>
        <v>set</v>
      </c>
      <c r="E465" s="568">
        <v>1</v>
      </c>
      <c r="F465" s="567">
        <f>$F$265</f>
        <v>855127</v>
      </c>
      <c r="G465" s="561">
        <f t="shared" si="217"/>
        <v>855127</v>
      </c>
      <c r="N465" s="589" t="s">
        <v>2172</v>
      </c>
      <c r="O465" s="584" t="s">
        <v>2251</v>
      </c>
      <c r="P465" s="571" t="str">
        <f>$D$265</f>
        <v>set</v>
      </c>
      <c r="Q465" s="568">
        <v>1</v>
      </c>
      <c r="R465" s="567">
        <f>$F$265</f>
        <v>855127</v>
      </c>
      <c r="S465" s="561">
        <f t="shared" si="218"/>
        <v>855127</v>
      </c>
      <c r="V465" s="589" t="s">
        <v>2172</v>
      </c>
      <c r="W465" s="584" t="s">
        <v>2251</v>
      </c>
      <c r="X465" s="571" t="str">
        <f>$D$265</f>
        <v>set</v>
      </c>
      <c r="Y465" s="568">
        <v>1</v>
      </c>
      <c r="Z465" s="567">
        <f>$F$265</f>
        <v>855127</v>
      </c>
      <c r="AA465" s="561">
        <f t="shared" si="219"/>
        <v>855127</v>
      </c>
      <c r="AD465" s="589" t="s">
        <v>2172</v>
      </c>
      <c r="AE465" s="584" t="s">
        <v>2251</v>
      </c>
      <c r="AF465" s="571" t="str">
        <f>$D$265</f>
        <v>set</v>
      </c>
      <c r="AG465" s="568">
        <v>1</v>
      </c>
      <c r="AH465" s="567">
        <f>$F$265</f>
        <v>855127</v>
      </c>
      <c r="AI465" s="561">
        <f t="shared" si="220"/>
        <v>855127</v>
      </c>
    </row>
    <row r="466" spans="2:37" ht="15" customHeight="1">
      <c r="B466" s="589" t="s">
        <v>2174</v>
      </c>
      <c r="C466" s="584" t="s">
        <v>2252</v>
      </c>
      <c r="D466" s="571" t="str">
        <f>$D$266</f>
        <v>set</v>
      </c>
      <c r="E466" s="568">
        <v>1</v>
      </c>
      <c r="F466" s="567">
        <f>$F$266</f>
        <v>674025</v>
      </c>
      <c r="G466" s="561">
        <f t="shared" si="217"/>
        <v>674025</v>
      </c>
      <c r="N466" s="589" t="s">
        <v>2174</v>
      </c>
      <c r="O466" s="584" t="s">
        <v>2252</v>
      </c>
      <c r="P466" s="571" t="str">
        <f>$D$266</f>
        <v>set</v>
      </c>
      <c r="Q466" s="568">
        <v>1</v>
      </c>
      <c r="R466" s="567">
        <f>$F$266</f>
        <v>674025</v>
      </c>
      <c r="S466" s="561">
        <f t="shared" si="218"/>
        <v>674025</v>
      </c>
      <c r="V466" s="589" t="s">
        <v>2174</v>
      </c>
      <c r="W466" s="584" t="s">
        <v>2252</v>
      </c>
      <c r="X466" s="571" t="str">
        <f>$D$266</f>
        <v>set</v>
      </c>
      <c r="Y466" s="568">
        <v>1</v>
      </c>
      <c r="Z466" s="567">
        <f>$F$266</f>
        <v>674025</v>
      </c>
      <c r="AA466" s="561">
        <f t="shared" si="219"/>
        <v>674025</v>
      </c>
      <c r="AD466" s="589" t="s">
        <v>2174</v>
      </c>
      <c r="AE466" s="584" t="s">
        <v>2252</v>
      </c>
      <c r="AF466" s="571" t="str">
        <f>$D$266</f>
        <v>set</v>
      </c>
      <c r="AG466" s="568">
        <v>1</v>
      </c>
      <c r="AH466" s="567">
        <f>$F$266</f>
        <v>674025</v>
      </c>
      <c r="AI466" s="561">
        <f t="shared" si="220"/>
        <v>674025</v>
      </c>
    </row>
    <row r="467" spans="2:37" ht="15" customHeight="1" thickBot="1">
      <c r="B467" s="582"/>
      <c r="C467" s="1197" t="s">
        <v>2307</v>
      </c>
      <c r="D467" s="1198"/>
      <c r="E467" s="1198"/>
      <c r="F467" s="1199"/>
      <c r="G467" s="560">
        <f>SUM(G446:G466)</f>
        <v>712457850.38063049</v>
      </c>
      <c r="N467" s="582"/>
      <c r="O467" s="1197" t="s">
        <v>2307</v>
      </c>
      <c r="P467" s="1198"/>
      <c r="Q467" s="1198"/>
      <c r="R467" s="1199"/>
      <c r="S467" s="560">
        <f>SUM(S446:S466)</f>
        <v>712791171.75961769</v>
      </c>
      <c r="V467" s="582"/>
      <c r="W467" s="1197" t="s">
        <v>2307</v>
      </c>
      <c r="X467" s="1198"/>
      <c r="Y467" s="1198"/>
      <c r="Z467" s="1199"/>
      <c r="AA467" s="560">
        <f>SUM(AA446:AA466)</f>
        <v>713061256.7957983</v>
      </c>
      <c r="AD467" s="582"/>
      <c r="AE467" s="1197" t="s">
        <v>2307</v>
      </c>
      <c r="AF467" s="1198"/>
      <c r="AG467" s="1198"/>
      <c r="AH467" s="1199"/>
      <c r="AI467" s="560">
        <f>SUM(AI446:AI466)</f>
        <v>713405944.47891319</v>
      </c>
    </row>
    <row r="468" spans="2:37" ht="15" customHeight="1" thickBot="1">
      <c r="R468" s="634"/>
      <c r="Z468" s="634"/>
      <c r="AA468" s="634"/>
      <c r="AH468" s="634"/>
      <c r="AI468" s="634"/>
    </row>
    <row r="469" spans="2:37" ht="15" customHeight="1" thickBot="1">
      <c r="B469" s="581" t="s">
        <v>2229</v>
      </c>
      <c r="C469" s="580"/>
      <c r="D469" s="579">
        <v>6</v>
      </c>
      <c r="E469" s="578"/>
      <c r="F469" s="577"/>
      <c r="G469" s="564"/>
      <c r="N469" s="581" t="s">
        <v>2230</v>
      </c>
      <c r="O469" s="580"/>
      <c r="P469" s="579">
        <v>6</v>
      </c>
      <c r="Q469" s="578"/>
      <c r="R469" s="577"/>
      <c r="S469" s="564"/>
      <c r="V469" s="581" t="s">
        <v>2231</v>
      </c>
      <c r="W469" s="580"/>
      <c r="X469" s="579"/>
      <c r="Y469" s="578"/>
      <c r="Z469" s="577"/>
      <c r="AA469" s="564"/>
      <c r="AD469" s="581" t="s">
        <v>2254</v>
      </c>
      <c r="AE469" s="580"/>
      <c r="AF469" s="579"/>
      <c r="AG469" s="578"/>
      <c r="AH469" s="577"/>
      <c r="AI469" s="564"/>
    </row>
    <row r="470" spans="2:37" ht="15" customHeight="1">
      <c r="B470" s="576"/>
      <c r="C470" s="575" t="s">
        <v>2308</v>
      </c>
      <c r="D470" s="574"/>
      <c r="E470" s="573"/>
      <c r="F470" s="572"/>
      <c r="G470" s="563"/>
      <c r="N470" s="576"/>
      <c r="O470" s="575" t="s">
        <v>2308</v>
      </c>
      <c r="P470" s="574"/>
      <c r="Q470" s="573"/>
      <c r="R470" s="572"/>
      <c r="S470" s="563"/>
      <c r="V470" s="576"/>
      <c r="W470" s="575" t="s">
        <v>2309</v>
      </c>
      <c r="X470" s="574"/>
      <c r="Y470" s="573"/>
      <c r="Z470" s="572"/>
      <c r="AA470" s="563"/>
      <c r="AD470" s="576"/>
      <c r="AE470" s="575" t="s">
        <v>2309</v>
      </c>
      <c r="AF470" s="574"/>
      <c r="AG470" s="573"/>
      <c r="AH470" s="572"/>
      <c r="AI470" s="563"/>
    </row>
    <row r="471" spans="2:37" ht="15" customHeight="1">
      <c r="B471" s="588">
        <v>1</v>
      </c>
      <c r="C471" s="587" t="s">
        <v>2234</v>
      </c>
      <c r="D471" s="571"/>
      <c r="E471" s="570"/>
      <c r="F471" s="569"/>
      <c r="G471" s="562"/>
      <c r="N471" s="588">
        <v>1</v>
      </c>
      <c r="O471" s="587" t="s">
        <v>2234</v>
      </c>
      <c r="P471" s="571"/>
      <c r="Q471" s="570"/>
      <c r="R471" s="569"/>
      <c r="S471" s="562"/>
      <c r="V471" s="588">
        <v>1</v>
      </c>
      <c r="W471" s="587" t="s">
        <v>2234</v>
      </c>
      <c r="X471" s="571"/>
      <c r="Y471" s="570"/>
      <c r="Z471" s="569"/>
      <c r="AA471" s="562"/>
      <c r="AD471" s="588">
        <v>1</v>
      </c>
      <c r="AE471" s="587" t="s">
        <v>2234</v>
      </c>
      <c r="AF471" s="571"/>
      <c r="AG471" s="570"/>
      <c r="AH471" s="569"/>
      <c r="AI471" s="562"/>
    </row>
    <row r="472" spans="2:37" ht="15" customHeight="1">
      <c r="B472" s="589" t="s">
        <v>721</v>
      </c>
      <c r="C472" s="586" t="s">
        <v>2235</v>
      </c>
      <c r="D472" s="571" t="str">
        <f>$D$247</f>
        <v>m³</v>
      </c>
      <c r="E472" s="568">
        <v>72.5</v>
      </c>
      <c r="F472" s="567">
        <f>$F$247</f>
        <v>102390.75000000001</v>
      </c>
      <c r="G472" s="561">
        <f>E472*F472</f>
        <v>7423329.3750000009</v>
      </c>
      <c r="N472" s="589" t="s">
        <v>721</v>
      </c>
      <c r="O472" s="586" t="s">
        <v>2235</v>
      </c>
      <c r="P472" s="571" t="str">
        <f>$D$247</f>
        <v>m³</v>
      </c>
      <c r="Q472" s="568">
        <v>72.5</v>
      </c>
      <c r="R472" s="567">
        <f>$F$247</f>
        <v>102390.75000000001</v>
      </c>
      <c r="S472" s="561">
        <f>Q472*R472</f>
        <v>7423329.3750000009</v>
      </c>
      <c r="V472" s="589" t="s">
        <v>721</v>
      </c>
      <c r="W472" s="586" t="s">
        <v>2235</v>
      </c>
      <c r="X472" s="571" t="str">
        <f>$D$247</f>
        <v>m³</v>
      </c>
      <c r="Y472" s="568">
        <v>72.5</v>
      </c>
      <c r="Z472" s="567">
        <f>$F$247</f>
        <v>102390.75000000001</v>
      </c>
      <c r="AA472" s="561">
        <f>Y472*Z472</f>
        <v>7423329.3750000009</v>
      </c>
      <c r="AD472" s="589" t="s">
        <v>721</v>
      </c>
      <c r="AE472" s="586" t="s">
        <v>2235</v>
      </c>
      <c r="AF472" s="571" t="str">
        <f>$D$247</f>
        <v>m³</v>
      </c>
      <c r="AG472" s="568">
        <v>72.5</v>
      </c>
      <c r="AH472" s="567">
        <f>$F$247</f>
        <v>102390.75000000001</v>
      </c>
      <c r="AI472" s="561">
        <f>AG472*AH472</f>
        <v>7423329.3750000009</v>
      </c>
    </row>
    <row r="473" spans="2:37" ht="15" customHeight="1">
      <c r="B473" s="589" t="s">
        <v>2166</v>
      </c>
      <c r="C473" s="586" t="s">
        <v>2237</v>
      </c>
      <c r="D473" s="571" t="str">
        <f>$D$248</f>
        <v>m³</v>
      </c>
      <c r="E473" s="568">
        <v>30.560000000000002</v>
      </c>
      <c r="F473" s="567">
        <f>$F$248</f>
        <v>62462.950000000012</v>
      </c>
      <c r="G473" s="561">
        <f>E473*F473</f>
        <v>1908867.7520000006</v>
      </c>
      <c r="N473" s="589" t="s">
        <v>2166</v>
      </c>
      <c r="O473" s="586" t="s">
        <v>2237</v>
      </c>
      <c r="P473" s="571" t="str">
        <f>$D$248</f>
        <v>m³</v>
      </c>
      <c r="Q473" s="568">
        <v>30.560000000000002</v>
      </c>
      <c r="R473" s="567">
        <f>$F$248</f>
        <v>62462.950000000012</v>
      </c>
      <c r="S473" s="561">
        <f>Q473*R473</f>
        <v>1908867.7520000006</v>
      </c>
      <c r="V473" s="589" t="s">
        <v>2166</v>
      </c>
      <c r="W473" s="586" t="s">
        <v>2237</v>
      </c>
      <c r="X473" s="571" t="str">
        <f>$D$248</f>
        <v>m³</v>
      </c>
      <c r="Y473" s="568">
        <v>30.560000000000002</v>
      </c>
      <c r="Z473" s="567">
        <f>$F$248</f>
        <v>62462.950000000012</v>
      </c>
      <c r="AA473" s="561">
        <f>Y473*Z473</f>
        <v>1908867.7520000006</v>
      </c>
      <c r="AD473" s="589" t="s">
        <v>2166</v>
      </c>
      <c r="AE473" s="586" t="s">
        <v>2237</v>
      </c>
      <c r="AF473" s="571" t="str">
        <f>$D$248</f>
        <v>m³</v>
      </c>
      <c r="AG473" s="568">
        <v>30.560000000000002</v>
      </c>
      <c r="AH473" s="567">
        <f>$F$248</f>
        <v>62462.950000000012</v>
      </c>
      <c r="AI473" s="561">
        <f>AG473*AH473</f>
        <v>1908867.7520000006</v>
      </c>
    </row>
    <row r="474" spans="2:37" ht="15" customHeight="1">
      <c r="B474" s="589" t="s">
        <v>2168</v>
      </c>
      <c r="C474" s="586" t="s">
        <v>2265</v>
      </c>
      <c r="D474" s="571" t="str">
        <f>$D$249</f>
        <v>m'</v>
      </c>
      <c r="E474" s="568">
        <v>456</v>
      </c>
      <c r="F474" s="567">
        <f>$F$249</f>
        <v>52230.612500000003</v>
      </c>
      <c r="G474" s="561">
        <f>E474*F474</f>
        <v>23817159.300000001</v>
      </c>
      <c r="N474" s="589" t="s">
        <v>2168</v>
      </c>
      <c r="O474" s="586" t="s">
        <v>2265</v>
      </c>
      <c r="P474" s="571" t="str">
        <f>$D$249</f>
        <v>m'</v>
      </c>
      <c r="Q474" s="568">
        <v>456</v>
      </c>
      <c r="R474" s="567">
        <f>$F$249</f>
        <v>52230.612500000003</v>
      </c>
      <c r="S474" s="561">
        <f>Q474*R474</f>
        <v>23817159.300000001</v>
      </c>
      <c r="V474" s="589" t="s">
        <v>2168</v>
      </c>
      <c r="W474" s="586" t="s">
        <v>2265</v>
      </c>
      <c r="X474" s="571" t="str">
        <f>$D$249</f>
        <v>m'</v>
      </c>
      <c r="Y474" s="568">
        <v>456</v>
      </c>
      <c r="Z474" s="567">
        <f>$F$249</f>
        <v>52230.612500000003</v>
      </c>
      <c r="AA474" s="561">
        <f>Y474*Z474</f>
        <v>23817159.300000001</v>
      </c>
      <c r="AD474" s="589" t="s">
        <v>2168</v>
      </c>
      <c r="AE474" s="586" t="s">
        <v>2265</v>
      </c>
      <c r="AF474" s="571" t="str">
        <f>$D$249</f>
        <v>m'</v>
      </c>
      <c r="AG474" s="568">
        <v>456</v>
      </c>
      <c r="AH474" s="567">
        <f>$F$249</f>
        <v>52230.612500000003</v>
      </c>
      <c r="AI474" s="561">
        <f>AG474*AH474</f>
        <v>23817159.300000001</v>
      </c>
    </row>
    <row r="475" spans="2:37" ht="15" customHeight="1">
      <c r="B475" s="585"/>
      <c r="C475" s="586"/>
      <c r="D475" s="571"/>
      <c r="E475" s="566"/>
      <c r="F475" s="567"/>
      <c r="G475" s="561"/>
      <c r="N475" s="585"/>
      <c r="O475" s="586"/>
      <c r="P475" s="571"/>
      <c r="Q475" s="566"/>
      <c r="R475" s="567"/>
      <c r="S475" s="561"/>
      <c r="V475" s="585"/>
      <c r="W475" s="586"/>
      <c r="X475" s="571"/>
      <c r="Y475" s="566"/>
      <c r="Z475" s="567"/>
      <c r="AA475" s="561"/>
      <c r="AD475" s="585"/>
      <c r="AE475" s="586"/>
      <c r="AF475" s="571"/>
      <c r="AG475" s="566"/>
      <c r="AH475" s="567"/>
      <c r="AI475" s="561"/>
    </row>
    <row r="476" spans="2:37" ht="15" customHeight="1">
      <c r="B476" s="590">
        <v>2</v>
      </c>
      <c r="C476" s="587" t="s">
        <v>2238</v>
      </c>
      <c r="D476" s="571"/>
      <c r="E476" s="566"/>
      <c r="F476" s="567"/>
      <c r="G476" s="561"/>
      <c r="H476" t="s">
        <v>2239</v>
      </c>
      <c r="N476" s="590">
        <v>2</v>
      </c>
      <c r="O476" s="587" t="s">
        <v>2238</v>
      </c>
      <c r="P476" s="571"/>
      <c r="Q476" s="566"/>
      <c r="R476" s="567"/>
      <c r="S476" s="561"/>
      <c r="T476" t="s">
        <v>2239</v>
      </c>
      <c r="V476" s="590">
        <v>2</v>
      </c>
      <c r="W476" s="587" t="s">
        <v>2238</v>
      </c>
      <c r="X476" s="571"/>
      <c r="Y476" s="566"/>
      <c r="Z476" s="567"/>
      <c r="AA476" s="561"/>
      <c r="AB476" t="s">
        <v>2239</v>
      </c>
      <c r="AD476" s="590">
        <v>2</v>
      </c>
      <c r="AE476" s="587" t="s">
        <v>2238</v>
      </c>
      <c r="AF476" s="571"/>
      <c r="AG476" s="566"/>
      <c r="AH476" s="567"/>
      <c r="AI476" s="561"/>
      <c r="AJ476" t="s">
        <v>2239</v>
      </c>
    </row>
    <row r="477" spans="2:37" ht="15" customHeight="1">
      <c r="B477" s="589" t="s">
        <v>721</v>
      </c>
      <c r="C477" s="586" t="s">
        <v>2240</v>
      </c>
      <c r="D477" s="571" t="str">
        <f>$D$252</f>
        <v>m³</v>
      </c>
      <c r="E477" s="568">
        <v>5.4</v>
      </c>
      <c r="F477" s="567">
        <f>$F$252</f>
        <v>404738.95</v>
      </c>
      <c r="G477" s="561">
        <f t="shared" ref="G477:G483" si="221">E477*F477</f>
        <v>2185590.33</v>
      </c>
      <c r="H477">
        <v>1400</v>
      </c>
      <c r="I477">
        <f t="shared" ref="I477:I483" si="222">E477*H477</f>
        <v>7560.0000000000009</v>
      </c>
      <c r="N477" s="589" t="s">
        <v>721</v>
      </c>
      <c r="O477" s="586" t="s">
        <v>2240</v>
      </c>
      <c r="P477" s="571" t="str">
        <f>$D$252</f>
        <v>m³</v>
      </c>
      <c r="Q477" s="568">
        <v>5.4</v>
      </c>
      <c r="R477" s="567">
        <f>$F$252</f>
        <v>404738.95</v>
      </c>
      <c r="S477" s="561">
        <f t="shared" ref="S477:S483" si="223">Q477*R477</f>
        <v>2185590.33</v>
      </c>
      <c r="T477">
        <v>1400</v>
      </c>
      <c r="U477">
        <f t="shared" ref="U477:U483" si="224">Q477*T477</f>
        <v>7560.0000000000009</v>
      </c>
      <c r="V477" s="589" t="s">
        <v>721</v>
      </c>
      <c r="W477" s="586" t="s">
        <v>2240</v>
      </c>
      <c r="X477" s="571" t="str">
        <f>$D$252</f>
        <v>m³</v>
      </c>
      <c r="Y477" s="568">
        <v>5.4</v>
      </c>
      <c r="Z477" s="567">
        <f>$F$252</f>
        <v>404738.95</v>
      </c>
      <c r="AA477" s="561">
        <f t="shared" ref="AA477:AA483" si="225">Y477*Z477</f>
        <v>2185590.33</v>
      </c>
      <c r="AB477">
        <v>1400</v>
      </c>
      <c r="AC477">
        <f t="shared" ref="AC477:AC483" si="226">Y477*AB477</f>
        <v>7560.0000000000009</v>
      </c>
      <c r="AD477" s="589" t="s">
        <v>721</v>
      </c>
      <c r="AE477" s="586" t="s">
        <v>2240</v>
      </c>
      <c r="AF477" s="571" t="str">
        <f>$D$252</f>
        <v>m³</v>
      </c>
      <c r="AG477" s="568">
        <v>5.4</v>
      </c>
      <c r="AH477" s="567">
        <f>$F$252</f>
        <v>404738.95</v>
      </c>
      <c r="AI477" s="561">
        <f t="shared" ref="AI477:AI483" si="227">AG477*AH477</f>
        <v>2185590.33</v>
      </c>
      <c r="AJ477">
        <v>1400</v>
      </c>
      <c r="AK477">
        <f t="shared" ref="AK477:AK483" si="228">AG477*AJ477</f>
        <v>7560.0000000000009</v>
      </c>
    </row>
    <row r="478" spans="2:37" ht="15" customHeight="1">
      <c r="B478" s="589" t="s">
        <v>2166</v>
      </c>
      <c r="C478" s="584" t="s">
        <v>2241</v>
      </c>
      <c r="D478" s="571" t="str">
        <f>$D$253</f>
        <v>m³</v>
      </c>
      <c r="E478" s="568">
        <v>2.7</v>
      </c>
      <c r="F478" s="567">
        <f>$F$253</f>
        <v>710224.707936508</v>
      </c>
      <c r="G478" s="561">
        <f t="shared" si="221"/>
        <v>1917606.7114285717</v>
      </c>
      <c r="H478">
        <v>2200</v>
      </c>
      <c r="I478">
        <f t="shared" si="222"/>
        <v>5940</v>
      </c>
      <c r="N478" s="589" t="s">
        <v>2166</v>
      </c>
      <c r="O478" s="584" t="s">
        <v>2241</v>
      </c>
      <c r="P478" s="571" t="str">
        <f>$D$253</f>
        <v>m³</v>
      </c>
      <c r="Q478" s="568">
        <v>2.7</v>
      </c>
      <c r="R478" s="567">
        <f>$F$253</f>
        <v>710224.707936508</v>
      </c>
      <c r="S478" s="561">
        <f t="shared" si="223"/>
        <v>1917606.7114285717</v>
      </c>
      <c r="T478">
        <v>2200</v>
      </c>
      <c r="U478">
        <f t="shared" si="224"/>
        <v>5940</v>
      </c>
      <c r="V478" s="589" t="s">
        <v>2166</v>
      </c>
      <c r="W478" s="584" t="s">
        <v>2241</v>
      </c>
      <c r="X478" s="571" t="str">
        <f>$D$253</f>
        <v>m³</v>
      </c>
      <c r="Y478" s="568">
        <v>2.7</v>
      </c>
      <c r="Z478" s="567">
        <f>$F$253</f>
        <v>710224.707936508</v>
      </c>
      <c r="AA478" s="561">
        <f t="shared" si="225"/>
        <v>1917606.7114285717</v>
      </c>
      <c r="AB478">
        <v>2200</v>
      </c>
      <c r="AC478">
        <f t="shared" si="226"/>
        <v>5940</v>
      </c>
      <c r="AD478" s="589" t="s">
        <v>2166</v>
      </c>
      <c r="AE478" s="584" t="s">
        <v>2241</v>
      </c>
      <c r="AF478" s="571" t="str">
        <f>$D$253</f>
        <v>m³</v>
      </c>
      <c r="AG478" s="568">
        <v>2.7</v>
      </c>
      <c r="AH478" s="567">
        <f>$F$253</f>
        <v>710224.707936508</v>
      </c>
      <c r="AI478" s="561">
        <f t="shared" si="227"/>
        <v>1917606.7114285717</v>
      </c>
      <c r="AJ478">
        <v>2200</v>
      </c>
      <c r="AK478">
        <f t="shared" si="228"/>
        <v>5940</v>
      </c>
    </row>
    <row r="479" spans="2:37" ht="15" customHeight="1">
      <c r="B479" s="589" t="s">
        <v>2168</v>
      </c>
      <c r="C479" s="584" t="s">
        <v>2266</v>
      </c>
      <c r="D479" s="571" t="str">
        <f>$D$254</f>
        <v>m³</v>
      </c>
      <c r="E479" s="568">
        <v>33.839999999999996</v>
      </c>
      <c r="F479" s="567">
        <f>$F$254</f>
        <v>1115864.6138095236</v>
      </c>
      <c r="G479" s="561">
        <f t="shared" si="221"/>
        <v>37760858.531314276</v>
      </c>
      <c r="H479">
        <v>2400</v>
      </c>
      <c r="I479">
        <f t="shared" si="222"/>
        <v>81215.999999999985</v>
      </c>
      <c r="N479" s="589" t="s">
        <v>2168</v>
      </c>
      <c r="O479" s="584" t="s">
        <v>2266</v>
      </c>
      <c r="P479" s="571" t="str">
        <f>$D$254</f>
        <v>m³</v>
      </c>
      <c r="Q479" s="568">
        <v>33.839999999999996</v>
      </c>
      <c r="R479" s="567">
        <f>$F$254</f>
        <v>1115864.6138095236</v>
      </c>
      <c r="S479" s="561">
        <f t="shared" si="223"/>
        <v>37760858.531314276</v>
      </c>
      <c r="T479">
        <v>2400</v>
      </c>
      <c r="U479">
        <f t="shared" si="224"/>
        <v>81215.999999999985</v>
      </c>
      <c r="V479" s="589" t="s">
        <v>2168</v>
      </c>
      <c r="W479" s="584" t="str">
        <f>O479</f>
        <v>Beton K 225 (Pad &amp; Chimney)</v>
      </c>
      <c r="X479" s="571" t="str">
        <f>$D$254</f>
        <v>m³</v>
      </c>
      <c r="Y479" s="568">
        <v>33.839999999999996</v>
      </c>
      <c r="Z479" s="567">
        <f>$F$254</f>
        <v>1115864.6138095236</v>
      </c>
      <c r="AA479" s="561">
        <f t="shared" si="225"/>
        <v>37760858.531314276</v>
      </c>
      <c r="AB479">
        <v>2400</v>
      </c>
      <c r="AC479">
        <f t="shared" si="226"/>
        <v>81215.999999999985</v>
      </c>
      <c r="AD479" s="589" t="s">
        <v>2168</v>
      </c>
      <c r="AE479" s="584" t="str">
        <f>W479</f>
        <v>Beton K 225 (Pad &amp; Chimney)</v>
      </c>
      <c r="AF479" s="571" t="str">
        <f>$D$254</f>
        <v>m³</v>
      </c>
      <c r="AG479" s="568">
        <v>33.839999999999996</v>
      </c>
      <c r="AH479" s="567">
        <f>$F$254</f>
        <v>1115864.6138095236</v>
      </c>
      <c r="AI479" s="561">
        <f t="shared" si="227"/>
        <v>37760858.531314276</v>
      </c>
      <c r="AJ479">
        <v>2400</v>
      </c>
      <c r="AK479">
        <f t="shared" si="228"/>
        <v>81215.999999999985</v>
      </c>
    </row>
    <row r="480" spans="2:37" ht="15" customHeight="1">
      <c r="B480" s="589" t="s">
        <v>2170</v>
      </c>
      <c r="C480" s="584" t="s">
        <v>2267</v>
      </c>
      <c r="D480" s="571" t="str">
        <f>$D$255</f>
        <v>m³</v>
      </c>
      <c r="E480" s="568">
        <v>121.51542857142857</v>
      </c>
      <c r="F480" s="567">
        <f>$F$255</f>
        <v>1057576.2423809525</v>
      </c>
      <c r="G480" s="561">
        <f t="shared" si="221"/>
        <v>128511830.33988246</v>
      </c>
      <c r="H480">
        <v>2200</v>
      </c>
      <c r="I480">
        <f t="shared" si="222"/>
        <v>267333.94285714289</v>
      </c>
      <c r="N480" s="589" t="s">
        <v>2170</v>
      </c>
      <c r="O480" s="584" t="s">
        <v>2267</v>
      </c>
      <c r="P480" s="571" t="str">
        <f>$D$255</f>
        <v>m³</v>
      </c>
      <c r="Q480" s="568">
        <v>121.51542857142857</v>
      </c>
      <c r="R480" s="567">
        <f>$F$255</f>
        <v>1057576.2423809525</v>
      </c>
      <c r="S480" s="561">
        <f t="shared" si="223"/>
        <v>128511830.33988246</v>
      </c>
      <c r="T480">
        <v>2200</v>
      </c>
      <c r="U480">
        <f t="shared" si="224"/>
        <v>267333.94285714289</v>
      </c>
      <c r="V480" s="589" t="s">
        <v>2170</v>
      </c>
      <c r="W480" s="584" t="s">
        <v>2267</v>
      </c>
      <c r="X480" s="571" t="str">
        <f>$D$255</f>
        <v>m³</v>
      </c>
      <c r="Y480" s="568">
        <v>121.51542857142857</v>
      </c>
      <c r="Z480" s="567">
        <f>$F$255</f>
        <v>1057576.2423809525</v>
      </c>
      <c r="AA480" s="561">
        <f t="shared" si="225"/>
        <v>128511830.33988246</v>
      </c>
      <c r="AB480">
        <v>2200</v>
      </c>
      <c r="AC480">
        <f t="shared" si="226"/>
        <v>267333.94285714289</v>
      </c>
      <c r="AD480" s="589" t="s">
        <v>2170</v>
      </c>
      <c r="AE480" s="584" t="s">
        <v>2267</v>
      </c>
      <c r="AF480" s="571" t="str">
        <f>$D$255</f>
        <v>m³</v>
      </c>
      <c r="AG480" s="568">
        <v>121.51542857142857</v>
      </c>
      <c r="AH480" s="567">
        <f>$F$255</f>
        <v>1057576.2423809525</v>
      </c>
      <c r="AI480" s="561">
        <f t="shared" si="227"/>
        <v>128511830.33988246</v>
      </c>
      <c r="AJ480">
        <v>2200</v>
      </c>
      <c r="AK480">
        <f t="shared" si="228"/>
        <v>267333.94285714289</v>
      </c>
    </row>
    <row r="481" spans="2:37" ht="15" customHeight="1">
      <c r="B481" s="589" t="s">
        <v>2172</v>
      </c>
      <c r="C481" s="584" t="s">
        <v>2243</v>
      </c>
      <c r="D481" s="571" t="str">
        <f>$D$256</f>
        <v>kg</v>
      </c>
      <c r="E481" s="568">
        <v>18093.623999999996</v>
      </c>
      <c r="F481" s="567">
        <f>$F$256</f>
        <v>19478.039350000003</v>
      </c>
      <c r="G481" s="561">
        <f t="shared" si="221"/>
        <v>352428320.25610435</v>
      </c>
      <c r="H481">
        <v>1</v>
      </c>
      <c r="I481">
        <f t="shared" si="222"/>
        <v>18093.623999999996</v>
      </c>
      <c r="N481" s="589" t="s">
        <v>2172</v>
      </c>
      <c r="O481" s="584" t="s">
        <v>2243</v>
      </c>
      <c r="P481" s="571" t="str">
        <f>$D$256</f>
        <v>kg</v>
      </c>
      <c r="Q481" s="568">
        <v>18093.623999999996</v>
      </c>
      <c r="R481" s="567">
        <f>$F$256</f>
        <v>19478.039350000003</v>
      </c>
      <c r="S481" s="561">
        <f t="shared" si="223"/>
        <v>352428320.25610435</v>
      </c>
      <c r="T481">
        <v>1</v>
      </c>
      <c r="U481">
        <f t="shared" si="224"/>
        <v>18093.623999999996</v>
      </c>
      <c r="V481" s="589" t="s">
        <v>2172</v>
      </c>
      <c r="W481" s="584" t="s">
        <v>2243</v>
      </c>
      <c r="X481" s="571" t="str">
        <f>$D$256</f>
        <v>kg</v>
      </c>
      <c r="Y481" s="568">
        <v>18093.623999999996</v>
      </c>
      <c r="Z481" s="567">
        <f>$F$256</f>
        <v>19478.039350000003</v>
      </c>
      <c r="AA481" s="561">
        <f t="shared" si="225"/>
        <v>352428320.25610435</v>
      </c>
      <c r="AB481">
        <v>1</v>
      </c>
      <c r="AC481">
        <f t="shared" si="226"/>
        <v>18093.623999999996</v>
      </c>
      <c r="AD481" s="589" t="s">
        <v>2172</v>
      </c>
      <c r="AE481" s="584" t="s">
        <v>2243</v>
      </c>
      <c r="AF481" s="571" t="str">
        <f>$D$256</f>
        <v>kg</v>
      </c>
      <c r="AG481" s="568">
        <v>18093.623999999996</v>
      </c>
      <c r="AH481" s="567">
        <f>$F$256</f>
        <v>19478.039350000003</v>
      </c>
      <c r="AI481" s="561">
        <f t="shared" si="227"/>
        <v>352428320.25610435</v>
      </c>
      <c r="AJ481">
        <v>1</v>
      </c>
      <c r="AK481">
        <f t="shared" si="228"/>
        <v>18093.623999999996</v>
      </c>
    </row>
    <row r="482" spans="2:37" ht="15" customHeight="1">
      <c r="B482" s="589" t="s">
        <v>2268</v>
      </c>
      <c r="C482" s="584" t="s">
        <v>2244</v>
      </c>
      <c r="D482" s="571" t="str">
        <f>$D$257</f>
        <v>m²</v>
      </c>
      <c r="E482" s="568">
        <v>45.6</v>
      </c>
      <c r="F482" s="567">
        <f>$F$257</f>
        <v>145812.67000000001</v>
      </c>
      <c r="G482" s="561">
        <f t="shared" si="221"/>
        <v>6649057.7520000003</v>
      </c>
      <c r="H482">
        <v>40</v>
      </c>
      <c r="I482">
        <f t="shared" si="222"/>
        <v>1824</v>
      </c>
      <c r="N482" s="589" t="s">
        <v>2268</v>
      </c>
      <c r="O482" s="584" t="s">
        <v>2244</v>
      </c>
      <c r="P482" s="571" t="str">
        <f>$D$257</f>
        <v>m²</v>
      </c>
      <c r="Q482" s="568">
        <v>45.6</v>
      </c>
      <c r="R482" s="567">
        <f>$F$257</f>
        <v>145812.67000000001</v>
      </c>
      <c r="S482" s="561">
        <f t="shared" si="223"/>
        <v>6649057.7520000003</v>
      </c>
      <c r="T482">
        <v>40</v>
      </c>
      <c r="U482">
        <f t="shared" si="224"/>
        <v>1824</v>
      </c>
      <c r="V482" s="589" t="s">
        <v>2268</v>
      </c>
      <c r="W482" s="584" t="s">
        <v>2244</v>
      </c>
      <c r="X482" s="571" t="str">
        <f>$D$257</f>
        <v>m²</v>
      </c>
      <c r="Y482" s="568">
        <v>45.6</v>
      </c>
      <c r="Z482" s="567">
        <f>$F$257</f>
        <v>145812.67000000001</v>
      </c>
      <c r="AA482" s="561">
        <f t="shared" si="225"/>
        <v>6649057.7520000003</v>
      </c>
      <c r="AB482">
        <v>40</v>
      </c>
      <c r="AC482">
        <f t="shared" si="226"/>
        <v>1824</v>
      </c>
      <c r="AD482" s="589" t="s">
        <v>2268</v>
      </c>
      <c r="AE482" s="584" t="s">
        <v>2244</v>
      </c>
      <c r="AF482" s="571" t="str">
        <f>$D$257</f>
        <v>m²</v>
      </c>
      <c r="AG482" s="568">
        <v>45.6</v>
      </c>
      <c r="AH482" s="567">
        <f>$F$257</f>
        <v>145812.67000000001</v>
      </c>
      <c r="AI482" s="561">
        <f t="shared" si="227"/>
        <v>6649057.7520000003</v>
      </c>
      <c r="AJ482">
        <v>40</v>
      </c>
      <c r="AK482">
        <f t="shared" si="228"/>
        <v>1824</v>
      </c>
    </row>
    <row r="483" spans="2:37" ht="15" customHeight="1">
      <c r="B483" s="589" t="s">
        <v>2176</v>
      </c>
      <c r="C483" s="565" t="s">
        <v>2246</v>
      </c>
      <c r="D483" s="571" t="str">
        <f>$D$258</f>
        <v>bh</v>
      </c>
      <c r="E483" s="568">
        <v>4</v>
      </c>
      <c r="F483" s="567">
        <f>$F$258</f>
        <v>100000</v>
      </c>
      <c r="G483" s="561">
        <f t="shared" si="221"/>
        <v>400000</v>
      </c>
      <c r="H483">
        <v>2.5</v>
      </c>
      <c r="I483">
        <f t="shared" si="222"/>
        <v>10</v>
      </c>
      <c r="N483" s="589" t="s">
        <v>2176</v>
      </c>
      <c r="O483" s="565" t="s">
        <v>2246</v>
      </c>
      <c r="P483" s="571" t="str">
        <f>$D$258</f>
        <v>bh</v>
      </c>
      <c r="Q483" s="568">
        <v>4</v>
      </c>
      <c r="R483" s="567">
        <f>$F$258</f>
        <v>100000</v>
      </c>
      <c r="S483" s="561">
        <f t="shared" si="223"/>
        <v>400000</v>
      </c>
      <c r="T483">
        <v>2.5</v>
      </c>
      <c r="U483">
        <f t="shared" si="224"/>
        <v>10</v>
      </c>
      <c r="V483" s="589" t="s">
        <v>2176</v>
      </c>
      <c r="W483" s="565" t="s">
        <v>2246</v>
      </c>
      <c r="X483" s="571" t="str">
        <f>$D$258</f>
        <v>bh</v>
      </c>
      <c r="Y483" s="568">
        <v>4</v>
      </c>
      <c r="Z483" s="567">
        <f>$F$258</f>
        <v>100000</v>
      </c>
      <c r="AA483" s="561">
        <f t="shared" si="225"/>
        <v>400000</v>
      </c>
      <c r="AB483">
        <v>2.5</v>
      </c>
      <c r="AC483">
        <f t="shared" si="226"/>
        <v>10</v>
      </c>
      <c r="AD483" s="589" t="s">
        <v>2176</v>
      </c>
      <c r="AE483" s="565" t="s">
        <v>2246</v>
      </c>
      <c r="AF483" s="571" t="str">
        <f>$D$258</f>
        <v>bh</v>
      </c>
      <c r="AG483" s="568">
        <v>4</v>
      </c>
      <c r="AH483" s="567">
        <f>$F$258</f>
        <v>100000</v>
      </c>
      <c r="AI483" s="561">
        <f t="shared" si="227"/>
        <v>400000</v>
      </c>
      <c r="AJ483">
        <v>2.5</v>
      </c>
      <c r="AK483">
        <f t="shared" si="228"/>
        <v>10</v>
      </c>
    </row>
    <row r="484" spans="2:37" ht="15" customHeight="1">
      <c r="B484" s="589"/>
      <c r="C484" s="584"/>
      <c r="D484" s="571"/>
      <c r="E484" s="566"/>
      <c r="F484" s="567"/>
      <c r="G484" s="561"/>
      <c r="I484">
        <f>SUM(I477:I482)</f>
        <v>381967.5668571429</v>
      </c>
      <c r="N484" s="589"/>
      <c r="O484" s="584"/>
      <c r="P484" s="571"/>
      <c r="Q484" s="566"/>
      <c r="R484" s="567"/>
      <c r="S484" s="561"/>
      <c r="U484">
        <f>SUM(U477:U482)</f>
        <v>381967.5668571429</v>
      </c>
      <c r="V484" s="589"/>
      <c r="W484" s="584"/>
      <c r="X484" s="571"/>
      <c r="Y484" s="566"/>
      <c r="Z484" s="567"/>
      <c r="AA484" s="561"/>
      <c r="AC484">
        <f>SUM(AC477:AC482)</f>
        <v>381967.5668571429</v>
      </c>
      <c r="AD484" s="589"/>
      <c r="AE484" s="584"/>
      <c r="AF484" s="571"/>
      <c r="AG484" s="566"/>
      <c r="AH484" s="567"/>
      <c r="AI484" s="561"/>
      <c r="AK484">
        <f>SUM(AK477:AK482)</f>
        <v>381967.5668571429</v>
      </c>
    </row>
    <row r="485" spans="2:37" ht="15" customHeight="1">
      <c r="B485" s="590">
        <v>3</v>
      </c>
      <c r="C485" s="583" t="s">
        <v>2086</v>
      </c>
      <c r="D485" s="571"/>
      <c r="E485" s="566"/>
      <c r="F485" s="567"/>
      <c r="G485" s="561"/>
      <c r="N485" s="590">
        <v>3</v>
      </c>
      <c r="O485" s="583" t="s">
        <v>2086</v>
      </c>
      <c r="P485" s="571"/>
      <c r="Q485" s="566"/>
      <c r="R485" s="567"/>
      <c r="S485" s="561"/>
      <c r="V485" s="590">
        <v>3</v>
      </c>
      <c r="W485" s="583" t="s">
        <v>2086</v>
      </c>
      <c r="X485" s="571"/>
      <c r="Y485" s="566"/>
      <c r="Z485" s="567"/>
      <c r="AA485" s="561"/>
      <c r="AD485" s="590">
        <v>3</v>
      </c>
      <c r="AE485" s="583" t="s">
        <v>2086</v>
      </c>
      <c r="AF485" s="571"/>
      <c r="AG485" s="566"/>
      <c r="AH485" s="567"/>
      <c r="AI485" s="561"/>
    </row>
    <row r="486" spans="2:37" ht="15" customHeight="1">
      <c r="B486" s="589" t="s">
        <v>721</v>
      </c>
      <c r="C486" s="584" t="s">
        <v>2247</v>
      </c>
      <c r="D486" s="571" t="str">
        <f>$D$261</f>
        <v>bh</v>
      </c>
      <c r="E486" s="568">
        <v>4</v>
      </c>
      <c r="F486" s="567">
        <f>$F$261</f>
        <v>181849.04</v>
      </c>
      <c r="G486" s="561">
        <f t="shared" ref="G486:G491" si="229">E486*F486</f>
        <v>727396.16</v>
      </c>
      <c r="N486" s="589" t="s">
        <v>721</v>
      </c>
      <c r="O486" s="584" t="s">
        <v>2247</v>
      </c>
      <c r="P486" s="571" t="str">
        <f>$D$261</f>
        <v>bh</v>
      </c>
      <c r="Q486" s="568">
        <v>4</v>
      </c>
      <c r="R486" s="567">
        <f>$F$261</f>
        <v>181849.04</v>
      </c>
      <c r="S486" s="561">
        <f t="shared" ref="S486:S491" si="230">Q486*R486</f>
        <v>727396.16</v>
      </c>
      <c r="V486" s="589" t="s">
        <v>721</v>
      </c>
      <c r="W486" s="584" t="s">
        <v>2247</v>
      </c>
      <c r="X486" s="571" t="str">
        <f>$D$261</f>
        <v>bh</v>
      </c>
      <c r="Y486" s="568">
        <v>4</v>
      </c>
      <c r="Z486" s="567">
        <f>$F$261</f>
        <v>181849.04</v>
      </c>
      <c r="AA486" s="561">
        <f t="shared" ref="AA486:AA491" si="231">Y486*Z486</f>
        <v>727396.16</v>
      </c>
      <c r="AD486" s="589" t="s">
        <v>721</v>
      </c>
      <c r="AE486" s="584" t="s">
        <v>2247</v>
      </c>
      <c r="AF486" s="571" t="str">
        <f>$D$261</f>
        <v>bh</v>
      </c>
      <c r="AG486" s="568">
        <v>4</v>
      </c>
      <c r="AH486" s="567">
        <f>$F$261</f>
        <v>181849.04</v>
      </c>
      <c r="AI486" s="561">
        <f t="shared" ref="AI486:AI491" si="232">AG486*AH486</f>
        <v>727396.16</v>
      </c>
    </row>
    <row r="487" spans="2:37" ht="15" customHeight="1">
      <c r="B487" s="589" t="s">
        <v>2166</v>
      </c>
      <c r="C487" s="584" t="s">
        <v>2085</v>
      </c>
      <c r="D487" s="571" t="str">
        <f>$D$262</f>
        <v>kg</v>
      </c>
      <c r="E487" s="568">
        <f>I484</f>
        <v>381967.5668571429</v>
      </c>
      <c r="F487" s="567">
        <f>$F$262</f>
        <v>462.7700000000001</v>
      </c>
      <c r="G487" s="561">
        <f t="shared" si="229"/>
        <v>176763130.91448006</v>
      </c>
      <c r="N487" s="589" t="s">
        <v>2166</v>
      </c>
      <c r="O487" s="584" t="s">
        <v>2085</v>
      </c>
      <c r="P487" s="571" t="str">
        <f>$D$262</f>
        <v>kg</v>
      </c>
      <c r="Q487" s="568">
        <f>U484</f>
        <v>381967.5668571429</v>
      </c>
      <c r="R487" s="567">
        <f>$F$262</f>
        <v>462.7700000000001</v>
      </c>
      <c r="S487" s="561">
        <f t="shared" si="230"/>
        <v>176763130.91448006</v>
      </c>
      <c r="V487" s="589" t="s">
        <v>2166</v>
      </c>
      <c r="W487" s="584" t="s">
        <v>2085</v>
      </c>
      <c r="X487" s="571" t="str">
        <f>$D$262</f>
        <v>kg</v>
      </c>
      <c r="Y487" s="568">
        <f>AC484</f>
        <v>381967.5668571429</v>
      </c>
      <c r="Z487" s="567">
        <f>$F$262</f>
        <v>462.7700000000001</v>
      </c>
      <c r="AA487" s="561">
        <f t="shared" si="231"/>
        <v>176763130.91448006</v>
      </c>
      <c r="AD487" s="589" t="s">
        <v>2166</v>
      </c>
      <c r="AE487" s="584" t="s">
        <v>2085</v>
      </c>
      <c r="AF487" s="571" t="str">
        <f>$D$262</f>
        <v>kg</v>
      </c>
      <c r="AG487" s="568">
        <f>AK484</f>
        <v>381967.5668571429</v>
      </c>
      <c r="AH487" s="567">
        <f>$F$262</f>
        <v>462.7700000000001</v>
      </c>
      <c r="AI487" s="561">
        <f t="shared" si="232"/>
        <v>176763130.91448006</v>
      </c>
    </row>
    <row r="488" spans="2:37" ht="15" customHeight="1">
      <c r="B488" s="589" t="s">
        <v>2168</v>
      </c>
      <c r="C488" s="584" t="s">
        <v>2249</v>
      </c>
      <c r="D488" s="571" t="str">
        <f>$D$263</f>
        <v>bh</v>
      </c>
      <c r="E488" s="568">
        <v>4</v>
      </c>
      <c r="F488" s="567">
        <f>$F$263</f>
        <v>387825</v>
      </c>
      <c r="G488" s="561">
        <f t="shared" si="229"/>
        <v>1551300</v>
      </c>
      <c r="N488" s="589" t="s">
        <v>2168</v>
      </c>
      <c r="O488" s="584" t="s">
        <v>2249</v>
      </c>
      <c r="P488" s="571" t="str">
        <f>$D$263</f>
        <v>bh</v>
      </c>
      <c r="Q488" s="568">
        <v>4</v>
      </c>
      <c r="R488" s="567">
        <f>$F$263</f>
        <v>387825</v>
      </c>
      <c r="S488" s="561">
        <f t="shared" si="230"/>
        <v>1551300</v>
      </c>
      <c r="V488" s="589" t="s">
        <v>2168</v>
      </c>
      <c r="W488" s="584" t="s">
        <v>2249</v>
      </c>
      <c r="X488" s="571" t="str">
        <f>$D$263</f>
        <v>bh</v>
      </c>
      <c r="Y488" s="568">
        <v>4</v>
      </c>
      <c r="Z488" s="567">
        <f>$F$263</f>
        <v>387825</v>
      </c>
      <c r="AA488" s="561">
        <f t="shared" si="231"/>
        <v>1551300</v>
      </c>
      <c r="AD488" s="589" t="s">
        <v>2168</v>
      </c>
      <c r="AE488" s="584" t="s">
        <v>2249</v>
      </c>
      <c r="AF488" s="571" t="str">
        <f>$D$263</f>
        <v>bh</v>
      </c>
      <c r="AG488" s="568">
        <v>4</v>
      </c>
      <c r="AH488" s="567">
        <f>$F$263</f>
        <v>387825</v>
      </c>
      <c r="AI488" s="561">
        <f t="shared" si="232"/>
        <v>1551300</v>
      </c>
    </row>
    <row r="489" spans="2:37" ht="15" customHeight="1">
      <c r="B489" s="589" t="s">
        <v>2170</v>
      </c>
      <c r="C489" s="584" t="s">
        <v>2250</v>
      </c>
      <c r="D489" s="571" t="str">
        <f>$D$264</f>
        <v>kg</v>
      </c>
      <c r="E489" s="568">
        <f>$E$164</f>
        <v>150.93599999999998</v>
      </c>
      <c r="F489" s="567">
        <f>$F$264</f>
        <v>3758.6984549742947</v>
      </c>
      <c r="G489" s="561">
        <f t="shared" si="229"/>
        <v>567322.91</v>
      </c>
      <c r="N489" s="589" t="s">
        <v>2170</v>
      </c>
      <c r="O489" s="584" t="s">
        <v>2250</v>
      </c>
      <c r="P489" s="571" t="str">
        <f>$D$264</f>
        <v>kg</v>
      </c>
      <c r="Q489" s="568">
        <f>$Q$164</f>
        <v>239.61599999999999</v>
      </c>
      <c r="R489" s="567">
        <f>$F$264</f>
        <v>3758.6984549742947</v>
      </c>
      <c r="S489" s="561">
        <f t="shared" si="230"/>
        <v>900644.2889871205</v>
      </c>
      <c r="V489" s="589" t="s">
        <v>2170</v>
      </c>
      <c r="W489" s="584" t="s">
        <v>2269</v>
      </c>
      <c r="X489" s="571" t="str">
        <f>$D$264</f>
        <v>kg</v>
      </c>
      <c r="Y489" s="568">
        <f>$Y$164</f>
        <v>311.47199999999998</v>
      </c>
      <c r="Z489" s="567">
        <f>$F$264</f>
        <v>3758.6984549742947</v>
      </c>
      <c r="AA489" s="561">
        <f t="shared" si="231"/>
        <v>1170729.3251677535</v>
      </c>
      <c r="AD489" s="589" t="s">
        <v>2170</v>
      </c>
      <c r="AE489" s="584" t="s">
        <v>2269</v>
      </c>
      <c r="AF489" s="571" t="str">
        <f>$D$264</f>
        <v>kg</v>
      </c>
      <c r="AG489" s="568">
        <f>$AG$164</f>
        <v>403.17599999999999</v>
      </c>
      <c r="AH489" s="567">
        <f>$F$264</f>
        <v>3758.6984549742947</v>
      </c>
      <c r="AI489" s="561">
        <f t="shared" si="232"/>
        <v>1515417.0082827162</v>
      </c>
    </row>
    <row r="490" spans="2:37" ht="15" customHeight="1">
      <c r="B490" s="589" t="s">
        <v>2172</v>
      </c>
      <c r="C490" s="584" t="s">
        <v>2251</v>
      </c>
      <c r="D490" s="571" t="str">
        <f>$D$265</f>
        <v>set</v>
      </c>
      <c r="E490" s="568">
        <v>1</v>
      </c>
      <c r="F490" s="567">
        <f>$F$265</f>
        <v>855127</v>
      </c>
      <c r="G490" s="561">
        <f t="shared" si="229"/>
        <v>855127</v>
      </c>
      <c r="N490" s="589" t="s">
        <v>2172</v>
      </c>
      <c r="O490" s="584" t="s">
        <v>2251</v>
      </c>
      <c r="P490" s="571" t="str">
        <f>$D$265</f>
        <v>set</v>
      </c>
      <c r="Q490" s="568">
        <v>1</v>
      </c>
      <c r="R490" s="567">
        <f>$F$265</f>
        <v>855127</v>
      </c>
      <c r="S490" s="561">
        <f t="shared" si="230"/>
        <v>855127</v>
      </c>
      <c r="V490" s="589" t="s">
        <v>2172</v>
      </c>
      <c r="W490" s="584" t="s">
        <v>2251</v>
      </c>
      <c r="X490" s="571" t="str">
        <f>$D$265</f>
        <v>set</v>
      </c>
      <c r="Y490" s="568">
        <v>1</v>
      </c>
      <c r="Z490" s="567">
        <f>$F$265</f>
        <v>855127</v>
      </c>
      <c r="AA490" s="561">
        <f t="shared" si="231"/>
        <v>855127</v>
      </c>
      <c r="AD490" s="589" t="s">
        <v>2172</v>
      </c>
      <c r="AE490" s="584" t="s">
        <v>2251</v>
      </c>
      <c r="AF490" s="571" t="str">
        <f>$D$265</f>
        <v>set</v>
      </c>
      <c r="AG490" s="568">
        <v>1</v>
      </c>
      <c r="AH490" s="567">
        <f>$F$265</f>
        <v>855127</v>
      </c>
      <c r="AI490" s="561">
        <f t="shared" si="232"/>
        <v>855127</v>
      </c>
    </row>
    <row r="491" spans="2:37" ht="15" customHeight="1">
      <c r="B491" s="589" t="s">
        <v>2174</v>
      </c>
      <c r="C491" s="584" t="s">
        <v>2252</v>
      </c>
      <c r="D491" s="571" t="str">
        <f>$D$266</f>
        <v>set</v>
      </c>
      <c r="E491" s="568">
        <v>1</v>
      </c>
      <c r="F491" s="567">
        <f>$F$266</f>
        <v>674025</v>
      </c>
      <c r="G491" s="561">
        <f t="shared" si="229"/>
        <v>674025</v>
      </c>
      <c r="N491" s="589" t="s">
        <v>2174</v>
      </c>
      <c r="O491" s="584" t="s">
        <v>2252</v>
      </c>
      <c r="P491" s="571" t="str">
        <f>$D$266</f>
        <v>set</v>
      </c>
      <c r="Q491" s="568">
        <v>1</v>
      </c>
      <c r="R491" s="567">
        <f>$F$266</f>
        <v>674025</v>
      </c>
      <c r="S491" s="561">
        <f t="shared" si="230"/>
        <v>674025</v>
      </c>
      <c r="V491" s="589" t="s">
        <v>2174</v>
      </c>
      <c r="W491" s="584" t="s">
        <v>2252</v>
      </c>
      <c r="X491" s="571" t="str">
        <f>$D$266</f>
        <v>set</v>
      </c>
      <c r="Y491" s="568">
        <v>1</v>
      </c>
      <c r="Z491" s="567">
        <f>$F$266</f>
        <v>674025</v>
      </c>
      <c r="AA491" s="561">
        <f t="shared" si="231"/>
        <v>674025</v>
      </c>
      <c r="AD491" s="589" t="s">
        <v>2174</v>
      </c>
      <c r="AE491" s="584" t="s">
        <v>2252</v>
      </c>
      <c r="AF491" s="571" t="str">
        <f>$D$266</f>
        <v>set</v>
      </c>
      <c r="AG491" s="568">
        <v>1</v>
      </c>
      <c r="AH491" s="567">
        <f>$F$266</f>
        <v>674025</v>
      </c>
      <c r="AI491" s="561">
        <f t="shared" si="232"/>
        <v>674025</v>
      </c>
    </row>
    <row r="492" spans="2:37" ht="15" customHeight="1" thickBot="1">
      <c r="B492" s="582"/>
      <c r="C492" s="1197" t="s">
        <v>2310</v>
      </c>
      <c r="D492" s="1198"/>
      <c r="E492" s="1198"/>
      <c r="F492" s="1199"/>
      <c r="G492" s="560">
        <f>SUM(G471:G491)</f>
        <v>744140922.33220959</v>
      </c>
      <c r="N492" s="582"/>
      <c r="O492" s="1197" t="s">
        <v>2310</v>
      </c>
      <c r="P492" s="1198"/>
      <c r="Q492" s="1198"/>
      <c r="R492" s="1199"/>
      <c r="S492" s="560">
        <f>SUM(S471:S491)</f>
        <v>744474243.71119678</v>
      </c>
      <c r="V492" s="582"/>
      <c r="W492" s="1197" t="s">
        <v>2310</v>
      </c>
      <c r="X492" s="1198"/>
      <c r="Y492" s="1198"/>
      <c r="Z492" s="1199"/>
      <c r="AA492" s="560">
        <f>SUM(AA471:AA491)</f>
        <v>744744328.7473774</v>
      </c>
      <c r="AD492" s="582"/>
      <c r="AE492" s="1197" t="s">
        <v>2310</v>
      </c>
      <c r="AF492" s="1198"/>
      <c r="AG492" s="1198"/>
      <c r="AH492" s="1199"/>
      <c r="AI492" s="560">
        <f>SUM(AI471:AI491)</f>
        <v>745089016.43049228</v>
      </c>
    </row>
    <row r="493" spans="2:37" ht="15" customHeight="1" thickBot="1">
      <c r="R493" s="634"/>
      <c r="Z493" s="634"/>
      <c r="AA493" s="634"/>
      <c r="AH493" s="634"/>
      <c r="AI493" s="634"/>
    </row>
    <row r="494" spans="2:37" ht="15" customHeight="1" thickBot="1">
      <c r="B494" s="581" t="s">
        <v>2229</v>
      </c>
      <c r="C494" s="580"/>
      <c r="D494" s="579">
        <v>6</v>
      </c>
      <c r="E494" s="578"/>
      <c r="F494" s="577"/>
      <c r="G494" s="564"/>
      <c r="N494" s="581" t="s">
        <v>2230</v>
      </c>
      <c r="O494" s="580"/>
      <c r="P494" s="579">
        <v>6</v>
      </c>
      <c r="Q494" s="578"/>
      <c r="R494" s="577"/>
      <c r="S494" s="564"/>
      <c r="V494" s="581" t="s">
        <v>2231</v>
      </c>
      <c r="W494" s="580"/>
      <c r="X494" s="579"/>
      <c r="Y494" s="578"/>
      <c r="Z494" s="577"/>
      <c r="AA494" s="564"/>
      <c r="AD494" s="581" t="s">
        <v>2254</v>
      </c>
      <c r="AE494" s="580"/>
      <c r="AF494" s="579"/>
      <c r="AG494" s="578"/>
      <c r="AH494" s="577"/>
      <c r="AI494" s="564"/>
    </row>
    <row r="495" spans="2:37" ht="15" customHeight="1">
      <c r="B495" s="576"/>
      <c r="C495" s="575" t="s">
        <v>2311</v>
      </c>
      <c r="D495" s="574"/>
      <c r="E495" s="573"/>
      <c r="F495" s="572"/>
      <c r="G495" s="563"/>
      <c r="N495" s="576"/>
      <c r="O495" s="575" t="s">
        <v>2311</v>
      </c>
      <c r="P495" s="574"/>
      <c r="Q495" s="573"/>
      <c r="R495" s="572"/>
      <c r="S495" s="563"/>
      <c r="V495" s="576"/>
      <c r="W495" s="575" t="s">
        <v>2312</v>
      </c>
      <c r="X495" s="574"/>
      <c r="Y495" s="573"/>
      <c r="Z495" s="572"/>
      <c r="AA495" s="563"/>
      <c r="AD495" s="576"/>
      <c r="AE495" s="575" t="s">
        <v>2312</v>
      </c>
      <c r="AF495" s="574"/>
      <c r="AG495" s="573"/>
      <c r="AH495" s="572"/>
      <c r="AI495" s="563"/>
    </row>
    <row r="496" spans="2:37" ht="15" customHeight="1">
      <c r="B496" s="588">
        <v>1</v>
      </c>
      <c r="C496" s="587" t="s">
        <v>2234</v>
      </c>
      <c r="D496" s="571"/>
      <c r="E496" s="570"/>
      <c r="F496" s="569"/>
      <c r="G496" s="562"/>
      <c r="N496" s="588">
        <v>1</v>
      </c>
      <c r="O496" s="587" t="s">
        <v>2234</v>
      </c>
      <c r="P496" s="571"/>
      <c r="Q496" s="570"/>
      <c r="R496" s="569"/>
      <c r="S496" s="562"/>
      <c r="V496" s="588">
        <v>1</v>
      </c>
      <c r="W496" s="587" t="s">
        <v>2234</v>
      </c>
      <c r="X496" s="571"/>
      <c r="Y496" s="570"/>
      <c r="Z496" s="569"/>
      <c r="AA496" s="562"/>
      <c r="AD496" s="588">
        <v>1</v>
      </c>
      <c r="AE496" s="587" t="s">
        <v>2234</v>
      </c>
      <c r="AF496" s="571"/>
      <c r="AG496" s="570"/>
      <c r="AH496" s="569"/>
      <c r="AI496" s="562"/>
    </row>
    <row r="497" spans="2:37" ht="15" customHeight="1">
      <c r="B497" s="589" t="s">
        <v>721</v>
      </c>
      <c r="C497" s="586" t="s">
        <v>2235</v>
      </c>
      <c r="D497" s="571" t="str">
        <f>$D$247</f>
        <v>m³</v>
      </c>
      <c r="E497" s="568">
        <v>72.5</v>
      </c>
      <c r="F497" s="567">
        <f>$F$247</f>
        <v>102390.75000000001</v>
      </c>
      <c r="G497" s="561">
        <f>E497*F497</f>
        <v>7423329.3750000009</v>
      </c>
      <c r="N497" s="589" t="s">
        <v>721</v>
      </c>
      <c r="O497" s="586" t="s">
        <v>2235</v>
      </c>
      <c r="P497" s="571" t="str">
        <f>$D$247</f>
        <v>m³</v>
      </c>
      <c r="Q497" s="568">
        <v>72.5</v>
      </c>
      <c r="R497" s="567">
        <f>$F$247</f>
        <v>102390.75000000001</v>
      </c>
      <c r="S497" s="561">
        <f>Q497*R497</f>
        <v>7423329.3750000009</v>
      </c>
      <c r="V497" s="589" t="s">
        <v>721</v>
      </c>
      <c r="W497" s="586" t="s">
        <v>2235</v>
      </c>
      <c r="X497" s="571" t="str">
        <f>$D$247</f>
        <v>m³</v>
      </c>
      <c r="Y497" s="568">
        <v>72.5</v>
      </c>
      <c r="Z497" s="567">
        <f>$F$247</f>
        <v>102390.75000000001</v>
      </c>
      <c r="AA497" s="561">
        <f>Y497*Z497</f>
        <v>7423329.3750000009</v>
      </c>
      <c r="AD497" s="589" t="s">
        <v>721</v>
      </c>
      <c r="AE497" s="586" t="s">
        <v>2235</v>
      </c>
      <c r="AF497" s="571" t="str">
        <f>$D$247</f>
        <v>m³</v>
      </c>
      <c r="AG497" s="568">
        <v>72.5</v>
      </c>
      <c r="AH497" s="567">
        <f>$F$247</f>
        <v>102390.75000000001</v>
      </c>
      <c r="AI497" s="561">
        <f>AG497*AH497</f>
        <v>7423329.3750000009</v>
      </c>
    </row>
    <row r="498" spans="2:37" ht="15" customHeight="1">
      <c r="B498" s="589" t="s">
        <v>2166</v>
      </c>
      <c r="C498" s="586" t="s">
        <v>2237</v>
      </c>
      <c r="D498" s="571" t="str">
        <f>$D$248</f>
        <v>m³</v>
      </c>
      <c r="E498" s="568">
        <v>30.560000000000002</v>
      </c>
      <c r="F498" s="567">
        <f>$F$248</f>
        <v>62462.950000000012</v>
      </c>
      <c r="G498" s="561">
        <f>E498*F498</f>
        <v>1908867.7520000006</v>
      </c>
      <c r="N498" s="589" t="s">
        <v>2166</v>
      </c>
      <c r="O498" s="586" t="s">
        <v>2237</v>
      </c>
      <c r="P498" s="571" t="str">
        <f>$D$248</f>
        <v>m³</v>
      </c>
      <c r="Q498" s="568">
        <v>30.560000000000002</v>
      </c>
      <c r="R498" s="567">
        <f>$F$248</f>
        <v>62462.950000000012</v>
      </c>
      <c r="S498" s="561">
        <f>Q498*R498</f>
        <v>1908867.7520000006</v>
      </c>
      <c r="V498" s="589" t="s">
        <v>2166</v>
      </c>
      <c r="W498" s="586" t="s">
        <v>2237</v>
      </c>
      <c r="X498" s="571" t="str">
        <f>$D$248</f>
        <v>m³</v>
      </c>
      <c r="Y498" s="568">
        <v>30.560000000000002</v>
      </c>
      <c r="Z498" s="567">
        <f>$F$248</f>
        <v>62462.950000000012</v>
      </c>
      <c r="AA498" s="561">
        <f>Y498*Z498</f>
        <v>1908867.7520000006</v>
      </c>
      <c r="AD498" s="589" t="s">
        <v>2166</v>
      </c>
      <c r="AE498" s="586" t="s">
        <v>2237</v>
      </c>
      <c r="AF498" s="571" t="str">
        <f>$D$248</f>
        <v>m³</v>
      </c>
      <c r="AG498" s="568">
        <v>30.560000000000002</v>
      </c>
      <c r="AH498" s="567">
        <f>$F$248</f>
        <v>62462.950000000012</v>
      </c>
      <c r="AI498" s="561">
        <f>AG498*AH498</f>
        <v>1908867.7520000006</v>
      </c>
    </row>
    <row r="499" spans="2:37" ht="15" customHeight="1">
      <c r="B499" s="589" t="s">
        <v>2168</v>
      </c>
      <c r="C499" s="586" t="s">
        <v>2265</v>
      </c>
      <c r="D499" s="571" t="str">
        <f>$D$249</f>
        <v>m'</v>
      </c>
      <c r="E499" s="568">
        <v>480</v>
      </c>
      <c r="F499" s="567">
        <f>$F$249</f>
        <v>52230.612500000003</v>
      </c>
      <c r="G499" s="561">
        <f>E499*F499</f>
        <v>25070694</v>
      </c>
      <c r="N499" s="589" t="s">
        <v>2168</v>
      </c>
      <c r="O499" s="586" t="s">
        <v>2265</v>
      </c>
      <c r="P499" s="571" t="str">
        <f>$D$249</f>
        <v>m'</v>
      </c>
      <c r="Q499" s="568">
        <v>480</v>
      </c>
      <c r="R499" s="567">
        <f>$F$249</f>
        <v>52230.612500000003</v>
      </c>
      <c r="S499" s="561">
        <f>Q499*R499</f>
        <v>25070694</v>
      </c>
      <c r="V499" s="589" t="s">
        <v>2168</v>
      </c>
      <c r="W499" s="586" t="s">
        <v>2265</v>
      </c>
      <c r="X499" s="571" t="str">
        <f>$D$249</f>
        <v>m'</v>
      </c>
      <c r="Y499" s="568">
        <v>480</v>
      </c>
      <c r="Z499" s="567">
        <f>$F$249</f>
        <v>52230.612500000003</v>
      </c>
      <c r="AA499" s="561">
        <f>Y499*Z499</f>
        <v>25070694</v>
      </c>
      <c r="AD499" s="589" t="s">
        <v>2168</v>
      </c>
      <c r="AE499" s="586" t="s">
        <v>2265</v>
      </c>
      <c r="AF499" s="571" t="str">
        <f>$D$249</f>
        <v>m'</v>
      </c>
      <c r="AG499" s="568">
        <v>480</v>
      </c>
      <c r="AH499" s="567">
        <f>$F$249</f>
        <v>52230.612500000003</v>
      </c>
      <c r="AI499" s="561">
        <f>AG499*AH499</f>
        <v>25070694</v>
      </c>
    </row>
    <row r="500" spans="2:37" ht="15" customHeight="1">
      <c r="B500" s="585"/>
      <c r="C500" s="586"/>
      <c r="D500" s="571"/>
      <c r="E500" s="566"/>
      <c r="F500" s="567"/>
      <c r="G500" s="561"/>
      <c r="N500" s="585"/>
      <c r="O500" s="586"/>
      <c r="P500" s="571"/>
      <c r="Q500" s="566"/>
      <c r="R500" s="567"/>
      <c r="S500" s="561"/>
      <c r="V500" s="585"/>
      <c r="W500" s="586"/>
      <c r="X500" s="571"/>
      <c r="Y500" s="566"/>
      <c r="Z500" s="567"/>
      <c r="AA500" s="561"/>
      <c r="AD500" s="585"/>
      <c r="AE500" s="586"/>
      <c r="AF500" s="571"/>
      <c r="AG500" s="566"/>
      <c r="AH500" s="567"/>
      <c r="AI500" s="561"/>
    </row>
    <row r="501" spans="2:37" ht="15" customHeight="1">
      <c r="B501" s="590">
        <v>2</v>
      </c>
      <c r="C501" s="587" t="s">
        <v>2238</v>
      </c>
      <c r="D501" s="571"/>
      <c r="E501" s="566"/>
      <c r="F501" s="567"/>
      <c r="G501" s="561"/>
      <c r="H501" t="s">
        <v>2239</v>
      </c>
      <c r="N501" s="590">
        <v>2</v>
      </c>
      <c r="O501" s="587" t="s">
        <v>2238</v>
      </c>
      <c r="P501" s="571"/>
      <c r="Q501" s="566"/>
      <c r="R501" s="567"/>
      <c r="S501" s="561"/>
      <c r="T501" t="s">
        <v>2239</v>
      </c>
      <c r="V501" s="590">
        <v>2</v>
      </c>
      <c r="W501" s="587" t="s">
        <v>2238</v>
      </c>
      <c r="X501" s="571"/>
      <c r="Y501" s="566"/>
      <c r="Z501" s="567"/>
      <c r="AA501" s="561"/>
      <c r="AB501" t="s">
        <v>2239</v>
      </c>
      <c r="AD501" s="590">
        <v>2</v>
      </c>
      <c r="AE501" s="587" t="s">
        <v>2238</v>
      </c>
      <c r="AF501" s="571"/>
      <c r="AG501" s="566"/>
      <c r="AH501" s="567"/>
      <c r="AI501" s="561"/>
      <c r="AJ501" t="s">
        <v>2239</v>
      </c>
    </row>
    <row r="502" spans="2:37" ht="15" customHeight="1">
      <c r="B502" s="589" t="s">
        <v>721</v>
      </c>
      <c r="C502" s="586" t="s">
        <v>2240</v>
      </c>
      <c r="D502" s="571" t="str">
        <f>$D$252</f>
        <v>m³</v>
      </c>
      <c r="E502" s="568">
        <v>5.4</v>
      </c>
      <c r="F502" s="567">
        <f>$F$252</f>
        <v>404738.95</v>
      </c>
      <c r="G502" s="561">
        <f t="shared" ref="G502:G508" si="233">E502*F502</f>
        <v>2185590.33</v>
      </c>
      <c r="H502">
        <v>1400</v>
      </c>
      <c r="I502">
        <f t="shared" ref="I502:I508" si="234">E502*H502</f>
        <v>7560.0000000000009</v>
      </c>
      <c r="N502" s="589" t="s">
        <v>721</v>
      </c>
      <c r="O502" s="586" t="s">
        <v>2240</v>
      </c>
      <c r="P502" s="571" t="str">
        <f>$D$252</f>
        <v>m³</v>
      </c>
      <c r="Q502" s="568">
        <v>5.4</v>
      </c>
      <c r="R502" s="567">
        <f>$F$252</f>
        <v>404738.95</v>
      </c>
      <c r="S502" s="561">
        <f t="shared" ref="S502:S508" si="235">Q502*R502</f>
        <v>2185590.33</v>
      </c>
      <c r="T502">
        <v>1400</v>
      </c>
      <c r="U502">
        <f t="shared" ref="U502:U508" si="236">Q502*T502</f>
        <v>7560.0000000000009</v>
      </c>
      <c r="V502" s="589" t="s">
        <v>721</v>
      </c>
      <c r="W502" s="586" t="s">
        <v>2240</v>
      </c>
      <c r="X502" s="571" t="str">
        <f>$D$252</f>
        <v>m³</v>
      </c>
      <c r="Y502" s="568">
        <v>5.4</v>
      </c>
      <c r="Z502" s="567">
        <f>$F$252</f>
        <v>404738.95</v>
      </c>
      <c r="AA502" s="561">
        <f t="shared" ref="AA502:AA508" si="237">Y502*Z502</f>
        <v>2185590.33</v>
      </c>
      <c r="AB502">
        <v>1400</v>
      </c>
      <c r="AC502">
        <f t="shared" ref="AC502:AC508" si="238">Y502*AB502</f>
        <v>7560.0000000000009</v>
      </c>
      <c r="AD502" s="589" t="s">
        <v>721</v>
      </c>
      <c r="AE502" s="586" t="s">
        <v>2240</v>
      </c>
      <c r="AF502" s="571" t="str">
        <f>$D$252</f>
        <v>m³</v>
      </c>
      <c r="AG502" s="568">
        <v>5.4</v>
      </c>
      <c r="AH502" s="567">
        <f>$F$252</f>
        <v>404738.95</v>
      </c>
      <c r="AI502" s="561">
        <f t="shared" ref="AI502:AI508" si="239">AG502*AH502</f>
        <v>2185590.33</v>
      </c>
      <c r="AJ502">
        <v>1400</v>
      </c>
      <c r="AK502">
        <f t="shared" ref="AK502:AK508" si="240">AG502*AJ502</f>
        <v>7560.0000000000009</v>
      </c>
    </row>
    <row r="503" spans="2:37" ht="15" customHeight="1">
      <c r="B503" s="589" t="s">
        <v>2166</v>
      </c>
      <c r="C503" s="584" t="s">
        <v>2241</v>
      </c>
      <c r="D503" s="571" t="str">
        <f>$D$253</f>
        <v>m³</v>
      </c>
      <c r="E503" s="568">
        <v>2.7</v>
      </c>
      <c r="F503" s="567">
        <f>$F$253</f>
        <v>710224.707936508</v>
      </c>
      <c r="G503" s="561">
        <f t="shared" si="233"/>
        <v>1917606.7114285717</v>
      </c>
      <c r="H503">
        <v>2200</v>
      </c>
      <c r="I503">
        <f t="shared" si="234"/>
        <v>5940</v>
      </c>
      <c r="N503" s="589" t="s">
        <v>2166</v>
      </c>
      <c r="O503" s="584" t="s">
        <v>2241</v>
      </c>
      <c r="P503" s="571" t="str">
        <f>$D$253</f>
        <v>m³</v>
      </c>
      <c r="Q503" s="568">
        <v>2.7</v>
      </c>
      <c r="R503" s="567">
        <f>$F$253</f>
        <v>710224.707936508</v>
      </c>
      <c r="S503" s="561">
        <f t="shared" si="235"/>
        <v>1917606.7114285717</v>
      </c>
      <c r="T503">
        <v>2200</v>
      </c>
      <c r="U503">
        <f t="shared" si="236"/>
        <v>5940</v>
      </c>
      <c r="V503" s="589" t="s">
        <v>2166</v>
      </c>
      <c r="W503" s="584" t="s">
        <v>2241</v>
      </c>
      <c r="X503" s="571" t="str">
        <f>$D$253</f>
        <v>m³</v>
      </c>
      <c r="Y503" s="568">
        <v>2.7</v>
      </c>
      <c r="Z503" s="567">
        <f>$F$253</f>
        <v>710224.707936508</v>
      </c>
      <c r="AA503" s="561">
        <f t="shared" si="237"/>
        <v>1917606.7114285717</v>
      </c>
      <c r="AB503">
        <v>2200</v>
      </c>
      <c r="AC503">
        <f t="shared" si="238"/>
        <v>5940</v>
      </c>
      <c r="AD503" s="589" t="s">
        <v>2166</v>
      </c>
      <c r="AE503" s="584" t="s">
        <v>2241</v>
      </c>
      <c r="AF503" s="571" t="str">
        <f>$D$253</f>
        <v>m³</v>
      </c>
      <c r="AG503" s="568">
        <v>2.7</v>
      </c>
      <c r="AH503" s="567">
        <f>$F$253</f>
        <v>710224.707936508</v>
      </c>
      <c r="AI503" s="561">
        <f t="shared" si="239"/>
        <v>1917606.7114285717</v>
      </c>
      <c r="AJ503">
        <v>2200</v>
      </c>
      <c r="AK503">
        <f t="shared" si="240"/>
        <v>5940</v>
      </c>
    </row>
    <row r="504" spans="2:37" ht="15" customHeight="1">
      <c r="B504" s="589" t="s">
        <v>2168</v>
      </c>
      <c r="C504" s="584" t="s">
        <v>2266</v>
      </c>
      <c r="D504" s="571" t="str">
        <f>$D$254</f>
        <v>m³</v>
      </c>
      <c r="E504" s="568">
        <v>33.839999999999996</v>
      </c>
      <c r="F504" s="567">
        <f>$F$254</f>
        <v>1115864.6138095236</v>
      </c>
      <c r="G504" s="561">
        <f t="shared" si="233"/>
        <v>37760858.531314276</v>
      </c>
      <c r="H504">
        <v>2400</v>
      </c>
      <c r="I504">
        <f t="shared" si="234"/>
        <v>81215.999999999985</v>
      </c>
      <c r="N504" s="589" t="s">
        <v>2168</v>
      </c>
      <c r="O504" s="584" t="s">
        <v>2266</v>
      </c>
      <c r="P504" s="571" t="str">
        <f>$D$254</f>
        <v>m³</v>
      </c>
      <c r="Q504" s="568">
        <v>33.839999999999996</v>
      </c>
      <c r="R504" s="567">
        <f>$F$254</f>
        <v>1115864.6138095236</v>
      </c>
      <c r="S504" s="561">
        <f t="shared" si="235"/>
        <v>37760858.531314276</v>
      </c>
      <c r="T504">
        <v>2400</v>
      </c>
      <c r="U504">
        <f t="shared" si="236"/>
        <v>81215.999999999985</v>
      </c>
      <c r="V504" s="589" t="s">
        <v>2168</v>
      </c>
      <c r="W504" s="584" t="str">
        <f>O504</f>
        <v>Beton K 225 (Pad &amp; Chimney)</v>
      </c>
      <c r="X504" s="571" t="str">
        <f>$D$254</f>
        <v>m³</v>
      </c>
      <c r="Y504" s="568">
        <v>33.839999999999996</v>
      </c>
      <c r="Z504" s="567">
        <f>$F$254</f>
        <v>1115864.6138095236</v>
      </c>
      <c r="AA504" s="561">
        <f t="shared" si="237"/>
        <v>37760858.531314276</v>
      </c>
      <c r="AB504">
        <v>2400</v>
      </c>
      <c r="AC504">
        <f t="shared" si="238"/>
        <v>81215.999999999985</v>
      </c>
      <c r="AD504" s="589" t="s">
        <v>2168</v>
      </c>
      <c r="AE504" s="584" t="str">
        <f>W504</f>
        <v>Beton K 225 (Pad &amp; Chimney)</v>
      </c>
      <c r="AF504" s="571" t="str">
        <f>$D$254</f>
        <v>m³</v>
      </c>
      <c r="AG504" s="568">
        <v>33.839999999999996</v>
      </c>
      <c r="AH504" s="567">
        <f>$F$254</f>
        <v>1115864.6138095236</v>
      </c>
      <c r="AI504" s="561">
        <f t="shared" si="239"/>
        <v>37760858.531314276</v>
      </c>
      <c r="AJ504">
        <v>2400</v>
      </c>
      <c r="AK504">
        <f t="shared" si="240"/>
        <v>81215.999999999985</v>
      </c>
    </row>
    <row r="505" spans="2:37" ht="15" customHeight="1">
      <c r="B505" s="589" t="s">
        <v>2170</v>
      </c>
      <c r="C505" s="584" t="s">
        <v>2267</v>
      </c>
      <c r="D505" s="571" t="str">
        <f>$D$255</f>
        <v>m³</v>
      </c>
      <c r="E505" s="568">
        <v>128.304</v>
      </c>
      <c r="F505" s="567">
        <f>$F$255</f>
        <v>1057576.2423809525</v>
      </c>
      <c r="G505" s="561">
        <f t="shared" si="233"/>
        <v>135691262.20244572</v>
      </c>
      <c r="H505">
        <v>2200</v>
      </c>
      <c r="I505">
        <f t="shared" si="234"/>
        <v>282268.79999999999</v>
      </c>
      <c r="N505" s="589" t="s">
        <v>2170</v>
      </c>
      <c r="O505" s="584" t="s">
        <v>2267</v>
      </c>
      <c r="P505" s="571" t="str">
        <f>$D$255</f>
        <v>m³</v>
      </c>
      <c r="Q505" s="568">
        <v>128.304</v>
      </c>
      <c r="R505" s="567">
        <f>$F$255</f>
        <v>1057576.2423809525</v>
      </c>
      <c r="S505" s="561">
        <f t="shared" si="235"/>
        <v>135691262.20244572</v>
      </c>
      <c r="T505">
        <v>2200</v>
      </c>
      <c r="U505">
        <f t="shared" si="236"/>
        <v>282268.79999999999</v>
      </c>
      <c r="V505" s="589" t="s">
        <v>2170</v>
      </c>
      <c r="W505" s="584" t="s">
        <v>2267</v>
      </c>
      <c r="X505" s="571" t="str">
        <f>$D$255</f>
        <v>m³</v>
      </c>
      <c r="Y505" s="568">
        <v>128.304</v>
      </c>
      <c r="Z505" s="567">
        <f>$F$255</f>
        <v>1057576.2423809525</v>
      </c>
      <c r="AA505" s="561">
        <f t="shared" si="237"/>
        <v>135691262.20244572</v>
      </c>
      <c r="AB505">
        <v>2200</v>
      </c>
      <c r="AC505">
        <f t="shared" si="238"/>
        <v>282268.79999999999</v>
      </c>
      <c r="AD505" s="589" t="s">
        <v>2170</v>
      </c>
      <c r="AE505" s="584" t="s">
        <v>2267</v>
      </c>
      <c r="AF505" s="571" t="str">
        <f>$D$255</f>
        <v>m³</v>
      </c>
      <c r="AG505" s="568">
        <v>128.304</v>
      </c>
      <c r="AH505" s="567">
        <f>$F$255</f>
        <v>1057576.2423809525</v>
      </c>
      <c r="AI505" s="561">
        <f t="shared" si="239"/>
        <v>135691262.20244572</v>
      </c>
      <c r="AJ505">
        <v>2200</v>
      </c>
      <c r="AK505">
        <f t="shared" si="240"/>
        <v>282268.79999999999</v>
      </c>
    </row>
    <row r="506" spans="2:37" ht="15" customHeight="1">
      <c r="B506" s="589" t="s">
        <v>2172</v>
      </c>
      <c r="C506" s="584" t="s">
        <v>2243</v>
      </c>
      <c r="D506" s="571" t="str">
        <f>$D$256</f>
        <v>kg</v>
      </c>
      <c r="E506" s="568">
        <v>18913.272000000001</v>
      </c>
      <c r="F506" s="567">
        <f>$F$256</f>
        <v>19478.039350000003</v>
      </c>
      <c r="G506" s="561">
        <f t="shared" si="233"/>
        <v>368393456.25325328</v>
      </c>
      <c r="H506">
        <v>1</v>
      </c>
      <c r="I506">
        <f t="shared" si="234"/>
        <v>18913.272000000001</v>
      </c>
      <c r="N506" s="589" t="s">
        <v>2172</v>
      </c>
      <c r="O506" s="584" t="s">
        <v>2243</v>
      </c>
      <c r="P506" s="571" t="str">
        <f>$D$256</f>
        <v>kg</v>
      </c>
      <c r="Q506" s="568">
        <v>18913.272000000001</v>
      </c>
      <c r="R506" s="567">
        <f>$F$256</f>
        <v>19478.039350000003</v>
      </c>
      <c r="S506" s="561">
        <f t="shared" si="235"/>
        <v>368393456.25325328</v>
      </c>
      <c r="T506">
        <v>1</v>
      </c>
      <c r="U506">
        <f t="shared" si="236"/>
        <v>18913.272000000001</v>
      </c>
      <c r="V506" s="589" t="s">
        <v>2172</v>
      </c>
      <c r="W506" s="584" t="s">
        <v>2243</v>
      </c>
      <c r="X506" s="571" t="str">
        <f>$D$256</f>
        <v>kg</v>
      </c>
      <c r="Y506" s="568">
        <v>18913.272000000001</v>
      </c>
      <c r="Z506" s="567">
        <f>$F$256</f>
        <v>19478.039350000003</v>
      </c>
      <c r="AA506" s="561">
        <f t="shared" si="237"/>
        <v>368393456.25325328</v>
      </c>
      <c r="AB506">
        <v>1</v>
      </c>
      <c r="AC506">
        <f t="shared" si="238"/>
        <v>18913.272000000001</v>
      </c>
      <c r="AD506" s="589" t="s">
        <v>2172</v>
      </c>
      <c r="AE506" s="584" t="s">
        <v>2243</v>
      </c>
      <c r="AF506" s="571" t="str">
        <f>$D$256</f>
        <v>kg</v>
      </c>
      <c r="AG506" s="568">
        <v>18913.272000000001</v>
      </c>
      <c r="AH506" s="567">
        <f>$F$256</f>
        <v>19478.039350000003</v>
      </c>
      <c r="AI506" s="561">
        <f t="shared" si="239"/>
        <v>368393456.25325328</v>
      </c>
      <c r="AJ506">
        <v>1</v>
      </c>
      <c r="AK506">
        <f t="shared" si="240"/>
        <v>18913.272000000001</v>
      </c>
    </row>
    <row r="507" spans="2:37" ht="15" customHeight="1">
      <c r="B507" s="589" t="s">
        <v>2268</v>
      </c>
      <c r="C507" s="584" t="s">
        <v>2244</v>
      </c>
      <c r="D507" s="571" t="str">
        <f>$D$257</f>
        <v>m²</v>
      </c>
      <c r="E507" s="568">
        <v>45.6</v>
      </c>
      <c r="F507" s="567">
        <f>$F$257</f>
        <v>145812.67000000001</v>
      </c>
      <c r="G507" s="561">
        <f t="shared" si="233"/>
        <v>6649057.7520000003</v>
      </c>
      <c r="H507">
        <v>40</v>
      </c>
      <c r="I507">
        <f t="shared" si="234"/>
        <v>1824</v>
      </c>
      <c r="N507" s="589" t="s">
        <v>2268</v>
      </c>
      <c r="O507" s="584" t="s">
        <v>2244</v>
      </c>
      <c r="P507" s="571" t="str">
        <f>$D$257</f>
        <v>m²</v>
      </c>
      <c r="Q507" s="568">
        <v>45.6</v>
      </c>
      <c r="R507" s="567">
        <f>$F$257</f>
        <v>145812.67000000001</v>
      </c>
      <c r="S507" s="561">
        <f t="shared" si="235"/>
        <v>6649057.7520000003</v>
      </c>
      <c r="T507">
        <v>40</v>
      </c>
      <c r="U507">
        <f t="shared" si="236"/>
        <v>1824</v>
      </c>
      <c r="V507" s="589" t="s">
        <v>2268</v>
      </c>
      <c r="W507" s="584" t="s">
        <v>2244</v>
      </c>
      <c r="X507" s="571" t="str">
        <f>$D$257</f>
        <v>m²</v>
      </c>
      <c r="Y507" s="568">
        <v>45.6</v>
      </c>
      <c r="Z507" s="567">
        <f>$F$257</f>
        <v>145812.67000000001</v>
      </c>
      <c r="AA507" s="561">
        <f t="shared" si="237"/>
        <v>6649057.7520000003</v>
      </c>
      <c r="AB507">
        <v>40</v>
      </c>
      <c r="AC507">
        <f t="shared" si="238"/>
        <v>1824</v>
      </c>
      <c r="AD507" s="589" t="s">
        <v>2268</v>
      </c>
      <c r="AE507" s="584" t="s">
        <v>2244</v>
      </c>
      <c r="AF507" s="571" t="str">
        <f>$D$257</f>
        <v>m²</v>
      </c>
      <c r="AG507" s="568">
        <v>45.6</v>
      </c>
      <c r="AH507" s="567">
        <f>$F$257</f>
        <v>145812.67000000001</v>
      </c>
      <c r="AI507" s="561">
        <f t="shared" si="239"/>
        <v>6649057.7520000003</v>
      </c>
      <c r="AJ507">
        <v>40</v>
      </c>
      <c r="AK507">
        <f t="shared" si="240"/>
        <v>1824</v>
      </c>
    </row>
    <row r="508" spans="2:37" ht="15" customHeight="1">
      <c r="B508" s="589" t="s">
        <v>2176</v>
      </c>
      <c r="C508" s="565" t="s">
        <v>2246</v>
      </c>
      <c r="D508" s="571" t="str">
        <f>$D$258</f>
        <v>bh</v>
      </c>
      <c r="E508" s="568">
        <v>4</v>
      </c>
      <c r="F508" s="567">
        <f>$F$258</f>
        <v>100000</v>
      </c>
      <c r="G508" s="561">
        <f t="shared" si="233"/>
        <v>400000</v>
      </c>
      <c r="H508">
        <v>2.5</v>
      </c>
      <c r="I508">
        <f t="shared" si="234"/>
        <v>10</v>
      </c>
      <c r="N508" s="589" t="s">
        <v>2176</v>
      </c>
      <c r="O508" s="565" t="s">
        <v>2246</v>
      </c>
      <c r="P508" s="571" t="str">
        <f>$D$258</f>
        <v>bh</v>
      </c>
      <c r="Q508" s="568">
        <v>4</v>
      </c>
      <c r="R508" s="567">
        <f>$F$258</f>
        <v>100000</v>
      </c>
      <c r="S508" s="561">
        <f t="shared" si="235"/>
        <v>400000</v>
      </c>
      <c r="T508">
        <v>2.5</v>
      </c>
      <c r="U508">
        <f t="shared" si="236"/>
        <v>10</v>
      </c>
      <c r="V508" s="589" t="s">
        <v>2176</v>
      </c>
      <c r="W508" s="565" t="s">
        <v>2246</v>
      </c>
      <c r="X508" s="571" t="str">
        <f>$D$258</f>
        <v>bh</v>
      </c>
      <c r="Y508" s="568">
        <v>4</v>
      </c>
      <c r="Z508" s="567">
        <f>$F$258</f>
        <v>100000</v>
      </c>
      <c r="AA508" s="561">
        <f t="shared" si="237"/>
        <v>400000</v>
      </c>
      <c r="AB508">
        <v>2.5</v>
      </c>
      <c r="AC508">
        <f t="shared" si="238"/>
        <v>10</v>
      </c>
      <c r="AD508" s="589" t="s">
        <v>2176</v>
      </c>
      <c r="AE508" s="565" t="s">
        <v>2246</v>
      </c>
      <c r="AF508" s="571" t="str">
        <f>$D$258</f>
        <v>bh</v>
      </c>
      <c r="AG508" s="568">
        <v>4</v>
      </c>
      <c r="AH508" s="567">
        <f>$F$258</f>
        <v>100000</v>
      </c>
      <c r="AI508" s="561">
        <f t="shared" si="239"/>
        <v>400000</v>
      </c>
      <c r="AJ508">
        <v>2.5</v>
      </c>
      <c r="AK508">
        <f t="shared" si="240"/>
        <v>10</v>
      </c>
    </row>
    <row r="509" spans="2:37" ht="15" customHeight="1">
      <c r="B509" s="589"/>
      <c r="C509" s="584"/>
      <c r="D509" s="571"/>
      <c r="E509" s="566"/>
      <c r="F509" s="567"/>
      <c r="G509" s="561"/>
      <c r="I509">
        <f>SUM(I502:I507)</f>
        <v>397722.07199999999</v>
      </c>
      <c r="N509" s="589"/>
      <c r="O509" s="584"/>
      <c r="P509" s="571"/>
      <c r="Q509" s="566"/>
      <c r="R509" s="567"/>
      <c r="S509" s="561"/>
      <c r="U509">
        <f>SUM(U502:U507)</f>
        <v>397722.07199999999</v>
      </c>
      <c r="V509" s="589"/>
      <c r="W509" s="584"/>
      <c r="X509" s="571"/>
      <c r="Y509" s="566"/>
      <c r="Z509" s="567"/>
      <c r="AA509" s="561"/>
      <c r="AC509">
        <f>SUM(AC502:AC507)</f>
        <v>397722.07199999999</v>
      </c>
      <c r="AD509" s="589"/>
      <c r="AE509" s="584"/>
      <c r="AF509" s="571"/>
      <c r="AG509" s="566"/>
      <c r="AH509" s="567"/>
      <c r="AI509" s="561"/>
      <c r="AK509">
        <f>SUM(AK502:AK507)</f>
        <v>397722.07199999999</v>
      </c>
    </row>
    <row r="510" spans="2:37" ht="15" customHeight="1">
      <c r="B510" s="590">
        <v>3</v>
      </c>
      <c r="C510" s="583" t="s">
        <v>2086</v>
      </c>
      <c r="D510" s="571"/>
      <c r="E510" s="566"/>
      <c r="F510" s="567"/>
      <c r="G510" s="561"/>
      <c r="N510" s="590">
        <v>3</v>
      </c>
      <c r="O510" s="583" t="s">
        <v>2086</v>
      </c>
      <c r="P510" s="571"/>
      <c r="Q510" s="566"/>
      <c r="R510" s="567"/>
      <c r="S510" s="561"/>
      <c r="V510" s="590">
        <v>3</v>
      </c>
      <c r="W510" s="583" t="s">
        <v>2086</v>
      </c>
      <c r="X510" s="571"/>
      <c r="Y510" s="566"/>
      <c r="Z510" s="567"/>
      <c r="AA510" s="561"/>
      <c r="AD510" s="590">
        <v>3</v>
      </c>
      <c r="AE510" s="583" t="s">
        <v>2086</v>
      </c>
      <c r="AF510" s="571"/>
      <c r="AG510" s="566"/>
      <c r="AH510" s="567"/>
      <c r="AI510" s="561"/>
    </row>
    <row r="511" spans="2:37" ht="15" customHeight="1">
      <c r="B511" s="589" t="s">
        <v>721</v>
      </c>
      <c r="C511" s="584" t="s">
        <v>2247</v>
      </c>
      <c r="D511" s="571" t="str">
        <f>$D$261</f>
        <v>bh</v>
      </c>
      <c r="E511" s="568">
        <v>4</v>
      </c>
      <c r="F511" s="567">
        <f>$F$261</f>
        <v>181849.04</v>
      </c>
      <c r="G511" s="561">
        <f t="shared" ref="G511:G516" si="241">E511*F511</f>
        <v>727396.16</v>
      </c>
      <c r="N511" s="589" t="s">
        <v>721</v>
      </c>
      <c r="O511" s="584" t="s">
        <v>2247</v>
      </c>
      <c r="P511" s="571" t="str">
        <f>$D$261</f>
        <v>bh</v>
      </c>
      <c r="Q511" s="568">
        <v>4</v>
      </c>
      <c r="R511" s="567">
        <f>$F$261</f>
        <v>181849.04</v>
      </c>
      <c r="S511" s="561">
        <f t="shared" ref="S511:S516" si="242">Q511*R511</f>
        <v>727396.16</v>
      </c>
      <c r="V511" s="589" t="s">
        <v>721</v>
      </c>
      <c r="W511" s="584" t="s">
        <v>2247</v>
      </c>
      <c r="X511" s="571" t="str">
        <f>$D$261</f>
        <v>bh</v>
      </c>
      <c r="Y511" s="568">
        <v>4</v>
      </c>
      <c r="Z511" s="567">
        <f>$F$261</f>
        <v>181849.04</v>
      </c>
      <c r="AA511" s="561">
        <f t="shared" ref="AA511:AA516" si="243">Y511*Z511</f>
        <v>727396.16</v>
      </c>
      <c r="AD511" s="589" t="s">
        <v>721</v>
      </c>
      <c r="AE511" s="584" t="s">
        <v>2247</v>
      </c>
      <c r="AF511" s="571" t="str">
        <f>$D$261</f>
        <v>bh</v>
      </c>
      <c r="AG511" s="568">
        <v>4</v>
      </c>
      <c r="AH511" s="567">
        <f>$F$261</f>
        <v>181849.04</v>
      </c>
      <c r="AI511" s="561">
        <f t="shared" ref="AI511:AI516" si="244">AG511*AH511</f>
        <v>727396.16</v>
      </c>
    </row>
    <row r="512" spans="2:37" ht="15" customHeight="1">
      <c r="B512" s="589" t="s">
        <v>2166</v>
      </c>
      <c r="C512" s="584" t="s">
        <v>2085</v>
      </c>
      <c r="D512" s="571" t="str">
        <f>$D$262</f>
        <v>kg</v>
      </c>
      <c r="E512" s="568">
        <f>I509</f>
        <v>397722.07199999999</v>
      </c>
      <c r="F512" s="567">
        <f>$F$262</f>
        <v>462.7700000000001</v>
      </c>
      <c r="G512" s="561">
        <f t="shared" si="241"/>
        <v>184053843.25944003</v>
      </c>
      <c r="N512" s="589" t="s">
        <v>2166</v>
      </c>
      <c r="O512" s="584" t="s">
        <v>2085</v>
      </c>
      <c r="P512" s="571" t="str">
        <f>$D$262</f>
        <v>kg</v>
      </c>
      <c r="Q512" s="568">
        <f>U509</f>
        <v>397722.07199999999</v>
      </c>
      <c r="R512" s="567">
        <f>$F$262</f>
        <v>462.7700000000001</v>
      </c>
      <c r="S512" s="561">
        <f t="shared" si="242"/>
        <v>184053843.25944003</v>
      </c>
      <c r="V512" s="589" t="s">
        <v>2166</v>
      </c>
      <c r="W512" s="584" t="s">
        <v>2085</v>
      </c>
      <c r="X512" s="571" t="str">
        <f>$D$262</f>
        <v>kg</v>
      </c>
      <c r="Y512" s="568">
        <f>AC509</f>
        <v>397722.07199999999</v>
      </c>
      <c r="Z512" s="567">
        <f>$F$262</f>
        <v>462.7700000000001</v>
      </c>
      <c r="AA512" s="561">
        <f t="shared" si="243"/>
        <v>184053843.25944003</v>
      </c>
      <c r="AD512" s="589" t="s">
        <v>2166</v>
      </c>
      <c r="AE512" s="584" t="s">
        <v>2085</v>
      </c>
      <c r="AF512" s="571" t="str">
        <f>$D$262</f>
        <v>kg</v>
      </c>
      <c r="AG512" s="568">
        <f>AK509</f>
        <v>397722.07199999999</v>
      </c>
      <c r="AH512" s="567">
        <f>$F$262</f>
        <v>462.7700000000001</v>
      </c>
      <c r="AI512" s="561">
        <f t="shared" si="244"/>
        <v>184053843.25944003</v>
      </c>
    </row>
    <row r="513" spans="2:35" ht="15" customHeight="1">
      <c r="B513" s="589" t="s">
        <v>2168</v>
      </c>
      <c r="C513" s="584" t="s">
        <v>2249</v>
      </c>
      <c r="D513" s="571" t="str">
        <f>$D$263</f>
        <v>bh</v>
      </c>
      <c r="E513" s="568">
        <v>4</v>
      </c>
      <c r="F513" s="567">
        <f>$F$263</f>
        <v>387825</v>
      </c>
      <c r="G513" s="561">
        <f t="shared" si="241"/>
        <v>1551300</v>
      </c>
      <c r="N513" s="589" t="s">
        <v>2168</v>
      </c>
      <c r="O513" s="584" t="s">
        <v>2249</v>
      </c>
      <c r="P513" s="571" t="str">
        <f>$D$263</f>
        <v>bh</v>
      </c>
      <c r="Q513" s="568">
        <v>4</v>
      </c>
      <c r="R513" s="567">
        <f>$F$263</f>
        <v>387825</v>
      </c>
      <c r="S513" s="561">
        <f t="shared" si="242"/>
        <v>1551300</v>
      </c>
      <c r="V513" s="589" t="s">
        <v>2168</v>
      </c>
      <c r="W513" s="584" t="s">
        <v>2249</v>
      </c>
      <c r="X513" s="571" t="str">
        <f>$D$263</f>
        <v>bh</v>
      </c>
      <c r="Y513" s="568">
        <v>4</v>
      </c>
      <c r="Z513" s="567">
        <f>$F$263</f>
        <v>387825</v>
      </c>
      <c r="AA513" s="561">
        <f t="shared" si="243"/>
        <v>1551300</v>
      </c>
      <c r="AD513" s="589" t="s">
        <v>2168</v>
      </c>
      <c r="AE513" s="584" t="s">
        <v>2249</v>
      </c>
      <c r="AF513" s="571" t="str">
        <f>$D$263</f>
        <v>bh</v>
      </c>
      <c r="AG513" s="568">
        <v>4</v>
      </c>
      <c r="AH513" s="567">
        <f>$F$263</f>
        <v>387825</v>
      </c>
      <c r="AI513" s="561">
        <f t="shared" si="244"/>
        <v>1551300</v>
      </c>
    </row>
    <row r="514" spans="2:35" ht="15" customHeight="1">
      <c r="B514" s="589" t="s">
        <v>2170</v>
      </c>
      <c r="C514" s="584" t="s">
        <v>2250</v>
      </c>
      <c r="D514" s="571" t="str">
        <f>$D$264</f>
        <v>kg</v>
      </c>
      <c r="E514" s="568">
        <f>$E$164</f>
        <v>150.93599999999998</v>
      </c>
      <c r="F514" s="567">
        <f>$F$264</f>
        <v>3758.6984549742947</v>
      </c>
      <c r="G514" s="561">
        <f t="shared" si="241"/>
        <v>567322.91</v>
      </c>
      <c r="N514" s="589" t="s">
        <v>2170</v>
      </c>
      <c r="O514" s="584" t="s">
        <v>2250</v>
      </c>
      <c r="P514" s="571" t="str">
        <f>$D$264</f>
        <v>kg</v>
      </c>
      <c r="Q514" s="568">
        <f>$Q$164</f>
        <v>239.61599999999999</v>
      </c>
      <c r="R514" s="567">
        <f>$F$264</f>
        <v>3758.6984549742947</v>
      </c>
      <c r="S514" s="561">
        <f t="shared" si="242"/>
        <v>900644.2889871205</v>
      </c>
      <c r="V514" s="589" t="s">
        <v>2170</v>
      </c>
      <c r="W514" s="584" t="s">
        <v>2269</v>
      </c>
      <c r="X514" s="571" t="str">
        <f>$D$264</f>
        <v>kg</v>
      </c>
      <c r="Y514" s="568">
        <f>$Y$164</f>
        <v>311.47199999999998</v>
      </c>
      <c r="Z514" s="567">
        <f>$F$264</f>
        <v>3758.6984549742947</v>
      </c>
      <c r="AA514" s="561">
        <f t="shared" si="243"/>
        <v>1170729.3251677535</v>
      </c>
      <c r="AD514" s="589" t="s">
        <v>2170</v>
      </c>
      <c r="AE514" s="584" t="s">
        <v>2269</v>
      </c>
      <c r="AF514" s="571" t="str">
        <f>$D$264</f>
        <v>kg</v>
      </c>
      <c r="AG514" s="568">
        <f>$AG$164</f>
        <v>403.17599999999999</v>
      </c>
      <c r="AH514" s="567">
        <f>$F$264</f>
        <v>3758.6984549742947</v>
      </c>
      <c r="AI514" s="561">
        <f t="shared" si="244"/>
        <v>1515417.0082827162</v>
      </c>
    </row>
    <row r="515" spans="2:35" ht="15" customHeight="1">
      <c r="B515" s="589" t="s">
        <v>2172</v>
      </c>
      <c r="C515" s="584" t="s">
        <v>2251</v>
      </c>
      <c r="D515" s="571" t="str">
        <f>$D$265</f>
        <v>set</v>
      </c>
      <c r="E515" s="568">
        <v>1</v>
      </c>
      <c r="F515" s="567">
        <f>$F$265</f>
        <v>855127</v>
      </c>
      <c r="G515" s="561">
        <f t="shared" si="241"/>
        <v>855127</v>
      </c>
      <c r="N515" s="589" t="s">
        <v>2172</v>
      </c>
      <c r="O515" s="584" t="s">
        <v>2251</v>
      </c>
      <c r="P515" s="571" t="str">
        <f>$D$265</f>
        <v>set</v>
      </c>
      <c r="Q515" s="568">
        <v>1</v>
      </c>
      <c r="R515" s="567">
        <f>$F$265</f>
        <v>855127</v>
      </c>
      <c r="S515" s="561">
        <f t="shared" si="242"/>
        <v>855127</v>
      </c>
      <c r="V515" s="589" t="s">
        <v>2172</v>
      </c>
      <c r="W515" s="584" t="s">
        <v>2251</v>
      </c>
      <c r="X515" s="571" t="str">
        <f>$D$265</f>
        <v>set</v>
      </c>
      <c r="Y515" s="568">
        <v>1</v>
      </c>
      <c r="Z515" s="567">
        <f>$F$265</f>
        <v>855127</v>
      </c>
      <c r="AA515" s="561">
        <f t="shared" si="243"/>
        <v>855127</v>
      </c>
      <c r="AD515" s="589" t="s">
        <v>2172</v>
      </c>
      <c r="AE515" s="584" t="s">
        <v>2251</v>
      </c>
      <c r="AF515" s="571" t="str">
        <f>$D$265</f>
        <v>set</v>
      </c>
      <c r="AG515" s="568">
        <v>1</v>
      </c>
      <c r="AH515" s="567">
        <f>$F$265</f>
        <v>855127</v>
      </c>
      <c r="AI515" s="561">
        <f t="shared" si="244"/>
        <v>855127</v>
      </c>
    </row>
    <row r="516" spans="2:35" ht="15" customHeight="1">
      <c r="B516" s="589" t="s">
        <v>2174</v>
      </c>
      <c r="C516" s="584" t="s">
        <v>2252</v>
      </c>
      <c r="D516" s="571" t="str">
        <f>$D$266</f>
        <v>set</v>
      </c>
      <c r="E516" s="568">
        <v>1</v>
      </c>
      <c r="F516" s="567">
        <f>$F$266</f>
        <v>674025</v>
      </c>
      <c r="G516" s="561">
        <f t="shared" si="241"/>
        <v>674025</v>
      </c>
      <c r="N516" s="589" t="s">
        <v>2174</v>
      </c>
      <c r="O516" s="584" t="s">
        <v>2252</v>
      </c>
      <c r="P516" s="571" t="str">
        <f>$D$266</f>
        <v>set</v>
      </c>
      <c r="Q516" s="568">
        <v>1</v>
      </c>
      <c r="R516" s="567">
        <f>$F$266</f>
        <v>674025</v>
      </c>
      <c r="S516" s="561">
        <f t="shared" si="242"/>
        <v>674025</v>
      </c>
      <c r="V516" s="589" t="s">
        <v>2174</v>
      </c>
      <c r="W516" s="584" t="s">
        <v>2252</v>
      </c>
      <c r="X516" s="571" t="str">
        <f>$D$266</f>
        <v>set</v>
      </c>
      <c r="Y516" s="568">
        <v>1</v>
      </c>
      <c r="Z516" s="567">
        <f>$F$266</f>
        <v>674025</v>
      </c>
      <c r="AA516" s="561">
        <f t="shared" si="243"/>
        <v>674025</v>
      </c>
      <c r="AD516" s="589" t="s">
        <v>2174</v>
      </c>
      <c r="AE516" s="584" t="s">
        <v>2252</v>
      </c>
      <c r="AF516" s="571" t="str">
        <f>$D$266</f>
        <v>set</v>
      </c>
      <c r="AG516" s="568">
        <v>1</v>
      </c>
      <c r="AH516" s="567">
        <f>$F$266</f>
        <v>674025</v>
      </c>
      <c r="AI516" s="561">
        <f t="shared" si="244"/>
        <v>674025</v>
      </c>
    </row>
    <row r="517" spans="2:35" ht="15" customHeight="1" thickBot="1">
      <c r="B517" s="582"/>
      <c r="C517" s="1197" t="s">
        <v>2313</v>
      </c>
      <c r="D517" s="1198"/>
      <c r="E517" s="1198"/>
      <c r="F517" s="1199"/>
      <c r="G517" s="560">
        <f>SUM(G496:G516)</f>
        <v>775829737.23688185</v>
      </c>
      <c r="N517" s="582"/>
      <c r="O517" s="1197" t="s">
        <v>2313</v>
      </c>
      <c r="P517" s="1198"/>
      <c r="Q517" s="1198"/>
      <c r="R517" s="1199"/>
      <c r="S517" s="560">
        <f>SUM(S496:S516)</f>
        <v>776163058.61586905</v>
      </c>
      <c r="V517" s="582"/>
      <c r="W517" s="1197" t="s">
        <v>2313</v>
      </c>
      <c r="X517" s="1198"/>
      <c r="Y517" s="1198"/>
      <c r="Z517" s="1199"/>
      <c r="AA517" s="560">
        <f>SUM(AA496:AA516)</f>
        <v>776433143.65204966</v>
      </c>
      <c r="AD517" s="582"/>
      <c r="AE517" s="1197" t="s">
        <v>2313</v>
      </c>
      <c r="AF517" s="1198"/>
      <c r="AG517" s="1198"/>
      <c r="AH517" s="1199"/>
      <c r="AI517" s="560">
        <f>SUM(AI496:AI516)</f>
        <v>776777831.33516455</v>
      </c>
    </row>
    <row r="518" spans="2:35" ht="15" customHeight="1"/>
    <row r="519" spans="2:35" ht="15" customHeight="1"/>
    <row r="520" spans="2:35" ht="15" customHeight="1"/>
    <row r="521" spans="2:35" ht="15" customHeight="1"/>
    <row r="522" spans="2:35" ht="15" customHeight="1"/>
    <row r="523" spans="2:35" ht="15" customHeight="1"/>
    <row r="524" spans="2:35" ht="15" customHeight="1"/>
    <row r="525" spans="2:35" ht="15" customHeight="1"/>
    <row r="526" spans="2:35" ht="15" customHeight="1"/>
    <row r="527" spans="2:35" ht="15" customHeight="1"/>
    <row r="528" spans="2:35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</sheetData>
  <mergeCells count="102">
    <mergeCell ref="C492:F492"/>
    <mergeCell ref="O492:R492"/>
    <mergeCell ref="W492:Z492"/>
    <mergeCell ref="AE492:AH492"/>
    <mergeCell ref="C517:F517"/>
    <mergeCell ref="O517:R517"/>
    <mergeCell ref="W517:Z517"/>
    <mergeCell ref="AE517:AH517"/>
    <mergeCell ref="C442:F442"/>
    <mergeCell ref="O442:R442"/>
    <mergeCell ref="W442:Z442"/>
    <mergeCell ref="AE442:AH442"/>
    <mergeCell ref="C467:F467"/>
    <mergeCell ref="O467:R467"/>
    <mergeCell ref="W467:Z467"/>
    <mergeCell ref="AE467:AH467"/>
    <mergeCell ref="C392:F392"/>
    <mergeCell ref="O392:R392"/>
    <mergeCell ref="W392:Z392"/>
    <mergeCell ref="AE392:AH392"/>
    <mergeCell ref="C417:F417"/>
    <mergeCell ref="O417:R417"/>
    <mergeCell ref="W417:Z417"/>
    <mergeCell ref="AE417:AH417"/>
    <mergeCell ref="C342:F342"/>
    <mergeCell ref="O342:R342"/>
    <mergeCell ref="W342:Z342"/>
    <mergeCell ref="AE342:AH342"/>
    <mergeCell ref="C367:F367"/>
    <mergeCell ref="O367:R367"/>
    <mergeCell ref="W367:Z367"/>
    <mergeCell ref="AE367:AH367"/>
    <mergeCell ref="C292:F292"/>
    <mergeCell ref="O292:R292"/>
    <mergeCell ref="W292:Z292"/>
    <mergeCell ref="AE292:AH292"/>
    <mergeCell ref="C317:F317"/>
    <mergeCell ref="O317:R317"/>
    <mergeCell ref="W317:Z317"/>
    <mergeCell ref="AE317:AH317"/>
    <mergeCell ref="J249:K249"/>
    <mergeCell ref="L249:M249"/>
    <mergeCell ref="C267:F267"/>
    <mergeCell ref="O267:R267"/>
    <mergeCell ref="W267:Z267"/>
    <mergeCell ref="AE267:AH267"/>
    <mergeCell ref="C242:F242"/>
    <mergeCell ref="O242:R242"/>
    <mergeCell ref="W242:Z242"/>
    <mergeCell ref="AE242:AH242"/>
    <mergeCell ref="J248:K248"/>
    <mergeCell ref="L248:M248"/>
    <mergeCell ref="C192:F192"/>
    <mergeCell ref="O192:R192"/>
    <mergeCell ref="W192:Z192"/>
    <mergeCell ref="AE192:AH192"/>
    <mergeCell ref="C217:F217"/>
    <mergeCell ref="O217:R217"/>
    <mergeCell ref="W217:Z217"/>
    <mergeCell ref="AE217:AH217"/>
    <mergeCell ref="C139:F139"/>
    <mergeCell ref="O139:R139"/>
    <mergeCell ref="W139:Z139"/>
    <mergeCell ref="AE139:AH139"/>
    <mergeCell ref="C167:F167"/>
    <mergeCell ref="O167:R167"/>
    <mergeCell ref="W167:Z167"/>
    <mergeCell ref="AE167:AH167"/>
    <mergeCell ref="C93:F93"/>
    <mergeCell ref="O93:R93"/>
    <mergeCell ref="W93:Z93"/>
    <mergeCell ref="AE93:AH93"/>
    <mergeCell ref="C116:F116"/>
    <mergeCell ref="O116:R116"/>
    <mergeCell ref="W116:Z116"/>
    <mergeCell ref="AE116:AH116"/>
    <mergeCell ref="C47:F47"/>
    <mergeCell ref="O47:R47"/>
    <mergeCell ref="W47:Z47"/>
    <mergeCell ref="AE47:AH47"/>
    <mergeCell ref="C70:F70"/>
    <mergeCell ref="O70:R70"/>
    <mergeCell ref="W70:Z70"/>
    <mergeCell ref="AE70:AH70"/>
    <mergeCell ref="P17:Q17"/>
    <mergeCell ref="P18:Q18"/>
    <mergeCell ref="B22:G22"/>
    <mergeCell ref="N22:S22"/>
    <mergeCell ref="V22:AA22"/>
    <mergeCell ref="AD22:AI22"/>
    <mergeCell ref="P11:Q11"/>
    <mergeCell ref="P12:Q12"/>
    <mergeCell ref="P13:Q13"/>
    <mergeCell ref="P14:Q14"/>
    <mergeCell ref="P15:Q15"/>
    <mergeCell ref="P16:Q16"/>
    <mergeCell ref="B1:G1"/>
    <mergeCell ref="B2:G2"/>
    <mergeCell ref="P7:Q7"/>
    <mergeCell ref="P8:Q8"/>
    <mergeCell ref="P9:Q9"/>
    <mergeCell ref="P10:Q10"/>
  </mergeCells>
  <pageMargins left="0.7" right="0.26" top="0.45" bottom="0.33" header="0.17" footer="0.17"/>
  <pageSetup paperSize="9" scale="18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FF00"/>
  </sheetPr>
  <dimension ref="B1:X51"/>
  <sheetViews>
    <sheetView topLeftCell="A22" zoomScale="85" zoomScaleNormal="85" workbookViewId="0">
      <selection activeCell="C37" sqref="C37"/>
    </sheetView>
  </sheetViews>
  <sheetFormatPr defaultRowHeight="15"/>
  <cols>
    <col min="1" max="1" width="4.140625" customWidth="1"/>
    <col min="2" max="2" width="9" customWidth="1"/>
    <col min="3" max="3" width="50.42578125" customWidth="1"/>
    <col min="4" max="4" width="8.7109375" customWidth="1"/>
    <col min="5" max="5" width="13.28515625" customWidth="1"/>
    <col min="6" max="7" width="15.5703125" style="655" customWidth="1"/>
    <col min="8" max="8" width="14.7109375" customWidth="1"/>
    <col min="9" max="9" width="17.5703125" style="634" bestFit="1" customWidth="1"/>
    <col min="10" max="10" width="13.85546875" style="634" customWidth="1"/>
    <col min="11" max="11" width="15.7109375" customWidth="1"/>
    <col min="12" max="12" width="8.7109375" customWidth="1"/>
    <col min="13" max="13" width="23.7109375" customWidth="1"/>
    <col min="17" max="17" width="15.7109375" customWidth="1"/>
    <col min="260" max="260" width="4.140625" customWidth="1"/>
    <col min="261" max="261" width="9" customWidth="1"/>
    <col min="262" max="262" width="46.42578125" bestFit="1" customWidth="1"/>
    <col min="263" max="263" width="8.7109375" customWidth="1"/>
    <col min="264" max="264" width="13.28515625" customWidth="1"/>
    <col min="265" max="265" width="14.7109375" customWidth="1"/>
    <col min="266" max="266" width="16.140625" customWidth="1"/>
    <col min="267" max="267" width="15.42578125" bestFit="1" customWidth="1"/>
    <col min="516" max="516" width="4.140625" customWidth="1"/>
    <col min="517" max="517" width="9" customWidth="1"/>
    <col min="518" max="518" width="46.42578125" bestFit="1" customWidth="1"/>
    <col min="519" max="519" width="8.7109375" customWidth="1"/>
    <col min="520" max="520" width="13.28515625" customWidth="1"/>
    <col min="521" max="521" width="14.7109375" customWidth="1"/>
    <col min="522" max="522" width="16.140625" customWidth="1"/>
    <col min="523" max="523" width="15.42578125" bestFit="1" customWidth="1"/>
    <col min="772" max="772" width="4.140625" customWidth="1"/>
    <col min="773" max="773" width="9" customWidth="1"/>
    <col min="774" max="774" width="46.42578125" bestFit="1" customWidth="1"/>
    <col min="775" max="775" width="8.7109375" customWidth="1"/>
    <col min="776" max="776" width="13.28515625" customWidth="1"/>
    <col min="777" max="777" width="14.7109375" customWidth="1"/>
    <col min="778" max="778" width="16.140625" customWidth="1"/>
    <col min="779" max="779" width="15.42578125" bestFit="1" customWidth="1"/>
    <col min="1028" max="1028" width="4.140625" customWidth="1"/>
    <col min="1029" max="1029" width="9" customWidth="1"/>
    <col min="1030" max="1030" width="46.42578125" bestFit="1" customWidth="1"/>
    <col min="1031" max="1031" width="8.7109375" customWidth="1"/>
    <col min="1032" max="1032" width="13.28515625" customWidth="1"/>
    <col min="1033" max="1033" width="14.7109375" customWidth="1"/>
    <col min="1034" max="1034" width="16.140625" customWidth="1"/>
    <col min="1035" max="1035" width="15.42578125" bestFit="1" customWidth="1"/>
    <col min="1284" max="1284" width="4.140625" customWidth="1"/>
    <col min="1285" max="1285" width="9" customWidth="1"/>
    <col min="1286" max="1286" width="46.42578125" bestFit="1" customWidth="1"/>
    <col min="1287" max="1287" width="8.7109375" customWidth="1"/>
    <col min="1288" max="1288" width="13.28515625" customWidth="1"/>
    <col min="1289" max="1289" width="14.7109375" customWidth="1"/>
    <col min="1290" max="1290" width="16.140625" customWidth="1"/>
    <col min="1291" max="1291" width="15.42578125" bestFit="1" customWidth="1"/>
    <col min="1540" max="1540" width="4.140625" customWidth="1"/>
    <col min="1541" max="1541" width="9" customWidth="1"/>
    <col min="1542" max="1542" width="46.42578125" bestFit="1" customWidth="1"/>
    <col min="1543" max="1543" width="8.7109375" customWidth="1"/>
    <col min="1544" max="1544" width="13.28515625" customWidth="1"/>
    <col min="1545" max="1545" width="14.7109375" customWidth="1"/>
    <col min="1546" max="1546" width="16.140625" customWidth="1"/>
    <col min="1547" max="1547" width="15.42578125" bestFit="1" customWidth="1"/>
    <col min="1796" max="1796" width="4.140625" customWidth="1"/>
    <col min="1797" max="1797" width="9" customWidth="1"/>
    <col min="1798" max="1798" width="46.42578125" bestFit="1" customWidth="1"/>
    <col min="1799" max="1799" width="8.7109375" customWidth="1"/>
    <col min="1800" max="1800" width="13.28515625" customWidth="1"/>
    <col min="1801" max="1801" width="14.7109375" customWidth="1"/>
    <col min="1802" max="1802" width="16.140625" customWidth="1"/>
    <col min="1803" max="1803" width="15.42578125" bestFit="1" customWidth="1"/>
    <col min="2052" max="2052" width="4.140625" customWidth="1"/>
    <col min="2053" max="2053" width="9" customWidth="1"/>
    <col min="2054" max="2054" width="46.42578125" bestFit="1" customWidth="1"/>
    <col min="2055" max="2055" width="8.7109375" customWidth="1"/>
    <col min="2056" max="2056" width="13.28515625" customWidth="1"/>
    <col min="2057" max="2057" width="14.7109375" customWidth="1"/>
    <col min="2058" max="2058" width="16.140625" customWidth="1"/>
    <col min="2059" max="2059" width="15.42578125" bestFit="1" customWidth="1"/>
    <col min="2308" max="2308" width="4.140625" customWidth="1"/>
    <col min="2309" max="2309" width="9" customWidth="1"/>
    <col min="2310" max="2310" width="46.42578125" bestFit="1" customWidth="1"/>
    <col min="2311" max="2311" width="8.7109375" customWidth="1"/>
    <col min="2312" max="2312" width="13.28515625" customWidth="1"/>
    <col min="2313" max="2313" width="14.7109375" customWidth="1"/>
    <col min="2314" max="2314" width="16.140625" customWidth="1"/>
    <col min="2315" max="2315" width="15.42578125" bestFit="1" customWidth="1"/>
    <col min="2564" max="2564" width="4.140625" customWidth="1"/>
    <col min="2565" max="2565" width="9" customWidth="1"/>
    <col min="2566" max="2566" width="46.42578125" bestFit="1" customWidth="1"/>
    <col min="2567" max="2567" width="8.7109375" customWidth="1"/>
    <col min="2568" max="2568" width="13.28515625" customWidth="1"/>
    <col min="2569" max="2569" width="14.7109375" customWidth="1"/>
    <col min="2570" max="2570" width="16.140625" customWidth="1"/>
    <col min="2571" max="2571" width="15.42578125" bestFit="1" customWidth="1"/>
    <col min="2820" max="2820" width="4.140625" customWidth="1"/>
    <col min="2821" max="2821" width="9" customWidth="1"/>
    <col min="2822" max="2822" width="46.42578125" bestFit="1" customWidth="1"/>
    <col min="2823" max="2823" width="8.7109375" customWidth="1"/>
    <col min="2824" max="2824" width="13.28515625" customWidth="1"/>
    <col min="2825" max="2825" width="14.7109375" customWidth="1"/>
    <col min="2826" max="2826" width="16.140625" customWidth="1"/>
    <col min="2827" max="2827" width="15.42578125" bestFit="1" customWidth="1"/>
    <col min="3076" max="3076" width="4.140625" customWidth="1"/>
    <col min="3077" max="3077" width="9" customWidth="1"/>
    <col min="3078" max="3078" width="46.42578125" bestFit="1" customWidth="1"/>
    <col min="3079" max="3079" width="8.7109375" customWidth="1"/>
    <col min="3080" max="3080" width="13.28515625" customWidth="1"/>
    <col min="3081" max="3081" width="14.7109375" customWidth="1"/>
    <col min="3082" max="3082" width="16.140625" customWidth="1"/>
    <col min="3083" max="3083" width="15.42578125" bestFit="1" customWidth="1"/>
    <col min="3332" max="3332" width="4.140625" customWidth="1"/>
    <col min="3333" max="3333" width="9" customWidth="1"/>
    <col min="3334" max="3334" width="46.42578125" bestFit="1" customWidth="1"/>
    <col min="3335" max="3335" width="8.7109375" customWidth="1"/>
    <col min="3336" max="3336" width="13.28515625" customWidth="1"/>
    <col min="3337" max="3337" width="14.7109375" customWidth="1"/>
    <col min="3338" max="3338" width="16.140625" customWidth="1"/>
    <col min="3339" max="3339" width="15.42578125" bestFit="1" customWidth="1"/>
    <col min="3588" max="3588" width="4.140625" customWidth="1"/>
    <col min="3589" max="3589" width="9" customWidth="1"/>
    <col min="3590" max="3590" width="46.42578125" bestFit="1" customWidth="1"/>
    <col min="3591" max="3591" width="8.7109375" customWidth="1"/>
    <col min="3592" max="3592" width="13.28515625" customWidth="1"/>
    <col min="3593" max="3593" width="14.7109375" customWidth="1"/>
    <col min="3594" max="3594" width="16.140625" customWidth="1"/>
    <col min="3595" max="3595" width="15.42578125" bestFit="1" customWidth="1"/>
    <col min="3844" max="3844" width="4.140625" customWidth="1"/>
    <col min="3845" max="3845" width="9" customWidth="1"/>
    <col min="3846" max="3846" width="46.42578125" bestFit="1" customWidth="1"/>
    <col min="3847" max="3847" width="8.7109375" customWidth="1"/>
    <col min="3848" max="3848" width="13.28515625" customWidth="1"/>
    <col min="3849" max="3849" width="14.7109375" customWidth="1"/>
    <col min="3850" max="3850" width="16.140625" customWidth="1"/>
    <col min="3851" max="3851" width="15.42578125" bestFit="1" customWidth="1"/>
    <col min="4100" max="4100" width="4.140625" customWidth="1"/>
    <col min="4101" max="4101" width="9" customWidth="1"/>
    <col min="4102" max="4102" width="46.42578125" bestFit="1" customWidth="1"/>
    <col min="4103" max="4103" width="8.7109375" customWidth="1"/>
    <col min="4104" max="4104" width="13.28515625" customWidth="1"/>
    <col min="4105" max="4105" width="14.7109375" customWidth="1"/>
    <col min="4106" max="4106" width="16.140625" customWidth="1"/>
    <col min="4107" max="4107" width="15.42578125" bestFit="1" customWidth="1"/>
    <col min="4356" max="4356" width="4.140625" customWidth="1"/>
    <col min="4357" max="4357" width="9" customWidth="1"/>
    <col min="4358" max="4358" width="46.42578125" bestFit="1" customWidth="1"/>
    <col min="4359" max="4359" width="8.7109375" customWidth="1"/>
    <col min="4360" max="4360" width="13.28515625" customWidth="1"/>
    <col min="4361" max="4361" width="14.7109375" customWidth="1"/>
    <col min="4362" max="4362" width="16.140625" customWidth="1"/>
    <col min="4363" max="4363" width="15.42578125" bestFit="1" customWidth="1"/>
    <col min="4612" max="4612" width="4.140625" customWidth="1"/>
    <col min="4613" max="4613" width="9" customWidth="1"/>
    <col min="4614" max="4614" width="46.42578125" bestFit="1" customWidth="1"/>
    <col min="4615" max="4615" width="8.7109375" customWidth="1"/>
    <col min="4616" max="4616" width="13.28515625" customWidth="1"/>
    <col min="4617" max="4617" width="14.7109375" customWidth="1"/>
    <col min="4618" max="4618" width="16.140625" customWidth="1"/>
    <col min="4619" max="4619" width="15.42578125" bestFit="1" customWidth="1"/>
    <col min="4868" max="4868" width="4.140625" customWidth="1"/>
    <col min="4869" max="4869" width="9" customWidth="1"/>
    <col min="4870" max="4870" width="46.42578125" bestFit="1" customWidth="1"/>
    <col min="4871" max="4871" width="8.7109375" customWidth="1"/>
    <col min="4872" max="4872" width="13.28515625" customWidth="1"/>
    <col min="4873" max="4873" width="14.7109375" customWidth="1"/>
    <col min="4874" max="4874" width="16.140625" customWidth="1"/>
    <col min="4875" max="4875" width="15.42578125" bestFit="1" customWidth="1"/>
    <col min="5124" max="5124" width="4.140625" customWidth="1"/>
    <col min="5125" max="5125" width="9" customWidth="1"/>
    <col min="5126" max="5126" width="46.42578125" bestFit="1" customWidth="1"/>
    <col min="5127" max="5127" width="8.7109375" customWidth="1"/>
    <col min="5128" max="5128" width="13.28515625" customWidth="1"/>
    <col min="5129" max="5129" width="14.7109375" customWidth="1"/>
    <col min="5130" max="5130" width="16.140625" customWidth="1"/>
    <col min="5131" max="5131" width="15.42578125" bestFit="1" customWidth="1"/>
    <col min="5380" max="5380" width="4.140625" customWidth="1"/>
    <col min="5381" max="5381" width="9" customWidth="1"/>
    <col min="5382" max="5382" width="46.42578125" bestFit="1" customWidth="1"/>
    <col min="5383" max="5383" width="8.7109375" customWidth="1"/>
    <col min="5384" max="5384" width="13.28515625" customWidth="1"/>
    <col min="5385" max="5385" width="14.7109375" customWidth="1"/>
    <col min="5386" max="5386" width="16.140625" customWidth="1"/>
    <col min="5387" max="5387" width="15.42578125" bestFit="1" customWidth="1"/>
    <col min="5636" max="5636" width="4.140625" customWidth="1"/>
    <col min="5637" max="5637" width="9" customWidth="1"/>
    <col min="5638" max="5638" width="46.42578125" bestFit="1" customWidth="1"/>
    <col min="5639" max="5639" width="8.7109375" customWidth="1"/>
    <col min="5640" max="5640" width="13.28515625" customWidth="1"/>
    <col min="5641" max="5641" width="14.7109375" customWidth="1"/>
    <col min="5642" max="5642" width="16.140625" customWidth="1"/>
    <col min="5643" max="5643" width="15.42578125" bestFit="1" customWidth="1"/>
    <col min="5892" max="5892" width="4.140625" customWidth="1"/>
    <col min="5893" max="5893" width="9" customWidth="1"/>
    <col min="5894" max="5894" width="46.42578125" bestFit="1" customWidth="1"/>
    <col min="5895" max="5895" width="8.7109375" customWidth="1"/>
    <col min="5896" max="5896" width="13.28515625" customWidth="1"/>
    <col min="5897" max="5897" width="14.7109375" customWidth="1"/>
    <col min="5898" max="5898" width="16.140625" customWidth="1"/>
    <col min="5899" max="5899" width="15.42578125" bestFit="1" customWidth="1"/>
    <col min="6148" max="6148" width="4.140625" customWidth="1"/>
    <col min="6149" max="6149" width="9" customWidth="1"/>
    <col min="6150" max="6150" width="46.42578125" bestFit="1" customWidth="1"/>
    <col min="6151" max="6151" width="8.7109375" customWidth="1"/>
    <col min="6152" max="6152" width="13.28515625" customWidth="1"/>
    <col min="6153" max="6153" width="14.7109375" customWidth="1"/>
    <col min="6154" max="6154" width="16.140625" customWidth="1"/>
    <col min="6155" max="6155" width="15.42578125" bestFit="1" customWidth="1"/>
    <col min="6404" max="6404" width="4.140625" customWidth="1"/>
    <col min="6405" max="6405" width="9" customWidth="1"/>
    <col min="6406" max="6406" width="46.42578125" bestFit="1" customWidth="1"/>
    <col min="6407" max="6407" width="8.7109375" customWidth="1"/>
    <col min="6408" max="6408" width="13.28515625" customWidth="1"/>
    <col min="6409" max="6409" width="14.7109375" customWidth="1"/>
    <col min="6410" max="6410" width="16.140625" customWidth="1"/>
    <col min="6411" max="6411" width="15.42578125" bestFit="1" customWidth="1"/>
    <col min="6660" max="6660" width="4.140625" customWidth="1"/>
    <col min="6661" max="6661" width="9" customWidth="1"/>
    <col min="6662" max="6662" width="46.42578125" bestFit="1" customWidth="1"/>
    <col min="6663" max="6663" width="8.7109375" customWidth="1"/>
    <col min="6664" max="6664" width="13.28515625" customWidth="1"/>
    <col min="6665" max="6665" width="14.7109375" customWidth="1"/>
    <col min="6666" max="6666" width="16.140625" customWidth="1"/>
    <col min="6667" max="6667" width="15.42578125" bestFit="1" customWidth="1"/>
    <col min="6916" max="6916" width="4.140625" customWidth="1"/>
    <col min="6917" max="6917" width="9" customWidth="1"/>
    <col min="6918" max="6918" width="46.42578125" bestFit="1" customWidth="1"/>
    <col min="6919" max="6919" width="8.7109375" customWidth="1"/>
    <col min="6920" max="6920" width="13.28515625" customWidth="1"/>
    <col min="6921" max="6921" width="14.7109375" customWidth="1"/>
    <col min="6922" max="6922" width="16.140625" customWidth="1"/>
    <col min="6923" max="6923" width="15.42578125" bestFit="1" customWidth="1"/>
    <col min="7172" max="7172" width="4.140625" customWidth="1"/>
    <col min="7173" max="7173" width="9" customWidth="1"/>
    <col min="7174" max="7174" width="46.42578125" bestFit="1" customWidth="1"/>
    <col min="7175" max="7175" width="8.7109375" customWidth="1"/>
    <col min="7176" max="7176" width="13.28515625" customWidth="1"/>
    <col min="7177" max="7177" width="14.7109375" customWidth="1"/>
    <col min="7178" max="7178" width="16.140625" customWidth="1"/>
    <col min="7179" max="7179" width="15.42578125" bestFit="1" customWidth="1"/>
    <col min="7428" max="7428" width="4.140625" customWidth="1"/>
    <col min="7429" max="7429" width="9" customWidth="1"/>
    <col min="7430" max="7430" width="46.42578125" bestFit="1" customWidth="1"/>
    <col min="7431" max="7431" width="8.7109375" customWidth="1"/>
    <col min="7432" max="7432" width="13.28515625" customWidth="1"/>
    <col min="7433" max="7433" width="14.7109375" customWidth="1"/>
    <col min="7434" max="7434" width="16.140625" customWidth="1"/>
    <col min="7435" max="7435" width="15.42578125" bestFit="1" customWidth="1"/>
    <col min="7684" max="7684" width="4.140625" customWidth="1"/>
    <col min="7685" max="7685" width="9" customWidth="1"/>
    <col min="7686" max="7686" width="46.42578125" bestFit="1" customWidth="1"/>
    <col min="7687" max="7687" width="8.7109375" customWidth="1"/>
    <col min="7688" max="7688" width="13.28515625" customWidth="1"/>
    <col min="7689" max="7689" width="14.7109375" customWidth="1"/>
    <col min="7690" max="7690" width="16.140625" customWidth="1"/>
    <col min="7691" max="7691" width="15.42578125" bestFit="1" customWidth="1"/>
    <col min="7940" max="7940" width="4.140625" customWidth="1"/>
    <col min="7941" max="7941" width="9" customWidth="1"/>
    <col min="7942" max="7942" width="46.42578125" bestFit="1" customWidth="1"/>
    <col min="7943" max="7943" width="8.7109375" customWidth="1"/>
    <col min="7944" max="7944" width="13.28515625" customWidth="1"/>
    <col min="7945" max="7945" width="14.7109375" customWidth="1"/>
    <col min="7946" max="7946" width="16.140625" customWidth="1"/>
    <col min="7947" max="7947" width="15.42578125" bestFit="1" customWidth="1"/>
    <col min="8196" max="8196" width="4.140625" customWidth="1"/>
    <col min="8197" max="8197" width="9" customWidth="1"/>
    <col min="8198" max="8198" width="46.42578125" bestFit="1" customWidth="1"/>
    <col min="8199" max="8199" width="8.7109375" customWidth="1"/>
    <col min="8200" max="8200" width="13.28515625" customWidth="1"/>
    <col min="8201" max="8201" width="14.7109375" customWidth="1"/>
    <col min="8202" max="8202" width="16.140625" customWidth="1"/>
    <col min="8203" max="8203" width="15.42578125" bestFit="1" customWidth="1"/>
    <col min="8452" max="8452" width="4.140625" customWidth="1"/>
    <col min="8453" max="8453" width="9" customWidth="1"/>
    <col min="8454" max="8454" width="46.42578125" bestFit="1" customWidth="1"/>
    <col min="8455" max="8455" width="8.7109375" customWidth="1"/>
    <col min="8456" max="8456" width="13.28515625" customWidth="1"/>
    <col min="8457" max="8457" width="14.7109375" customWidth="1"/>
    <col min="8458" max="8458" width="16.140625" customWidth="1"/>
    <col min="8459" max="8459" width="15.42578125" bestFit="1" customWidth="1"/>
    <col min="8708" max="8708" width="4.140625" customWidth="1"/>
    <col min="8709" max="8709" width="9" customWidth="1"/>
    <col min="8710" max="8710" width="46.42578125" bestFit="1" customWidth="1"/>
    <col min="8711" max="8711" width="8.7109375" customWidth="1"/>
    <col min="8712" max="8712" width="13.28515625" customWidth="1"/>
    <col min="8713" max="8713" width="14.7109375" customWidth="1"/>
    <col min="8714" max="8714" width="16.140625" customWidth="1"/>
    <col min="8715" max="8715" width="15.42578125" bestFit="1" customWidth="1"/>
    <col min="8964" max="8964" width="4.140625" customWidth="1"/>
    <col min="8965" max="8965" width="9" customWidth="1"/>
    <col min="8966" max="8966" width="46.42578125" bestFit="1" customWidth="1"/>
    <col min="8967" max="8967" width="8.7109375" customWidth="1"/>
    <col min="8968" max="8968" width="13.28515625" customWidth="1"/>
    <col min="8969" max="8969" width="14.7109375" customWidth="1"/>
    <col min="8970" max="8970" width="16.140625" customWidth="1"/>
    <col min="8971" max="8971" width="15.42578125" bestFit="1" customWidth="1"/>
    <col min="9220" max="9220" width="4.140625" customWidth="1"/>
    <col min="9221" max="9221" width="9" customWidth="1"/>
    <col min="9222" max="9222" width="46.42578125" bestFit="1" customWidth="1"/>
    <col min="9223" max="9223" width="8.7109375" customWidth="1"/>
    <col min="9224" max="9224" width="13.28515625" customWidth="1"/>
    <col min="9225" max="9225" width="14.7109375" customWidth="1"/>
    <col min="9226" max="9226" width="16.140625" customWidth="1"/>
    <col min="9227" max="9227" width="15.42578125" bestFit="1" customWidth="1"/>
    <col min="9476" max="9476" width="4.140625" customWidth="1"/>
    <col min="9477" max="9477" width="9" customWidth="1"/>
    <col min="9478" max="9478" width="46.42578125" bestFit="1" customWidth="1"/>
    <col min="9479" max="9479" width="8.7109375" customWidth="1"/>
    <col min="9480" max="9480" width="13.28515625" customWidth="1"/>
    <col min="9481" max="9481" width="14.7109375" customWidth="1"/>
    <col min="9482" max="9482" width="16.140625" customWidth="1"/>
    <col min="9483" max="9483" width="15.42578125" bestFit="1" customWidth="1"/>
    <col min="9732" max="9732" width="4.140625" customWidth="1"/>
    <col min="9733" max="9733" width="9" customWidth="1"/>
    <col min="9734" max="9734" width="46.42578125" bestFit="1" customWidth="1"/>
    <col min="9735" max="9735" width="8.7109375" customWidth="1"/>
    <col min="9736" max="9736" width="13.28515625" customWidth="1"/>
    <col min="9737" max="9737" width="14.7109375" customWidth="1"/>
    <col min="9738" max="9738" width="16.140625" customWidth="1"/>
    <col min="9739" max="9739" width="15.42578125" bestFit="1" customWidth="1"/>
    <col min="9988" max="9988" width="4.140625" customWidth="1"/>
    <col min="9989" max="9989" width="9" customWidth="1"/>
    <col min="9990" max="9990" width="46.42578125" bestFit="1" customWidth="1"/>
    <col min="9991" max="9991" width="8.7109375" customWidth="1"/>
    <col min="9992" max="9992" width="13.28515625" customWidth="1"/>
    <col min="9993" max="9993" width="14.7109375" customWidth="1"/>
    <col min="9994" max="9994" width="16.140625" customWidth="1"/>
    <col min="9995" max="9995" width="15.42578125" bestFit="1" customWidth="1"/>
    <col min="10244" max="10244" width="4.140625" customWidth="1"/>
    <col min="10245" max="10245" width="9" customWidth="1"/>
    <col min="10246" max="10246" width="46.42578125" bestFit="1" customWidth="1"/>
    <col min="10247" max="10247" width="8.7109375" customWidth="1"/>
    <col min="10248" max="10248" width="13.28515625" customWidth="1"/>
    <col min="10249" max="10249" width="14.7109375" customWidth="1"/>
    <col min="10250" max="10250" width="16.140625" customWidth="1"/>
    <col min="10251" max="10251" width="15.42578125" bestFit="1" customWidth="1"/>
    <col min="10500" max="10500" width="4.140625" customWidth="1"/>
    <col min="10501" max="10501" width="9" customWidth="1"/>
    <col min="10502" max="10502" width="46.42578125" bestFit="1" customWidth="1"/>
    <col min="10503" max="10503" width="8.7109375" customWidth="1"/>
    <col min="10504" max="10504" width="13.28515625" customWidth="1"/>
    <col min="10505" max="10505" width="14.7109375" customWidth="1"/>
    <col min="10506" max="10506" width="16.140625" customWidth="1"/>
    <col min="10507" max="10507" width="15.42578125" bestFit="1" customWidth="1"/>
    <col min="10756" max="10756" width="4.140625" customWidth="1"/>
    <col min="10757" max="10757" width="9" customWidth="1"/>
    <col min="10758" max="10758" width="46.42578125" bestFit="1" customWidth="1"/>
    <col min="10759" max="10759" width="8.7109375" customWidth="1"/>
    <col min="10760" max="10760" width="13.28515625" customWidth="1"/>
    <col min="10761" max="10761" width="14.7109375" customWidth="1"/>
    <col min="10762" max="10762" width="16.140625" customWidth="1"/>
    <col min="10763" max="10763" width="15.42578125" bestFit="1" customWidth="1"/>
    <col min="11012" max="11012" width="4.140625" customWidth="1"/>
    <col min="11013" max="11013" width="9" customWidth="1"/>
    <col min="11014" max="11014" width="46.42578125" bestFit="1" customWidth="1"/>
    <col min="11015" max="11015" width="8.7109375" customWidth="1"/>
    <col min="11016" max="11016" width="13.28515625" customWidth="1"/>
    <col min="11017" max="11017" width="14.7109375" customWidth="1"/>
    <col min="11018" max="11018" width="16.140625" customWidth="1"/>
    <col min="11019" max="11019" width="15.42578125" bestFit="1" customWidth="1"/>
    <col min="11268" max="11268" width="4.140625" customWidth="1"/>
    <col min="11269" max="11269" width="9" customWidth="1"/>
    <col min="11270" max="11270" width="46.42578125" bestFit="1" customWidth="1"/>
    <col min="11271" max="11271" width="8.7109375" customWidth="1"/>
    <col min="11272" max="11272" width="13.28515625" customWidth="1"/>
    <col min="11273" max="11273" width="14.7109375" customWidth="1"/>
    <col min="11274" max="11274" width="16.140625" customWidth="1"/>
    <col min="11275" max="11275" width="15.42578125" bestFit="1" customWidth="1"/>
    <col min="11524" max="11524" width="4.140625" customWidth="1"/>
    <col min="11525" max="11525" width="9" customWidth="1"/>
    <col min="11526" max="11526" width="46.42578125" bestFit="1" customWidth="1"/>
    <col min="11527" max="11527" width="8.7109375" customWidth="1"/>
    <col min="11528" max="11528" width="13.28515625" customWidth="1"/>
    <col min="11529" max="11529" width="14.7109375" customWidth="1"/>
    <col min="11530" max="11530" width="16.140625" customWidth="1"/>
    <col min="11531" max="11531" width="15.42578125" bestFit="1" customWidth="1"/>
    <col min="11780" max="11780" width="4.140625" customWidth="1"/>
    <col min="11781" max="11781" width="9" customWidth="1"/>
    <col min="11782" max="11782" width="46.42578125" bestFit="1" customWidth="1"/>
    <col min="11783" max="11783" width="8.7109375" customWidth="1"/>
    <col min="11784" max="11784" width="13.28515625" customWidth="1"/>
    <col min="11785" max="11785" width="14.7109375" customWidth="1"/>
    <col min="11786" max="11786" width="16.140625" customWidth="1"/>
    <col min="11787" max="11787" width="15.42578125" bestFit="1" customWidth="1"/>
    <col min="12036" max="12036" width="4.140625" customWidth="1"/>
    <col min="12037" max="12037" width="9" customWidth="1"/>
    <col min="12038" max="12038" width="46.42578125" bestFit="1" customWidth="1"/>
    <col min="12039" max="12039" width="8.7109375" customWidth="1"/>
    <col min="12040" max="12040" width="13.28515625" customWidth="1"/>
    <col min="12041" max="12041" width="14.7109375" customWidth="1"/>
    <col min="12042" max="12042" width="16.140625" customWidth="1"/>
    <col min="12043" max="12043" width="15.42578125" bestFit="1" customWidth="1"/>
    <col min="12292" max="12292" width="4.140625" customWidth="1"/>
    <col min="12293" max="12293" width="9" customWidth="1"/>
    <col min="12294" max="12294" width="46.42578125" bestFit="1" customWidth="1"/>
    <col min="12295" max="12295" width="8.7109375" customWidth="1"/>
    <col min="12296" max="12296" width="13.28515625" customWidth="1"/>
    <col min="12297" max="12297" width="14.7109375" customWidth="1"/>
    <col min="12298" max="12298" width="16.140625" customWidth="1"/>
    <col min="12299" max="12299" width="15.42578125" bestFit="1" customWidth="1"/>
    <col min="12548" max="12548" width="4.140625" customWidth="1"/>
    <col min="12549" max="12549" width="9" customWidth="1"/>
    <col min="12550" max="12550" width="46.42578125" bestFit="1" customWidth="1"/>
    <col min="12551" max="12551" width="8.7109375" customWidth="1"/>
    <col min="12552" max="12552" width="13.28515625" customWidth="1"/>
    <col min="12553" max="12553" width="14.7109375" customWidth="1"/>
    <col min="12554" max="12554" width="16.140625" customWidth="1"/>
    <col min="12555" max="12555" width="15.42578125" bestFit="1" customWidth="1"/>
    <col min="12804" max="12804" width="4.140625" customWidth="1"/>
    <col min="12805" max="12805" width="9" customWidth="1"/>
    <col min="12806" max="12806" width="46.42578125" bestFit="1" customWidth="1"/>
    <col min="12807" max="12807" width="8.7109375" customWidth="1"/>
    <col min="12808" max="12808" width="13.28515625" customWidth="1"/>
    <col min="12809" max="12809" width="14.7109375" customWidth="1"/>
    <col min="12810" max="12810" width="16.140625" customWidth="1"/>
    <col min="12811" max="12811" width="15.42578125" bestFit="1" customWidth="1"/>
    <col min="13060" max="13060" width="4.140625" customWidth="1"/>
    <col min="13061" max="13061" width="9" customWidth="1"/>
    <col min="13062" max="13062" width="46.42578125" bestFit="1" customWidth="1"/>
    <col min="13063" max="13063" width="8.7109375" customWidth="1"/>
    <col min="13064" max="13064" width="13.28515625" customWidth="1"/>
    <col min="13065" max="13065" width="14.7109375" customWidth="1"/>
    <col min="13066" max="13066" width="16.140625" customWidth="1"/>
    <col min="13067" max="13067" width="15.42578125" bestFit="1" customWidth="1"/>
    <col min="13316" max="13316" width="4.140625" customWidth="1"/>
    <col min="13317" max="13317" width="9" customWidth="1"/>
    <col min="13318" max="13318" width="46.42578125" bestFit="1" customWidth="1"/>
    <col min="13319" max="13319" width="8.7109375" customWidth="1"/>
    <col min="13320" max="13320" width="13.28515625" customWidth="1"/>
    <col min="13321" max="13321" width="14.7109375" customWidth="1"/>
    <col min="13322" max="13322" width="16.140625" customWidth="1"/>
    <col min="13323" max="13323" width="15.42578125" bestFit="1" customWidth="1"/>
    <col min="13572" max="13572" width="4.140625" customWidth="1"/>
    <col min="13573" max="13573" width="9" customWidth="1"/>
    <col min="13574" max="13574" width="46.42578125" bestFit="1" customWidth="1"/>
    <col min="13575" max="13575" width="8.7109375" customWidth="1"/>
    <col min="13576" max="13576" width="13.28515625" customWidth="1"/>
    <col min="13577" max="13577" width="14.7109375" customWidth="1"/>
    <col min="13578" max="13578" width="16.140625" customWidth="1"/>
    <col min="13579" max="13579" width="15.42578125" bestFit="1" customWidth="1"/>
    <col min="13828" max="13828" width="4.140625" customWidth="1"/>
    <col min="13829" max="13829" width="9" customWidth="1"/>
    <col min="13830" max="13830" width="46.42578125" bestFit="1" customWidth="1"/>
    <col min="13831" max="13831" width="8.7109375" customWidth="1"/>
    <col min="13832" max="13832" width="13.28515625" customWidth="1"/>
    <col min="13833" max="13833" width="14.7109375" customWidth="1"/>
    <col min="13834" max="13834" width="16.140625" customWidth="1"/>
    <col min="13835" max="13835" width="15.42578125" bestFit="1" customWidth="1"/>
    <col min="14084" max="14084" width="4.140625" customWidth="1"/>
    <col min="14085" max="14085" width="9" customWidth="1"/>
    <col min="14086" max="14086" width="46.42578125" bestFit="1" customWidth="1"/>
    <col min="14087" max="14087" width="8.7109375" customWidth="1"/>
    <col min="14088" max="14088" width="13.28515625" customWidth="1"/>
    <col min="14089" max="14089" width="14.7109375" customWidth="1"/>
    <col min="14090" max="14090" width="16.140625" customWidth="1"/>
    <col min="14091" max="14091" width="15.42578125" bestFit="1" customWidth="1"/>
    <col min="14340" max="14340" width="4.140625" customWidth="1"/>
    <col min="14341" max="14341" width="9" customWidth="1"/>
    <col min="14342" max="14342" width="46.42578125" bestFit="1" customWidth="1"/>
    <col min="14343" max="14343" width="8.7109375" customWidth="1"/>
    <col min="14344" max="14344" width="13.28515625" customWidth="1"/>
    <col min="14345" max="14345" width="14.7109375" customWidth="1"/>
    <col min="14346" max="14346" width="16.140625" customWidth="1"/>
    <col min="14347" max="14347" width="15.42578125" bestFit="1" customWidth="1"/>
    <col min="14596" max="14596" width="4.140625" customWidth="1"/>
    <col min="14597" max="14597" width="9" customWidth="1"/>
    <col min="14598" max="14598" width="46.42578125" bestFit="1" customWidth="1"/>
    <col min="14599" max="14599" width="8.7109375" customWidth="1"/>
    <col min="14600" max="14600" width="13.28515625" customWidth="1"/>
    <col min="14601" max="14601" width="14.7109375" customWidth="1"/>
    <col min="14602" max="14602" width="16.140625" customWidth="1"/>
    <col min="14603" max="14603" width="15.42578125" bestFit="1" customWidth="1"/>
    <col min="14852" max="14852" width="4.140625" customWidth="1"/>
    <col min="14853" max="14853" width="9" customWidth="1"/>
    <col min="14854" max="14854" width="46.42578125" bestFit="1" customWidth="1"/>
    <col min="14855" max="14855" width="8.7109375" customWidth="1"/>
    <col min="14856" max="14856" width="13.28515625" customWidth="1"/>
    <col min="14857" max="14857" width="14.7109375" customWidth="1"/>
    <col min="14858" max="14858" width="16.140625" customWidth="1"/>
    <col min="14859" max="14859" width="15.42578125" bestFit="1" customWidth="1"/>
    <col min="15108" max="15108" width="4.140625" customWidth="1"/>
    <col min="15109" max="15109" width="9" customWidth="1"/>
    <col min="15110" max="15110" width="46.42578125" bestFit="1" customWidth="1"/>
    <col min="15111" max="15111" width="8.7109375" customWidth="1"/>
    <col min="15112" max="15112" width="13.28515625" customWidth="1"/>
    <col min="15113" max="15113" width="14.7109375" customWidth="1"/>
    <col min="15114" max="15114" width="16.140625" customWidth="1"/>
    <col min="15115" max="15115" width="15.42578125" bestFit="1" customWidth="1"/>
    <col min="15364" max="15364" width="4.140625" customWidth="1"/>
    <col min="15365" max="15365" width="9" customWidth="1"/>
    <col min="15366" max="15366" width="46.42578125" bestFit="1" customWidth="1"/>
    <col min="15367" max="15367" width="8.7109375" customWidth="1"/>
    <col min="15368" max="15368" width="13.28515625" customWidth="1"/>
    <col min="15369" max="15369" width="14.7109375" customWidth="1"/>
    <col min="15370" max="15370" width="16.140625" customWidth="1"/>
    <col min="15371" max="15371" width="15.42578125" bestFit="1" customWidth="1"/>
    <col min="15620" max="15620" width="4.140625" customWidth="1"/>
    <col min="15621" max="15621" width="9" customWidth="1"/>
    <col min="15622" max="15622" width="46.42578125" bestFit="1" customWidth="1"/>
    <col min="15623" max="15623" width="8.7109375" customWidth="1"/>
    <col min="15624" max="15624" width="13.28515625" customWidth="1"/>
    <col min="15625" max="15625" width="14.7109375" customWidth="1"/>
    <col min="15626" max="15626" width="16.140625" customWidth="1"/>
    <col min="15627" max="15627" width="15.42578125" bestFit="1" customWidth="1"/>
    <col min="15876" max="15876" width="4.140625" customWidth="1"/>
    <col min="15877" max="15877" width="9" customWidth="1"/>
    <col min="15878" max="15878" width="46.42578125" bestFit="1" customWidth="1"/>
    <col min="15879" max="15879" width="8.7109375" customWidth="1"/>
    <col min="15880" max="15880" width="13.28515625" customWidth="1"/>
    <col min="15881" max="15881" width="14.7109375" customWidth="1"/>
    <col min="15882" max="15882" width="16.140625" customWidth="1"/>
    <col min="15883" max="15883" width="15.42578125" bestFit="1" customWidth="1"/>
    <col min="16132" max="16132" width="4.140625" customWidth="1"/>
    <col min="16133" max="16133" width="9" customWidth="1"/>
    <col min="16134" max="16134" width="46.42578125" bestFit="1" customWidth="1"/>
    <col min="16135" max="16135" width="8.7109375" customWidth="1"/>
    <col min="16136" max="16136" width="13.28515625" customWidth="1"/>
    <col min="16137" max="16137" width="14.7109375" customWidth="1"/>
    <col min="16138" max="16138" width="16.140625" customWidth="1"/>
    <col min="16139" max="16139" width="15.42578125" bestFit="1" customWidth="1"/>
  </cols>
  <sheetData>
    <row r="1" spans="2:24" ht="15.75" customHeight="1">
      <c r="B1" s="559"/>
      <c r="C1" s="559"/>
      <c r="D1" s="559"/>
      <c r="E1" s="559"/>
      <c r="F1" s="559"/>
      <c r="G1" s="559"/>
      <c r="H1" s="559"/>
      <c r="I1" s="559"/>
      <c r="J1" s="559"/>
    </row>
    <row r="2" spans="2:24" ht="21">
      <c r="B2" s="1066" t="s">
        <v>2144</v>
      </c>
      <c r="C2" s="1066"/>
      <c r="D2" s="1066"/>
      <c r="E2" s="1066"/>
      <c r="F2" s="1066"/>
      <c r="G2" s="1066"/>
      <c r="H2" s="1066"/>
      <c r="I2" s="1066"/>
      <c r="J2" s="656"/>
    </row>
    <row r="3" spans="2:24" ht="18" customHeight="1">
      <c r="B3" s="1067" t="str">
        <f>Rekapitulasi!B3</f>
        <v>PEMBANGUNAN T/L 150 kV PASAMAN - SIMPANG EMPAT (SECTION 2)</v>
      </c>
      <c r="C3" s="1067"/>
      <c r="D3" s="1067"/>
      <c r="E3" s="1067"/>
      <c r="F3" s="1067"/>
      <c r="G3" s="1067"/>
      <c r="H3" s="1067"/>
      <c r="I3" s="1067"/>
      <c r="J3" s="657"/>
      <c r="K3" s="1041"/>
      <c r="L3" s="1041"/>
      <c r="M3" s="1041"/>
      <c r="N3" s="1041"/>
      <c r="O3" s="1041"/>
      <c r="P3" s="1041"/>
      <c r="Q3" s="1041"/>
      <c r="R3" s="1041"/>
      <c r="S3" s="1041"/>
      <c r="T3" s="1041"/>
      <c r="U3" s="1041"/>
      <c r="V3" s="1041"/>
      <c r="W3" s="1041"/>
      <c r="X3" s="1041"/>
    </row>
    <row r="4" spans="2:24" ht="21.75" customHeight="1">
      <c r="B4" s="1077"/>
      <c r="C4" s="1077"/>
      <c r="D4" s="1077"/>
      <c r="E4" s="1077"/>
      <c r="F4" s="1077"/>
      <c r="G4" s="1077"/>
      <c r="H4" s="1077"/>
      <c r="I4" s="1077"/>
      <c r="J4" s="658"/>
      <c r="K4" s="1041"/>
      <c r="L4" s="1041"/>
      <c r="M4" s="1041"/>
      <c r="N4" s="1041"/>
      <c r="O4" s="1041"/>
      <c r="P4" s="1041"/>
      <c r="Q4" s="1041"/>
      <c r="R4" s="1041"/>
      <c r="S4" s="1041"/>
      <c r="T4" s="1041"/>
      <c r="U4" s="1041"/>
      <c r="V4" s="1041"/>
      <c r="W4" s="1041"/>
      <c r="X4" s="1041"/>
    </row>
    <row r="5" spans="2:24" ht="18.75">
      <c r="B5" s="1077" t="s">
        <v>4329</v>
      </c>
      <c r="C5" s="1077"/>
      <c r="D5" s="1077"/>
      <c r="E5" s="1077"/>
      <c r="F5" s="1077"/>
      <c r="G5" s="1077"/>
      <c r="H5" s="1077"/>
      <c r="I5" s="1077"/>
      <c r="J5" s="658"/>
    </row>
    <row r="6" spans="2:24" ht="15.75" thickBot="1">
      <c r="B6" s="558"/>
      <c r="C6" s="558"/>
      <c r="D6" s="558"/>
      <c r="E6" s="558"/>
      <c r="F6" s="558"/>
      <c r="G6" s="558"/>
      <c r="H6" s="558"/>
      <c r="I6" s="558"/>
      <c r="J6" s="558"/>
    </row>
    <row r="7" spans="2:24" ht="36.4" customHeight="1" thickTop="1">
      <c r="B7" s="557" t="s">
        <v>4127</v>
      </c>
      <c r="C7" s="556" t="s">
        <v>2146</v>
      </c>
      <c r="D7" s="555" t="s">
        <v>2087</v>
      </c>
      <c r="E7" s="555" t="s">
        <v>4338</v>
      </c>
      <c r="F7" s="555" t="s">
        <v>4340</v>
      </c>
      <c r="G7" s="985" t="s">
        <v>4341</v>
      </c>
      <c r="H7" s="555" t="s">
        <v>4340</v>
      </c>
      <c r="I7" s="554" t="s">
        <v>4341</v>
      </c>
      <c r="J7"/>
    </row>
    <row r="8" spans="2:24" s="655" customFormat="1" ht="17.25" thickBot="1">
      <c r="B8" s="680">
        <v>1</v>
      </c>
      <c r="C8" s="681">
        <v>2</v>
      </c>
      <c r="D8" s="682">
        <v>3</v>
      </c>
      <c r="E8" s="682">
        <v>4</v>
      </c>
      <c r="F8" s="682">
        <v>5</v>
      </c>
      <c r="G8" s="986" t="s">
        <v>4357</v>
      </c>
      <c r="H8" s="682">
        <v>7</v>
      </c>
      <c r="I8" s="683" t="s">
        <v>4343</v>
      </c>
      <c r="K8" s="176">
        <f>95/95</f>
        <v>1</v>
      </c>
    </row>
    <row r="9" spans="2:24" ht="15.75" thickTop="1">
      <c r="B9" s="553" t="s">
        <v>735</v>
      </c>
      <c r="C9" s="552" t="s">
        <v>4128</v>
      </c>
      <c r="D9" s="551"/>
      <c r="E9" s="551"/>
      <c r="F9" s="551"/>
      <c r="G9" s="987"/>
      <c r="H9" s="995"/>
      <c r="I9" s="550"/>
      <c r="J9"/>
    </row>
    <row r="10" spans="2:24">
      <c r="B10" s="549" t="s">
        <v>816</v>
      </c>
      <c r="C10" s="548" t="s">
        <v>4129</v>
      </c>
      <c r="D10" s="547"/>
      <c r="E10" s="546"/>
      <c r="F10" s="545"/>
      <c r="G10" s="988"/>
      <c r="H10" s="996"/>
      <c r="I10" s="997"/>
      <c r="J10"/>
    </row>
    <row r="11" spans="2:24">
      <c r="B11" s="544">
        <v>1</v>
      </c>
      <c r="C11" s="543" t="s">
        <v>3273</v>
      </c>
      <c r="D11" s="542"/>
      <c r="E11" s="541"/>
      <c r="F11" s="540"/>
      <c r="G11" s="989"/>
      <c r="H11" s="998"/>
      <c r="I11" s="539"/>
      <c r="J11"/>
    </row>
    <row r="12" spans="2:24" ht="27">
      <c r="B12" s="538" t="s">
        <v>721</v>
      </c>
      <c r="C12" s="537" t="s">
        <v>4130</v>
      </c>
      <c r="D12" s="542" t="s">
        <v>74</v>
      </c>
      <c r="E12" s="536">
        <v>1</v>
      </c>
      <c r="F12" s="535">
        <f>$K$8*H12</f>
        <v>5000000</v>
      </c>
      <c r="G12" s="990">
        <f>E12*F12</f>
        <v>5000000</v>
      </c>
      <c r="H12" s="999">
        <v>5000000</v>
      </c>
      <c r="I12" s="534">
        <f>E12*H12</f>
        <v>5000000</v>
      </c>
      <c r="J12"/>
    </row>
    <row r="13" spans="2:24">
      <c r="B13" s="533">
        <v>2</v>
      </c>
      <c r="C13" s="543" t="s">
        <v>4131</v>
      </c>
      <c r="D13" s="542"/>
      <c r="E13" s="536"/>
      <c r="F13" s="535"/>
      <c r="G13" s="990"/>
      <c r="H13" s="999"/>
      <c r="I13" s="534"/>
      <c r="J13"/>
    </row>
    <row r="14" spans="2:24" ht="75.599999999999994" customHeight="1">
      <c r="B14" s="532" t="s">
        <v>721</v>
      </c>
      <c r="C14" s="537" t="s">
        <v>4132</v>
      </c>
      <c r="D14" s="531" t="s">
        <v>779</v>
      </c>
      <c r="E14" s="530">
        <v>4</v>
      </c>
      <c r="F14" s="535">
        <f>$K$8*H14</f>
        <v>3025000.0000000005</v>
      </c>
      <c r="G14" s="990">
        <f>E14*F14</f>
        <v>12100000.000000002</v>
      </c>
      <c r="H14" s="1000">
        <f>soil_test_sondir</f>
        <v>3025000.0000000005</v>
      </c>
      <c r="I14" s="534">
        <f>E14*H14</f>
        <v>12100000.000000002</v>
      </c>
      <c r="J14"/>
    </row>
    <row r="15" spans="2:24">
      <c r="B15" s="976" t="s">
        <v>4133</v>
      </c>
      <c r="C15" s="977"/>
      <c r="D15" s="977"/>
      <c r="E15" s="977"/>
      <c r="F15" s="978"/>
      <c r="G15" s="991">
        <f>SUM(G12:G14)</f>
        <v>17100000</v>
      </c>
      <c r="H15" s="1001"/>
      <c r="I15" s="1002">
        <f>SUM(I12:I14)</f>
        <v>17100000</v>
      </c>
      <c r="J15"/>
    </row>
    <row r="16" spans="2:24">
      <c r="B16" s="549" t="s">
        <v>818</v>
      </c>
      <c r="C16" s="529" t="s">
        <v>3272</v>
      </c>
      <c r="D16" s="547"/>
      <c r="E16" s="528"/>
      <c r="F16" s="528"/>
      <c r="G16" s="992"/>
      <c r="H16" s="1003"/>
      <c r="I16" s="1004"/>
      <c r="J16" s="1041"/>
      <c r="K16" s="1041"/>
      <c r="L16" s="1041"/>
      <c r="M16" s="1041"/>
      <c r="N16" s="1041"/>
    </row>
    <row r="17" spans="2:14">
      <c r="B17" s="544">
        <v>1</v>
      </c>
      <c r="C17" s="527" t="s">
        <v>2234</v>
      </c>
      <c r="D17" s="542"/>
      <c r="E17" s="536"/>
      <c r="F17" s="536"/>
      <c r="G17" s="990"/>
      <c r="H17" s="1005"/>
      <c r="I17" s="534"/>
      <c r="J17" s="1041"/>
      <c r="K17" s="1041"/>
      <c r="L17" s="1041"/>
      <c r="M17" s="1041"/>
      <c r="N17" s="1041"/>
    </row>
    <row r="18" spans="2:14" ht="67.5">
      <c r="B18" s="538" t="s">
        <v>721</v>
      </c>
      <c r="C18" s="526" t="s">
        <v>4134</v>
      </c>
      <c r="D18" s="542" t="s">
        <v>918</v>
      </c>
      <c r="E18" s="536">
        <v>122</v>
      </c>
      <c r="F18" s="535">
        <f>$K$8*H18</f>
        <v>360467.1875</v>
      </c>
      <c r="G18" s="990">
        <f>E18*F18</f>
        <v>43976996.875</v>
      </c>
      <c r="H18" s="999">
        <f>AHS!G1090</f>
        <v>360467.1875</v>
      </c>
      <c r="I18" s="534">
        <f>E18*H18</f>
        <v>43976996.875</v>
      </c>
      <c r="J18"/>
    </row>
    <row r="19" spans="2:14">
      <c r="B19" s="533">
        <v>2</v>
      </c>
      <c r="C19" s="525" t="s">
        <v>4135</v>
      </c>
      <c r="D19" s="542"/>
      <c r="E19" s="536"/>
      <c r="F19" s="535"/>
      <c r="G19" s="990"/>
      <c r="H19" s="999"/>
      <c r="I19" s="534"/>
      <c r="J19"/>
    </row>
    <row r="20" spans="2:14">
      <c r="B20" s="538" t="s">
        <v>721</v>
      </c>
      <c r="C20" s="526" t="s">
        <v>4136</v>
      </c>
      <c r="D20" s="542" t="s">
        <v>2236</v>
      </c>
      <c r="E20" s="536">
        <v>6454.4399999999987</v>
      </c>
      <c r="F20" s="535">
        <f t="shared" ref="F20:F24" si="0">$K$8*H20</f>
        <v>878303.74280000012</v>
      </c>
      <c r="G20" s="990">
        <f>E20*F20</f>
        <v>5668958809.6780319</v>
      </c>
      <c r="H20" s="999">
        <f>ahs_stone_masonry_1.4</f>
        <v>878303.74280000012</v>
      </c>
      <c r="I20" s="534">
        <f t="shared" ref="I20:I24" si="1">E20*H20</f>
        <v>5668958809.6780319</v>
      </c>
      <c r="J20"/>
    </row>
    <row r="21" spans="2:14">
      <c r="B21" s="538" t="s">
        <v>2166</v>
      </c>
      <c r="C21" s="541" t="s">
        <v>4137</v>
      </c>
      <c r="D21" s="542" t="s">
        <v>4138</v>
      </c>
      <c r="E21" s="536">
        <v>103.19999999999999</v>
      </c>
      <c r="F21" s="535">
        <f t="shared" si="0"/>
        <v>83612.786399999997</v>
      </c>
      <c r="G21" s="990">
        <f>E21*F21</f>
        <v>8628839.5564799979</v>
      </c>
      <c r="H21" s="999">
        <f>ahs_plester_1.2_tebal15mm</f>
        <v>83612.786399999997</v>
      </c>
      <c r="I21" s="534">
        <f t="shared" si="1"/>
        <v>8628839.5564799979</v>
      </c>
      <c r="J21"/>
    </row>
    <row r="22" spans="2:14">
      <c r="B22" s="538" t="s">
        <v>2168</v>
      </c>
      <c r="C22" s="541" t="s">
        <v>4139</v>
      </c>
      <c r="D22" s="542" t="s">
        <v>4138</v>
      </c>
      <c r="E22" s="536">
        <v>517.92000000000007</v>
      </c>
      <c r="F22" s="535">
        <f t="shared" si="0"/>
        <v>39109.950000000004</v>
      </c>
      <c r="G22" s="990">
        <f>E22*F22</f>
        <v>20255825.304000005</v>
      </c>
      <c r="H22" s="999">
        <f>ahs_acian</f>
        <v>39109.950000000004</v>
      </c>
      <c r="I22" s="534">
        <f t="shared" si="1"/>
        <v>20255825.304000005</v>
      </c>
      <c r="J22"/>
    </row>
    <row r="23" spans="2:14">
      <c r="B23" s="538" t="s">
        <v>2170</v>
      </c>
      <c r="C23" s="541" t="s">
        <v>4140</v>
      </c>
      <c r="D23" s="542" t="s">
        <v>2236</v>
      </c>
      <c r="E23" s="536">
        <v>25.559999999999995</v>
      </c>
      <c r="F23" s="535">
        <f t="shared" si="0"/>
        <v>1057576.2423809525</v>
      </c>
      <c r="G23" s="990">
        <f>E23*F23</f>
        <v>27031648.755257141</v>
      </c>
      <c r="H23" s="999">
        <f>K_175</f>
        <v>1057576.2423809525</v>
      </c>
      <c r="I23" s="534">
        <f t="shared" si="1"/>
        <v>27031648.755257141</v>
      </c>
      <c r="J23"/>
    </row>
    <row r="24" spans="2:14">
      <c r="B24" s="538" t="s">
        <v>2172</v>
      </c>
      <c r="C24" s="541" t="s">
        <v>4141</v>
      </c>
      <c r="D24" s="542" t="s">
        <v>1</v>
      </c>
      <c r="E24" s="536">
        <v>2328.3186666666666</v>
      </c>
      <c r="F24" s="535">
        <f t="shared" si="0"/>
        <v>19478.039350000003</v>
      </c>
      <c r="G24" s="990">
        <f>E24*F24</f>
        <v>45351082.608672872</v>
      </c>
      <c r="H24" s="999">
        <f>85%*ahs_besi_ulir_kg+15%*ahs_besi_polos_kg</f>
        <v>19478.039350000003</v>
      </c>
      <c r="I24" s="534">
        <f t="shared" si="1"/>
        <v>45351082.608672872</v>
      </c>
      <c r="J24"/>
    </row>
    <row r="25" spans="2:14">
      <c r="B25" s="538" t="s">
        <v>2268</v>
      </c>
      <c r="C25" s="541" t="s">
        <v>2244</v>
      </c>
      <c r="D25" s="542"/>
      <c r="E25" s="536"/>
      <c r="F25" s="535"/>
      <c r="G25" s="990"/>
      <c r="H25" s="999"/>
      <c r="I25" s="534"/>
      <c r="J25"/>
    </row>
    <row r="26" spans="2:14">
      <c r="B26" s="538"/>
      <c r="C26" s="541" t="s">
        <v>4142</v>
      </c>
      <c r="D26" s="542" t="s">
        <v>4138</v>
      </c>
      <c r="E26" s="536">
        <v>43.199999999999996</v>
      </c>
      <c r="F26" s="535">
        <f t="shared" ref="F26:F34" si="2">$K$8*H26</f>
        <v>338394.1</v>
      </c>
      <c r="G26" s="990">
        <f t="shared" ref="G26:G34" si="3">E26*F26</f>
        <v>14618625.119999997</v>
      </c>
      <c r="H26" s="999">
        <f>ahs_formwork_sloof</f>
        <v>338394.1</v>
      </c>
      <c r="I26" s="534">
        <f t="shared" ref="I26:I34" si="4">E26*H26</f>
        <v>14618625.119999997</v>
      </c>
      <c r="J26" s="1041"/>
      <c r="K26" s="1041"/>
      <c r="L26" s="1041"/>
      <c r="M26" s="1041"/>
    </row>
    <row r="27" spans="2:14">
      <c r="B27" s="538"/>
      <c r="C27" s="541" t="s">
        <v>4143</v>
      </c>
      <c r="D27" s="524" t="s">
        <v>4138</v>
      </c>
      <c r="E27" s="536">
        <v>42</v>
      </c>
      <c r="F27" s="535">
        <f t="shared" si="2"/>
        <v>585518.06499999994</v>
      </c>
      <c r="G27" s="990">
        <f t="shared" si="3"/>
        <v>24591758.729999997</v>
      </c>
      <c r="H27" s="999">
        <f>ahs_formwork_beam+ahs_formwork_supporting_beam</f>
        <v>585518.06499999994</v>
      </c>
      <c r="I27" s="534">
        <f t="shared" si="4"/>
        <v>24591758.729999997</v>
      </c>
      <c r="J27" s="1041"/>
      <c r="K27" s="1041"/>
      <c r="L27" s="1041"/>
      <c r="M27" s="1041"/>
    </row>
    <row r="28" spans="2:14">
      <c r="B28" s="538"/>
      <c r="C28" s="541" t="s">
        <v>4144</v>
      </c>
      <c r="D28" s="524" t="s">
        <v>4138</v>
      </c>
      <c r="E28" s="536">
        <v>43.199999999999996</v>
      </c>
      <c r="F28" s="535">
        <f t="shared" si="2"/>
        <v>469473.39999999997</v>
      </c>
      <c r="G28" s="990">
        <f t="shared" si="3"/>
        <v>20281250.879999995</v>
      </c>
      <c r="H28" s="999">
        <f>ahs_formwork_Column</f>
        <v>469473.39999999997</v>
      </c>
      <c r="I28" s="534">
        <f t="shared" si="4"/>
        <v>20281250.879999995</v>
      </c>
      <c r="J28" s="1041"/>
      <c r="K28" s="1041"/>
      <c r="L28" s="1041"/>
      <c r="M28" s="1041"/>
    </row>
    <row r="29" spans="2:14">
      <c r="B29" s="538" t="s">
        <v>2176</v>
      </c>
      <c r="C29" s="541" t="s">
        <v>4145</v>
      </c>
      <c r="D29" s="524" t="s">
        <v>4146</v>
      </c>
      <c r="E29" s="536">
        <v>35.279999999999994</v>
      </c>
      <c r="F29" s="535">
        <f t="shared" si="2"/>
        <v>102390.75000000001</v>
      </c>
      <c r="G29" s="990">
        <f t="shared" si="3"/>
        <v>3612345.6599999997</v>
      </c>
      <c r="H29" s="999">
        <f>ahs_excavation_manual_2m</f>
        <v>102390.75000000001</v>
      </c>
      <c r="I29" s="534">
        <f t="shared" si="4"/>
        <v>3612345.6599999997</v>
      </c>
      <c r="J29" s="1041"/>
      <c r="K29" s="1041"/>
      <c r="L29" s="1041"/>
      <c r="M29" s="1041"/>
    </row>
    <row r="30" spans="2:14">
      <c r="B30" s="538" t="s">
        <v>2178</v>
      </c>
      <c r="C30" s="541" t="s">
        <v>4147</v>
      </c>
      <c r="D30" s="524" t="s">
        <v>4146</v>
      </c>
      <c r="E30" s="536">
        <v>2.52</v>
      </c>
      <c r="F30" s="535">
        <f t="shared" si="2"/>
        <v>404738.95</v>
      </c>
      <c r="G30" s="990">
        <f t="shared" si="3"/>
        <v>1019942.154</v>
      </c>
      <c r="H30" s="999">
        <f>ahs_compacted_sand_layer_m3</f>
        <v>404738.95</v>
      </c>
      <c r="I30" s="534">
        <f t="shared" si="4"/>
        <v>1019942.154</v>
      </c>
      <c r="J30" s="1041"/>
      <c r="K30" s="1041"/>
      <c r="L30" s="1041"/>
      <c r="M30" s="1041"/>
    </row>
    <row r="31" spans="2:14">
      <c r="B31" s="538" t="s">
        <v>2180</v>
      </c>
      <c r="C31" s="541" t="s">
        <v>4148</v>
      </c>
      <c r="D31" s="524" t="s">
        <v>4146</v>
      </c>
      <c r="E31" s="536">
        <v>7.1999999999999957</v>
      </c>
      <c r="F31" s="535">
        <f t="shared" si="2"/>
        <v>227462.95</v>
      </c>
      <c r="G31" s="990">
        <f t="shared" si="3"/>
        <v>1637733.2399999991</v>
      </c>
      <c r="H31" s="999">
        <f>ahs_compacted_soil_m3</f>
        <v>227462.95</v>
      </c>
      <c r="I31" s="534">
        <f t="shared" si="4"/>
        <v>1637733.2399999991</v>
      </c>
      <c r="J31" s="1041"/>
      <c r="K31" s="1041"/>
      <c r="L31" s="1041"/>
      <c r="M31" s="1041"/>
    </row>
    <row r="32" spans="2:14">
      <c r="B32" s="538" t="s">
        <v>2182</v>
      </c>
      <c r="C32" s="541" t="s">
        <v>4149</v>
      </c>
      <c r="D32" s="524" t="s">
        <v>194</v>
      </c>
      <c r="E32" s="536">
        <v>152</v>
      </c>
      <c r="F32" s="535">
        <f t="shared" si="2"/>
        <v>791683.75000000012</v>
      </c>
      <c r="G32" s="990">
        <f t="shared" si="3"/>
        <v>120335930.00000001</v>
      </c>
      <c r="H32" s="999">
        <f>AHS!G1114</f>
        <v>791683.75000000012</v>
      </c>
      <c r="I32" s="534">
        <f t="shared" si="4"/>
        <v>120335930.00000001</v>
      </c>
      <c r="J32" s="1041"/>
      <c r="K32" s="1041"/>
      <c r="L32" s="1041"/>
      <c r="M32" s="1041"/>
    </row>
    <row r="33" spans="2:13">
      <c r="B33" s="538" t="s">
        <v>2184</v>
      </c>
      <c r="C33" s="541" t="s">
        <v>4322</v>
      </c>
      <c r="D33" s="524" t="s">
        <v>194</v>
      </c>
      <c r="E33" s="536">
        <v>146.4</v>
      </c>
      <c r="F33" s="535">
        <f t="shared" si="2"/>
        <v>159677.50000000003</v>
      </c>
      <c r="G33" s="990">
        <f t="shared" si="3"/>
        <v>23376786.000000004</v>
      </c>
      <c r="H33" s="999">
        <f>ahs_installation_pvc_2in_tower</f>
        <v>159677.50000000003</v>
      </c>
      <c r="I33" s="534">
        <f t="shared" si="4"/>
        <v>23376786.000000004</v>
      </c>
      <c r="J33" s="1041"/>
      <c r="K33" s="1041"/>
      <c r="L33" s="1041"/>
      <c r="M33" s="1041"/>
    </row>
    <row r="34" spans="2:13">
      <c r="B34" s="538" t="s">
        <v>2186</v>
      </c>
      <c r="C34" s="541" t="s">
        <v>4150</v>
      </c>
      <c r="D34" s="524" t="s">
        <v>1</v>
      </c>
      <c r="E34" s="536">
        <v>67224.318666666659</v>
      </c>
      <c r="F34" s="535">
        <f t="shared" si="2"/>
        <v>462.7700000000001</v>
      </c>
      <c r="G34" s="990">
        <f t="shared" si="3"/>
        <v>31109397.949373335</v>
      </c>
      <c r="H34" s="999">
        <f>Langsir_material_datar_500_1000m_Kg</f>
        <v>462.7700000000001</v>
      </c>
      <c r="I34" s="534">
        <f t="shared" si="4"/>
        <v>31109397.949373335</v>
      </c>
      <c r="J34" s="1041"/>
      <c r="K34" s="1041"/>
      <c r="L34" s="1041"/>
      <c r="M34" s="1041"/>
    </row>
    <row r="35" spans="2:13">
      <c r="B35" s="538"/>
      <c r="C35" s="541"/>
      <c r="D35" s="524"/>
      <c r="E35" s="536"/>
      <c r="F35" s="536"/>
      <c r="G35" s="990"/>
      <c r="H35" s="1005"/>
      <c r="I35" s="534"/>
      <c r="J35" s="1018">
        <f>SUM(I20:I34)</f>
        <v>6010809975.6358156</v>
      </c>
    </row>
    <row r="36" spans="2:13">
      <c r="B36" s="533">
        <v>3</v>
      </c>
      <c r="C36" s="525" t="s">
        <v>4151</v>
      </c>
      <c r="D36" s="524"/>
      <c r="E36" s="536"/>
      <c r="F36" s="536"/>
      <c r="G36" s="990"/>
      <c r="H36" s="1005"/>
      <c r="I36" s="534"/>
      <c r="J36"/>
    </row>
    <row r="37" spans="2:13">
      <c r="B37" s="523" t="s">
        <v>721</v>
      </c>
      <c r="C37" s="526" t="s">
        <v>4152</v>
      </c>
      <c r="D37" s="524" t="s">
        <v>4146</v>
      </c>
      <c r="E37" s="536">
        <v>3.660000000000001</v>
      </c>
      <c r="F37" s="535">
        <f t="shared" ref="F37:F39" si="5">$K$8*H37</f>
        <v>83833.750000000015</v>
      </c>
      <c r="G37" s="990">
        <f>E37*F37</f>
        <v>306831.52500000014</v>
      </c>
      <c r="H37" s="999">
        <f>ahs_excavation_manual_1m</f>
        <v>83833.750000000015</v>
      </c>
      <c r="I37" s="534">
        <f t="shared" ref="I37:I39" si="6">E37*H37</f>
        <v>306831.52500000014</v>
      </c>
      <c r="J37"/>
    </row>
    <row r="38" spans="2:13">
      <c r="B38" s="538" t="s">
        <v>2166</v>
      </c>
      <c r="C38" s="541" t="s">
        <v>4153</v>
      </c>
      <c r="D38" s="524" t="s">
        <v>194</v>
      </c>
      <c r="E38" s="536">
        <v>45.750000000000007</v>
      </c>
      <c r="F38" s="535">
        <f t="shared" si="5"/>
        <v>158400</v>
      </c>
      <c r="G38" s="990">
        <f>E38*F38</f>
        <v>7246800.0000000009</v>
      </c>
      <c r="H38" s="999">
        <f>buis_beton_dia0.2cm_m</f>
        <v>158400</v>
      </c>
      <c r="I38" s="534">
        <f t="shared" si="6"/>
        <v>7246800.0000000009</v>
      </c>
      <c r="J38"/>
    </row>
    <row r="39" spans="2:13">
      <c r="B39" s="538" t="s">
        <v>2168</v>
      </c>
      <c r="C39" s="541" t="s">
        <v>4154</v>
      </c>
      <c r="D39" s="524" t="s">
        <v>4138</v>
      </c>
      <c r="E39" s="536">
        <v>68.625</v>
      </c>
      <c r="F39" s="535">
        <f t="shared" si="5"/>
        <v>83612.786399999997</v>
      </c>
      <c r="G39" s="990">
        <f>E39*F39</f>
        <v>5737927.4666999998</v>
      </c>
      <c r="H39" s="999">
        <f>ahs_plester_1.2_tebal15mm</f>
        <v>83612.786399999997</v>
      </c>
      <c r="I39" s="534">
        <f t="shared" si="6"/>
        <v>5737927.4666999998</v>
      </c>
      <c r="J39"/>
    </row>
    <row r="40" spans="2:13">
      <c r="B40" s="538"/>
      <c r="C40" s="541"/>
      <c r="D40" s="524"/>
      <c r="E40" s="536"/>
      <c r="F40" s="536"/>
      <c r="G40" s="990"/>
      <c r="H40" s="1005"/>
      <c r="I40" s="534"/>
      <c r="J40" s="1018">
        <f>SUM(I37:I39)</f>
        <v>13291558.991700001</v>
      </c>
    </row>
    <row r="41" spans="2:13">
      <c r="B41" s="533">
        <v>4</v>
      </c>
      <c r="C41" s="525" t="s">
        <v>4155</v>
      </c>
      <c r="D41" s="542"/>
      <c r="E41" s="536"/>
      <c r="F41" s="536"/>
      <c r="G41" s="990"/>
      <c r="H41" s="1005"/>
      <c r="I41" s="534"/>
      <c r="J41"/>
    </row>
    <row r="42" spans="2:13" ht="27">
      <c r="B42" s="538" t="s">
        <v>721</v>
      </c>
      <c r="C42" s="526" t="s">
        <v>4156</v>
      </c>
      <c r="D42" s="524" t="s">
        <v>3</v>
      </c>
      <c r="E42" s="536">
        <v>36.600000000000009</v>
      </c>
      <c r="F42" s="535">
        <f t="shared" ref="F42:F45" si="7">$K$8*H42</f>
        <v>1174898</v>
      </c>
      <c r="G42" s="990">
        <f>E42*F42</f>
        <v>43001266.800000012</v>
      </c>
      <c r="H42" s="999">
        <f>AHS!G3655*2</f>
        <v>1174898</v>
      </c>
      <c r="I42" s="534">
        <f t="shared" ref="I42:I45" si="8">E42*H42</f>
        <v>43001266.800000012</v>
      </c>
      <c r="J42"/>
    </row>
    <row r="43" spans="2:13" ht="40.5">
      <c r="B43" s="538" t="s">
        <v>2166</v>
      </c>
      <c r="C43" s="526" t="s">
        <v>4157</v>
      </c>
      <c r="D43" s="524" t="s">
        <v>194</v>
      </c>
      <c r="E43" s="536">
        <v>10.980000000000002</v>
      </c>
      <c r="F43" s="535">
        <f t="shared" si="7"/>
        <v>150000</v>
      </c>
      <c r="G43" s="990">
        <f>E43*F43</f>
        <v>1647000.0000000002</v>
      </c>
      <c r="H43" s="1006">
        <v>150000</v>
      </c>
      <c r="I43" s="534">
        <f t="shared" si="8"/>
        <v>1647000.0000000002</v>
      </c>
      <c r="J43"/>
    </row>
    <row r="44" spans="2:13" ht="27">
      <c r="B44" s="538" t="s">
        <v>2168</v>
      </c>
      <c r="C44" s="526" t="s">
        <v>4158</v>
      </c>
      <c r="D44" s="524" t="s">
        <v>194</v>
      </c>
      <c r="E44" s="536">
        <v>10.980000000000002</v>
      </c>
      <c r="F44" s="535">
        <f t="shared" si="7"/>
        <v>150000</v>
      </c>
      <c r="G44" s="990">
        <f>E44*F44</f>
        <v>1647000.0000000002</v>
      </c>
      <c r="H44" s="1006">
        <v>150000</v>
      </c>
      <c r="I44" s="534">
        <f t="shared" si="8"/>
        <v>1647000.0000000002</v>
      </c>
      <c r="J44"/>
    </row>
    <row r="45" spans="2:13" ht="27">
      <c r="B45" s="538" t="s">
        <v>2170</v>
      </c>
      <c r="C45" s="526" t="s">
        <v>4159</v>
      </c>
      <c r="D45" s="524" t="s">
        <v>194</v>
      </c>
      <c r="E45" s="536">
        <v>10.980000000000002</v>
      </c>
      <c r="F45" s="535">
        <f t="shared" si="7"/>
        <v>150000</v>
      </c>
      <c r="G45" s="990">
        <f>E45*F45</f>
        <v>1647000.0000000002</v>
      </c>
      <c r="H45" s="1006">
        <v>150000</v>
      </c>
      <c r="I45" s="534">
        <f t="shared" si="8"/>
        <v>1647000.0000000002</v>
      </c>
      <c r="J45" s="1018">
        <f>SUM(I42:I45)</f>
        <v>47942266.800000012</v>
      </c>
    </row>
    <row r="46" spans="2:13">
      <c r="B46" s="544">
        <v>5</v>
      </c>
      <c r="C46" s="525" t="s">
        <v>4160</v>
      </c>
      <c r="D46" s="524"/>
      <c r="E46" s="536"/>
      <c r="F46" s="660"/>
      <c r="G46" s="990"/>
      <c r="H46" s="1007"/>
      <c r="I46" s="534"/>
      <c r="J46"/>
    </row>
    <row r="47" spans="2:13" ht="40.5">
      <c r="B47" s="538"/>
      <c r="C47" s="526" t="s">
        <v>4161</v>
      </c>
      <c r="D47" s="524" t="s">
        <v>1</v>
      </c>
      <c r="E47" s="536">
        <v>12651.503700000001</v>
      </c>
      <c r="F47" s="535">
        <f>$K$8*H47</f>
        <v>24200.000000000004</v>
      </c>
      <c r="G47" s="990">
        <f>E47*F47</f>
        <v>306166389.54000008</v>
      </c>
      <c r="H47" s="1005">
        <f>Galvanis_steel_angle_HTS</f>
        <v>24200.000000000004</v>
      </c>
      <c r="I47" s="534">
        <f>E47*H47</f>
        <v>306166389.54000008</v>
      </c>
      <c r="J47"/>
    </row>
    <row r="48" spans="2:13">
      <c r="B48" s="538"/>
      <c r="C48" s="526"/>
      <c r="D48" s="524"/>
      <c r="E48" s="522"/>
      <c r="F48" s="536"/>
      <c r="G48" s="990"/>
      <c r="H48" s="1005"/>
      <c r="I48" s="534"/>
      <c r="J48"/>
    </row>
    <row r="49" spans="2:10" ht="19.5" customHeight="1" thickBot="1">
      <c r="B49" s="979" t="s">
        <v>4162</v>
      </c>
      <c r="C49" s="980"/>
      <c r="D49" s="980"/>
      <c r="E49" s="980"/>
      <c r="F49" s="981"/>
      <c r="G49" s="993">
        <f>SUM(G18:G48)</f>
        <v>6422187187.842515</v>
      </c>
      <c r="H49" s="1008"/>
      <c r="I49" s="521">
        <f>SUM(I18:I48)</f>
        <v>6422187187.842515</v>
      </c>
      <c r="J49"/>
    </row>
    <row r="50" spans="2:10" ht="23.25" customHeight="1" thickBot="1">
      <c r="B50" s="982" t="s">
        <v>4163</v>
      </c>
      <c r="C50" s="983"/>
      <c r="D50" s="983"/>
      <c r="E50" s="983"/>
      <c r="F50" s="984"/>
      <c r="G50" s="994">
        <f>SUM(G49,G15)</f>
        <v>6439287187.842515</v>
      </c>
      <c r="H50" s="1009"/>
      <c r="I50" s="520">
        <f>SUM(I49,I15)</f>
        <v>6439287187.842515</v>
      </c>
      <c r="J50"/>
    </row>
    <row r="51" spans="2:10" ht="15.75" thickTop="1"/>
  </sheetData>
  <mergeCells count="21">
    <mergeCell ref="J31:M31"/>
    <mergeCell ref="J32:M32"/>
    <mergeCell ref="J33:M33"/>
    <mergeCell ref="J34:M34"/>
    <mergeCell ref="J26:M26"/>
    <mergeCell ref="J27:M27"/>
    <mergeCell ref="J28:M28"/>
    <mergeCell ref="J29:M29"/>
    <mergeCell ref="J30:M30"/>
    <mergeCell ref="J16:N16"/>
    <mergeCell ref="J17:N17"/>
    <mergeCell ref="B2:I2"/>
    <mergeCell ref="B3:I3"/>
    <mergeCell ref="K3:P3"/>
    <mergeCell ref="B5:I5"/>
    <mergeCell ref="W3:X3"/>
    <mergeCell ref="B4:I4"/>
    <mergeCell ref="K4:P4"/>
    <mergeCell ref="Q4:V4"/>
    <mergeCell ref="W4:X4"/>
    <mergeCell ref="Q3:V3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4"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7030A0"/>
  </sheetPr>
  <dimension ref="A1:P4606"/>
  <sheetViews>
    <sheetView zoomScale="85" zoomScaleNormal="85" workbookViewId="0">
      <selection activeCell="I257" sqref="I257"/>
    </sheetView>
  </sheetViews>
  <sheetFormatPr defaultRowHeight="15.75" customHeight="1" outlineLevelRow="3"/>
  <cols>
    <col min="1" max="1" width="3.42578125" style="633" customWidth="1"/>
    <col min="2" max="2" width="6.5703125" style="619" customWidth="1"/>
    <col min="3" max="3" width="84.140625" style="633" customWidth="1"/>
    <col min="4" max="4" width="10.28515625" style="619" customWidth="1"/>
    <col min="5" max="5" width="10.7109375" style="633" customWidth="1"/>
    <col min="6" max="6" width="20.28515625" style="618" customWidth="1"/>
    <col min="7" max="7" width="19.140625" style="618" customWidth="1"/>
    <col min="8" max="8" width="4.85546875" style="633" customWidth="1"/>
    <col min="9" max="9" width="10.85546875" style="633" customWidth="1"/>
    <col min="10" max="10" width="10.7109375" style="633" customWidth="1"/>
    <col min="11" max="11" width="12" style="633" customWidth="1"/>
    <col min="12" max="12" width="12.28515625" style="633" customWidth="1"/>
    <col min="13" max="13" width="12.85546875" style="633" customWidth="1"/>
    <col min="14" max="14" width="11.85546875" style="633" customWidth="1"/>
    <col min="15" max="15" width="15.85546875" style="633" customWidth="1"/>
    <col min="16" max="16" width="11.5703125" style="633" customWidth="1"/>
    <col min="17" max="19" width="9.140625" style="633" customWidth="1"/>
    <col min="20" max="258" width="9.140625" style="633"/>
    <col min="259" max="259" width="6.5703125" style="633" customWidth="1"/>
    <col min="260" max="260" width="73.85546875" style="633" customWidth="1"/>
    <col min="261" max="261" width="10.28515625" style="633" customWidth="1"/>
    <col min="262" max="262" width="10.7109375" style="633" customWidth="1"/>
    <col min="263" max="263" width="18.5703125" style="633" customWidth="1"/>
    <col min="264" max="264" width="19.140625" style="633" customWidth="1"/>
    <col min="265" max="265" width="21" style="633" customWidth="1"/>
    <col min="266" max="266" width="16.5703125" style="633" customWidth="1"/>
    <col min="267" max="267" width="17.5703125" style="633" customWidth="1"/>
    <col min="268" max="268" width="27.140625" style="633" customWidth="1"/>
    <col min="269" max="269" width="11.5703125" style="633" customWidth="1"/>
    <col min="270" max="270" width="9.140625" style="633"/>
    <col min="271" max="271" width="15.85546875" style="633" customWidth="1"/>
    <col min="272" max="272" width="11.5703125" style="633" customWidth="1"/>
    <col min="273" max="514" width="9.140625" style="633"/>
    <col min="515" max="515" width="6.5703125" style="633" customWidth="1"/>
    <col min="516" max="516" width="73.85546875" style="633" customWidth="1"/>
    <col min="517" max="517" width="10.28515625" style="633" customWidth="1"/>
    <col min="518" max="518" width="10.7109375" style="633" customWidth="1"/>
    <col min="519" max="519" width="18.5703125" style="633" customWidth="1"/>
    <col min="520" max="520" width="19.140625" style="633" customWidth="1"/>
    <col min="521" max="521" width="21" style="633" customWidth="1"/>
    <col min="522" max="522" width="16.5703125" style="633" customWidth="1"/>
    <col min="523" max="523" width="17.5703125" style="633" customWidth="1"/>
    <col min="524" max="524" width="27.140625" style="633" customWidth="1"/>
    <col min="525" max="525" width="11.5703125" style="633" customWidth="1"/>
    <col min="526" max="526" width="9.140625" style="633"/>
    <col min="527" max="527" width="15.85546875" style="633" customWidth="1"/>
    <col min="528" max="528" width="11.5703125" style="633" customWidth="1"/>
    <col min="529" max="770" width="9.140625" style="633"/>
    <col min="771" max="771" width="6.5703125" style="633" customWidth="1"/>
    <col min="772" max="772" width="73.85546875" style="633" customWidth="1"/>
    <col min="773" max="773" width="10.28515625" style="633" customWidth="1"/>
    <col min="774" max="774" width="10.7109375" style="633" customWidth="1"/>
    <col min="775" max="775" width="18.5703125" style="633" customWidth="1"/>
    <col min="776" max="776" width="19.140625" style="633" customWidth="1"/>
    <col min="777" max="777" width="21" style="633" customWidth="1"/>
    <col min="778" max="778" width="16.5703125" style="633" customWidth="1"/>
    <col min="779" max="779" width="17.5703125" style="633" customWidth="1"/>
    <col min="780" max="780" width="27.140625" style="633" customWidth="1"/>
    <col min="781" max="781" width="11.5703125" style="633" customWidth="1"/>
    <col min="782" max="782" width="9.140625" style="633"/>
    <col min="783" max="783" width="15.85546875" style="633" customWidth="1"/>
    <col min="784" max="784" width="11.5703125" style="633" customWidth="1"/>
    <col min="785" max="1026" width="9.140625" style="633"/>
    <col min="1027" max="1027" width="6.5703125" style="633" customWidth="1"/>
    <col min="1028" max="1028" width="73.85546875" style="633" customWidth="1"/>
    <col min="1029" max="1029" width="10.28515625" style="633" customWidth="1"/>
    <col min="1030" max="1030" width="10.7109375" style="633" customWidth="1"/>
    <col min="1031" max="1031" width="18.5703125" style="633" customWidth="1"/>
    <col min="1032" max="1032" width="19.140625" style="633" customWidth="1"/>
    <col min="1033" max="1033" width="21" style="633" customWidth="1"/>
    <col min="1034" max="1034" width="16.5703125" style="633" customWidth="1"/>
    <col min="1035" max="1035" width="17.5703125" style="633" customWidth="1"/>
    <col min="1036" max="1036" width="27.140625" style="633" customWidth="1"/>
    <col min="1037" max="1037" width="11.5703125" style="633" customWidth="1"/>
    <col min="1038" max="1038" width="9.140625" style="633"/>
    <col min="1039" max="1039" width="15.85546875" style="633" customWidth="1"/>
    <col min="1040" max="1040" width="11.5703125" style="633" customWidth="1"/>
    <col min="1041" max="1282" width="9.140625" style="633"/>
    <col min="1283" max="1283" width="6.5703125" style="633" customWidth="1"/>
    <col min="1284" max="1284" width="73.85546875" style="633" customWidth="1"/>
    <col min="1285" max="1285" width="10.28515625" style="633" customWidth="1"/>
    <col min="1286" max="1286" width="10.7109375" style="633" customWidth="1"/>
    <col min="1287" max="1287" width="18.5703125" style="633" customWidth="1"/>
    <col min="1288" max="1288" width="19.140625" style="633" customWidth="1"/>
    <col min="1289" max="1289" width="21" style="633" customWidth="1"/>
    <col min="1290" max="1290" width="16.5703125" style="633" customWidth="1"/>
    <col min="1291" max="1291" width="17.5703125" style="633" customWidth="1"/>
    <col min="1292" max="1292" width="27.140625" style="633" customWidth="1"/>
    <col min="1293" max="1293" width="11.5703125" style="633" customWidth="1"/>
    <col min="1294" max="1294" width="9.140625" style="633"/>
    <col min="1295" max="1295" width="15.85546875" style="633" customWidth="1"/>
    <col min="1296" max="1296" width="11.5703125" style="633" customWidth="1"/>
    <col min="1297" max="1538" width="9.140625" style="633"/>
    <col min="1539" max="1539" width="6.5703125" style="633" customWidth="1"/>
    <col min="1540" max="1540" width="73.85546875" style="633" customWidth="1"/>
    <col min="1541" max="1541" width="10.28515625" style="633" customWidth="1"/>
    <col min="1542" max="1542" width="10.7109375" style="633" customWidth="1"/>
    <col min="1543" max="1543" width="18.5703125" style="633" customWidth="1"/>
    <col min="1544" max="1544" width="19.140625" style="633" customWidth="1"/>
    <col min="1545" max="1545" width="21" style="633" customWidth="1"/>
    <col min="1546" max="1546" width="16.5703125" style="633" customWidth="1"/>
    <col min="1547" max="1547" width="17.5703125" style="633" customWidth="1"/>
    <col min="1548" max="1548" width="27.140625" style="633" customWidth="1"/>
    <col min="1549" max="1549" width="11.5703125" style="633" customWidth="1"/>
    <col min="1550" max="1550" width="9.140625" style="633"/>
    <col min="1551" max="1551" width="15.85546875" style="633" customWidth="1"/>
    <col min="1552" max="1552" width="11.5703125" style="633" customWidth="1"/>
    <col min="1553" max="1794" width="9.140625" style="633"/>
    <col min="1795" max="1795" width="6.5703125" style="633" customWidth="1"/>
    <col min="1796" max="1796" width="73.85546875" style="633" customWidth="1"/>
    <col min="1797" max="1797" width="10.28515625" style="633" customWidth="1"/>
    <col min="1798" max="1798" width="10.7109375" style="633" customWidth="1"/>
    <col min="1799" max="1799" width="18.5703125" style="633" customWidth="1"/>
    <col min="1800" max="1800" width="19.140625" style="633" customWidth="1"/>
    <col min="1801" max="1801" width="21" style="633" customWidth="1"/>
    <col min="1802" max="1802" width="16.5703125" style="633" customWidth="1"/>
    <col min="1803" max="1803" width="17.5703125" style="633" customWidth="1"/>
    <col min="1804" max="1804" width="27.140625" style="633" customWidth="1"/>
    <col min="1805" max="1805" width="11.5703125" style="633" customWidth="1"/>
    <col min="1806" max="1806" width="9.140625" style="633"/>
    <col min="1807" max="1807" width="15.85546875" style="633" customWidth="1"/>
    <col min="1808" max="1808" width="11.5703125" style="633" customWidth="1"/>
    <col min="1809" max="2050" width="9.140625" style="633"/>
    <col min="2051" max="2051" width="6.5703125" style="633" customWidth="1"/>
    <col min="2052" max="2052" width="73.85546875" style="633" customWidth="1"/>
    <col min="2053" max="2053" width="10.28515625" style="633" customWidth="1"/>
    <col min="2054" max="2054" width="10.7109375" style="633" customWidth="1"/>
    <col min="2055" max="2055" width="18.5703125" style="633" customWidth="1"/>
    <col min="2056" max="2056" width="19.140625" style="633" customWidth="1"/>
    <col min="2057" max="2057" width="21" style="633" customWidth="1"/>
    <col min="2058" max="2058" width="16.5703125" style="633" customWidth="1"/>
    <col min="2059" max="2059" width="17.5703125" style="633" customWidth="1"/>
    <col min="2060" max="2060" width="27.140625" style="633" customWidth="1"/>
    <col min="2061" max="2061" width="11.5703125" style="633" customWidth="1"/>
    <col min="2062" max="2062" width="9.140625" style="633"/>
    <col min="2063" max="2063" width="15.85546875" style="633" customWidth="1"/>
    <col min="2064" max="2064" width="11.5703125" style="633" customWidth="1"/>
    <col min="2065" max="2306" width="9.140625" style="633"/>
    <col min="2307" max="2307" width="6.5703125" style="633" customWidth="1"/>
    <col min="2308" max="2308" width="73.85546875" style="633" customWidth="1"/>
    <col min="2309" max="2309" width="10.28515625" style="633" customWidth="1"/>
    <col min="2310" max="2310" width="10.7109375" style="633" customWidth="1"/>
    <col min="2311" max="2311" width="18.5703125" style="633" customWidth="1"/>
    <col min="2312" max="2312" width="19.140625" style="633" customWidth="1"/>
    <col min="2313" max="2313" width="21" style="633" customWidth="1"/>
    <col min="2314" max="2314" width="16.5703125" style="633" customWidth="1"/>
    <col min="2315" max="2315" width="17.5703125" style="633" customWidth="1"/>
    <col min="2316" max="2316" width="27.140625" style="633" customWidth="1"/>
    <col min="2317" max="2317" width="11.5703125" style="633" customWidth="1"/>
    <col min="2318" max="2318" width="9.140625" style="633"/>
    <col min="2319" max="2319" width="15.85546875" style="633" customWidth="1"/>
    <col min="2320" max="2320" width="11.5703125" style="633" customWidth="1"/>
    <col min="2321" max="2562" width="9.140625" style="633"/>
    <col min="2563" max="2563" width="6.5703125" style="633" customWidth="1"/>
    <col min="2564" max="2564" width="73.85546875" style="633" customWidth="1"/>
    <col min="2565" max="2565" width="10.28515625" style="633" customWidth="1"/>
    <col min="2566" max="2566" width="10.7109375" style="633" customWidth="1"/>
    <col min="2567" max="2567" width="18.5703125" style="633" customWidth="1"/>
    <col min="2568" max="2568" width="19.140625" style="633" customWidth="1"/>
    <col min="2569" max="2569" width="21" style="633" customWidth="1"/>
    <col min="2570" max="2570" width="16.5703125" style="633" customWidth="1"/>
    <col min="2571" max="2571" width="17.5703125" style="633" customWidth="1"/>
    <col min="2572" max="2572" width="27.140625" style="633" customWidth="1"/>
    <col min="2573" max="2573" width="11.5703125" style="633" customWidth="1"/>
    <col min="2574" max="2574" width="9.140625" style="633"/>
    <col min="2575" max="2575" width="15.85546875" style="633" customWidth="1"/>
    <col min="2576" max="2576" width="11.5703125" style="633" customWidth="1"/>
    <col min="2577" max="2818" width="9.140625" style="633"/>
    <col min="2819" max="2819" width="6.5703125" style="633" customWidth="1"/>
    <col min="2820" max="2820" width="73.85546875" style="633" customWidth="1"/>
    <col min="2821" max="2821" width="10.28515625" style="633" customWidth="1"/>
    <col min="2822" max="2822" width="10.7109375" style="633" customWidth="1"/>
    <col min="2823" max="2823" width="18.5703125" style="633" customWidth="1"/>
    <col min="2824" max="2824" width="19.140625" style="633" customWidth="1"/>
    <col min="2825" max="2825" width="21" style="633" customWidth="1"/>
    <col min="2826" max="2826" width="16.5703125" style="633" customWidth="1"/>
    <col min="2827" max="2827" width="17.5703125" style="633" customWidth="1"/>
    <col min="2828" max="2828" width="27.140625" style="633" customWidth="1"/>
    <col min="2829" max="2829" width="11.5703125" style="633" customWidth="1"/>
    <col min="2830" max="2830" width="9.140625" style="633"/>
    <col min="2831" max="2831" width="15.85546875" style="633" customWidth="1"/>
    <col min="2832" max="2832" width="11.5703125" style="633" customWidth="1"/>
    <col min="2833" max="3074" width="9.140625" style="633"/>
    <col min="3075" max="3075" width="6.5703125" style="633" customWidth="1"/>
    <col min="3076" max="3076" width="73.85546875" style="633" customWidth="1"/>
    <col min="3077" max="3077" width="10.28515625" style="633" customWidth="1"/>
    <col min="3078" max="3078" width="10.7109375" style="633" customWidth="1"/>
    <col min="3079" max="3079" width="18.5703125" style="633" customWidth="1"/>
    <col min="3080" max="3080" width="19.140625" style="633" customWidth="1"/>
    <col min="3081" max="3081" width="21" style="633" customWidth="1"/>
    <col min="3082" max="3082" width="16.5703125" style="633" customWidth="1"/>
    <col min="3083" max="3083" width="17.5703125" style="633" customWidth="1"/>
    <col min="3084" max="3084" width="27.140625" style="633" customWidth="1"/>
    <col min="3085" max="3085" width="11.5703125" style="633" customWidth="1"/>
    <col min="3086" max="3086" width="9.140625" style="633"/>
    <col min="3087" max="3087" width="15.85546875" style="633" customWidth="1"/>
    <col min="3088" max="3088" width="11.5703125" style="633" customWidth="1"/>
    <col min="3089" max="3330" width="9.140625" style="633"/>
    <col min="3331" max="3331" width="6.5703125" style="633" customWidth="1"/>
    <col min="3332" max="3332" width="73.85546875" style="633" customWidth="1"/>
    <col min="3333" max="3333" width="10.28515625" style="633" customWidth="1"/>
    <col min="3334" max="3334" width="10.7109375" style="633" customWidth="1"/>
    <col min="3335" max="3335" width="18.5703125" style="633" customWidth="1"/>
    <col min="3336" max="3336" width="19.140625" style="633" customWidth="1"/>
    <col min="3337" max="3337" width="21" style="633" customWidth="1"/>
    <col min="3338" max="3338" width="16.5703125" style="633" customWidth="1"/>
    <col min="3339" max="3339" width="17.5703125" style="633" customWidth="1"/>
    <col min="3340" max="3340" width="27.140625" style="633" customWidth="1"/>
    <col min="3341" max="3341" width="11.5703125" style="633" customWidth="1"/>
    <col min="3342" max="3342" width="9.140625" style="633"/>
    <col min="3343" max="3343" width="15.85546875" style="633" customWidth="1"/>
    <col min="3344" max="3344" width="11.5703125" style="633" customWidth="1"/>
    <col min="3345" max="3586" width="9.140625" style="633"/>
    <col min="3587" max="3587" width="6.5703125" style="633" customWidth="1"/>
    <col min="3588" max="3588" width="73.85546875" style="633" customWidth="1"/>
    <col min="3589" max="3589" width="10.28515625" style="633" customWidth="1"/>
    <col min="3590" max="3590" width="10.7109375" style="633" customWidth="1"/>
    <col min="3591" max="3591" width="18.5703125" style="633" customWidth="1"/>
    <col min="3592" max="3592" width="19.140625" style="633" customWidth="1"/>
    <col min="3593" max="3593" width="21" style="633" customWidth="1"/>
    <col min="3594" max="3594" width="16.5703125" style="633" customWidth="1"/>
    <col min="3595" max="3595" width="17.5703125" style="633" customWidth="1"/>
    <col min="3596" max="3596" width="27.140625" style="633" customWidth="1"/>
    <col min="3597" max="3597" width="11.5703125" style="633" customWidth="1"/>
    <col min="3598" max="3598" width="9.140625" style="633"/>
    <col min="3599" max="3599" width="15.85546875" style="633" customWidth="1"/>
    <col min="3600" max="3600" width="11.5703125" style="633" customWidth="1"/>
    <col min="3601" max="3842" width="9.140625" style="633"/>
    <col min="3843" max="3843" width="6.5703125" style="633" customWidth="1"/>
    <col min="3844" max="3844" width="73.85546875" style="633" customWidth="1"/>
    <col min="3845" max="3845" width="10.28515625" style="633" customWidth="1"/>
    <col min="3846" max="3846" width="10.7109375" style="633" customWidth="1"/>
    <col min="3847" max="3847" width="18.5703125" style="633" customWidth="1"/>
    <col min="3848" max="3848" width="19.140625" style="633" customWidth="1"/>
    <col min="3849" max="3849" width="21" style="633" customWidth="1"/>
    <col min="3850" max="3850" width="16.5703125" style="633" customWidth="1"/>
    <col min="3851" max="3851" width="17.5703125" style="633" customWidth="1"/>
    <col min="3852" max="3852" width="27.140625" style="633" customWidth="1"/>
    <col min="3853" max="3853" width="11.5703125" style="633" customWidth="1"/>
    <col min="3854" max="3854" width="9.140625" style="633"/>
    <col min="3855" max="3855" width="15.85546875" style="633" customWidth="1"/>
    <col min="3856" max="3856" width="11.5703125" style="633" customWidth="1"/>
    <col min="3857" max="4098" width="9.140625" style="633"/>
    <col min="4099" max="4099" width="6.5703125" style="633" customWidth="1"/>
    <col min="4100" max="4100" width="73.85546875" style="633" customWidth="1"/>
    <col min="4101" max="4101" width="10.28515625" style="633" customWidth="1"/>
    <col min="4102" max="4102" width="10.7109375" style="633" customWidth="1"/>
    <col min="4103" max="4103" width="18.5703125" style="633" customWidth="1"/>
    <col min="4104" max="4104" width="19.140625" style="633" customWidth="1"/>
    <col min="4105" max="4105" width="21" style="633" customWidth="1"/>
    <col min="4106" max="4106" width="16.5703125" style="633" customWidth="1"/>
    <col min="4107" max="4107" width="17.5703125" style="633" customWidth="1"/>
    <col min="4108" max="4108" width="27.140625" style="633" customWidth="1"/>
    <col min="4109" max="4109" width="11.5703125" style="633" customWidth="1"/>
    <col min="4110" max="4110" width="9.140625" style="633"/>
    <col min="4111" max="4111" width="15.85546875" style="633" customWidth="1"/>
    <col min="4112" max="4112" width="11.5703125" style="633" customWidth="1"/>
    <col min="4113" max="4354" width="9.140625" style="633"/>
    <col min="4355" max="4355" width="6.5703125" style="633" customWidth="1"/>
    <col min="4356" max="4356" width="73.85546875" style="633" customWidth="1"/>
    <col min="4357" max="4357" width="10.28515625" style="633" customWidth="1"/>
    <col min="4358" max="4358" width="10.7109375" style="633" customWidth="1"/>
    <col min="4359" max="4359" width="18.5703125" style="633" customWidth="1"/>
    <col min="4360" max="4360" width="19.140625" style="633" customWidth="1"/>
    <col min="4361" max="4361" width="21" style="633" customWidth="1"/>
    <col min="4362" max="4362" width="16.5703125" style="633" customWidth="1"/>
    <col min="4363" max="4363" width="17.5703125" style="633" customWidth="1"/>
    <col min="4364" max="4364" width="27.140625" style="633" customWidth="1"/>
    <col min="4365" max="4365" width="11.5703125" style="633" customWidth="1"/>
    <col min="4366" max="4366" width="9.140625" style="633"/>
    <col min="4367" max="4367" width="15.85546875" style="633" customWidth="1"/>
    <col min="4368" max="4368" width="11.5703125" style="633" customWidth="1"/>
    <col min="4369" max="4610" width="9.140625" style="633"/>
    <col min="4611" max="4611" width="6.5703125" style="633" customWidth="1"/>
    <col min="4612" max="4612" width="73.85546875" style="633" customWidth="1"/>
    <col min="4613" max="4613" width="10.28515625" style="633" customWidth="1"/>
    <col min="4614" max="4614" width="10.7109375" style="633" customWidth="1"/>
    <col min="4615" max="4615" width="18.5703125" style="633" customWidth="1"/>
    <col min="4616" max="4616" width="19.140625" style="633" customWidth="1"/>
    <col min="4617" max="4617" width="21" style="633" customWidth="1"/>
    <col min="4618" max="4618" width="16.5703125" style="633" customWidth="1"/>
    <col min="4619" max="4619" width="17.5703125" style="633" customWidth="1"/>
    <col min="4620" max="4620" width="27.140625" style="633" customWidth="1"/>
    <col min="4621" max="4621" width="11.5703125" style="633" customWidth="1"/>
    <col min="4622" max="4622" width="9.140625" style="633"/>
    <col min="4623" max="4623" width="15.85546875" style="633" customWidth="1"/>
    <col min="4624" max="4624" width="11.5703125" style="633" customWidth="1"/>
    <col min="4625" max="4866" width="9.140625" style="633"/>
    <col min="4867" max="4867" width="6.5703125" style="633" customWidth="1"/>
    <col min="4868" max="4868" width="73.85546875" style="633" customWidth="1"/>
    <col min="4869" max="4869" width="10.28515625" style="633" customWidth="1"/>
    <col min="4870" max="4870" width="10.7109375" style="633" customWidth="1"/>
    <col min="4871" max="4871" width="18.5703125" style="633" customWidth="1"/>
    <col min="4872" max="4872" width="19.140625" style="633" customWidth="1"/>
    <col min="4873" max="4873" width="21" style="633" customWidth="1"/>
    <col min="4874" max="4874" width="16.5703125" style="633" customWidth="1"/>
    <col min="4875" max="4875" width="17.5703125" style="633" customWidth="1"/>
    <col min="4876" max="4876" width="27.140625" style="633" customWidth="1"/>
    <col min="4877" max="4877" width="11.5703125" style="633" customWidth="1"/>
    <col min="4878" max="4878" width="9.140625" style="633"/>
    <col min="4879" max="4879" width="15.85546875" style="633" customWidth="1"/>
    <col min="4880" max="4880" width="11.5703125" style="633" customWidth="1"/>
    <col min="4881" max="5122" width="9.140625" style="633"/>
    <col min="5123" max="5123" width="6.5703125" style="633" customWidth="1"/>
    <col min="5124" max="5124" width="73.85546875" style="633" customWidth="1"/>
    <col min="5125" max="5125" width="10.28515625" style="633" customWidth="1"/>
    <col min="5126" max="5126" width="10.7109375" style="633" customWidth="1"/>
    <col min="5127" max="5127" width="18.5703125" style="633" customWidth="1"/>
    <col min="5128" max="5128" width="19.140625" style="633" customWidth="1"/>
    <col min="5129" max="5129" width="21" style="633" customWidth="1"/>
    <col min="5130" max="5130" width="16.5703125" style="633" customWidth="1"/>
    <col min="5131" max="5131" width="17.5703125" style="633" customWidth="1"/>
    <col min="5132" max="5132" width="27.140625" style="633" customWidth="1"/>
    <col min="5133" max="5133" width="11.5703125" style="633" customWidth="1"/>
    <col min="5134" max="5134" width="9.140625" style="633"/>
    <col min="5135" max="5135" width="15.85546875" style="633" customWidth="1"/>
    <col min="5136" max="5136" width="11.5703125" style="633" customWidth="1"/>
    <col min="5137" max="5378" width="9.140625" style="633"/>
    <col min="5379" max="5379" width="6.5703125" style="633" customWidth="1"/>
    <col min="5380" max="5380" width="73.85546875" style="633" customWidth="1"/>
    <col min="5381" max="5381" width="10.28515625" style="633" customWidth="1"/>
    <col min="5382" max="5382" width="10.7109375" style="633" customWidth="1"/>
    <col min="5383" max="5383" width="18.5703125" style="633" customWidth="1"/>
    <col min="5384" max="5384" width="19.140625" style="633" customWidth="1"/>
    <col min="5385" max="5385" width="21" style="633" customWidth="1"/>
    <col min="5386" max="5386" width="16.5703125" style="633" customWidth="1"/>
    <col min="5387" max="5387" width="17.5703125" style="633" customWidth="1"/>
    <col min="5388" max="5388" width="27.140625" style="633" customWidth="1"/>
    <col min="5389" max="5389" width="11.5703125" style="633" customWidth="1"/>
    <col min="5390" max="5390" width="9.140625" style="633"/>
    <col min="5391" max="5391" width="15.85546875" style="633" customWidth="1"/>
    <col min="5392" max="5392" width="11.5703125" style="633" customWidth="1"/>
    <col min="5393" max="5634" width="9.140625" style="633"/>
    <col min="5635" max="5635" width="6.5703125" style="633" customWidth="1"/>
    <col min="5636" max="5636" width="73.85546875" style="633" customWidth="1"/>
    <col min="5637" max="5637" width="10.28515625" style="633" customWidth="1"/>
    <col min="5638" max="5638" width="10.7109375" style="633" customWidth="1"/>
    <col min="5639" max="5639" width="18.5703125" style="633" customWidth="1"/>
    <col min="5640" max="5640" width="19.140625" style="633" customWidth="1"/>
    <col min="5641" max="5641" width="21" style="633" customWidth="1"/>
    <col min="5642" max="5642" width="16.5703125" style="633" customWidth="1"/>
    <col min="5643" max="5643" width="17.5703125" style="633" customWidth="1"/>
    <col min="5644" max="5644" width="27.140625" style="633" customWidth="1"/>
    <col min="5645" max="5645" width="11.5703125" style="633" customWidth="1"/>
    <col min="5646" max="5646" width="9.140625" style="633"/>
    <col min="5647" max="5647" width="15.85546875" style="633" customWidth="1"/>
    <col min="5648" max="5648" width="11.5703125" style="633" customWidth="1"/>
    <col min="5649" max="5890" width="9.140625" style="633"/>
    <col min="5891" max="5891" width="6.5703125" style="633" customWidth="1"/>
    <col min="5892" max="5892" width="73.85546875" style="633" customWidth="1"/>
    <col min="5893" max="5893" width="10.28515625" style="633" customWidth="1"/>
    <col min="5894" max="5894" width="10.7109375" style="633" customWidth="1"/>
    <col min="5895" max="5895" width="18.5703125" style="633" customWidth="1"/>
    <col min="5896" max="5896" width="19.140625" style="633" customWidth="1"/>
    <col min="5897" max="5897" width="21" style="633" customWidth="1"/>
    <col min="5898" max="5898" width="16.5703125" style="633" customWidth="1"/>
    <col min="5899" max="5899" width="17.5703125" style="633" customWidth="1"/>
    <col min="5900" max="5900" width="27.140625" style="633" customWidth="1"/>
    <col min="5901" max="5901" width="11.5703125" style="633" customWidth="1"/>
    <col min="5902" max="5902" width="9.140625" style="633"/>
    <col min="5903" max="5903" width="15.85546875" style="633" customWidth="1"/>
    <col min="5904" max="5904" width="11.5703125" style="633" customWidth="1"/>
    <col min="5905" max="6146" width="9.140625" style="633"/>
    <col min="6147" max="6147" width="6.5703125" style="633" customWidth="1"/>
    <col min="6148" max="6148" width="73.85546875" style="633" customWidth="1"/>
    <col min="6149" max="6149" width="10.28515625" style="633" customWidth="1"/>
    <col min="6150" max="6150" width="10.7109375" style="633" customWidth="1"/>
    <col min="6151" max="6151" width="18.5703125" style="633" customWidth="1"/>
    <col min="6152" max="6152" width="19.140625" style="633" customWidth="1"/>
    <col min="6153" max="6153" width="21" style="633" customWidth="1"/>
    <col min="6154" max="6154" width="16.5703125" style="633" customWidth="1"/>
    <col min="6155" max="6155" width="17.5703125" style="633" customWidth="1"/>
    <col min="6156" max="6156" width="27.140625" style="633" customWidth="1"/>
    <col min="6157" max="6157" width="11.5703125" style="633" customWidth="1"/>
    <col min="6158" max="6158" width="9.140625" style="633"/>
    <col min="6159" max="6159" width="15.85546875" style="633" customWidth="1"/>
    <col min="6160" max="6160" width="11.5703125" style="633" customWidth="1"/>
    <col min="6161" max="6402" width="9.140625" style="633"/>
    <col min="6403" max="6403" width="6.5703125" style="633" customWidth="1"/>
    <col min="6404" max="6404" width="73.85546875" style="633" customWidth="1"/>
    <col min="6405" max="6405" width="10.28515625" style="633" customWidth="1"/>
    <col min="6406" max="6406" width="10.7109375" style="633" customWidth="1"/>
    <col min="6407" max="6407" width="18.5703125" style="633" customWidth="1"/>
    <col min="6408" max="6408" width="19.140625" style="633" customWidth="1"/>
    <col min="6409" max="6409" width="21" style="633" customWidth="1"/>
    <col min="6410" max="6410" width="16.5703125" style="633" customWidth="1"/>
    <col min="6411" max="6411" width="17.5703125" style="633" customWidth="1"/>
    <col min="6412" max="6412" width="27.140625" style="633" customWidth="1"/>
    <col min="6413" max="6413" width="11.5703125" style="633" customWidth="1"/>
    <col min="6414" max="6414" width="9.140625" style="633"/>
    <col min="6415" max="6415" width="15.85546875" style="633" customWidth="1"/>
    <col min="6416" max="6416" width="11.5703125" style="633" customWidth="1"/>
    <col min="6417" max="6658" width="9.140625" style="633"/>
    <col min="6659" max="6659" width="6.5703125" style="633" customWidth="1"/>
    <col min="6660" max="6660" width="73.85546875" style="633" customWidth="1"/>
    <col min="6661" max="6661" width="10.28515625" style="633" customWidth="1"/>
    <col min="6662" max="6662" width="10.7109375" style="633" customWidth="1"/>
    <col min="6663" max="6663" width="18.5703125" style="633" customWidth="1"/>
    <col min="6664" max="6664" width="19.140625" style="633" customWidth="1"/>
    <col min="6665" max="6665" width="21" style="633" customWidth="1"/>
    <col min="6666" max="6666" width="16.5703125" style="633" customWidth="1"/>
    <col min="6667" max="6667" width="17.5703125" style="633" customWidth="1"/>
    <col min="6668" max="6668" width="27.140625" style="633" customWidth="1"/>
    <col min="6669" max="6669" width="11.5703125" style="633" customWidth="1"/>
    <col min="6670" max="6670" width="9.140625" style="633"/>
    <col min="6671" max="6671" width="15.85546875" style="633" customWidth="1"/>
    <col min="6672" max="6672" width="11.5703125" style="633" customWidth="1"/>
    <col min="6673" max="6914" width="9.140625" style="633"/>
    <col min="6915" max="6915" width="6.5703125" style="633" customWidth="1"/>
    <col min="6916" max="6916" width="73.85546875" style="633" customWidth="1"/>
    <col min="6917" max="6917" width="10.28515625" style="633" customWidth="1"/>
    <col min="6918" max="6918" width="10.7109375" style="633" customWidth="1"/>
    <col min="6919" max="6919" width="18.5703125" style="633" customWidth="1"/>
    <col min="6920" max="6920" width="19.140625" style="633" customWidth="1"/>
    <col min="6921" max="6921" width="21" style="633" customWidth="1"/>
    <col min="6922" max="6922" width="16.5703125" style="633" customWidth="1"/>
    <col min="6923" max="6923" width="17.5703125" style="633" customWidth="1"/>
    <col min="6924" max="6924" width="27.140625" style="633" customWidth="1"/>
    <col min="6925" max="6925" width="11.5703125" style="633" customWidth="1"/>
    <col min="6926" max="6926" width="9.140625" style="633"/>
    <col min="6927" max="6927" width="15.85546875" style="633" customWidth="1"/>
    <col min="6928" max="6928" width="11.5703125" style="633" customWidth="1"/>
    <col min="6929" max="7170" width="9.140625" style="633"/>
    <col min="7171" max="7171" width="6.5703125" style="633" customWidth="1"/>
    <col min="7172" max="7172" width="73.85546875" style="633" customWidth="1"/>
    <col min="7173" max="7173" width="10.28515625" style="633" customWidth="1"/>
    <col min="7174" max="7174" width="10.7109375" style="633" customWidth="1"/>
    <col min="7175" max="7175" width="18.5703125" style="633" customWidth="1"/>
    <col min="7176" max="7176" width="19.140625" style="633" customWidth="1"/>
    <col min="7177" max="7177" width="21" style="633" customWidth="1"/>
    <col min="7178" max="7178" width="16.5703125" style="633" customWidth="1"/>
    <col min="7179" max="7179" width="17.5703125" style="633" customWidth="1"/>
    <col min="7180" max="7180" width="27.140625" style="633" customWidth="1"/>
    <col min="7181" max="7181" width="11.5703125" style="633" customWidth="1"/>
    <col min="7182" max="7182" width="9.140625" style="633"/>
    <col min="7183" max="7183" width="15.85546875" style="633" customWidth="1"/>
    <col min="7184" max="7184" width="11.5703125" style="633" customWidth="1"/>
    <col min="7185" max="7426" width="9.140625" style="633"/>
    <col min="7427" max="7427" width="6.5703125" style="633" customWidth="1"/>
    <col min="7428" max="7428" width="73.85546875" style="633" customWidth="1"/>
    <col min="7429" max="7429" width="10.28515625" style="633" customWidth="1"/>
    <col min="7430" max="7430" width="10.7109375" style="633" customWidth="1"/>
    <col min="7431" max="7431" width="18.5703125" style="633" customWidth="1"/>
    <col min="7432" max="7432" width="19.140625" style="633" customWidth="1"/>
    <col min="7433" max="7433" width="21" style="633" customWidth="1"/>
    <col min="7434" max="7434" width="16.5703125" style="633" customWidth="1"/>
    <col min="7435" max="7435" width="17.5703125" style="633" customWidth="1"/>
    <col min="7436" max="7436" width="27.140625" style="633" customWidth="1"/>
    <col min="7437" max="7437" width="11.5703125" style="633" customWidth="1"/>
    <col min="7438" max="7438" width="9.140625" style="633"/>
    <col min="7439" max="7439" width="15.85546875" style="633" customWidth="1"/>
    <col min="7440" max="7440" width="11.5703125" style="633" customWidth="1"/>
    <col min="7441" max="7682" width="9.140625" style="633"/>
    <col min="7683" max="7683" width="6.5703125" style="633" customWidth="1"/>
    <col min="7684" max="7684" width="73.85546875" style="633" customWidth="1"/>
    <col min="7685" max="7685" width="10.28515625" style="633" customWidth="1"/>
    <col min="7686" max="7686" width="10.7109375" style="633" customWidth="1"/>
    <col min="7687" max="7687" width="18.5703125" style="633" customWidth="1"/>
    <col min="7688" max="7688" width="19.140625" style="633" customWidth="1"/>
    <col min="7689" max="7689" width="21" style="633" customWidth="1"/>
    <col min="7690" max="7690" width="16.5703125" style="633" customWidth="1"/>
    <col min="7691" max="7691" width="17.5703125" style="633" customWidth="1"/>
    <col min="7692" max="7692" width="27.140625" style="633" customWidth="1"/>
    <col min="7693" max="7693" width="11.5703125" style="633" customWidth="1"/>
    <col min="7694" max="7694" width="9.140625" style="633"/>
    <col min="7695" max="7695" width="15.85546875" style="633" customWidth="1"/>
    <col min="7696" max="7696" width="11.5703125" style="633" customWidth="1"/>
    <col min="7697" max="7938" width="9.140625" style="633"/>
    <col min="7939" max="7939" width="6.5703125" style="633" customWidth="1"/>
    <col min="7940" max="7940" width="73.85546875" style="633" customWidth="1"/>
    <col min="7941" max="7941" width="10.28515625" style="633" customWidth="1"/>
    <col min="7942" max="7942" width="10.7109375" style="633" customWidth="1"/>
    <col min="7943" max="7943" width="18.5703125" style="633" customWidth="1"/>
    <col min="7944" max="7944" width="19.140625" style="633" customWidth="1"/>
    <col min="7945" max="7945" width="21" style="633" customWidth="1"/>
    <col min="7946" max="7946" width="16.5703125" style="633" customWidth="1"/>
    <col min="7947" max="7947" width="17.5703125" style="633" customWidth="1"/>
    <col min="7948" max="7948" width="27.140625" style="633" customWidth="1"/>
    <col min="7949" max="7949" width="11.5703125" style="633" customWidth="1"/>
    <col min="7950" max="7950" width="9.140625" style="633"/>
    <col min="7951" max="7951" width="15.85546875" style="633" customWidth="1"/>
    <col min="7952" max="7952" width="11.5703125" style="633" customWidth="1"/>
    <col min="7953" max="8194" width="9.140625" style="633"/>
    <col min="8195" max="8195" width="6.5703125" style="633" customWidth="1"/>
    <col min="8196" max="8196" width="73.85546875" style="633" customWidth="1"/>
    <col min="8197" max="8197" width="10.28515625" style="633" customWidth="1"/>
    <col min="8198" max="8198" width="10.7109375" style="633" customWidth="1"/>
    <col min="8199" max="8199" width="18.5703125" style="633" customWidth="1"/>
    <col min="8200" max="8200" width="19.140625" style="633" customWidth="1"/>
    <col min="8201" max="8201" width="21" style="633" customWidth="1"/>
    <col min="8202" max="8202" width="16.5703125" style="633" customWidth="1"/>
    <col min="8203" max="8203" width="17.5703125" style="633" customWidth="1"/>
    <col min="8204" max="8204" width="27.140625" style="633" customWidth="1"/>
    <col min="8205" max="8205" width="11.5703125" style="633" customWidth="1"/>
    <col min="8206" max="8206" width="9.140625" style="633"/>
    <col min="8207" max="8207" width="15.85546875" style="633" customWidth="1"/>
    <col min="8208" max="8208" width="11.5703125" style="633" customWidth="1"/>
    <col min="8209" max="8450" width="9.140625" style="633"/>
    <col min="8451" max="8451" width="6.5703125" style="633" customWidth="1"/>
    <col min="8452" max="8452" width="73.85546875" style="633" customWidth="1"/>
    <col min="8453" max="8453" width="10.28515625" style="633" customWidth="1"/>
    <col min="8454" max="8454" width="10.7109375" style="633" customWidth="1"/>
    <col min="8455" max="8455" width="18.5703125" style="633" customWidth="1"/>
    <col min="8456" max="8456" width="19.140625" style="633" customWidth="1"/>
    <col min="8457" max="8457" width="21" style="633" customWidth="1"/>
    <col min="8458" max="8458" width="16.5703125" style="633" customWidth="1"/>
    <col min="8459" max="8459" width="17.5703125" style="633" customWidth="1"/>
    <col min="8460" max="8460" width="27.140625" style="633" customWidth="1"/>
    <col min="8461" max="8461" width="11.5703125" style="633" customWidth="1"/>
    <col min="8462" max="8462" width="9.140625" style="633"/>
    <col min="8463" max="8463" width="15.85546875" style="633" customWidth="1"/>
    <col min="8464" max="8464" width="11.5703125" style="633" customWidth="1"/>
    <col min="8465" max="8706" width="9.140625" style="633"/>
    <col min="8707" max="8707" width="6.5703125" style="633" customWidth="1"/>
    <col min="8708" max="8708" width="73.85546875" style="633" customWidth="1"/>
    <col min="8709" max="8709" width="10.28515625" style="633" customWidth="1"/>
    <col min="8710" max="8710" width="10.7109375" style="633" customWidth="1"/>
    <col min="8711" max="8711" width="18.5703125" style="633" customWidth="1"/>
    <col min="8712" max="8712" width="19.140625" style="633" customWidth="1"/>
    <col min="8713" max="8713" width="21" style="633" customWidth="1"/>
    <col min="8714" max="8714" width="16.5703125" style="633" customWidth="1"/>
    <col min="8715" max="8715" width="17.5703125" style="633" customWidth="1"/>
    <col min="8716" max="8716" width="27.140625" style="633" customWidth="1"/>
    <col min="8717" max="8717" width="11.5703125" style="633" customWidth="1"/>
    <col min="8718" max="8718" width="9.140625" style="633"/>
    <col min="8719" max="8719" width="15.85546875" style="633" customWidth="1"/>
    <col min="8720" max="8720" width="11.5703125" style="633" customWidth="1"/>
    <col min="8721" max="8962" width="9.140625" style="633"/>
    <col min="8963" max="8963" width="6.5703125" style="633" customWidth="1"/>
    <col min="8964" max="8964" width="73.85546875" style="633" customWidth="1"/>
    <col min="8965" max="8965" width="10.28515625" style="633" customWidth="1"/>
    <col min="8966" max="8966" width="10.7109375" style="633" customWidth="1"/>
    <col min="8967" max="8967" width="18.5703125" style="633" customWidth="1"/>
    <col min="8968" max="8968" width="19.140625" style="633" customWidth="1"/>
    <col min="8969" max="8969" width="21" style="633" customWidth="1"/>
    <col min="8970" max="8970" width="16.5703125" style="633" customWidth="1"/>
    <col min="8971" max="8971" width="17.5703125" style="633" customWidth="1"/>
    <col min="8972" max="8972" width="27.140625" style="633" customWidth="1"/>
    <col min="8973" max="8973" width="11.5703125" style="633" customWidth="1"/>
    <col min="8974" max="8974" width="9.140625" style="633"/>
    <col min="8975" max="8975" width="15.85546875" style="633" customWidth="1"/>
    <col min="8976" max="8976" width="11.5703125" style="633" customWidth="1"/>
    <col min="8977" max="9218" width="9.140625" style="633"/>
    <col min="9219" max="9219" width="6.5703125" style="633" customWidth="1"/>
    <col min="9220" max="9220" width="73.85546875" style="633" customWidth="1"/>
    <col min="9221" max="9221" width="10.28515625" style="633" customWidth="1"/>
    <col min="9222" max="9222" width="10.7109375" style="633" customWidth="1"/>
    <col min="9223" max="9223" width="18.5703125" style="633" customWidth="1"/>
    <col min="9224" max="9224" width="19.140625" style="633" customWidth="1"/>
    <col min="9225" max="9225" width="21" style="633" customWidth="1"/>
    <col min="9226" max="9226" width="16.5703125" style="633" customWidth="1"/>
    <col min="9227" max="9227" width="17.5703125" style="633" customWidth="1"/>
    <col min="9228" max="9228" width="27.140625" style="633" customWidth="1"/>
    <col min="9229" max="9229" width="11.5703125" style="633" customWidth="1"/>
    <col min="9230" max="9230" width="9.140625" style="633"/>
    <col min="9231" max="9231" width="15.85546875" style="633" customWidth="1"/>
    <col min="9232" max="9232" width="11.5703125" style="633" customWidth="1"/>
    <col min="9233" max="9474" width="9.140625" style="633"/>
    <col min="9475" max="9475" width="6.5703125" style="633" customWidth="1"/>
    <col min="9476" max="9476" width="73.85546875" style="633" customWidth="1"/>
    <col min="9477" max="9477" width="10.28515625" style="633" customWidth="1"/>
    <col min="9478" max="9478" width="10.7109375" style="633" customWidth="1"/>
    <col min="9479" max="9479" width="18.5703125" style="633" customWidth="1"/>
    <col min="9480" max="9480" width="19.140625" style="633" customWidth="1"/>
    <col min="9481" max="9481" width="21" style="633" customWidth="1"/>
    <col min="9482" max="9482" width="16.5703125" style="633" customWidth="1"/>
    <col min="9483" max="9483" width="17.5703125" style="633" customWidth="1"/>
    <col min="9484" max="9484" width="27.140625" style="633" customWidth="1"/>
    <col min="9485" max="9485" width="11.5703125" style="633" customWidth="1"/>
    <col min="9486" max="9486" width="9.140625" style="633"/>
    <col min="9487" max="9487" width="15.85546875" style="633" customWidth="1"/>
    <col min="9488" max="9488" width="11.5703125" style="633" customWidth="1"/>
    <col min="9489" max="9730" width="9.140625" style="633"/>
    <col min="9731" max="9731" width="6.5703125" style="633" customWidth="1"/>
    <col min="9732" max="9732" width="73.85546875" style="633" customWidth="1"/>
    <col min="9733" max="9733" width="10.28515625" style="633" customWidth="1"/>
    <col min="9734" max="9734" width="10.7109375" style="633" customWidth="1"/>
    <col min="9735" max="9735" width="18.5703125" style="633" customWidth="1"/>
    <col min="9736" max="9736" width="19.140625" style="633" customWidth="1"/>
    <col min="9737" max="9737" width="21" style="633" customWidth="1"/>
    <col min="9738" max="9738" width="16.5703125" style="633" customWidth="1"/>
    <col min="9739" max="9739" width="17.5703125" style="633" customWidth="1"/>
    <col min="9740" max="9740" width="27.140625" style="633" customWidth="1"/>
    <col min="9741" max="9741" width="11.5703125" style="633" customWidth="1"/>
    <col min="9742" max="9742" width="9.140625" style="633"/>
    <col min="9743" max="9743" width="15.85546875" style="633" customWidth="1"/>
    <col min="9744" max="9744" width="11.5703125" style="633" customWidth="1"/>
    <col min="9745" max="9986" width="9.140625" style="633"/>
    <col min="9987" max="9987" width="6.5703125" style="633" customWidth="1"/>
    <col min="9988" max="9988" width="73.85546875" style="633" customWidth="1"/>
    <col min="9989" max="9989" width="10.28515625" style="633" customWidth="1"/>
    <col min="9990" max="9990" width="10.7109375" style="633" customWidth="1"/>
    <col min="9991" max="9991" width="18.5703125" style="633" customWidth="1"/>
    <col min="9992" max="9992" width="19.140625" style="633" customWidth="1"/>
    <col min="9993" max="9993" width="21" style="633" customWidth="1"/>
    <col min="9994" max="9994" width="16.5703125" style="633" customWidth="1"/>
    <col min="9995" max="9995" width="17.5703125" style="633" customWidth="1"/>
    <col min="9996" max="9996" width="27.140625" style="633" customWidth="1"/>
    <col min="9997" max="9997" width="11.5703125" style="633" customWidth="1"/>
    <col min="9998" max="9998" width="9.140625" style="633"/>
    <col min="9999" max="9999" width="15.85546875" style="633" customWidth="1"/>
    <col min="10000" max="10000" width="11.5703125" style="633" customWidth="1"/>
    <col min="10001" max="10242" width="9.140625" style="633"/>
    <col min="10243" max="10243" width="6.5703125" style="633" customWidth="1"/>
    <col min="10244" max="10244" width="73.85546875" style="633" customWidth="1"/>
    <col min="10245" max="10245" width="10.28515625" style="633" customWidth="1"/>
    <col min="10246" max="10246" width="10.7109375" style="633" customWidth="1"/>
    <col min="10247" max="10247" width="18.5703125" style="633" customWidth="1"/>
    <col min="10248" max="10248" width="19.140625" style="633" customWidth="1"/>
    <col min="10249" max="10249" width="21" style="633" customWidth="1"/>
    <col min="10250" max="10250" width="16.5703125" style="633" customWidth="1"/>
    <col min="10251" max="10251" width="17.5703125" style="633" customWidth="1"/>
    <col min="10252" max="10252" width="27.140625" style="633" customWidth="1"/>
    <col min="10253" max="10253" width="11.5703125" style="633" customWidth="1"/>
    <col min="10254" max="10254" width="9.140625" style="633"/>
    <col min="10255" max="10255" width="15.85546875" style="633" customWidth="1"/>
    <col min="10256" max="10256" width="11.5703125" style="633" customWidth="1"/>
    <col min="10257" max="10498" width="9.140625" style="633"/>
    <col min="10499" max="10499" width="6.5703125" style="633" customWidth="1"/>
    <col min="10500" max="10500" width="73.85546875" style="633" customWidth="1"/>
    <col min="10501" max="10501" width="10.28515625" style="633" customWidth="1"/>
    <col min="10502" max="10502" width="10.7109375" style="633" customWidth="1"/>
    <col min="10503" max="10503" width="18.5703125" style="633" customWidth="1"/>
    <col min="10504" max="10504" width="19.140625" style="633" customWidth="1"/>
    <col min="10505" max="10505" width="21" style="633" customWidth="1"/>
    <col min="10506" max="10506" width="16.5703125" style="633" customWidth="1"/>
    <col min="10507" max="10507" width="17.5703125" style="633" customWidth="1"/>
    <col min="10508" max="10508" width="27.140625" style="633" customWidth="1"/>
    <col min="10509" max="10509" width="11.5703125" style="633" customWidth="1"/>
    <col min="10510" max="10510" width="9.140625" style="633"/>
    <col min="10511" max="10511" width="15.85546875" style="633" customWidth="1"/>
    <col min="10512" max="10512" width="11.5703125" style="633" customWidth="1"/>
    <col min="10513" max="10754" width="9.140625" style="633"/>
    <col min="10755" max="10755" width="6.5703125" style="633" customWidth="1"/>
    <col min="10756" max="10756" width="73.85546875" style="633" customWidth="1"/>
    <col min="10757" max="10757" width="10.28515625" style="633" customWidth="1"/>
    <col min="10758" max="10758" width="10.7109375" style="633" customWidth="1"/>
    <col min="10759" max="10759" width="18.5703125" style="633" customWidth="1"/>
    <col min="10760" max="10760" width="19.140625" style="633" customWidth="1"/>
    <col min="10761" max="10761" width="21" style="633" customWidth="1"/>
    <col min="10762" max="10762" width="16.5703125" style="633" customWidth="1"/>
    <col min="10763" max="10763" width="17.5703125" style="633" customWidth="1"/>
    <col min="10764" max="10764" width="27.140625" style="633" customWidth="1"/>
    <col min="10765" max="10765" width="11.5703125" style="633" customWidth="1"/>
    <col min="10766" max="10766" width="9.140625" style="633"/>
    <col min="10767" max="10767" width="15.85546875" style="633" customWidth="1"/>
    <col min="10768" max="10768" width="11.5703125" style="633" customWidth="1"/>
    <col min="10769" max="11010" width="9.140625" style="633"/>
    <col min="11011" max="11011" width="6.5703125" style="633" customWidth="1"/>
    <col min="11012" max="11012" width="73.85546875" style="633" customWidth="1"/>
    <col min="11013" max="11013" width="10.28515625" style="633" customWidth="1"/>
    <col min="11014" max="11014" width="10.7109375" style="633" customWidth="1"/>
    <col min="11015" max="11015" width="18.5703125" style="633" customWidth="1"/>
    <col min="11016" max="11016" width="19.140625" style="633" customWidth="1"/>
    <col min="11017" max="11017" width="21" style="633" customWidth="1"/>
    <col min="11018" max="11018" width="16.5703125" style="633" customWidth="1"/>
    <col min="11019" max="11019" width="17.5703125" style="633" customWidth="1"/>
    <col min="11020" max="11020" width="27.140625" style="633" customWidth="1"/>
    <col min="11021" max="11021" width="11.5703125" style="633" customWidth="1"/>
    <col min="11022" max="11022" width="9.140625" style="633"/>
    <col min="11023" max="11023" width="15.85546875" style="633" customWidth="1"/>
    <col min="11024" max="11024" width="11.5703125" style="633" customWidth="1"/>
    <col min="11025" max="11266" width="9.140625" style="633"/>
    <col min="11267" max="11267" width="6.5703125" style="633" customWidth="1"/>
    <col min="11268" max="11268" width="73.85546875" style="633" customWidth="1"/>
    <col min="11269" max="11269" width="10.28515625" style="633" customWidth="1"/>
    <col min="11270" max="11270" width="10.7109375" style="633" customWidth="1"/>
    <col min="11271" max="11271" width="18.5703125" style="633" customWidth="1"/>
    <col min="11272" max="11272" width="19.140625" style="633" customWidth="1"/>
    <col min="11273" max="11273" width="21" style="633" customWidth="1"/>
    <col min="11274" max="11274" width="16.5703125" style="633" customWidth="1"/>
    <col min="11275" max="11275" width="17.5703125" style="633" customWidth="1"/>
    <col min="11276" max="11276" width="27.140625" style="633" customWidth="1"/>
    <col min="11277" max="11277" width="11.5703125" style="633" customWidth="1"/>
    <col min="11278" max="11278" width="9.140625" style="633"/>
    <col min="11279" max="11279" width="15.85546875" style="633" customWidth="1"/>
    <col min="11280" max="11280" width="11.5703125" style="633" customWidth="1"/>
    <col min="11281" max="11522" width="9.140625" style="633"/>
    <col min="11523" max="11523" width="6.5703125" style="633" customWidth="1"/>
    <col min="11524" max="11524" width="73.85546875" style="633" customWidth="1"/>
    <col min="11525" max="11525" width="10.28515625" style="633" customWidth="1"/>
    <col min="11526" max="11526" width="10.7109375" style="633" customWidth="1"/>
    <col min="11527" max="11527" width="18.5703125" style="633" customWidth="1"/>
    <col min="11528" max="11528" width="19.140625" style="633" customWidth="1"/>
    <col min="11529" max="11529" width="21" style="633" customWidth="1"/>
    <col min="11530" max="11530" width="16.5703125" style="633" customWidth="1"/>
    <col min="11531" max="11531" width="17.5703125" style="633" customWidth="1"/>
    <col min="11532" max="11532" width="27.140625" style="633" customWidth="1"/>
    <col min="11533" max="11533" width="11.5703125" style="633" customWidth="1"/>
    <col min="11534" max="11534" width="9.140625" style="633"/>
    <col min="11535" max="11535" width="15.85546875" style="633" customWidth="1"/>
    <col min="11536" max="11536" width="11.5703125" style="633" customWidth="1"/>
    <col min="11537" max="11778" width="9.140625" style="633"/>
    <col min="11779" max="11779" width="6.5703125" style="633" customWidth="1"/>
    <col min="11780" max="11780" width="73.85546875" style="633" customWidth="1"/>
    <col min="11781" max="11781" width="10.28515625" style="633" customWidth="1"/>
    <col min="11782" max="11782" width="10.7109375" style="633" customWidth="1"/>
    <col min="11783" max="11783" width="18.5703125" style="633" customWidth="1"/>
    <col min="11784" max="11784" width="19.140625" style="633" customWidth="1"/>
    <col min="11785" max="11785" width="21" style="633" customWidth="1"/>
    <col min="11786" max="11786" width="16.5703125" style="633" customWidth="1"/>
    <col min="11787" max="11787" width="17.5703125" style="633" customWidth="1"/>
    <col min="11788" max="11788" width="27.140625" style="633" customWidth="1"/>
    <col min="11789" max="11789" width="11.5703125" style="633" customWidth="1"/>
    <col min="11790" max="11790" width="9.140625" style="633"/>
    <col min="11791" max="11791" width="15.85546875" style="633" customWidth="1"/>
    <col min="11792" max="11792" width="11.5703125" style="633" customWidth="1"/>
    <col min="11793" max="12034" width="9.140625" style="633"/>
    <col min="12035" max="12035" width="6.5703125" style="633" customWidth="1"/>
    <col min="12036" max="12036" width="73.85546875" style="633" customWidth="1"/>
    <col min="12037" max="12037" width="10.28515625" style="633" customWidth="1"/>
    <col min="12038" max="12038" width="10.7109375" style="633" customWidth="1"/>
    <col min="12039" max="12039" width="18.5703125" style="633" customWidth="1"/>
    <col min="12040" max="12040" width="19.140625" style="633" customWidth="1"/>
    <col min="12041" max="12041" width="21" style="633" customWidth="1"/>
    <col min="12042" max="12042" width="16.5703125" style="633" customWidth="1"/>
    <col min="12043" max="12043" width="17.5703125" style="633" customWidth="1"/>
    <col min="12044" max="12044" width="27.140625" style="633" customWidth="1"/>
    <col min="12045" max="12045" width="11.5703125" style="633" customWidth="1"/>
    <col min="12046" max="12046" width="9.140625" style="633"/>
    <col min="12047" max="12047" width="15.85546875" style="633" customWidth="1"/>
    <col min="12048" max="12048" width="11.5703125" style="633" customWidth="1"/>
    <col min="12049" max="12290" width="9.140625" style="633"/>
    <col min="12291" max="12291" width="6.5703125" style="633" customWidth="1"/>
    <col min="12292" max="12292" width="73.85546875" style="633" customWidth="1"/>
    <col min="12293" max="12293" width="10.28515625" style="633" customWidth="1"/>
    <col min="12294" max="12294" width="10.7109375" style="633" customWidth="1"/>
    <col min="12295" max="12295" width="18.5703125" style="633" customWidth="1"/>
    <col min="12296" max="12296" width="19.140625" style="633" customWidth="1"/>
    <col min="12297" max="12297" width="21" style="633" customWidth="1"/>
    <col min="12298" max="12298" width="16.5703125" style="633" customWidth="1"/>
    <col min="12299" max="12299" width="17.5703125" style="633" customWidth="1"/>
    <col min="12300" max="12300" width="27.140625" style="633" customWidth="1"/>
    <col min="12301" max="12301" width="11.5703125" style="633" customWidth="1"/>
    <col min="12302" max="12302" width="9.140625" style="633"/>
    <col min="12303" max="12303" width="15.85546875" style="633" customWidth="1"/>
    <col min="12304" max="12304" width="11.5703125" style="633" customWidth="1"/>
    <col min="12305" max="12546" width="9.140625" style="633"/>
    <col min="12547" max="12547" width="6.5703125" style="633" customWidth="1"/>
    <col min="12548" max="12548" width="73.85546875" style="633" customWidth="1"/>
    <col min="12549" max="12549" width="10.28515625" style="633" customWidth="1"/>
    <col min="12550" max="12550" width="10.7109375" style="633" customWidth="1"/>
    <col min="12551" max="12551" width="18.5703125" style="633" customWidth="1"/>
    <col min="12552" max="12552" width="19.140625" style="633" customWidth="1"/>
    <col min="12553" max="12553" width="21" style="633" customWidth="1"/>
    <col min="12554" max="12554" width="16.5703125" style="633" customWidth="1"/>
    <col min="12555" max="12555" width="17.5703125" style="633" customWidth="1"/>
    <col min="12556" max="12556" width="27.140625" style="633" customWidth="1"/>
    <col min="12557" max="12557" width="11.5703125" style="633" customWidth="1"/>
    <col min="12558" max="12558" width="9.140625" style="633"/>
    <col min="12559" max="12559" width="15.85546875" style="633" customWidth="1"/>
    <col min="12560" max="12560" width="11.5703125" style="633" customWidth="1"/>
    <col min="12561" max="12802" width="9.140625" style="633"/>
    <col min="12803" max="12803" width="6.5703125" style="633" customWidth="1"/>
    <col min="12804" max="12804" width="73.85546875" style="633" customWidth="1"/>
    <col min="12805" max="12805" width="10.28515625" style="633" customWidth="1"/>
    <col min="12806" max="12806" width="10.7109375" style="633" customWidth="1"/>
    <col min="12807" max="12807" width="18.5703125" style="633" customWidth="1"/>
    <col min="12808" max="12808" width="19.140625" style="633" customWidth="1"/>
    <col min="12809" max="12809" width="21" style="633" customWidth="1"/>
    <col min="12810" max="12810" width="16.5703125" style="633" customWidth="1"/>
    <col min="12811" max="12811" width="17.5703125" style="633" customWidth="1"/>
    <col min="12812" max="12812" width="27.140625" style="633" customWidth="1"/>
    <col min="12813" max="12813" width="11.5703125" style="633" customWidth="1"/>
    <col min="12814" max="12814" width="9.140625" style="633"/>
    <col min="12815" max="12815" width="15.85546875" style="633" customWidth="1"/>
    <col min="12816" max="12816" width="11.5703125" style="633" customWidth="1"/>
    <col min="12817" max="13058" width="9.140625" style="633"/>
    <col min="13059" max="13059" width="6.5703125" style="633" customWidth="1"/>
    <col min="13060" max="13060" width="73.85546875" style="633" customWidth="1"/>
    <col min="13061" max="13061" width="10.28515625" style="633" customWidth="1"/>
    <col min="13062" max="13062" width="10.7109375" style="633" customWidth="1"/>
    <col min="13063" max="13063" width="18.5703125" style="633" customWidth="1"/>
    <col min="13064" max="13064" width="19.140625" style="633" customWidth="1"/>
    <col min="13065" max="13065" width="21" style="633" customWidth="1"/>
    <col min="13066" max="13066" width="16.5703125" style="633" customWidth="1"/>
    <col min="13067" max="13067" width="17.5703125" style="633" customWidth="1"/>
    <col min="13068" max="13068" width="27.140625" style="633" customWidth="1"/>
    <col min="13069" max="13069" width="11.5703125" style="633" customWidth="1"/>
    <col min="13070" max="13070" width="9.140625" style="633"/>
    <col min="13071" max="13071" width="15.85546875" style="633" customWidth="1"/>
    <col min="13072" max="13072" width="11.5703125" style="633" customWidth="1"/>
    <col min="13073" max="13314" width="9.140625" style="633"/>
    <col min="13315" max="13315" width="6.5703125" style="633" customWidth="1"/>
    <col min="13316" max="13316" width="73.85546875" style="633" customWidth="1"/>
    <col min="13317" max="13317" width="10.28515625" style="633" customWidth="1"/>
    <col min="13318" max="13318" width="10.7109375" style="633" customWidth="1"/>
    <col min="13319" max="13319" width="18.5703125" style="633" customWidth="1"/>
    <col min="13320" max="13320" width="19.140625" style="633" customWidth="1"/>
    <col min="13321" max="13321" width="21" style="633" customWidth="1"/>
    <col min="13322" max="13322" width="16.5703125" style="633" customWidth="1"/>
    <col min="13323" max="13323" width="17.5703125" style="633" customWidth="1"/>
    <col min="13324" max="13324" width="27.140625" style="633" customWidth="1"/>
    <col min="13325" max="13325" width="11.5703125" style="633" customWidth="1"/>
    <col min="13326" max="13326" width="9.140625" style="633"/>
    <col min="13327" max="13327" width="15.85546875" style="633" customWidth="1"/>
    <col min="13328" max="13328" width="11.5703125" style="633" customWidth="1"/>
    <col min="13329" max="13570" width="9.140625" style="633"/>
    <col min="13571" max="13571" width="6.5703125" style="633" customWidth="1"/>
    <col min="13572" max="13572" width="73.85546875" style="633" customWidth="1"/>
    <col min="13573" max="13573" width="10.28515625" style="633" customWidth="1"/>
    <col min="13574" max="13574" width="10.7109375" style="633" customWidth="1"/>
    <col min="13575" max="13575" width="18.5703125" style="633" customWidth="1"/>
    <col min="13576" max="13576" width="19.140625" style="633" customWidth="1"/>
    <col min="13577" max="13577" width="21" style="633" customWidth="1"/>
    <col min="13578" max="13578" width="16.5703125" style="633" customWidth="1"/>
    <col min="13579" max="13579" width="17.5703125" style="633" customWidth="1"/>
    <col min="13580" max="13580" width="27.140625" style="633" customWidth="1"/>
    <col min="13581" max="13581" width="11.5703125" style="633" customWidth="1"/>
    <col min="13582" max="13582" width="9.140625" style="633"/>
    <col min="13583" max="13583" width="15.85546875" style="633" customWidth="1"/>
    <col min="13584" max="13584" width="11.5703125" style="633" customWidth="1"/>
    <col min="13585" max="13826" width="9.140625" style="633"/>
    <col min="13827" max="13827" width="6.5703125" style="633" customWidth="1"/>
    <col min="13828" max="13828" width="73.85546875" style="633" customWidth="1"/>
    <col min="13829" max="13829" width="10.28515625" style="633" customWidth="1"/>
    <col min="13830" max="13830" width="10.7109375" style="633" customWidth="1"/>
    <col min="13831" max="13831" width="18.5703125" style="633" customWidth="1"/>
    <col min="13832" max="13832" width="19.140625" style="633" customWidth="1"/>
    <col min="13833" max="13833" width="21" style="633" customWidth="1"/>
    <col min="13834" max="13834" width="16.5703125" style="633" customWidth="1"/>
    <col min="13835" max="13835" width="17.5703125" style="633" customWidth="1"/>
    <col min="13836" max="13836" width="27.140625" style="633" customWidth="1"/>
    <col min="13837" max="13837" width="11.5703125" style="633" customWidth="1"/>
    <col min="13838" max="13838" width="9.140625" style="633"/>
    <col min="13839" max="13839" width="15.85546875" style="633" customWidth="1"/>
    <col min="13840" max="13840" width="11.5703125" style="633" customWidth="1"/>
    <col min="13841" max="14082" width="9.140625" style="633"/>
    <col min="14083" max="14083" width="6.5703125" style="633" customWidth="1"/>
    <col min="14084" max="14084" width="73.85546875" style="633" customWidth="1"/>
    <col min="14085" max="14085" width="10.28515625" style="633" customWidth="1"/>
    <col min="14086" max="14086" width="10.7109375" style="633" customWidth="1"/>
    <col min="14087" max="14087" width="18.5703125" style="633" customWidth="1"/>
    <col min="14088" max="14088" width="19.140625" style="633" customWidth="1"/>
    <col min="14089" max="14089" width="21" style="633" customWidth="1"/>
    <col min="14090" max="14090" width="16.5703125" style="633" customWidth="1"/>
    <col min="14091" max="14091" width="17.5703125" style="633" customWidth="1"/>
    <col min="14092" max="14092" width="27.140625" style="633" customWidth="1"/>
    <col min="14093" max="14093" width="11.5703125" style="633" customWidth="1"/>
    <col min="14094" max="14094" width="9.140625" style="633"/>
    <col min="14095" max="14095" width="15.85546875" style="633" customWidth="1"/>
    <col min="14096" max="14096" width="11.5703125" style="633" customWidth="1"/>
    <col min="14097" max="14338" width="9.140625" style="633"/>
    <col min="14339" max="14339" width="6.5703125" style="633" customWidth="1"/>
    <col min="14340" max="14340" width="73.85546875" style="633" customWidth="1"/>
    <col min="14341" max="14341" width="10.28515625" style="633" customWidth="1"/>
    <col min="14342" max="14342" width="10.7109375" style="633" customWidth="1"/>
    <col min="14343" max="14343" width="18.5703125" style="633" customWidth="1"/>
    <col min="14344" max="14344" width="19.140625" style="633" customWidth="1"/>
    <col min="14345" max="14345" width="21" style="633" customWidth="1"/>
    <col min="14346" max="14346" width="16.5703125" style="633" customWidth="1"/>
    <col min="14347" max="14347" width="17.5703125" style="633" customWidth="1"/>
    <col min="14348" max="14348" width="27.140625" style="633" customWidth="1"/>
    <col min="14349" max="14349" width="11.5703125" style="633" customWidth="1"/>
    <col min="14350" max="14350" width="9.140625" style="633"/>
    <col min="14351" max="14351" width="15.85546875" style="633" customWidth="1"/>
    <col min="14352" max="14352" width="11.5703125" style="633" customWidth="1"/>
    <col min="14353" max="14594" width="9.140625" style="633"/>
    <col min="14595" max="14595" width="6.5703125" style="633" customWidth="1"/>
    <col min="14596" max="14596" width="73.85546875" style="633" customWidth="1"/>
    <col min="14597" max="14597" width="10.28515625" style="633" customWidth="1"/>
    <col min="14598" max="14598" width="10.7109375" style="633" customWidth="1"/>
    <col min="14599" max="14599" width="18.5703125" style="633" customWidth="1"/>
    <col min="14600" max="14600" width="19.140625" style="633" customWidth="1"/>
    <col min="14601" max="14601" width="21" style="633" customWidth="1"/>
    <col min="14602" max="14602" width="16.5703125" style="633" customWidth="1"/>
    <col min="14603" max="14603" width="17.5703125" style="633" customWidth="1"/>
    <col min="14604" max="14604" width="27.140625" style="633" customWidth="1"/>
    <col min="14605" max="14605" width="11.5703125" style="633" customWidth="1"/>
    <col min="14606" max="14606" width="9.140625" style="633"/>
    <col min="14607" max="14607" width="15.85546875" style="633" customWidth="1"/>
    <col min="14608" max="14608" width="11.5703125" style="633" customWidth="1"/>
    <col min="14609" max="14850" width="9.140625" style="633"/>
    <col min="14851" max="14851" width="6.5703125" style="633" customWidth="1"/>
    <col min="14852" max="14852" width="73.85546875" style="633" customWidth="1"/>
    <col min="14853" max="14853" width="10.28515625" style="633" customWidth="1"/>
    <col min="14854" max="14854" width="10.7109375" style="633" customWidth="1"/>
    <col min="14855" max="14855" width="18.5703125" style="633" customWidth="1"/>
    <col min="14856" max="14856" width="19.140625" style="633" customWidth="1"/>
    <col min="14857" max="14857" width="21" style="633" customWidth="1"/>
    <col min="14858" max="14858" width="16.5703125" style="633" customWidth="1"/>
    <col min="14859" max="14859" width="17.5703125" style="633" customWidth="1"/>
    <col min="14860" max="14860" width="27.140625" style="633" customWidth="1"/>
    <col min="14861" max="14861" width="11.5703125" style="633" customWidth="1"/>
    <col min="14862" max="14862" width="9.140625" style="633"/>
    <col min="14863" max="14863" width="15.85546875" style="633" customWidth="1"/>
    <col min="14864" max="14864" width="11.5703125" style="633" customWidth="1"/>
    <col min="14865" max="15106" width="9.140625" style="633"/>
    <col min="15107" max="15107" width="6.5703125" style="633" customWidth="1"/>
    <col min="15108" max="15108" width="73.85546875" style="633" customWidth="1"/>
    <col min="15109" max="15109" width="10.28515625" style="633" customWidth="1"/>
    <col min="15110" max="15110" width="10.7109375" style="633" customWidth="1"/>
    <col min="15111" max="15111" width="18.5703125" style="633" customWidth="1"/>
    <col min="15112" max="15112" width="19.140625" style="633" customWidth="1"/>
    <col min="15113" max="15113" width="21" style="633" customWidth="1"/>
    <col min="15114" max="15114" width="16.5703125" style="633" customWidth="1"/>
    <col min="15115" max="15115" width="17.5703125" style="633" customWidth="1"/>
    <col min="15116" max="15116" width="27.140625" style="633" customWidth="1"/>
    <col min="15117" max="15117" width="11.5703125" style="633" customWidth="1"/>
    <col min="15118" max="15118" width="9.140625" style="633"/>
    <col min="15119" max="15119" width="15.85546875" style="633" customWidth="1"/>
    <col min="15120" max="15120" width="11.5703125" style="633" customWidth="1"/>
    <col min="15121" max="15362" width="9.140625" style="633"/>
    <col min="15363" max="15363" width="6.5703125" style="633" customWidth="1"/>
    <col min="15364" max="15364" width="73.85546875" style="633" customWidth="1"/>
    <col min="15365" max="15365" width="10.28515625" style="633" customWidth="1"/>
    <col min="15366" max="15366" width="10.7109375" style="633" customWidth="1"/>
    <col min="15367" max="15367" width="18.5703125" style="633" customWidth="1"/>
    <col min="15368" max="15368" width="19.140625" style="633" customWidth="1"/>
    <col min="15369" max="15369" width="21" style="633" customWidth="1"/>
    <col min="15370" max="15370" width="16.5703125" style="633" customWidth="1"/>
    <col min="15371" max="15371" width="17.5703125" style="633" customWidth="1"/>
    <col min="15372" max="15372" width="27.140625" style="633" customWidth="1"/>
    <col min="15373" max="15373" width="11.5703125" style="633" customWidth="1"/>
    <col min="15374" max="15374" width="9.140625" style="633"/>
    <col min="15375" max="15375" width="15.85546875" style="633" customWidth="1"/>
    <col min="15376" max="15376" width="11.5703125" style="633" customWidth="1"/>
    <col min="15377" max="15618" width="9.140625" style="633"/>
    <col min="15619" max="15619" width="6.5703125" style="633" customWidth="1"/>
    <col min="15620" max="15620" width="73.85546875" style="633" customWidth="1"/>
    <col min="15621" max="15621" width="10.28515625" style="633" customWidth="1"/>
    <col min="15622" max="15622" width="10.7109375" style="633" customWidth="1"/>
    <col min="15623" max="15623" width="18.5703125" style="633" customWidth="1"/>
    <col min="15624" max="15624" width="19.140625" style="633" customWidth="1"/>
    <col min="15625" max="15625" width="21" style="633" customWidth="1"/>
    <col min="15626" max="15626" width="16.5703125" style="633" customWidth="1"/>
    <col min="15627" max="15627" width="17.5703125" style="633" customWidth="1"/>
    <col min="15628" max="15628" width="27.140625" style="633" customWidth="1"/>
    <col min="15629" max="15629" width="11.5703125" style="633" customWidth="1"/>
    <col min="15630" max="15630" width="9.140625" style="633"/>
    <col min="15631" max="15631" width="15.85546875" style="633" customWidth="1"/>
    <col min="15632" max="15632" width="11.5703125" style="633" customWidth="1"/>
    <col min="15633" max="15874" width="9.140625" style="633"/>
    <col min="15875" max="15875" width="6.5703125" style="633" customWidth="1"/>
    <col min="15876" max="15876" width="73.85546875" style="633" customWidth="1"/>
    <col min="15877" max="15877" width="10.28515625" style="633" customWidth="1"/>
    <col min="15878" max="15878" width="10.7109375" style="633" customWidth="1"/>
    <col min="15879" max="15879" width="18.5703125" style="633" customWidth="1"/>
    <col min="15880" max="15880" width="19.140625" style="633" customWidth="1"/>
    <col min="15881" max="15881" width="21" style="633" customWidth="1"/>
    <col min="15882" max="15882" width="16.5703125" style="633" customWidth="1"/>
    <col min="15883" max="15883" width="17.5703125" style="633" customWidth="1"/>
    <col min="15884" max="15884" width="27.140625" style="633" customWidth="1"/>
    <col min="15885" max="15885" width="11.5703125" style="633" customWidth="1"/>
    <col min="15886" max="15886" width="9.140625" style="633"/>
    <col min="15887" max="15887" width="15.85546875" style="633" customWidth="1"/>
    <col min="15888" max="15888" width="11.5703125" style="633" customWidth="1"/>
    <col min="15889" max="16130" width="9.140625" style="633"/>
    <col min="16131" max="16131" width="6.5703125" style="633" customWidth="1"/>
    <col min="16132" max="16132" width="73.85546875" style="633" customWidth="1"/>
    <col min="16133" max="16133" width="10.28515625" style="633" customWidth="1"/>
    <col min="16134" max="16134" width="10.7109375" style="633" customWidth="1"/>
    <col min="16135" max="16135" width="18.5703125" style="633" customWidth="1"/>
    <col min="16136" max="16136" width="19.140625" style="633" customWidth="1"/>
    <col min="16137" max="16137" width="21" style="633" customWidth="1"/>
    <col min="16138" max="16138" width="16.5703125" style="633" customWidth="1"/>
    <col min="16139" max="16139" width="17.5703125" style="633" customWidth="1"/>
    <col min="16140" max="16140" width="27.140625" style="633" customWidth="1"/>
    <col min="16141" max="16141" width="11.5703125" style="633" customWidth="1"/>
    <col min="16142" max="16142" width="9.140625" style="633"/>
    <col min="16143" max="16143" width="15.85546875" style="633" customWidth="1"/>
    <col min="16144" max="16144" width="11.5703125" style="633" customWidth="1"/>
    <col min="16145" max="16384" width="9.140625" style="633"/>
  </cols>
  <sheetData>
    <row r="1" spans="1:14" ht="15.75" customHeight="1">
      <c r="B1" s="1202" t="str">
        <f>Rekapitulasi!B3</f>
        <v>PEMBANGUNAN T/L 150 kV PASAMAN - SIMPANG EMPAT (SECTION 2)</v>
      </c>
      <c r="C1" s="1202"/>
      <c r="D1" s="1202"/>
      <c r="E1" s="1202"/>
      <c r="F1" s="1202"/>
      <c r="G1" s="1202"/>
      <c r="J1" s="1216" t="s">
        <v>1288</v>
      </c>
      <c r="K1" s="1216"/>
      <c r="M1" s="617" t="s">
        <v>1537</v>
      </c>
      <c r="N1" s="617" t="s">
        <v>1545</v>
      </c>
    </row>
    <row r="2" spans="1:14" ht="15.75" customHeight="1">
      <c r="B2" s="1202" t="s">
        <v>6</v>
      </c>
      <c r="C2" s="1202"/>
      <c r="D2" s="1202"/>
      <c r="E2" s="1202"/>
      <c r="F2" s="1202"/>
      <c r="G2" s="1202"/>
      <c r="J2" s="1217">
        <v>42957</v>
      </c>
      <c r="K2" s="1217"/>
      <c r="M2" s="617" t="s">
        <v>1538</v>
      </c>
      <c r="N2" s="617">
        <v>1.83</v>
      </c>
    </row>
    <row r="3" spans="1:14" ht="15.75" customHeight="1">
      <c r="J3" s="1216" t="s">
        <v>2137</v>
      </c>
      <c r="K3" s="1216"/>
      <c r="M3" s="617" t="s">
        <v>1539</v>
      </c>
      <c r="N3" s="617">
        <v>2.95</v>
      </c>
    </row>
    <row r="4" spans="1:14" ht="15.75" customHeight="1" thickBot="1">
      <c r="M4" s="617" t="s">
        <v>1540</v>
      </c>
      <c r="N4" s="617">
        <v>2.74</v>
      </c>
    </row>
    <row r="5" spans="1:14" ht="15.75" customHeight="1">
      <c r="A5" s="1204" t="s">
        <v>10</v>
      </c>
      <c r="B5" s="1205"/>
      <c r="C5" s="1205" t="s">
        <v>11</v>
      </c>
      <c r="D5" s="1205" t="s">
        <v>12</v>
      </c>
      <c r="E5" s="1205" t="s">
        <v>13</v>
      </c>
      <c r="F5" s="601" t="s">
        <v>7</v>
      </c>
      <c r="G5" s="600" t="s">
        <v>8</v>
      </c>
      <c r="I5" s="1203" t="s">
        <v>9</v>
      </c>
      <c r="M5" s="617" t="s">
        <v>1541</v>
      </c>
      <c r="N5" s="617">
        <v>3.38</v>
      </c>
    </row>
    <row r="6" spans="1:14" ht="15.75" customHeight="1">
      <c r="A6" s="1206"/>
      <c r="B6" s="1207"/>
      <c r="C6" s="1207"/>
      <c r="D6" s="1207"/>
      <c r="E6" s="1207"/>
      <c r="F6" s="599" t="s">
        <v>14</v>
      </c>
      <c r="G6" s="598" t="s">
        <v>15</v>
      </c>
      <c r="I6" s="1203"/>
    </row>
    <row r="7" spans="1:14" ht="15.75" customHeight="1">
      <c r="A7" s="1206"/>
      <c r="B7" s="1207"/>
      <c r="C7" s="1207"/>
      <c r="D7" s="1207"/>
      <c r="E7" s="1207"/>
      <c r="F7" s="599" t="s">
        <v>16</v>
      </c>
      <c r="G7" s="598"/>
      <c r="I7" s="1203"/>
    </row>
    <row r="8" spans="1:14" ht="15.75" customHeight="1" thickBot="1">
      <c r="A8" s="1208"/>
      <c r="B8" s="1209"/>
      <c r="C8" s="1209"/>
      <c r="D8" s="1209"/>
      <c r="E8" s="1209"/>
      <c r="F8" s="597" t="s">
        <v>17</v>
      </c>
      <c r="G8" s="596" t="s">
        <v>17</v>
      </c>
      <c r="I8" s="1203"/>
    </row>
    <row r="9" spans="1:14" ht="15.75" customHeight="1" thickBot="1">
      <c r="A9" s="1210" t="s">
        <v>18</v>
      </c>
      <c r="B9" s="1211"/>
      <c r="C9" s="1211"/>
      <c r="D9" s="1211"/>
      <c r="E9" s="1211"/>
      <c r="F9" s="1211"/>
      <c r="G9" s="1212"/>
    </row>
    <row r="10" spans="1:14" ht="15.75" customHeight="1" outlineLevel="1">
      <c r="A10" s="616" t="s">
        <v>2074</v>
      </c>
      <c r="B10" s="615">
        <v>1</v>
      </c>
      <c r="C10" s="616" t="s">
        <v>1585</v>
      </c>
      <c r="D10" s="615" t="s">
        <v>4</v>
      </c>
      <c r="E10" s="616"/>
      <c r="F10" s="614"/>
      <c r="G10" s="614">
        <f>SUM(G12:G28)</f>
        <v>2303920.1177957444</v>
      </c>
      <c r="I10" s="633" t="s">
        <v>19</v>
      </c>
      <c r="K10" s="633" t="s">
        <v>1544</v>
      </c>
      <c r="L10" s="633">
        <v>3.06</v>
      </c>
    </row>
    <row r="11" spans="1:14" ht="15.75" customHeight="1" outlineLevel="2">
      <c r="A11" s="613"/>
      <c r="B11" s="612"/>
      <c r="C11" s="613" t="s">
        <v>20</v>
      </c>
      <c r="D11" s="612"/>
      <c r="E11" s="613"/>
      <c r="F11" s="611"/>
      <c r="G11" s="611"/>
    </row>
    <row r="12" spans="1:14" ht="15.75" customHeight="1" outlineLevel="2">
      <c r="A12" s="613"/>
      <c r="B12" s="612"/>
      <c r="C12" s="613" t="s">
        <v>21</v>
      </c>
      <c r="D12" s="612" t="s">
        <v>4288</v>
      </c>
      <c r="E12" s="610">
        <v>0.35</v>
      </c>
      <c r="F12" s="611">
        <f>meranti_beam_5.7</f>
        <v>2669260</v>
      </c>
      <c r="G12" s="611">
        <f t="shared" ref="G12:G21" si="0">F12*E12</f>
        <v>934240.99999999988</v>
      </c>
    </row>
    <row r="13" spans="1:14" ht="15.75" customHeight="1" outlineLevel="2">
      <c r="A13" s="613"/>
      <c r="B13" s="612"/>
      <c r="C13" s="613" t="s">
        <v>22</v>
      </c>
      <c r="D13" s="612" t="s">
        <v>5</v>
      </c>
      <c r="E13" s="610">
        <v>1</v>
      </c>
      <c r="F13" s="611">
        <f>plywood_4mm</f>
        <v>88770</v>
      </c>
      <c r="G13" s="611">
        <f t="shared" si="0"/>
        <v>88770</v>
      </c>
    </row>
    <row r="14" spans="1:14" ht="15.75" customHeight="1" outlineLevel="2">
      <c r="A14" s="613"/>
      <c r="B14" s="612"/>
      <c r="C14" s="613" t="s">
        <v>23</v>
      </c>
      <c r="D14" s="612" t="s">
        <v>4288</v>
      </c>
      <c r="E14" s="610">
        <v>0.17</v>
      </c>
      <c r="F14" s="611">
        <f>G657</f>
        <v>924927.79280000005</v>
      </c>
      <c r="G14" s="611">
        <f t="shared" si="0"/>
        <v>157237.72477600002</v>
      </c>
    </row>
    <row r="15" spans="1:14" ht="15.75" customHeight="1" outlineLevel="2">
      <c r="A15" s="613"/>
      <c r="B15" s="612"/>
      <c r="C15" s="613" t="s">
        <v>24</v>
      </c>
      <c r="D15" s="612" t="s">
        <v>1</v>
      </c>
      <c r="E15" s="610">
        <v>0.75</v>
      </c>
      <c r="F15" s="611">
        <f>nail</f>
        <v>96250.000000000015</v>
      </c>
      <c r="G15" s="611">
        <f t="shared" si="0"/>
        <v>72187.500000000015</v>
      </c>
    </row>
    <row r="16" spans="1:14" ht="15.75" customHeight="1" outlineLevel="2">
      <c r="A16" s="613"/>
      <c r="B16" s="612"/>
      <c r="C16" s="613" t="s">
        <v>25</v>
      </c>
      <c r="D16" s="612" t="s">
        <v>26</v>
      </c>
      <c r="E16" s="610">
        <v>0.3</v>
      </c>
      <c r="F16" s="611">
        <f>zinc</f>
        <v>144540</v>
      </c>
      <c r="G16" s="611">
        <f t="shared" si="0"/>
        <v>43362</v>
      </c>
    </row>
    <row r="17" spans="1:12" ht="15.75" customHeight="1" outlineLevel="2">
      <c r="A17" s="613"/>
      <c r="B17" s="612"/>
      <c r="C17" s="613" t="s">
        <v>27</v>
      </c>
      <c r="D17" s="612" t="s">
        <v>1</v>
      </c>
      <c r="E17" s="610">
        <v>0.1</v>
      </c>
      <c r="F17" s="611">
        <f>nail_asbestos</f>
        <v>18370</v>
      </c>
      <c r="G17" s="611">
        <f t="shared" si="0"/>
        <v>1837</v>
      </c>
    </row>
    <row r="18" spans="1:12" ht="15.75" customHeight="1" outlineLevel="2">
      <c r="A18" s="613"/>
      <c r="B18" s="612"/>
      <c r="C18" s="613" t="s">
        <v>28</v>
      </c>
      <c r="D18" s="612" t="s">
        <v>4288</v>
      </c>
      <c r="E18" s="610">
        <v>0.15</v>
      </c>
      <c r="F18" s="611">
        <f>G497</f>
        <v>710224.707936508</v>
      </c>
      <c r="G18" s="611">
        <f t="shared" si="0"/>
        <v>106533.70619047619</v>
      </c>
    </row>
    <row r="19" spans="1:12" ht="15.75" customHeight="1" outlineLevel="2">
      <c r="A19" s="613"/>
      <c r="B19" s="612"/>
      <c r="C19" s="613" t="s">
        <v>4289</v>
      </c>
      <c r="D19" s="612" t="s">
        <v>4</v>
      </c>
      <c r="E19" s="610">
        <v>0.1</v>
      </c>
      <c r="F19" s="611">
        <f>teakwood_double_door</f>
        <v>301829.26829268294</v>
      </c>
      <c r="G19" s="611">
        <f t="shared" si="0"/>
        <v>30182.926829268297</v>
      </c>
    </row>
    <row r="20" spans="1:12" ht="15.75" customHeight="1" outlineLevel="2">
      <c r="A20" s="613"/>
      <c r="B20" s="612"/>
      <c r="C20" s="613" t="s">
        <v>29</v>
      </c>
      <c r="D20" s="612" t="s">
        <v>5</v>
      </c>
      <c r="E20" s="610">
        <v>1</v>
      </c>
      <c r="F20" s="611">
        <f>louvre_frame_window</f>
        <v>264605</v>
      </c>
      <c r="G20" s="611">
        <f t="shared" si="0"/>
        <v>264605</v>
      </c>
    </row>
    <row r="21" spans="1:12" ht="15.75" customHeight="1" outlineLevel="2">
      <c r="A21" s="613"/>
      <c r="B21" s="612"/>
      <c r="C21" s="613" t="s">
        <v>30</v>
      </c>
      <c r="D21" s="612" t="s">
        <v>4290</v>
      </c>
      <c r="E21" s="610">
        <v>16.5</v>
      </c>
      <c r="F21" s="611">
        <f>ahs_painting_wall_interior</f>
        <v>22440.44</v>
      </c>
      <c r="G21" s="611">
        <f t="shared" si="0"/>
        <v>370267.25999999995</v>
      </c>
    </row>
    <row r="22" spans="1:12" ht="15.75" customHeight="1" outlineLevel="2">
      <c r="A22" s="613"/>
      <c r="B22" s="612"/>
      <c r="C22" s="613"/>
      <c r="D22" s="612"/>
      <c r="E22" s="610"/>
      <c r="F22" s="611"/>
      <c r="G22" s="611"/>
    </row>
    <row r="23" spans="1:12" ht="15.75" customHeight="1" outlineLevel="2">
      <c r="A23" s="613"/>
      <c r="B23" s="612"/>
      <c r="C23" s="613" t="s">
        <v>31</v>
      </c>
      <c r="D23" s="612"/>
      <c r="E23" s="610"/>
      <c r="F23" s="611"/>
      <c r="G23" s="611"/>
    </row>
    <row r="24" spans="1:12" ht="15.75" customHeight="1" outlineLevel="2">
      <c r="A24" s="613"/>
      <c r="B24" s="612"/>
      <c r="C24" s="613" t="s">
        <v>32</v>
      </c>
      <c r="D24" s="612" t="s">
        <v>33</v>
      </c>
      <c r="E24" s="610">
        <v>1.2</v>
      </c>
      <c r="F24" s="611">
        <f>worker</f>
        <v>107800.00000000001</v>
      </c>
      <c r="G24" s="611">
        <f>F24*E24</f>
        <v>129360.00000000001</v>
      </c>
    </row>
    <row r="25" spans="1:12" ht="15.75" customHeight="1" outlineLevel="2">
      <c r="A25" s="613"/>
      <c r="B25" s="612"/>
      <c r="C25" s="613" t="s">
        <v>34</v>
      </c>
      <c r="D25" s="612" t="s">
        <v>33</v>
      </c>
      <c r="E25" s="610">
        <v>0.4</v>
      </c>
      <c r="F25" s="611">
        <f>brick_layer</f>
        <v>107800.00000000001</v>
      </c>
      <c r="G25" s="611">
        <f>F25*E25</f>
        <v>43120.000000000007</v>
      </c>
    </row>
    <row r="26" spans="1:12" ht="15.75" customHeight="1" outlineLevel="2">
      <c r="A26" s="613"/>
      <c r="B26" s="612"/>
      <c r="C26" s="613" t="s">
        <v>35</v>
      </c>
      <c r="D26" s="612" t="s">
        <v>33</v>
      </c>
      <c r="E26" s="610">
        <v>0.04</v>
      </c>
      <c r="F26" s="611">
        <f>brick_layer_chief</f>
        <v>119350.00000000001</v>
      </c>
      <c r="G26" s="611">
        <f>F26*E26</f>
        <v>4774.0000000000009</v>
      </c>
    </row>
    <row r="27" spans="1:12" ht="15.75" customHeight="1" outlineLevel="2">
      <c r="A27" s="613"/>
      <c r="B27" s="612"/>
      <c r="C27" s="613" t="s">
        <v>1067</v>
      </c>
      <c r="D27" s="612" t="s">
        <v>33</v>
      </c>
      <c r="E27" s="610">
        <v>0.12</v>
      </c>
      <c r="F27" s="611">
        <f>supervisor</f>
        <v>119350.00000000001</v>
      </c>
      <c r="G27" s="611">
        <f>F27*E27</f>
        <v>14322.000000000002</v>
      </c>
    </row>
    <row r="28" spans="1:12" ht="15.75" customHeight="1" outlineLevel="2">
      <c r="A28" s="613"/>
      <c r="B28" s="612"/>
      <c r="C28" s="613" t="s">
        <v>45</v>
      </c>
      <c r="D28" s="612" t="s">
        <v>33</v>
      </c>
      <c r="E28" s="610">
        <v>0.4</v>
      </c>
      <c r="F28" s="611">
        <f>carpenter</f>
        <v>107800.00000000001</v>
      </c>
      <c r="G28" s="611">
        <f>E28*F28</f>
        <v>43120.000000000007</v>
      </c>
    </row>
    <row r="29" spans="1:12" ht="15.75" customHeight="1" outlineLevel="2">
      <c r="A29" s="613"/>
      <c r="B29" s="612"/>
      <c r="C29" s="613"/>
      <c r="D29" s="612"/>
      <c r="E29" s="613"/>
      <c r="F29" s="611"/>
      <c r="G29" s="611"/>
    </row>
    <row r="30" spans="1:12" ht="15.75" customHeight="1" outlineLevel="1">
      <c r="A30" s="613" t="s">
        <v>2074</v>
      </c>
      <c r="B30" s="612">
        <v>2</v>
      </c>
      <c r="C30" s="613" t="s">
        <v>4291</v>
      </c>
      <c r="D30" s="612" t="s">
        <v>2</v>
      </c>
      <c r="E30" s="613"/>
      <c r="F30" s="611"/>
      <c r="G30" s="611">
        <f>SUM(G32:G43)</f>
        <v>1283615.52</v>
      </c>
      <c r="I30" s="633" t="s">
        <v>37</v>
      </c>
      <c r="K30" s="633" t="s">
        <v>1542</v>
      </c>
      <c r="L30" s="633">
        <v>3.77</v>
      </c>
    </row>
    <row r="31" spans="1:12" ht="15.75" customHeight="1" outlineLevel="2">
      <c r="A31" s="613"/>
      <c r="B31" s="612"/>
      <c r="C31" s="613" t="s">
        <v>20</v>
      </c>
      <c r="D31" s="612"/>
      <c r="E31" s="613"/>
      <c r="F31" s="611"/>
      <c r="G31" s="611"/>
    </row>
    <row r="32" spans="1:12" ht="15.75" customHeight="1" outlineLevel="2">
      <c r="A32" s="613"/>
      <c r="B32" s="612"/>
      <c r="C32" s="613" t="s">
        <v>38</v>
      </c>
      <c r="D32" s="612" t="s">
        <v>5</v>
      </c>
      <c r="E32" s="613">
        <v>1</v>
      </c>
      <c r="F32" s="611">
        <f>plywood_18mm</f>
        <v>289190</v>
      </c>
      <c r="G32" s="611">
        <f>F32*E32</f>
        <v>289190</v>
      </c>
    </row>
    <row r="33" spans="1:12" ht="15.75" customHeight="1" outlineLevel="2">
      <c r="A33" s="613"/>
      <c r="B33" s="612"/>
      <c r="C33" s="613" t="s">
        <v>39</v>
      </c>
      <c r="D33" s="612" t="s">
        <v>40</v>
      </c>
      <c r="E33" s="613">
        <v>7.6999999999999999E-2</v>
      </c>
      <c r="F33" s="611">
        <f>meranti_beam_8.12</f>
        <v>2669260</v>
      </c>
      <c r="G33" s="611">
        <f>F33*E33</f>
        <v>205533.02</v>
      </c>
      <c r="I33" s="633" t="s">
        <v>41</v>
      </c>
    </row>
    <row r="34" spans="1:12" ht="15.75" customHeight="1" outlineLevel="2">
      <c r="A34" s="613"/>
      <c r="B34" s="612"/>
      <c r="C34" s="613" t="s">
        <v>42</v>
      </c>
      <c r="D34" s="612" t="s">
        <v>1</v>
      </c>
      <c r="E34" s="613">
        <v>2.5</v>
      </c>
      <c r="F34" s="611">
        <f>paint_wooden</f>
        <v>63030.000000000007</v>
      </c>
      <c r="G34" s="611">
        <f>F34*E34</f>
        <v>157575.00000000003</v>
      </c>
    </row>
    <row r="35" spans="1:12" ht="15.75" customHeight="1" outlineLevel="2">
      <c r="A35" s="613"/>
      <c r="B35" s="612"/>
      <c r="C35" s="613" t="s">
        <v>43</v>
      </c>
      <c r="D35" s="612" t="s">
        <v>1</v>
      </c>
      <c r="E35" s="613">
        <v>1.25</v>
      </c>
      <c r="F35" s="611">
        <f>nail</f>
        <v>96250.000000000015</v>
      </c>
      <c r="G35" s="611">
        <f>F35*E35</f>
        <v>120312.50000000001</v>
      </c>
    </row>
    <row r="36" spans="1:12" ht="15.75" customHeight="1" outlineLevel="2">
      <c r="A36" s="613"/>
      <c r="B36" s="612"/>
      <c r="C36" s="613" t="s">
        <v>44</v>
      </c>
      <c r="D36" s="612" t="s">
        <v>1</v>
      </c>
      <c r="E36" s="613">
        <v>5.8</v>
      </c>
      <c r="F36" s="611">
        <f>Profil_kanal</f>
        <v>15950.000000000002</v>
      </c>
      <c r="G36" s="611">
        <f>F36*E36</f>
        <v>92510.000000000015</v>
      </c>
    </row>
    <row r="37" spans="1:12" ht="15.75" customHeight="1" outlineLevel="2">
      <c r="A37" s="613"/>
      <c r="B37" s="612"/>
      <c r="C37" s="613"/>
      <c r="D37" s="612"/>
      <c r="E37" s="613"/>
      <c r="F37" s="611"/>
      <c r="G37" s="611"/>
    </row>
    <row r="38" spans="1:12" ht="15.75" customHeight="1" outlineLevel="2">
      <c r="A38" s="613"/>
      <c r="B38" s="612"/>
      <c r="C38" s="613" t="s">
        <v>31</v>
      </c>
      <c r="D38" s="612"/>
      <c r="E38" s="613"/>
      <c r="F38" s="611"/>
      <c r="G38" s="611"/>
    </row>
    <row r="39" spans="1:12" ht="15.75" customHeight="1" outlineLevel="2">
      <c r="A39" s="613"/>
      <c r="B39" s="612"/>
      <c r="C39" s="613" t="s">
        <v>32</v>
      </c>
      <c r="D39" s="612" t="s">
        <v>33</v>
      </c>
      <c r="E39" s="613">
        <v>1</v>
      </c>
      <c r="F39" s="611">
        <f>worker</f>
        <v>107800.00000000001</v>
      </c>
      <c r="G39" s="611">
        <f>E39*F39</f>
        <v>107800.00000000001</v>
      </c>
    </row>
    <row r="40" spans="1:12" ht="15.75" customHeight="1" outlineLevel="2">
      <c r="A40" s="613"/>
      <c r="B40" s="612"/>
      <c r="C40" s="613" t="s">
        <v>45</v>
      </c>
      <c r="D40" s="612" t="s">
        <v>33</v>
      </c>
      <c r="E40" s="613">
        <v>1</v>
      </c>
      <c r="F40" s="611">
        <f>carpenter</f>
        <v>107800.00000000001</v>
      </c>
      <c r="G40" s="611">
        <f>E40*F40</f>
        <v>107800.00000000001</v>
      </c>
    </row>
    <row r="41" spans="1:12" ht="15.75" customHeight="1" outlineLevel="2">
      <c r="A41" s="613"/>
      <c r="B41" s="612"/>
      <c r="C41" s="613" t="s">
        <v>46</v>
      </c>
      <c r="D41" s="612" t="s">
        <v>33</v>
      </c>
      <c r="E41" s="613">
        <v>0.1</v>
      </c>
      <c r="F41" s="611">
        <f>carpenter_chief</f>
        <v>119350.00000000001</v>
      </c>
      <c r="G41" s="611">
        <f>E41*F41</f>
        <v>11935.000000000002</v>
      </c>
    </row>
    <row r="42" spans="1:12" ht="15.75" customHeight="1" outlineLevel="2">
      <c r="A42" s="613"/>
      <c r="B42" s="612"/>
      <c r="C42" s="613" t="s">
        <v>47</v>
      </c>
      <c r="D42" s="612" t="s">
        <v>33</v>
      </c>
      <c r="E42" s="613">
        <v>1.5</v>
      </c>
      <c r="F42" s="611">
        <f>paint_worker</f>
        <v>119350.00000000001</v>
      </c>
      <c r="G42" s="611">
        <f>E42*F42</f>
        <v>179025.00000000003</v>
      </c>
    </row>
    <row r="43" spans="1:12" ht="15.75" customHeight="1" outlineLevel="2">
      <c r="A43" s="613"/>
      <c r="B43" s="612"/>
      <c r="C43" s="613" t="s">
        <v>36</v>
      </c>
      <c r="D43" s="612" t="s">
        <v>33</v>
      </c>
      <c r="E43" s="613">
        <v>0.1</v>
      </c>
      <c r="F43" s="611">
        <f>supervisor</f>
        <v>119350.00000000001</v>
      </c>
      <c r="G43" s="611">
        <f>E43*F43</f>
        <v>11935.000000000002</v>
      </c>
    </row>
    <row r="44" spans="1:12" ht="15.75" customHeight="1" outlineLevel="2">
      <c r="A44" s="613"/>
      <c r="B44" s="612"/>
      <c r="C44" s="613"/>
      <c r="D44" s="612"/>
      <c r="E44" s="613"/>
      <c r="F44" s="611"/>
      <c r="G44" s="611"/>
    </row>
    <row r="45" spans="1:12" ht="15.75" customHeight="1" outlineLevel="1">
      <c r="A45" s="613" t="s">
        <v>2074</v>
      </c>
      <c r="B45" s="612">
        <v>3</v>
      </c>
      <c r="C45" s="613" t="s">
        <v>1588</v>
      </c>
      <c r="D45" s="612" t="s">
        <v>3</v>
      </c>
      <c r="E45" s="613"/>
      <c r="F45" s="611"/>
      <c r="G45" s="611">
        <f>SUM(G47:G60)</f>
        <v>543089.14</v>
      </c>
      <c r="I45" s="633" t="s">
        <v>48</v>
      </c>
      <c r="K45" s="633" t="s">
        <v>1543</v>
      </c>
      <c r="L45" s="633">
        <v>4.43</v>
      </c>
    </row>
    <row r="46" spans="1:12" ht="15.75" hidden="1" customHeight="1" outlineLevel="2">
      <c r="A46" s="613"/>
      <c r="B46" s="612"/>
      <c r="C46" s="613" t="s">
        <v>20</v>
      </c>
      <c r="D46" s="612"/>
      <c r="E46" s="613"/>
      <c r="F46" s="611"/>
      <c r="G46" s="611"/>
    </row>
    <row r="47" spans="1:12" ht="15.75" hidden="1" customHeight="1" outlineLevel="2">
      <c r="A47" s="613"/>
      <c r="B47" s="612"/>
      <c r="C47" s="613" t="s">
        <v>49</v>
      </c>
      <c r="D47" s="612" t="s">
        <v>50</v>
      </c>
      <c r="E47" s="613">
        <v>1.25</v>
      </c>
      <c r="F47" s="611">
        <f>dolken_dia10cm_L.4m</f>
        <v>60940.000000000007</v>
      </c>
      <c r="G47" s="611">
        <f t="shared" ref="G47:G54" si="1">F47*E47</f>
        <v>76175.000000000015</v>
      </c>
    </row>
    <row r="48" spans="1:12" ht="15.75" hidden="1" customHeight="1" outlineLevel="2">
      <c r="A48" s="613"/>
      <c r="B48" s="612"/>
      <c r="C48" s="613" t="s">
        <v>51</v>
      </c>
      <c r="D48" s="612" t="s">
        <v>52</v>
      </c>
      <c r="E48" s="613">
        <v>5</v>
      </c>
      <c r="F48" s="611">
        <f>PC</f>
        <v>1348.6000000000001</v>
      </c>
      <c r="G48" s="611">
        <f t="shared" si="1"/>
        <v>6743.0000000000009</v>
      </c>
    </row>
    <row r="49" spans="1:10" ht="15.75" hidden="1" customHeight="1" outlineLevel="2">
      <c r="A49" s="613"/>
      <c r="B49" s="612"/>
      <c r="C49" s="613" t="s">
        <v>830</v>
      </c>
      <c r="D49" s="612" t="s">
        <v>5</v>
      </c>
      <c r="E49" s="613">
        <v>1.2</v>
      </c>
      <c r="F49" s="611">
        <f>zinc</f>
        <v>144540</v>
      </c>
      <c r="G49" s="611">
        <f t="shared" si="1"/>
        <v>173448</v>
      </c>
    </row>
    <row r="50" spans="1:10" ht="15.75" hidden="1" customHeight="1" outlineLevel="2">
      <c r="A50" s="613"/>
      <c r="B50" s="612"/>
      <c r="C50" s="613" t="s">
        <v>53</v>
      </c>
      <c r="D50" s="612" t="s">
        <v>40</v>
      </c>
      <c r="E50" s="613">
        <v>5.0000000000000001E-3</v>
      </c>
      <c r="F50" s="611">
        <f>sand_beton</f>
        <v>117700.00000000001</v>
      </c>
      <c r="G50" s="611">
        <f t="shared" si="1"/>
        <v>588.50000000000011</v>
      </c>
    </row>
    <row r="51" spans="1:10" ht="15.75" hidden="1" customHeight="1" outlineLevel="2">
      <c r="A51" s="613"/>
      <c r="B51" s="612"/>
      <c r="C51" s="613" t="s">
        <v>54</v>
      </c>
      <c r="D51" s="612" t="s">
        <v>40</v>
      </c>
      <c r="E51" s="613">
        <v>8.9999999999999993E-3</v>
      </c>
      <c r="F51" s="611">
        <f>split_2.3</f>
        <v>281380</v>
      </c>
      <c r="G51" s="611">
        <f t="shared" si="1"/>
        <v>2532.4199999999996</v>
      </c>
    </row>
    <row r="52" spans="1:10" ht="15.75" hidden="1" customHeight="1" outlineLevel="2">
      <c r="A52" s="613"/>
      <c r="B52" s="612"/>
      <c r="C52" s="613" t="s">
        <v>55</v>
      </c>
      <c r="D52" s="612" t="s">
        <v>1</v>
      </c>
      <c r="E52" s="613">
        <v>0.06</v>
      </c>
      <c r="F52" s="611">
        <f>nail</f>
        <v>96250.000000000015</v>
      </c>
      <c r="G52" s="611">
        <f t="shared" si="1"/>
        <v>5775.0000000000009</v>
      </c>
    </row>
    <row r="53" spans="1:10" ht="15.75" hidden="1" customHeight="1" outlineLevel="2">
      <c r="A53" s="613"/>
      <c r="B53" s="612"/>
      <c r="C53" s="613" t="s">
        <v>21</v>
      </c>
      <c r="D53" s="612" t="s">
        <v>40</v>
      </c>
      <c r="E53" s="613">
        <v>7.1999999999999995E-2</v>
      </c>
      <c r="F53" s="611">
        <f>meranti_beam_5.7</f>
        <v>2669260</v>
      </c>
      <c r="G53" s="611">
        <f t="shared" si="1"/>
        <v>192186.71999999997</v>
      </c>
    </row>
    <row r="54" spans="1:10" ht="15.75" hidden="1" customHeight="1" outlineLevel="2">
      <c r="A54" s="613"/>
      <c r="B54" s="612"/>
      <c r="C54" s="613" t="s">
        <v>56</v>
      </c>
      <c r="D54" s="612" t="s">
        <v>57</v>
      </c>
      <c r="E54" s="613">
        <v>0.45</v>
      </c>
      <c r="F54" s="611">
        <f>naturally_paint_menibesi</f>
        <v>35970</v>
      </c>
      <c r="G54" s="611">
        <f t="shared" si="1"/>
        <v>16186.5</v>
      </c>
      <c r="I54" s="633" t="s">
        <v>58</v>
      </c>
    </row>
    <row r="55" spans="1:10" ht="15.75" hidden="1" customHeight="1" outlineLevel="2">
      <c r="A55" s="613"/>
      <c r="B55" s="612"/>
      <c r="C55" s="613"/>
      <c r="D55" s="612"/>
      <c r="E55" s="613"/>
      <c r="F55" s="611"/>
      <c r="G55" s="611"/>
    </row>
    <row r="56" spans="1:10" ht="15.75" hidden="1" customHeight="1" outlineLevel="2">
      <c r="A56" s="613"/>
      <c r="B56" s="612"/>
      <c r="C56" s="613" t="s">
        <v>31</v>
      </c>
      <c r="D56" s="612"/>
      <c r="E56" s="613"/>
      <c r="F56" s="611"/>
      <c r="G56" s="611"/>
    </row>
    <row r="57" spans="1:10" ht="15.75" hidden="1" customHeight="1" outlineLevel="2">
      <c r="A57" s="613"/>
      <c r="B57" s="612"/>
      <c r="C57" s="613" t="s">
        <v>45</v>
      </c>
      <c r="D57" s="612" t="s">
        <v>33</v>
      </c>
      <c r="E57" s="613">
        <v>0.4</v>
      </c>
      <c r="F57" s="611">
        <f>carpenter</f>
        <v>107800.00000000001</v>
      </c>
      <c r="G57" s="611">
        <f>F57*E57</f>
        <v>43120.000000000007</v>
      </c>
    </row>
    <row r="58" spans="1:10" ht="15.75" hidden="1" customHeight="1" outlineLevel="2">
      <c r="A58" s="613"/>
      <c r="B58" s="612"/>
      <c r="C58" s="613" t="s">
        <v>32</v>
      </c>
      <c r="D58" s="612" t="s">
        <v>33</v>
      </c>
      <c r="E58" s="613">
        <v>0.2</v>
      </c>
      <c r="F58" s="611">
        <f>worker</f>
        <v>107800.00000000001</v>
      </c>
      <c r="G58" s="611">
        <f>F58*E58</f>
        <v>21560.000000000004</v>
      </c>
    </row>
    <row r="59" spans="1:10" ht="15.75" hidden="1" customHeight="1" outlineLevel="2">
      <c r="A59" s="613"/>
      <c r="B59" s="612"/>
      <c r="C59" s="613" t="s">
        <v>46</v>
      </c>
      <c r="D59" s="612" t="s">
        <v>33</v>
      </c>
      <c r="E59" s="613">
        <v>0.02</v>
      </c>
      <c r="F59" s="611">
        <f>carpenter_chief</f>
        <v>119350.00000000001</v>
      </c>
      <c r="G59" s="611">
        <f>F59*E59</f>
        <v>2387.0000000000005</v>
      </c>
    </row>
    <row r="60" spans="1:10" ht="15.75" hidden="1" customHeight="1" outlineLevel="2">
      <c r="A60" s="613"/>
      <c r="B60" s="612"/>
      <c r="C60" s="613" t="s">
        <v>36</v>
      </c>
      <c r="D60" s="612" t="s">
        <v>33</v>
      </c>
      <c r="E60" s="613">
        <v>0.02</v>
      </c>
      <c r="F60" s="611">
        <f>supervisor</f>
        <v>119350.00000000001</v>
      </c>
      <c r="G60" s="611">
        <f>F60*E60</f>
        <v>2387.0000000000005</v>
      </c>
    </row>
    <row r="61" spans="1:10" ht="15.75" hidden="1" customHeight="1" outlineLevel="2">
      <c r="A61" s="613"/>
      <c r="B61" s="612"/>
      <c r="C61" s="613"/>
      <c r="D61" s="612"/>
      <c r="E61" s="613"/>
      <c r="F61" s="611"/>
      <c r="G61" s="611"/>
    </row>
    <row r="62" spans="1:10" ht="15.75" customHeight="1" outlineLevel="1" collapsed="1">
      <c r="A62" s="613" t="s">
        <v>2074</v>
      </c>
      <c r="B62" s="592">
        <v>4</v>
      </c>
      <c r="C62" s="613" t="s">
        <v>817</v>
      </c>
      <c r="D62" s="612" t="s">
        <v>3</v>
      </c>
      <c r="E62" s="613"/>
      <c r="F62" s="611"/>
      <c r="G62" s="611">
        <f>SUM(G64:G72)</f>
        <v>47595.152000000002</v>
      </c>
      <c r="I62" s="633" t="s">
        <v>59</v>
      </c>
      <c r="J62" s="633" t="s">
        <v>831</v>
      </c>
    </row>
    <row r="63" spans="1:10" ht="15.75" customHeight="1" outlineLevel="2">
      <c r="A63" s="613"/>
      <c r="B63" s="612"/>
      <c r="C63" s="613" t="s">
        <v>20</v>
      </c>
      <c r="D63" s="612"/>
      <c r="E63" s="613"/>
      <c r="F63" s="611"/>
      <c r="G63" s="611"/>
    </row>
    <row r="64" spans="1:10" ht="15.75" customHeight="1" outlineLevel="2">
      <c r="A64" s="613"/>
      <c r="B64" s="612"/>
      <c r="C64" s="613" t="s">
        <v>60</v>
      </c>
      <c r="D64" s="612" t="s">
        <v>40</v>
      </c>
      <c r="E64" s="659">
        <v>7.0000000000000001E-3</v>
      </c>
      <c r="F64" s="611">
        <f>plank_meranti_3.20</f>
        <v>2730970</v>
      </c>
      <c r="G64" s="611">
        <f>F64*E64</f>
        <v>19116.79</v>
      </c>
    </row>
    <row r="65" spans="1:9" ht="15.75" customHeight="1" outlineLevel="2">
      <c r="A65" s="613"/>
      <c r="B65" s="612"/>
      <c r="C65" s="613" t="s">
        <v>21</v>
      </c>
      <c r="D65" s="612" t="s">
        <v>40</v>
      </c>
      <c r="E65" s="659">
        <v>1.1999999999999999E-3</v>
      </c>
      <c r="F65" s="611">
        <f>meranti_beam_5.7</f>
        <v>2669260</v>
      </c>
      <c r="G65" s="611">
        <f>F65*E65</f>
        <v>3203.1119999999996</v>
      </c>
    </row>
    <row r="66" spans="1:9" ht="15.75" customHeight="1" outlineLevel="2">
      <c r="A66" s="613"/>
      <c r="B66" s="612"/>
      <c r="C66" s="613" t="s">
        <v>1226</v>
      </c>
      <c r="D66" s="612" t="s">
        <v>1</v>
      </c>
      <c r="E66" s="659">
        <v>0.02</v>
      </c>
      <c r="F66" s="611">
        <f>nail</f>
        <v>96250.000000000015</v>
      </c>
      <c r="G66" s="611">
        <f>F66*E66</f>
        <v>1925.0000000000002</v>
      </c>
    </row>
    <row r="67" spans="1:9" ht="15.75" customHeight="1" outlineLevel="2">
      <c r="A67" s="613"/>
      <c r="B67" s="612"/>
      <c r="C67" s="613"/>
      <c r="D67" s="612"/>
      <c r="E67" s="659"/>
      <c r="F67" s="611"/>
      <c r="G67" s="611"/>
    </row>
    <row r="68" spans="1:9" ht="15.75" customHeight="1" outlineLevel="2">
      <c r="A68" s="613"/>
      <c r="B68" s="612"/>
      <c r="C68" s="613" t="s">
        <v>31</v>
      </c>
      <c r="D68" s="612"/>
      <c r="E68" s="659"/>
      <c r="F68" s="611"/>
      <c r="G68" s="611"/>
    </row>
    <row r="69" spans="1:9" ht="15.75" customHeight="1" outlineLevel="2">
      <c r="A69" s="613"/>
      <c r="B69" s="612"/>
      <c r="C69" s="613" t="s">
        <v>45</v>
      </c>
      <c r="D69" s="612" t="s">
        <v>33</v>
      </c>
      <c r="E69" s="659">
        <v>0.1</v>
      </c>
      <c r="F69" s="611">
        <f>carpenter</f>
        <v>107800.00000000001</v>
      </c>
      <c r="G69" s="611">
        <f>F69*E69</f>
        <v>10780.000000000002</v>
      </c>
    </row>
    <row r="70" spans="1:9" ht="15.75" customHeight="1" outlineLevel="2">
      <c r="A70" s="613"/>
      <c r="B70" s="612"/>
      <c r="C70" s="613" t="s">
        <v>32</v>
      </c>
      <c r="D70" s="612" t="s">
        <v>33</v>
      </c>
      <c r="E70" s="659">
        <v>0.1</v>
      </c>
      <c r="F70" s="611">
        <f>worker</f>
        <v>107800.00000000001</v>
      </c>
      <c r="G70" s="611">
        <f>F70*E70</f>
        <v>10780.000000000002</v>
      </c>
    </row>
    <row r="71" spans="1:9" ht="15.75" customHeight="1" outlineLevel="2">
      <c r="A71" s="613"/>
      <c r="B71" s="612"/>
      <c r="C71" s="613" t="s">
        <v>61</v>
      </c>
      <c r="D71" s="612" t="s">
        <v>33</v>
      </c>
      <c r="E71" s="659">
        <v>0.01</v>
      </c>
      <c r="F71" s="611">
        <f>carpenter_chief</f>
        <v>119350.00000000001</v>
      </c>
      <c r="G71" s="611">
        <f>F71*E71</f>
        <v>1193.5000000000002</v>
      </c>
    </row>
    <row r="72" spans="1:9" ht="15.75" customHeight="1" outlineLevel="2">
      <c r="A72" s="613"/>
      <c r="B72" s="612"/>
      <c r="C72" s="613" t="s">
        <v>36</v>
      </c>
      <c r="D72" s="612" t="s">
        <v>33</v>
      </c>
      <c r="E72" s="659">
        <v>5.0000000000000001E-3</v>
      </c>
      <c r="F72" s="611">
        <f>supervisor</f>
        <v>119350.00000000001</v>
      </c>
      <c r="G72" s="611">
        <f>F72*E72</f>
        <v>596.75000000000011</v>
      </c>
    </row>
    <row r="73" spans="1:9" ht="15.75" customHeight="1" outlineLevel="2">
      <c r="A73" s="613"/>
      <c r="B73" s="612"/>
      <c r="C73" s="613"/>
      <c r="D73" s="612"/>
      <c r="E73" s="613"/>
      <c r="F73" s="611"/>
      <c r="G73" s="611"/>
    </row>
    <row r="74" spans="1:9" ht="15.75" customHeight="1" outlineLevel="1">
      <c r="A74" s="613" t="s">
        <v>2074</v>
      </c>
      <c r="B74" s="592">
        <f>B62+1</f>
        <v>5</v>
      </c>
      <c r="C74" s="613" t="s">
        <v>1586</v>
      </c>
      <c r="D74" s="612" t="s">
        <v>4</v>
      </c>
      <c r="E74" s="613"/>
      <c r="F74" s="611"/>
      <c r="G74" s="611">
        <f>SUM(G76:G80)</f>
        <v>16879.500000000004</v>
      </c>
      <c r="I74" s="633" t="s">
        <v>62</v>
      </c>
    </row>
    <row r="75" spans="1:9" ht="15.75" customHeight="1" outlineLevel="2">
      <c r="A75" s="613"/>
      <c r="B75" s="612"/>
      <c r="C75" s="613" t="s">
        <v>31</v>
      </c>
      <c r="D75" s="612"/>
      <c r="E75" s="613"/>
      <c r="F75" s="611"/>
      <c r="G75" s="611"/>
      <c r="I75" s="633" t="s">
        <v>2062</v>
      </c>
    </row>
    <row r="76" spans="1:9" ht="15.75" customHeight="1" outlineLevel="2">
      <c r="A76" s="613"/>
      <c r="B76" s="612"/>
      <c r="C76" s="613" t="s">
        <v>32</v>
      </c>
      <c r="D76" s="612" t="s">
        <v>33</v>
      </c>
      <c r="E76" s="613">
        <v>0.1</v>
      </c>
      <c r="F76" s="611">
        <f>worker</f>
        <v>107800.00000000001</v>
      </c>
      <c r="G76" s="611">
        <f>F76*E76</f>
        <v>10780.000000000002</v>
      </c>
    </row>
    <row r="77" spans="1:9" ht="15.75" customHeight="1" outlineLevel="2">
      <c r="A77" s="613"/>
      <c r="B77" s="612"/>
      <c r="C77" s="613" t="s">
        <v>36</v>
      </c>
      <c r="D77" s="612" t="s">
        <v>33</v>
      </c>
      <c r="E77" s="613">
        <v>0.05</v>
      </c>
      <c r="F77" s="611">
        <f>supervisor</f>
        <v>119350.00000000001</v>
      </c>
      <c r="G77" s="611">
        <f>F77*E77</f>
        <v>5967.5000000000009</v>
      </c>
    </row>
    <row r="78" spans="1:9" ht="15.75" customHeight="1" outlineLevel="2">
      <c r="A78" s="613"/>
      <c r="B78" s="612"/>
      <c r="C78" s="613"/>
      <c r="D78" s="612"/>
      <c r="E78" s="613"/>
      <c r="F78" s="611"/>
      <c r="G78" s="611"/>
    </row>
    <row r="79" spans="1:9" ht="15.75" customHeight="1" outlineLevel="2">
      <c r="A79" s="613"/>
      <c r="B79" s="612"/>
      <c r="C79" s="613" t="s">
        <v>1583</v>
      </c>
      <c r="D79" s="612"/>
      <c r="E79" s="613"/>
      <c r="F79" s="611"/>
      <c r="G79" s="611"/>
    </row>
    <row r="80" spans="1:9" ht="15.75" customHeight="1" outlineLevel="2">
      <c r="A80" s="613"/>
      <c r="B80" s="612"/>
      <c r="C80" s="613" t="s">
        <v>64</v>
      </c>
      <c r="D80" s="612" t="s">
        <v>65</v>
      </c>
      <c r="E80" s="613">
        <f>1/500</f>
        <v>2E-3</v>
      </c>
      <c r="F80" s="611">
        <f>'UNIT PRICE'!D347</f>
        <v>66000</v>
      </c>
      <c r="G80" s="611">
        <f>E80*F80</f>
        <v>132</v>
      </c>
    </row>
    <row r="81" spans="1:9" ht="15.75" customHeight="1" outlineLevel="2">
      <c r="A81" s="613"/>
      <c r="B81" s="612"/>
      <c r="C81" s="613"/>
      <c r="D81" s="612"/>
      <c r="E81" s="613"/>
      <c r="F81" s="611"/>
      <c r="G81" s="611"/>
    </row>
    <row r="82" spans="1:9" ht="15.75" customHeight="1" outlineLevel="1">
      <c r="A82" s="613" t="s">
        <v>2074</v>
      </c>
      <c r="B82" s="612">
        <f>B74+1</f>
        <v>6</v>
      </c>
      <c r="C82" s="613" t="s">
        <v>1587</v>
      </c>
      <c r="D82" s="612" t="s">
        <v>40</v>
      </c>
      <c r="E82" s="613"/>
      <c r="F82" s="611"/>
      <c r="G82" s="611">
        <f>SUM(G84:G92)</f>
        <v>44532.578020000001</v>
      </c>
    </row>
    <row r="83" spans="1:9" ht="15.75" customHeight="1" outlineLevel="2">
      <c r="A83" s="613"/>
      <c r="B83" s="612"/>
      <c r="C83" s="613" t="s">
        <v>66</v>
      </c>
      <c r="D83" s="612"/>
      <c r="E83" s="613"/>
      <c r="F83" s="611"/>
      <c r="G83" s="611"/>
    </row>
    <row r="84" spans="1:9" ht="15.75" customHeight="1" outlineLevel="2">
      <c r="A84" s="613"/>
      <c r="B84" s="612"/>
      <c r="C84" s="613" t="s">
        <v>32</v>
      </c>
      <c r="D84" s="612" t="s">
        <v>67</v>
      </c>
      <c r="E84" s="613">
        <v>1.3599999999999999E-2</v>
      </c>
      <c r="F84" s="611">
        <f>worker/8</f>
        <v>13475.000000000002</v>
      </c>
      <c r="G84" s="611">
        <f>F84*E84</f>
        <v>183.26000000000002</v>
      </c>
    </row>
    <row r="85" spans="1:9" ht="15.75" customHeight="1" outlineLevel="2">
      <c r="A85" s="613"/>
      <c r="B85" s="612"/>
      <c r="C85" s="613" t="s">
        <v>68</v>
      </c>
      <c r="D85" s="612" t="s">
        <v>67</v>
      </c>
      <c r="E85" s="613">
        <v>6.7999999999999996E-3</v>
      </c>
      <c r="F85" s="611">
        <f>operator/8</f>
        <v>23989.350000000002</v>
      </c>
      <c r="G85" s="611">
        <f>F85*E85</f>
        <v>163.12757999999999</v>
      </c>
      <c r="I85" s="633" t="s">
        <v>69</v>
      </c>
    </row>
    <row r="86" spans="1:9" ht="15.75" customHeight="1" outlineLevel="2">
      <c r="A86" s="613"/>
      <c r="B86" s="612"/>
      <c r="C86" s="613"/>
      <c r="D86" s="612"/>
      <c r="E86" s="613"/>
      <c r="F86" s="611"/>
      <c r="G86" s="611"/>
    </row>
    <row r="87" spans="1:9" ht="15.75" customHeight="1" outlineLevel="2">
      <c r="A87" s="613"/>
      <c r="B87" s="612"/>
      <c r="C87" s="613" t="s">
        <v>70</v>
      </c>
      <c r="D87" s="612"/>
      <c r="E87" s="613"/>
      <c r="F87" s="611"/>
      <c r="G87" s="611"/>
    </row>
    <row r="88" spans="1:9" ht="15.75" customHeight="1" outlineLevel="2">
      <c r="A88" s="613"/>
      <c r="B88" s="612"/>
      <c r="C88" s="613" t="s">
        <v>71</v>
      </c>
      <c r="D88" s="612" t="s">
        <v>72</v>
      </c>
      <c r="E88" s="613">
        <v>6.7999999999999996E-3</v>
      </c>
      <c r="F88" s="611">
        <f>buldozer</f>
        <v>733263.3</v>
      </c>
      <c r="G88" s="611">
        <f>F88*E88</f>
        <v>4986.1904400000003</v>
      </c>
    </row>
    <row r="89" spans="1:9" ht="15.75" customHeight="1" outlineLevel="2">
      <c r="A89" s="613"/>
      <c r="B89" s="612"/>
      <c r="C89" s="613" t="s">
        <v>73</v>
      </c>
      <c r="D89" s="612" t="s">
        <v>74</v>
      </c>
      <c r="E89" s="613">
        <v>1</v>
      </c>
      <c r="F89" s="611">
        <v>15000</v>
      </c>
      <c r="G89" s="611">
        <f>F89*E89</f>
        <v>15000</v>
      </c>
    </row>
    <row r="90" spans="1:9" ht="15.75" customHeight="1" outlineLevel="2">
      <c r="A90" s="613"/>
      <c r="B90" s="612"/>
      <c r="C90" s="613"/>
      <c r="D90" s="612"/>
      <c r="E90" s="613"/>
      <c r="F90" s="611"/>
      <c r="G90" s="611"/>
    </row>
    <row r="91" spans="1:9" ht="15.75" customHeight="1" outlineLevel="2">
      <c r="A91" s="613"/>
      <c r="B91" s="612"/>
      <c r="C91" s="613" t="s">
        <v>75</v>
      </c>
      <c r="D91" s="612"/>
      <c r="E91" s="613"/>
      <c r="F91" s="611"/>
      <c r="G91" s="611"/>
    </row>
    <row r="92" spans="1:9" ht="15.75" customHeight="1" outlineLevel="2">
      <c r="A92" s="613"/>
      <c r="B92" s="612"/>
      <c r="C92" s="613" t="s">
        <v>76</v>
      </c>
      <c r="D92" s="612" t="s">
        <v>77</v>
      </c>
      <c r="E92" s="613">
        <v>2</v>
      </c>
      <c r="F92" s="611">
        <f>bbm</f>
        <v>12100.000000000002</v>
      </c>
      <c r="G92" s="611">
        <f>F92*E92</f>
        <v>24200.000000000004</v>
      </c>
    </row>
    <row r="93" spans="1:9" ht="15.75" customHeight="1" outlineLevel="2">
      <c r="A93" s="613"/>
      <c r="B93" s="612"/>
      <c r="C93" s="613"/>
      <c r="D93" s="612"/>
      <c r="E93" s="613"/>
      <c r="F93" s="611"/>
      <c r="G93" s="611"/>
    </row>
    <row r="94" spans="1:9" ht="15.75" customHeight="1" outlineLevel="1">
      <c r="A94" s="613" t="s">
        <v>2074</v>
      </c>
      <c r="B94" s="612">
        <f>B82+1</f>
        <v>7</v>
      </c>
      <c r="C94" s="613" t="s">
        <v>2065</v>
      </c>
      <c r="D94" s="612" t="s">
        <v>4</v>
      </c>
      <c r="E94" s="613"/>
      <c r="F94" s="611"/>
      <c r="G94" s="611">
        <f>SUM(G96:G101)</f>
        <v>20986.75</v>
      </c>
      <c r="I94" s="633" t="s">
        <v>2063</v>
      </c>
    </row>
    <row r="95" spans="1:9" ht="15.75" hidden="1" customHeight="1" outlineLevel="2">
      <c r="A95" s="613"/>
      <c r="B95" s="612"/>
      <c r="C95" s="613" t="s">
        <v>66</v>
      </c>
      <c r="D95" s="612"/>
      <c r="E95" s="613"/>
      <c r="F95" s="611"/>
      <c r="G95" s="611"/>
    </row>
    <row r="96" spans="1:9" ht="15.75" hidden="1" customHeight="1" outlineLevel="2">
      <c r="A96" s="613"/>
      <c r="B96" s="612"/>
      <c r="C96" s="613" t="s">
        <v>32</v>
      </c>
      <c r="D96" s="612" t="s">
        <v>33</v>
      </c>
      <c r="E96" s="613">
        <v>0.05</v>
      </c>
      <c r="F96" s="611">
        <f>worker</f>
        <v>107800.00000000001</v>
      </c>
      <c r="G96" s="611">
        <f>F96*E96</f>
        <v>5390.0000000000009</v>
      </c>
    </row>
    <row r="97" spans="1:9" ht="15.75" hidden="1" customHeight="1" outlineLevel="2">
      <c r="A97" s="613"/>
      <c r="B97" s="612"/>
      <c r="C97" s="613" t="s">
        <v>2064</v>
      </c>
      <c r="D97" s="612" t="s">
        <v>33</v>
      </c>
      <c r="E97" s="613">
        <v>5.0000000000000001E-3</v>
      </c>
      <c r="F97" s="611">
        <f>Foreman</f>
        <v>119350.00000000001</v>
      </c>
      <c r="G97" s="611">
        <f>F97*E97</f>
        <v>596.75000000000011</v>
      </c>
      <c r="I97" s="633" t="s">
        <v>69</v>
      </c>
    </row>
    <row r="98" spans="1:9" ht="15.75" hidden="1" customHeight="1" outlineLevel="2">
      <c r="A98" s="613"/>
      <c r="B98" s="612"/>
      <c r="C98" s="613"/>
      <c r="D98" s="612"/>
      <c r="E98" s="613"/>
      <c r="F98" s="611"/>
      <c r="G98" s="611"/>
    </row>
    <row r="99" spans="1:9" ht="15.75" hidden="1" customHeight="1" outlineLevel="2">
      <c r="A99" s="613"/>
      <c r="B99" s="612"/>
      <c r="C99" s="613" t="s">
        <v>70</v>
      </c>
      <c r="D99" s="612"/>
      <c r="E99" s="613"/>
      <c r="F99" s="611"/>
      <c r="G99" s="611"/>
    </row>
    <row r="100" spans="1:9" ht="15.75" hidden="1" customHeight="1" outlineLevel="2">
      <c r="A100" s="613"/>
      <c r="B100" s="612"/>
      <c r="C100" s="613" t="s">
        <v>73</v>
      </c>
      <c r="D100" s="612" t="s">
        <v>74</v>
      </c>
      <c r="E100" s="613">
        <v>1</v>
      </c>
      <c r="F100" s="611">
        <v>15000</v>
      </c>
      <c r="G100" s="611">
        <f>F100*E100</f>
        <v>15000</v>
      </c>
    </row>
    <row r="101" spans="1:9" ht="15.75" hidden="1" customHeight="1" outlineLevel="2">
      <c r="A101" s="613"/>
      <c r="B101" s="612"/>
      <c r="C101" s="613"/>
      <c r="D101" s="612"/>
      <c r="E101" s="613"/>
      <c r="F101" s="611"/>
      <c r="G101" s="611"/>
    </row>
    <row r="102" spans="1:9" ht="15.75" hidden="1" customHeight="1" outlineLevel="2">
      <c r="A102" s="613"/>
      <c r="B102" s="612"/>
      <c r="C102" s="613"/>
      <c r="D102" s="612"/>
      <c r="E102" s="613"/>
      <c r="F102" s="611"/>
      <c r="G102" s="611"/>
    </row>
    <row r="103" spans="1:9" ht="15.75" customHeight="1" outlineLevel="1" collapsed="1">
      <c r="A103" s="613" t="s">
        <v>2074</v>
      </c>
      <c r="B103" s="612">
        <f>B94+1</f>
        <v>8</v>
      </c>
      <c r="C103" s="613" t="s">
        <v>1535</v>
      </c>
      <c r="D103" s="612" t="s">
        <v>40</v>
      </c>
      <c r="E103" s="613"/>
      <c r="F103" s="611"/>
      <c r="G103" s="611">
        <f>SUM(G105:G116)</f>
        <v>0</v>
      </c>
    </row>
    <row r="104" spans="1:9" ht="15.75" hidden="1" customHeight="1" outlineLevel="2">
      <c r="A104" s="613"/>
      <c r="B104" s="612"/>
      <c r="C104" s="613" t="s">
        <v>31</v>
      </c>
      <c r="D104" s="612"/>
      <c r="E104" s="613"/>
      <c r="F104" s="611"/>
      <c r="G104" s="611"/>
    </row>
    <row r="105" spans="1:9" ht="15.75" hidden="1" customHeight="1" outlineLevel="2">
      <c r="A105" s="613"/>
      <c r="B105" s="612"/>
      <c r="C105" s="613" t="s">
        <v>79</v>
      </c>
      <c r="D105" s="612" t="s">
        <v>33</v>
      </c>
      <c r="E105" s="613">
        <v>0.01</v>
      </c>
      <c r="F105" s="611">
        <f>worker</f>
        <v>107800.00000000001</v>
      </c>
      <c r="G105" s="611"/>
    </row>
    <row r="106" spans="1:9" ht="15.75" hidden="1" customHeight="1" outlineLevel="2">
      <c r="A106" s="613"/>
      <c r="B106" s="612"/>
      <c r="C106" s="613" t="s">
        <v>80</v>
      </c>
      <c r="D106" s="612" t="s">
        <v>33</v>
      </c>
      <c r="E106" s="613">
        <v>0.05</v>
      </c>
      <c r="F106" s="611">
        <f>supervisor</f>
        <v>119350.00000000001</v>
      </c>
      <c r="G106" s="611"/>
    </row>
    <row r="107" spans="1:9" ht="15.75" hidden="1" customHeight="1" outlineLevel="2">
      <c r="A107" s="613"/>
      <c r="B107" s="612"/>
      <c r="C107" s="613"/>
      <c r="D107" s="612"/>
      <c r="E107" s="613"/>
      <c r="F107" s="611"/>
      <c r="G107" s="611"/>
    </row>
    <row r="108" spans="1:9" ht="15.75" hidden="1" customHeight="1" outlineLevel="2">
      <c r="A108" s="613"/>
      <c r="B108" s="612"/>
      <c r="C108" s="613" t="s">
        <v>1583</v>
      </c>
      <c r="D108" s="612"/>
      <c r="E108" s="613"/>
      <c r="F108" s="611"/>
      <c r="G108" s="611"/>
    </row>
    <row r="109" spans="1:9" ht="15.75" hidden="1" customHeight="1" outlineLevel="2">
      <c r="A109" s="613"/>
      <c r="B109" s="612"/>
      <c r="C109" s="613" t="s">
        <v>81</v>
      </c>
      <c r="D109" s="612" t="s">
        <v>65</v>
      </c>
      <c r="E109" s="613">
        <v>5.0000000000000001E-3</v>
      </c>
      <c r="F109" s="611"/>
      <c r="G109" s="611"/>
    </row>
    <row r="110" spans="1:9" ht="15.75" hidden="1" customHeight="1" outlineLevel="2">
      <c r="A110" s="613"/>
      <c r="B110" s="612"/>
      <c r="C110" s="613" t="s">
        <v>82</v>
      </c>
      <c r="D110" s="612" t="s">
        <v>65</v>
      </c>
      <c r="E110" s="613">
        <v>0.2</v>
      </c>
      <c r="F110" s="611"/>
      <c r="G110" s="611"/>
    </row>
    <row r="111" spans="1:9" ht="15.75" hidden="1" customHeight="1" outlineLevel="2">
      <c r="A111" s="613"/>
      <c r="B111" s="612"/>
      <c r="C111" s="613" t="s">
        <v>83</v>
      </c>
      <c r="D111" s="612" t="s">
        <v>65</v>
      </c>
      <c r="E111" s="613">
        <v>2E-3</v>
      </c>
      <c r="F111" s="611">
        <f>genset_5kVA</f>
        <v>4287694.4000000004</v>
      </c>
      <c r="G111" s="611"/>
    </row>
    <row r="112" spans="1:9" ht="15.75" hidden="1" customHeight="1" outlineLevel="2">
      <c r="A112" s="613"/>
      <c r="B112" s="612"/>
      <c r="C112" s="613"/>
      <c r="D112" s="612"/>
      <c r="E112" s="613"/>
      <c r="F112" s="611"/>
      <c r="G112" s="611"/>
    </row>
    <row r="113" spans="1:12" ht="15.75" hidden="1" customHeight="1" outlineLevel="2">
      <c r="A113" s="613"/>
      <c r="B113" s="612"/>
      <c r="C113" s="613" t="s">
        <v>1584</v>
      </c>
      <c r="D113" s="612"/>
      <c r="E113" s="613"/>
      <c r="F113" s="611"/>
      <c r="G113" s="611"/>
    </row>
    <row r="114" spans="1:12" ht="15.75" hidden="1" customHeight="1" outlineLevel="2">
      <c r="A114" s="613"/>
      <c r="B114" s="612"/>
      <c r="C114" s="613" t="s">
        <v>84</v>
      </c>
      <c r="D114" s="612" t="s">
        <v>1</v>
      </c>
      <c r="E114" s="613">
        <v>0.1</v>
      </c>
      <c r="F114" s="611"/>
      <c r="G114" s="611"/>
    </row>
    <row r="115" spans="1:12" ht="15.75" hidden="1" customHeight="1" outlineLevel="2">
      <c r="A115" s="613"/>
      <c r="B115" s="612"/>
      <c r="C115" s="613" t="s">
        <v>85</v>
      </c>
      <c r="D115" s="612" t="s">
        <v>3</v>
      </c>
      <c r="E115" s="613">
        <v>0.02</v>
      </c>
      <c r="F115" s="611"/>
      <c r="G115" s="611"/>
    </row>
    <row r="116" spans="1:12" ht="15.75" hidden="1" customHeight="1" outlineLevel="2">
      <c r="A116" s="613"/>
      <c r="B116" s="612"/>
      <c r="C116" s="613" t="s">
        <v>86</v>
      </c>
      <c r="D116" s="612" t="s">
        <v>87</v>
      </c>
      <c r="E116" s="613">
        <v>0.5</v>
      </c>
      <c r="F116" s="611"/>
      <c r="G116" s="611"/>
    </row>
    <row r="117" spans="1:12" ht="15.75" hidden="1" customHeight="1" outlineLevel="2">
      <c r="A117" s="613"/>
      <c r="B117" s="612"/>
      <c r="C117" s="613"/>
      <c r="D117" s="612"/>
      <c r="E117" s="613"/>
      <c r="F117" s="611"/>
      <c r="G117" s="611"/>
    </row>
    <row r="118" spans="1:12" ht="15.75" customHeight="1" outlineLevel="1" collapsed="1">
      <c r="A118" s="613" t="s">
        <v>2074</v>
      </c>
      <c r="B118" s="592">
        <f>B103+1</f>
        <v>9</v>
      </c>
      <c r="C118" s="613" t="s">
        <v>1225</v>
      </c>
      <c r="D118" s="612" t="s">
        <v>2</v>
      </c>
      <c r="E118" s="613"/>
      <c r="F118" s="611"/>
      <c r="G118" s="611">
        <f>SUM(G120:G126)</f>
        <v>387825</v>
      </c>
    </row>
    <row r="119" spans="1:12" ht="15.75" hidden="1" customHeight="1" outlineLevel="2">
      <c r="A119" s="613"/>
      <c r="B119" s="612"/>
      <c r="C119" s="613" t="s">
        <v>1583</v>
      </c>
      <c r="D119" s="612"/>
      <c r="E119" s="613"/>
      <c r="F119" s="611"/>
      <c r="G119" s="611"/>
      <c r="K119" s="633" t="s">
        <v>922</v>
      </c>
      <c r="L119" s="633" t="s">
        <v>939</v>
      </c>
    </row>
    <row r="120" spans="1:12" ht="15.75" hidden="1" customHeight="1" outlineLevel="2">
      <c r="A120" s="613"/>
      <c r="B120" s="612"/>
      <c r="C120" s="613" t="s">
        <v>1224</v>
      </c>
      <c r="D120" s="612" t="s">
        <v>1222</v>
      </c>
      <c r="E120" s="613">
        <v>1</v>
      </c>
      <c r="F120" s="611">
        <v>50000</v>
      </c>
      <c r="G120" s="611">
        <f t="shared" ref="G120:G126" si="2">E120*F120</f>
        <v>50000</v>
      </c>
    </row>
    <row r="121" spans="1:12" ht="15.75" hidden="1" customHeight="1" outlineLevel="2">
      <c r="A121" s="613"/>
      <c r="B121" s="612"/>
      <c r="C121" s="613" t="s">
        <v>1223</v>
      </c>
      <c r="D121" s="612" t="s">
        <v>1222</v>
      </c>
      <c r="E121" s="613">
        <v>1</v>
      </c>
      <c r="F121" s="611">
        <v>100000</v>
      </c>
      <c r="G121" s="611">
        <f t="shared" si="2"/>
        <v>100000</v>
      </c>
    </row>
    <row r="122" spans="1:12" ht="15.75" hidden="1" customHeight="1" outlineLevel="2">
      <c r="A122" s="613"/>
      <c r="B122" s="612"/>
      <c r="C122" s="613"/>
      <c r="D122" s="612"/>
      <c r="E122" s="613"/>
      <c r="F122" s="611"/>
      <c r="G122" s="611">
        <f t="shared" si="2"/>
        <v>0</v>
      </c>
    </row>
    <row r="123" spans="1:12" ht="15.75" hidden="1" customHeight="1" outlineLevel="2">
      <c r="A123" s="613"/>
      <c r="B123" s="612"/>
      <c r="C123" s="613" t="s">
        <v>31</v>
      </c>
      <c r="D123" s="612"/>
      <c r="E123" s="613"/>
      <c r="F123" s="611"/>
      <c r="G123" s="611">
        <f t="shared" si="2"/>
        <v>0</v>
      </c>
    </row>
    <row r="124" spans="1:12" ht="15.75" hidden="1" customHeight="1" outlineLevel="2">
      <c r="A124" s="613"/>
      <c r="B124" s="612"/>
      <c r="C124" s="613" t="s">
        <v>493</v>
      </c>
      <c r="D124" s="612" t="s">
        <v>921</v>
      </c>
      <c r="E124" s="613">
        <f>2/8</f>
        <v>0.25</v>
      </c>
      <c r="F124" s="611">
        <f>worker</f>
        <v>107800.00000000001</v>
      </c>
      <c r="G124" s="611">
        <f t="shared" si="2"/>
        <v>26950.000000000004</v>
      </c>
    </row>
    <row r="125" spans="1:12" ht="15.75" hidden="1" customHeight="1" outlineLevel="2">
      <c r="A125" s="613"/>
      <c r="B125" s="612"/>
      <c r="C125" s="613" t="s">
        <v>996</v>
      </c>
      <c r="D125" s="612" t="s">
        <v>921</v>
      </c>
      <c r="E125" s="613">
        <f>3/8</f>
        <v>0.375</v>
      </c>
      <c r="F125" s="611">
        <f>engineer</f>
        <v>429000.00000000006</v>
      </c>
      <c r="G125" s="611">
        <f t="shared" si="2"/>
        <v>160875.00000000003</v>
      </c>
    </row>
    <row r="126" spans="1:12" ht="15.75" hidden="1" customHeight="1" outlineLevel="2">
      <c r="A126" s="613"/>
      <c r="B126" s="612"/>
      <c r="C126" s="613" t="s">
        <v>1221</v>
      </c>
      <c r="D126" s="612" t="s">
        <v>210</v>
      </c>
      <c r="E126" s="613">
        <v>1</v>
      </c>
      <c r="F126" s="611">
        <v>50000</v>
      </c>
      <c r="G126" s="611">
        <f t="shared" si="2"/>
        <v>50000</v>
      </c>
    </row>
    <row r="127" spans="1:12" ht="15.75" hidden="1" customHeight="1" outlineLevel="2">
      <c r="A127" s="613"/>
      <c r="B127" s="612"/>
      <c r="C127" s="613"/>
      <c r="D127" s="612"/>
      <c r="E127" s="613"/>
      <c r="F127" s="611"/>
      <c r="G127" s="611"/>
    </row>
    <row r="128" spans="1:12" ht="15.75" customHeight="1" outlineLevel="1" collapsed="1">
      <c r="A128" s="613" t="s">
        <v>2074</v>
      </c>
      <c r="B128" s="612"/>
      <c r="C128" s="613"/>
      <c r="D128" s="612"/>
      <c r="E128" s="613"/>
      <c r="F128" s="611"/>
      <c r="G128" s="611"/>
    </row>
    <row r="129" spans="1:10" ht="15.75" customHeight="1" outlineLevel="1" thickBot="1">
      <c r="A129" s="608" t="s">
        <v>2074</v>
      </c>
      <c r="B129" s="607"/>
      <c r="C129" s="608"/>
      <c r="D129" s="607"/>
      <c r="E129" s="608"/>
      <c r="F129" s="606"/>
      <c r="G129" s="606"/>
    </row>
    <row r="130" spans="1:10" ht="15.75" customHeight="1" thickBot="1">
      <c r="A130" s="1210" t="s">
        <v>88</v>
      </c>
      <c r="B130" s="1211"/>
      <c r="C130" s="1211"/>
      <c r="D130" s="1211"/>
      <c r="E130" s="1211"/>
      <c r="F130" s="1211"/>
      <c r="G130" s="1212"/>
    </row>
    <row r="131" spans="1:10" ht="15.75" customHeight="1" outlineLevel="1">
      <c r="A131" s="616" t="s">
        <v>2074</v>
      </c>
      <c r="B131" s="593">
        <f>B71+1</f>
        <v>1</v>
      </c>
      <c r="C131" s="616" t="s">
        <v>1589</v>
      </c>
      <c r="D131" s="615" t="s">
        <v>40</v>
      </c>
      <c r="E131" s="616"/>
      <c r="F131" s="614"/>
      <c r="G131" s="614">
        <f>G134</f>
        <v>83833.750000000015</v>
      </c>
      <c r="I131" s="633" t="s">
        <v>89</v>
      </c>
    </row>
    <row r="132" spans="1:10" ht="15.75" hidden="1" customHeight="1" outlineLevel="2">
      <c r="A132" s="613"/>
      <c r="B132" s="612"/>
      <c r="C132" s="613" t="s">
        <v>32</v>
      </c>
      <c r="D132" s="612" t="s">
        <v>33</v>
      </c>
      <c r="E132" s="613">
        <v>0.75</v>
      </c>
      <c r="F132" s="611">
        <f>worker</f>
        <v>107800.00000000001</v>
      </c>
      <c r="G132" s="611">
        <f>F132*E132</f>
        <v>80850.000000000015</v>
      </c>
      <c r="J132" s="633" t="s">
        <v>90</v>
      </c>
    </row>
    <row r="133" spans="1:10" ht="15.75" hidden="1" customHeight="1" outlineLevel="2">
      <c r="A133" s="613"/>
      <c r="B133" s="612"/>
      <c r="C133" s="613" t="s">
        <v>36</v>
      </c>
      <c r="D133" s="612" t="s">
        <v>33</v>
      </c>
      <c r="E133" s="613">
        <v>2.5000000000000001E-2</v>
      </c>
      <c r="F133" s="611">
        <f>supervisor</f>
        <v>119350.00000000001</v>
      </c>
      <c r="G133" s="611">
        <f>F133*E133</f>
        <v>2983.7500000000005</v>
      </c>
    </row>
    <row r="134" spans="1:10" ht="15.75" hidden="1" customHeight="1" outlineLevel="2">
      <c r="A134" s="613"/>
      <c r="B134" s="612"/>
      <c r="C134" s="613"/>
      <c r="D134" s="612"/>
      <c r="E134" s="613"/>
      <c r="F134" s="611"/>
      <c r="G134" s="611">
        <f>SUM(G132:G133)</f>
        <v>83833.750000000015</v>
      </c>
    </row>
    <row r="135" spans="1:10" ht="15.75" customHeight="1" outlineLevel="1" collapsed="1">
      <c r="A135" s="613" t="s">
        <v>2074</v>
      </c>
      <c r="B135" s="592">
        <f>B131+1</f>
        <v>2</v>
      </c>
      <c r="C135" s="613" t="s">
        <v>1590</v>
      </c>
      <c r="D135" s="612" t="s">
        <v>40</v>
      </c>
      <c r="E135" s="613"/>
      <c r="F135" s="611"/>
      <c r="G135" s="611">
        <f>G138</f>
        <v>102390.75000000001</v>
      </c>
      <c r="I135" s="633" t="s">
        <v>89</v>
      </c>
    </row>
    <row r="136" spans="1:10" ht="15.75" hidden="1" customHeight="1" outlineLevel="2">
      <c r="A136" s="613"/>
      <c r="B136" s="612"/>
      <c r="C136" s="613" t="s">
        <v>32</v>
      </c>
      <c r="D136" s="612" t="s">
        <v>33</v>
      </c>
      <c r="E136" s="613">
        <v>0.9</v>
      </c>
      <c r="F136" s="611">
        <f>worker</f>
        <v>107800.00000000001</v>
      </c>
      <c r="G136" s="611">
        <f>F136*E136</f>
        <v>97020.000000000015</v>
      </c>
      <c r="J136" s="633" t="s">
        <v>90</v>
      </c>
    </row>
    <row r="137" spans="1:10" ht="15.75" hidden="1" customHeight="1" outlineLevel="2">
      <c r="A137" s="613"/>
      <c r="B137" s="612"/>
      <c r="C137" s="613" t="s">
        <v>36</v>
      </c>
      <c r="D137" s="612" t="s">
        <v>33</v>
      </c>
      <c r="E137" s="613">
        <v>4.4999999999999998E-2</v>
      </c>
      <c r="F137" s="611">
        <f>supervisor</f>
        <v>119350.00000000001</v>
      </c>
      <c r="G137" s="611">
        <f>F137*E137</f>
        <v>5370.7500000000009</v>
      </c>
    </row>
    <row r="138" spans="1:10" ht="15.75" hidden="1" customHeight="1" outlineLevel="2">
      <c r="A138" s="613"/>
      <c r="B138" s="612"/>
      <c r="C138" s="613"/>
      <c r="D138" s="612"/>
      <c r="E138" s="613"/>
      <c r="F138" s="611"/>
      <c r="G138" s="611">
        <f>SUM(G136:G137)</f>
        <v>102390.75000000001</v>
      </c>
    </row>
    <row r="139" spans="1:10" ht="15.75" customHeight="1" outlineLevel="1" collapsed="1">
      <c r="A139" s="613" t="s">
        <v>2074</v>
      </c>
      <c r="B139" s="612">
        <f>B135+1</f>
        <v>3</v>
      </c>
      <c r="C139" s="613" t="s">
        <v>1591</v>
      </c>
      <c r="D139" s="612" t="s">
        <v>40</v>
      </c>
      <c r="E139" s="613"/>
      <c r="F139" s="611"/>
      <c r="G139" s="611">
        <f>G142</f>
        <v>121186.45000000001</v>
      </c>
      <c r="I139" s="633" t="s">
        <v>89</v>
      </c>
    </row>
    <row r="140" spans="1:10" ht="15.75" customHeight="1" outlineLevel="2">
      <c r="A140" s="613"/>
      <c r="B140" s="612"/>
      <c r="C140" s="613" t="s">
        <v>32</v>
      </c>
      <c r="D140" s="612" t="s">
        <v>33</v>
      </c>
      <c r="E140" s="613">
        <v>1.05</v>
      </c>
      <c r="F140" s="611">
        <f>worker</f>
        <v>107800.00000000001</v>
      </c>
      <c r="G140" s="611">
        <f>F140*E140</f>
        <v>113190.00000000001</v>
      </c>
      <c r="J140" s="633" t="s">
        <v>90</v>
      </c>
    </row>
    <row r="141" spans="1:10" ht="15.75" customHeight="1" outlineLevel="2">
      <c r="A141" s="613"/>
      <c r="B141" s="612"/>
      <c r="C141" s="613" t="s">
        <v>36</v>
      </c>
      <c r="D141" s="612" t="s">
        <v>33</v>
      </c>
      <c r="E141" s="613">
        <v>6.7000000000000004E-2</v>
      </c>
      <c r="F141" s="611">
        <f>supervisor</f>
        <v>119350.00000000001</v>
      </c>
      <c r="G141" s="611">
        <f>F141*E141</f>
        <v>7996.4500000000016</v>
      </c>
    </row>
    <row r="142" spans="1:10" ht="15.75" customHeight="1" outlineLevel="2">
      <c r="A142" s="613"/>
      <c r="B142" s="612"/>
      <c r="C142" s="613"/>
      <c r="D142" s="612"/>
      <c r="E142" s="613"/>
      <c r="F142" s="611"/>
      <c r="G142" s="611">
        <f>SUM(G140:G141)</f>
        <v>121186.45000000001</v>
      </c>
    </row>
    <row r="143" spans="1:10" ht="15.75" customHeight="1" outlineLevel="1">
      <c r="A143" s="613" t="s">
        <v>2074</v>
      </c>
      <c r="B143" s="612">
        <f>B139+1</f>
        <v>4</v>
      </c>
      <c r="C143" s="613" t="s">
        <v>1592</v>
      </c>
      <c r="D143" s="612" t="s">
        <v>40</v>
      </c>
      <c r="E143" s="613"/>
      <c r="F143" s="611"/>
      <c r="G143" s="611">
        <f>G154</f>
        <v>478896.15504000004</v>
      </c>
      <c r="I143" s="633" t="s">
        <v>89</v>
      </c>
    </row>
    <row r="144" spans="1:10" ht="15.75" hidden="1" customHeight="1" outlineLevel="2">
      <c r="A144" s="613"/>
      <c r="B144" s="612"/>
      <c r="C144" s="613" t="s">
        <v>32</v>
      </c>
      <c r="D144" s="612" t="s">
        <v>33</v>
      </c>
      <c r="E144" s="613">
        <f>1.05+0.22</f>
        <v>1.27</v>
      </c>
      <c r="F144" s="611">
        <f>worker</f>
        <v>107800.00000000001</v>
      </c>
      <c r="G144" s="611">
        <f>F144*E144</f>
        <v>136906.00000000003</v>
      </c>
      <c r="J144" s="633" t="s">
        <v>90</v>
      </c>
    </row>
    <row r="145" spans="1:9" ht="15.75" hidden="1" customHeight="1" outlineLevel="2">
      <c r="A145" s="613"/>
      <c r="B145" s="612"/>
      <c r="C145" s="613" t="s">
        <v>36</v>
      </c>
      <c r="D145" s="612" t="s">
        <v>33</v>
      </c>
      <c r="E145" s="613">
        <f>0.067+0.022</f>
        <v>8.8999999999999996E-2</v>
      </c>
      <c r="F145" s="611">
        <f>supervisor</f>
        <v>119350.00000000001</v>
      </c>
      <c r="G145" s="611">
        <f>F145*E145</f>
        <v>10622.150000000001</v>
      </c>
    </row>
    <row r="146" spans="1:9" ht="15.75" hidden="1" customHeight="1" outlineLevel="2">
      <c r="A146" s="613"/>
      <c r="B146" s="612"/>
      <c r="C146" s="613"/>
      <c r="D146" s="612"/>
      <c r="E146" s="613"/>
      <c r="F146" s="611"/>
      <c r="G146" s="611"/>
    </row>
    <row r="147" spans="1:9" ht="15.75" hidden="1" customHeight="1" outlineLevel="2">
      <c r="A147" s="613"/>
      <c r="B147" s="612"/>
      <c r="C147" s="613" t="s">
        <v>70</v>
      </c>
      <c r="D147" s="612"/>
      <c r="E147" s="613"/>
      <c r="F147" s="611"/>
      <c r="G147" s="611"/>
    </row>
    <row r="148" spans="1:9" ht="15.75" hidden="1" customHeight="1" outlineLevel="2">
      <c r="A148" s="613"/>
      <c r="B148" s="612"/>
      <c r="C148" s="613" t="s">
        <v>104</v>
      </c>
      <c r="D148" s="612" t="s">
        <v>72</v>
      </c>
      <c r="E148" s="613">
        <v>6.7999999999999996E-3</v>
      </c>
      <c r="F148" s="611">
        <f>excavator_0.8m3</f>
        <v>704803</v>
      </c>
      <c r="G148" s="611">
        <f>F148*E148</f>
        <v>4792.6603999999998</v>
      </c>
    </row>
    <row r="149" spans="1:9" ht="15.75" hidden="1" customHeight="1" outlineLevel="2">
      <c r="A149" s="613"/>
      <c r="B149" s="612"/>
      <c r="C149" s="613" t="s">
        <v>105</v>
      </c>
      <c r="D149" s="612" t="s">
        <v>72</v>
      </c>
      <c r="E149" s="613">
        <v>0.25600000000000001</v>
      </c>
      <c r="F149" s="611">
        <f>dump_truck_5m3</f>
        <v>1161622.4400000002</v>
      </c>
      <c r="G149" s="611">
        <f>F149*E149</f>
        <v>297375.34464000002</v>
      </c>
    </row>
    <row r="150" spans="1:9" ht="15.75" hidden="1" customHeight="1" outlineLevel="2">
      <c r="A150" s="613"/>
      <c r="B150" s="612"/>
      <c r="C150" s="613" t="s">
        <v>73</v>
      </c>
      <c r="D150" s="612" t="s">
        <v>74</v>
      </c>
      <c r="E150" s="613">
        <v>1</v>
      </c>
      <c r="F150" s="611">
        <v>5000</v>
      </c>
      <c r="G150" s="611">
        <f>F150*E150</f>
        <v>5000</v>
      </c>
    </row>
    <row r="151" spans="1:9" ht="15.75" hidden="1" customHeight="1" outlineLevel="2">
      <c r="A151" s="613"/>
      <c r="B151" s="612"/>
      <c r="C151" s="613"/>
      <c r="D151" s="612"/>
      <c r="E151" s="613"/>
      <c r="F151" s="611"/>
      <c r="G151" s="611"/>
    </row>
    <row r="152" spans="1:9" ht="15.75" hidden="1" customHeight="1" outlineLevel="2">
      <c r="A152" s="613"/>
      <c r="B152" s="612"/>
      <c r="C152" s="613" t="s">
        <v>75</v>
      </c>
      <c r="D152" s="612"/>
      <c r="E152" s="613"/>
      <c r="F152" s="611"/>
      <c r="G152" s="611"/>
    </row>
    <row r="153" spans="1:9" ht="15.75" hidden="1" customHeight="1" outlineLevel="2">
      <c r="A153" s="613"/>
      <c r="B153" s="612"/>
      <c r="C153" s="613" t="s">
        <v>76</v>
      </c>
      <c r="D153" s="612" t="s">
        <v>77</v>
      </c>
      <c r="E153" s="613">
        <v>2</v>
      </c>
      <c r="F153" s="611">
        <f>bbm</f>
        <v>12100.000000000002</v>
      </c>
      <c r="G153" s="611">
        <f>F153*E153</f>
        <v>24200.000000000004</v>
      </c>
    </row>
    <row r="154" spans="1:9" ht="15.75" hidden="1" customHeight="1" outlineLevel="2">
      <c r="A154" s="613"/>
      <c r="B154" s="612"/>
      <c r="C154" s="613"/>
      <c r="D154" s="612"/>
      <c r="E154" s="613"/>
      <c r="F154" s="611"/>
      <c r="G154" s="611">
        <f>SUM(G144:G153)</f>
        <v>478896.15504000004</v>
      </c>
    </row>
    <row r="155" spans="1:9" ht="15.75" customHeight="1" outlineLevel="1" collapsed="1">
      <c r="A155" s="613" t="s">
        <v>2074</v>
      </c>
      <c r="B155" s="612">
        <f>B143+1</f>
        <v>5</v>
      </c>
      <c r="C155" s="613" t="s">
        <v>1593</v>
      </c>
      <c r="D155" s="612" t="s">
        <v>40</v>
      </c>
      <c r="E155" s="613"/>
      <c r="F155" s="611"/>
      <c r="G155" s="611">
        <f>G165</f>
        <v>56270.500000000007</v>
      </c>
      <c r="I155" s="633" t="s">
        <v>91</v>
      </c>
    </row>
    <row r="156" spans="1:9" ht="15.75" hidden="1" customHeight="1" outlineLevel="2">
      <c r="A156" s="613"/>
      <c r="B156" s="612"/>
      <c r="C156" s="613" t="s">
        <v>92</v>
      </c>
      <c r="D156" s="612"/>
      <c r="E156" s="613"/>
      <c r="F156" s="611"/>
      <c r="G156" s="611"/>
    </row>
    <row r="157" spans="1:9" ht="15.75" hidden="1" customHeight="1" outlineLevel="2">
      <c r="A157" s="613"/>
      <c r="B157" s="612"/>
      <c r="C157" s="613" t="s">
        <v>32</v>
      </c>
      <c r="D157" s="612" t="s">
        <v>33</v>
      </c>
      <c r="E157" s="613">
        <v>0.3</v>
      </c>
      <c r="F157" s="611">
        <f>worker</f>
        <v>107800.00000000001</v>
      </c>
      <c r="G157" s="611">
        <f>F157*E157</f>
        <v>32340.000000000004</v>
      </c>
    </row>
    <row r="158" spans="1:9" ht="15.75" hidden="1" customHeight="1" outlineLevel="2">
      <c r="A158" s="613"/>
      <c r="B158" s="612"/>
      <c r="C158" s="613" t="s">
        <v>36</v>
      </c>
      <c r="D158" s="612" t="s">
        <v>33</v>
      </c>
      <c r="E158" s="613">
        <v>0.03</v>
      </c>
      <c r="F158" s="611">
        <f>supervisor</f>
        <v>119350.00000000001</v>
      </c>
      <c r="G158" s="611">
        <f>F158*E158</f>
        <v>3580.5000000000005</v>
      </c>
    </row>
    <row r="159" spans="1:9" ht="15.75" hidden="1" customHeight="1" outlineLevel="2">
      <c r="A159" s="613"/>
      <c r="B159" s="612"/>
      <c r="C159" s="613"/>
      <c r="D159" s="612"/>
      <c r="E159" s="613"/>
      <c r="F159" s="611"/>
      <c r="G159" s="611"/>
    </row>
    <row r="160" spans="1:9" ht="15.75" hidden="1" customHeight="1" outlineLevel="2">
      <c r="A160" s="613"/>
      <c r="B160" s="612"/>
      <c r="C160" s="613" t="s">
        <v>93</v>
      </c>
      <c r="D160" s="612"/>
      <c r="E160" s="613"/>
      <c r="F160" s="611"/>
      <c r="G160" s="611"/>
    </row>
    <row r="161" spans="1:16" ht="15.75" hidden="1" customHeight="1" outlineLevel="2">
      <c r="A161" s="613"/>
      <c r="B161" s="612"/>
      <c r="C161" s="613" t="s">
        <v>94</v>
      </c>
      <c r="D161" s="612" t="s">
        <v>95</v>
      </c>
      <c r="E161" s="613">
        <v>0.5</v>
      </c>
      <c r="F161" s="611">
        <f>bbm</f>
        <v>12100.000000000002</v>
      </c>
      <c r="G161" s="611">
        <f>E161*F161</f>
        <v>6050.0000000000009</v>
      </c>
    </row>
    <row r="162" spans="1:16" ht="15.75" hidden="1" customHeight="1" outlineLevel="2">
      <c r="A162" s="613"/>
      <c r="B162" s="612"/>
      <c r="C162" s="613"/>
      <c r="D162" s="612"/>
      <c r="E162" s="613"/>
      <c r="F162" s="611"/>
      <c r="G162" s="611"/>
    </row>
    <row r="163" spans="1:16" ht="15.75" hidden="1" customHeight="1" outlineLevel="2">
      <c r="A163" s="613"/>
      <c r="B163" s="612"/>
      <c r="C163" s="613" t="s">
        <v>96</v>
      </c>
      <c r="D163" s="612"/>
      <c r="E163" s="613"/>
      <c r="F163" s="611"/>
      <c r="G163" s="611"/>
    </row>
    <row r="164" spans="1:16" ht="15.75" hidden="1" customHeight="1" outlineLevel="2">
      <c r="A164" s="613"/>
      <c r="B164" s="612"/>
      <c r="C164" s="613" t="s">
        <v>97</v>
      </c>
      <c r="D164" s="612" t="s">
        <v>98</v>
      </c>
      <c r="E164" s="613">
        <v>0.05</v>
      </c>
      <c r="F164" s="611">
        <f>jack_hammer</f>
        <v>286000</v>
      </c>
      <c r="G164" s="611">
        <f>E164*F164</f>
        <v>14300</v>
      </c>
    </row>
    <row r="165" spans="1:16" ht="15.75" hidden="1" customHeight="1" outlineLevel="2">
      <c r="A165" s="613"/>
      <c r="B165" s="612"/>
      <c r="C165" s="613"/>
      <c r="D165" s="612"/>
      <c r="E165" s="613"/>
      <c r="F165" s="611"/>
      <c r="G165" s="611">
        <f>SUM(G157:G164)</f>
        <v>56270.500000000007</v>
      </c>
    </row>
    <row r="166" spans="1:16" ht="15.75" customHeight="1" outlineLevel="1" collapsed="1">
      <c r="A166" s="613" t="s">
        <v>2074</v>
      </c>
      <c r="B166" s="612">
        <f>B155+1</f>
        <v>6</v>
      </c>
      <c r="C166" s="613" t="s">
        <v>1594</v>
      </c>
      <c r="D166" s="612" t="s">
        <v>40</v>
      </c>
      <c r="E166" s="613"/>
      <c r="F166" s="611"/>
      <c r="G166" s="611">
        <f>G170</f>
        <v>107972.83199999999</v>
      </c>
      <c r="I166" s="633" t="s">
        <v>99</v>
      </c>
    </row>
    <row r="167" spans="1:16" ht="15.75" customHeight="1" outlineLevel="2">
      <c r="A167" s="613"/>
      <c r="B167" s="612"/>
      <c r="C167" s="613"/>
      <c r="D167" s="612"/>
      <c r="E167" s="613"/>
      <c r="F167" s="611"/>
      <c r="G167" s="611"/>
    </row>
    <row r="168" spans="1:16" ht="15.75" customHeight="1" outlineLevel="2">
      <c r="A168" s="613"/>
      <c r="B168" s="612"/>
      <c r="C168" s="613" t="s">
        <v>32</v>
      </c>
      <c r="D168" s="612" t="s">
        <v>33</v>
      </c>
      <c r="E168" s="613">
        <v>1</v>
      </c>
      <c r="F168" s="611">
        <f>'[54]Basic price '!E211</f>
        <v>102920</v>
      </c>
      <c r="G168" s="611">
        <f>F168*E168</f>
        <v>102920</v>
      </c>
    </row>
    <row r="169" spans="1:16" ht="15.75" customHeight="1" outlineLevel="2">
      <c r="A169" s="613"/>
      <c r="B169" s="612"/>
      <c r="C169" s="613" t="s">
        <v>36</v>
      </c>
      <c r="D169" s="612" t="s">
        <v>33</v>
      </c>
      <c r="E169" s="613">
        <v>3.2000000000000001E-2</v>
      </c>
      <c r="F169" s="611">
        <f>'[54]Basic price '!E213</f>
        <v>157901</v>
      </c>
      <c r="G169" s="611">
        <f>F169*E169</f>
        <v>5052.8320000000003</v>
      </c>
    </row>
    <row r="170" spans="1:16" ht="15.75" customHeight="1" outlineLevel="2">
      <c r="A170" s="613"/>
      <c r="B170" s="612"/>
      <c r="C170" s="613"/>
      <c r="D170" s="612"/>
      <c r="E170" s="613"/>
      <c r="F170" s="611"/>
      <c r="G170" s="611">
        <f>SUM(G168:G169)</f>
        <v>107972.83199999999</v>
      </c>
      <c r="M170" s="633" t="s">
        <v>100</v>
      </c>
      <c r="P170" s="633">
        <v>50000</v>
      </c>
    </row>
    <row r="171" spans="1:16" ht="15.75" customHeight="1" outlineLevel="2">
      <c r="A171" s="613"/>
      <c r="B171" s="612"/>
      <c r="C171" s="613"/>
      <c r="D171" s="612"/>
      <c r="E171" s="613"/>
      <c r="F171" s="611"/>
      <c r="G171" s="611"/>
    </row>
    <row r="172" spans="1:16" ht="15.75" customHeight="1" outlineLevel="1">
      <c r="A172" s="613" t="s">
        <v>2074</v>
      </c>
      <c r="B172" s="612">
        <f>B166+1</f>
        <v>7</v>
      </c>
      <c r="C172" s="613" t="s">
        <v>1595</v>
      </c>
      <c r="D172" s="612" t="s">
        <v>40</v>
      </c>
      <c r="E172" s="613"/>
      <c r="F172" s="611"/>
      <c r="G172" s="611">
        <f>G177</f>
        <v>163854.06</v>
      </c>
      <c r="I172" s="633" t="s">
        <v>101</v>
      </c>
      <c r="J172" s="633" t="s">
        <v>102</v>
      </c>
    </row>
    <row r="173" spans="1:16" ht="15.75" hidden="1" customHeight="1" outlineLevel="2">
      <c r="A173" s="613"/>
      <c r="B173" s="612"/>
      <c r="C173" s="613"/>
      <c r="D173" s="612"/>
      <c r="E173" s="613"/>
      <c r="F173" s="611"/>
      <c r="G173" s="611"/>
    </row>
    <row r="174" spans="1:16" ht="15.75" hidden="1" customHeight="1" outlineLevel="2">
      <c r="A174" s="613"/>
      <c r="B174" s="612"/>
      <c r="C174" s="613" t="s">
        <v>78</v>
      </c>
      <c r="D174" s="612"/>
      <c r="E174" s="613"/>
      <c r="F174" s="611"/>
      <c r="G174" s="611"/>
    </row>
    <row r="175" spans="1:16" ht="15.75" hidden="1" customHeight="1" outlineLevel="2">
      <c r="A175" s="613"/>
      <c r="B175" s="612"/>
      <c r="C175" s="613" t="s">
        <v>32</v>
      </c>
      <c r="D175" s="612" t="s">
        <v>33</v>
      </c>
      <c r="E175" s="613">
        <v>1.5</v>
      </c>
      <c r="F175" s="611">
        <f>'[54]Basic price '!E211</f>
        <v>102920</v>
      </c>
      <c r="G175" s="611">
        <f>F175*E175</f>
        <v>154380</v>
      </c>
    </row>
    <row r="176" spans="1:16" ht="15.75" hidden="1" customHeight="1" outlineLevel="2">
      <c r="A176" s="613"/>
      <c r="B176" s="612"/>
      <c r="C176" s="613" t="s">
        <v>36</v>
      </c>
      <c r="D176" s="612" t="s">
        <v>33</v>
      </c>
      <c r="E176" s="613">
        <v>0.06</v>
      </c>
      <c r="F176" s="611">
        <f>'[54]Basic price '!E213</f>
        <v>157901</v>
      </c>
      <c r="G176" s="611">
        <f>F176*E176</f>
        <v>9474.06</v>
      </c>
    </row>
    <row r="177" spans="1:10" ht="15.75" hidden="1" customHeight="1" outlineLevel="2">
      <c r="A177" s="613"/>
      <c r="B177" s="612"/>
      <c r="C177" s="613"/>
      <c r="D177" s="612"/>
      <c r="E177" s="613"/>
      <c r="F177" s="611"/>
      <c r="G177" s="611">
        <f>SUM(G173:G176)</f>
        <v>163854.06</v>
      </c>
    </row>
    <row r="178" spans="1:10" ht="15.75" customHeight="1" outlineLevel="1" collapsed="1">
      <c r="A178" s="613" t="s">
        <v>2074</v>
      </c>
      <c r="B178" s="612">
        <f>B172+1</f>
        <v>8</v>
      </c>
      <c r="C178" s="613" t="s">
        <v>1596</v>
      </c>
      <c r="D178" s="612" t="s">
        <v>40</v>
      </c>
      <c r="E178" s="613"/>
      <c r="F178" s="611"/>
      <c r="G178" s="611">
        <f>G183</f>
        <v>150134.60000000003</v>
      </c>
      <c r="I178" s="633" t="s">
        <v>101</v>
      </c>
      <c r="J178" s="633" t="s">
        <v>102</v>
      </c>
    </row>
    <row r="179" spans="1:10" ht="15.75" hidden="1" customHeight="1" outlineLevel="2">
      <c r="A179" s="613"/>
      <c r="B179" s="612"/>
      <c r="C179" s="613"/>
      <c r="D179" s="612"/>
      <c r="E179" s="613"/>
      <c r="F179" s="611"/>
      <c r="G179" s="611"/>
    </row>
    <row r="180" spans="1:10" ht="15.75" hidden="1" customHeight="1" outlineLevel="2">
      <c r="A180" s="613"/>
      <c r="B180" s="612"/>
      <c r="C180" s="613" t="s">
        <v>78</v>
      </c>
      <c r="D180" s="612"/>
      <c r="E180" s="613"/>
      <c r="F180" s="611"/>
      <c r="G180" s="611"/>
    </row>
    <row r="181" spans="1:10" ht="15.75" hidden="1" customHeight="1" outlineLevel="2">
      <c r="A181" s="613"/>
      <c r="B181" s="612"/>
      <c r="C181" s="613" t="s">
        <v>32</v>
      </c>
      <c r="D181" s="612" t="s">
        <v>33</v>
      </c>
      <c r="E181" s="613">
        <v>1.22</v>
      </c>
      <c r="F181" s="611">
        <f>worker</f>
        <v>107800.00000000001</v>
      </c>
      <c r="G181" s="611">
        <f>F181*E181</f>
        <v>131516.00000000003</v>
      </c>
    </row>
    <row r="182" spans="1:10" ht="15.75" hidden="1" customHeight="1" outlineLevel="2">
      <c r="A182" s="613"/>
      <c r="B182" s="612"/>
      <c r="C182" s="613" t="s">
        <v>1067</v>
      </c>
      <c r="D182" s="612" t="s">
        <v>33</v>
      </c>
      <c r="E182" s="613">
        <v>0.12</v>
      </c>
      <c r="F182" s="611">
        <f>supervisor_Asli</f>
        <v>155155</v>
      </c>
      <c r="G182" s="611">
        <f>F182*E182</f>
        <v>18618.599999999999</v>
      </c>
    </row>
    <row r="183" spans="1:10" ht="15.75" hidden="1" customHeight="1" outlineLevel="2">
      <c r="A183" s="613"/>
      <c r="B183" s="612"/>
      <c r="C183" s="613"/>
      <c r="D183" s="612"/>
      <c r="E183" s="613"/>
      <c r="F183" s="611"/>
      <c r="G183" s="611">
        <f>SUM(G179:G182)</f>
        <v>150134.60000000003</v>
      </c>
    </row>
    <row r="184" spans="1:10" ht="15.75" customHeight="1" outlineLevel="1" collapsed="1">
      <c r="A184" s="613" t="s">
        <v>2074</v>
      </c>
      <c r="B184" s="612">
        <f>B178+1</f>
        <v>9</v>
      </c>
      <c r="C184" s="613" t="s">
        <v>1597</v>
      </c>
      <c r="D184" s="612" t="s">
        <v>40</v>
      </c>
      <c r="E184" s="613"/>
      <c r="F184" s="611"/>
      <c r="G184" s="611">
        <f>G196</f>
        <v>331714.39262</v>
      </c>
    </row>
    <row r="185" spans="1:10" ht="15.75" hidden="1" customHeight="1" outlineLevel="2">
      <c r="A185" s="613"/>
      <c r="B185" s="612"/>
      <c r="C185" s="613" t="s">
        <v>66</v>
      </c>
      <c r="D185" s="612"/>
      <c r="E185" s="613"/>
      <c r="F185" s="611"/>
      <c r="G185" s="611"/>
    </row>
    <row r="186" spans="1:10" ht="15.75" hidden="1" customHeight="1" outlineLevel="2">
      <c r="A186" s="613"/>
      <c r="B186" s="612"/>
      <c r="C186" s="613" t="s">
        <v>32</v>
      </c>
      <c r="D186" s="612" t="s">
        <v>67</v>
      </c>
      <c r="E186" s="613">
        <v>1.3599999999999999E-2</v>
      </c>
      <c r="F186" s="611">
        <f>worker/8</f>
        <v>13475.000000000002</v>
      </c>
      <c r="G186" s="611">
        <f>F186*E186</f>
        <v>183.26000000000002</v>
      </c>
      <c r="I186" s="633" t="s">
        <v>103</v>
      </c>
    </row>
    <row r="187" spans="1:10" ht="15.75" hidden="1" customHeight="1" outlineLevel="2">
      <c r="A187" s="613"/>
      <c r="B187" s="612"/>
      <c r="C187" s="613" t="s">
        <v>68</v>
      </c>
      <c r="D187" s="612" t="s">
        <v>67</v>
      </c>
      <c r="E187" s="613">
        <v>6.7999999999999996E-3</v>
      </c>
      <c r="F187" s="611">
        <f>operator/8</f>
        <v>23989.350000000002</v>
      </c>
      <c r="G187" s="611">
        <f>F187*E187</f>
        <v>163.12757999999999</v>
      </c>
    </row>
    <row r="188" spans="1:10" ht="15.75" hidden="1" customHeight="1" outlineLevel="2">
      <c r="A188" s="613"/>
      <c r="B188" s="612"/>
      <c r="C188" s="613"/>
      <c r="D188" s="612"/>
      <c r="E188" s="613"/>
      <c r="F188" s="611"/>
      <c r="G188" s="611"/>
    </row>
    <row r="189" spans="1:10" ht="15.75" hidden="1" customHeight="1" outlineLevel="2">
      <c r="A189" s="613"/>
      <c r="B189" s="612"/>
      <c r="C189" s="613" t="s">
        <v>70</v>
      </c>
      <c r="D189" s="612"/>
      <c r="E189" s="613"/>
      <c r="F189" s="611"/>
      <c r="G189" s="611"/>
    </row>
    <row r="190" spans="1:10" ht="15.75" hidden="1" customHeight="1" outlineLevel="2">
      <c r="A190" s="613"/>
      <c r="B190" s="612"/>
      <c r="C190" s="613" t="s">
        <v>104</v>
      </c>
      <c r="D190" s="612" t="s">
        <v>72</v>
      </c>
      <c r="E190" s="613">
        <v>6.7999999999999996E-3</v>
      </c>
      <c r="F190" s="611">
        <f>excavator_0.8m3</f>
        <v>704803</v>
      </c>
      <c r="G190" s="611">
        <f>F190*E190</f>
        <v>4792.6603999999998</v>
      </c>
    </row>
    <row r="191" spans="1:10" ht="15.75" hidden="1" customHeight="1" outlineLevel="2">
      <c r="A191" s="613"/>
      <c r="B191" s="612"/>
      <c r="C191" s="613" t="s">
        <v>105</v>
      </c>
      <c r="D191" s="612" t="s">
        <v>72</v>
      </c>
      <c r="E191" s="613">
        <v>0.25600000000000001</v>
      </c>
      <c r="F191" s="611">
        <f>dump_truck_5m3</f>
        <v>1161622.4400000002</v>
      </c>
      <c r="G191" s="611">
        <f>F191*E191</f>
        <v>297375.34464000002</v>
      </c>
    </row>
    <row r="192" spans="1:10" ht="12.75" hidden="1" outlineLevel="2">
      <c r="A192" s="613"/>
      <c r="B192" s="612"/>
      <c r="C192" s="613" t="s">
        <v>73</v>
      </c>
      <c r="D192" s="612" t="s">
        <v>74</v>
      </c>
      <c r="E192" s="613">
        <v>1</v>
      </c>
      <c r="F192" s="611">
        <v>5000</v>
      </c>
      <c r="G192" s="611">
        <f>F192*E192</f>
        <v>5000</v>
      </c>
    </row>
    <row r="193" spans="1:10" ht="15.75" hidden="1" customHeight="1" outlineLevel="2">
      <c r="A193" s="613"/>
      <c r="B193" s="612"/>
      <c r="C193" s="613"/>
      <c r="D193" s="612"/>
      <c r="E193" s="613"/>
      <c r="F193" s="611"/>
      <c r="G193" s="611"/>
    </row>
    <row r="194" spans="1:10" ht="15.75" hidden="1" customHeight="1" outlineLevel="2">
      <c r="A194" s="613"/>
      <c r="B194" s="612"/>
      <c r="C194" s="613" t="s">
        <v>75</v>
      </c>
      <c r="D194" s="612"/>
      <c r="E194" s="613"/>
      <c r="F194" s="611"/>
      <c r="G194" s="611"/>
    </row>
    <row r="195" spans="1:10" ht="15.75" hidden="1" customHeight="1" outlineLevel="2">
      <c r="A195" s="613"/>
      <c r="B195" s="612"/>
      <c r="C195" s="613" t="s">
        <v>76</v>
      </c>
      <c r="D195" s="612" t="s">
        <v>77</v>
      </c>
      <c r="E195" s="613">
        <v>2</v>
      </c>
      <c r="F195" s="611">
        <f>bbm</f>
        <v>12100.000000000002</v>
      </c>
      <c r="G195" s="611">
        <f>F195*E195</f>
        <v>24200.000000000004</v>
      </c>
    </row>
    <row r="196" spans="1:10" ht="15.75" hidden="1" customHeight="1" outlineLevel="2">
      <c r="A196" s="613"/>
      <c r="B196" s="612"/>
      <c r="C196" s="613"/>
      <c r="D196" s="612"/>
      <c r="E196" s="613"/>
      <c r="F196" s="611"/>
      <c r="G196" s="611">
        <f>SUM(G186:G195)</f>
        <v>331714.39262</v>
      </c>
    </row>
    <row r="197" spans="1:10" ht="15.75" customHeight="1" outlineLevel="1" collapsed="1">
      <c r="A197" s="613" t="s">
        <v>2074</v>
      </c>
      <c r="B197" s="592">
        <f>B184+1</f>
        <v>10</v>
      </c>
      <c r="C197" s="613" t="s">
        <v>0</v>
      </c>
      <c r="D197" s="612" t="s">
        <v>40</v>
      </c>
      <c r="E197" s="613"/>
      <c r="F197" s="611"/>
      <c r="G197" s="611">
        <f>SUM(G199:G202)</f>
        <v>62462.950000000012</v>
      </c>
      <c r="I197" s="633" t="s">
        <v>106</v>
      </c>
    </row>
    <row r="198" spans="1:10" ht="15.75" hidden="1" customHeight="1" outlineLevel="2">
      <c r="A198" s="613"/>
      <c r="B198" s="612"/>
      <c r="C198" s="613"/>
      <c r="D198" s="612"/>
      <c r="E198" s="613"/>
      <c r="F198" s="611"/>
      <c r="G198" s="611"/>
    </row>
    <row r="199" spans="1:10" ht="15.75" hidden="1" customHeight="1" outlineLevel="2">
      <c r="A199" s="613"/>
      <c r="B199" s="612"/>
      <c r="C199" s="613" t="s">
        <v>32</v>
      </c>
      <c r="D199" s="612" t="s">
        <v>33</v>
      </c>
      <c r="E199" s="613">
        <v>0.5</v>
      </c>
      <c r="F199" s="611">
        <f>worker</f>
        <v>107800.00000000001</v>
      </c>
      <c r="G199" s="611">
        <f>F199*E199</f>
        <v>53900.000000000007</v>
      </c>
    </row>
    <row r="200" spans="1:10" ht="15.75" hidden="1" customHeight="1" outlineLevel="2">
      <c r="A200" s="613"/>
      <c r="B200" s="612"/>
      <c r="C200" s="613" t="s">
        <v>1067</v>
      </c>
      <c r="D200" s="612" t="s">
        <v>33</v>
      </c>
      <c r="E200" s="613">
        <v>0.05</v>
      </c>
      <c r="F200" s="611">
        <f>supervisor</f>
        <v>119350.00000000001</v>
      </c>
      <c r="G200" s="611">
        <f>F200*E200</f>
        <v>5967.5000000000009</v>
      </c>
    </row>
    <row r="201" spans="1:10" ht="15.75" hidden="1" customHeight="1" outlineLevel="2">
      <c r="A201" s="613"/>
      <c r="B201" s="612"/>
      <c r="C201" s="613" t="s">
        <v>114</v>
      </c>
      <c r="D201" s="612"/>
      <c r="E201" s="613"/>
      <c r="F201" s="611"/>
      <c r="G201" s="611"/>
    </row>
    <row r="202" spans="1:10" ht="15.75" hidden="1" customHeight="1" outlineLevel="2">
      <c r="A202" s="613"/>
      <c r="B202" s="612"/>
      <c r="C202" s="613" t="s">
        <v>122</v>
      </c>
      <c r="D202" s="612" t="s">
        <v>72</v>
      </c>
      <c r="E202" s="613">
        <v>0.1</v>
      </c>
      <c r="F202" s="611">
        <f>stamper/8</f>
        <v>25954.500000000004</v>
      </c>
      <c r="G202" s="611">
        <f>F202*E202</f>
        <v>2595.4500000000007</v>
      </c>
    </row>
    <row r="203" spans="1:10" ht="15.75" hidden="1" customHeight="1" outlineLevel="2">
      <c r="A203" s="613"/>
      <c r="B203" s="612"/>
      <c r="C203" s="613"/>
      <c r="D203" s="612"/>
      <c r="E203" s="613"/>
      <c r="F203" s="611"/>
      <c r="G203" s="611"/>
    </row>
    <row r="204" spans="1:10" ht="15.75" customHeight="1" outlineLevel="1" collapsed="1">
      <c r="A204" s="613" t="s">
        <v>2074</v>
      </c>
      <c r="B204" s="612">
        <f>B197+1</f>
        <v>11</v>
      </c>
      <c r="C204" s="613" t="s">
        <v>1600</v>
      </c>
      <c r="D204" s="612" t="s">
        <v>40</v>
      </c>
      <c r="E204" s="613"/>
      <c r="F204" s="611"/>
      <c r="G204" s="611">
        <f>G209</f>
        <v>36767.500000000007</v>
      </c>
      <c r="I204" s="633" t="s">
        <v>107</v>
      </c>
      <c r="J204" s="633" t="s">
        <v>2069</v>
      </c>
    </row>
    <row r="205" spans="1:10" ht="15.75" hidden="1" customHeight="1" outlineLevel="2">
      <c r="A205" s="613"/>
      <c r="B205" s="612"/>
      <c r="C205" s="613"/>
      <c r="D205" s="612"/>
      <c r="E205" s="613"/>
      <c r="F205" s="611"/>
      <c r="G205" s="611"/>
    </row>
    <row r="206" spans="1:10" ht="15.75" hidden="1" customHeight="1" outlineLevel="2">
      <c r="A206" s="613"/>
      <c r="B206" s="612"/>
      <c r="C206" s="613" t="s">
        <v>78</v>
      </c>
      <c r="D206" s="612"/>
      <c r="E206" s="613"/>
      <c r="F206" s="611"/>
      <c r="G206" s="611"/>
    </row>
    <row r="207" spans="1:10" ht="15.75" hidden="1" customHeight="1" outlineLevel="2">
      <c r="A207" s="613"/>
      <c r="B207" s="612"/>
      <c r="C207" s="613" t="s">
        <v>32</v>
      </c>
      <c r="D207" s="612" t="s">
        <v>33</v>
      </c>
      <c r="E207" s="613">
        <v>0.33</v>
      </c>
      <c r="F207" s="611">
        <f>worker</f>
        <v>107800.00000000001</v>
      </c>
      <c r="G207" s="611">
        <f>F207*E207</f>
        <v>35574.000000000007</v>
      </c>
    </row>
    <row r="208" spans="1:10" ht="15.75" hidden="1" customHeight="1" outlineLevel="2">
      <c r="A208" s="613"/>
      <c r="B208" s="612"/>
      <c r="C208" s="613" t="s">
        <v>36</v>
      </c>
      <c r="D208" s="612" t="s">
        <v>33</v>
      </c>
      <c r="E208" s="613">
        <v>0.01</v>
      </c>
      <c r="F208" s="611">
        <f>supervisor</f>
        <v>119350.00000000001</v>
      </c>
      <c r="G208" s="611">
        <f>F208*E208</f>
        <v>1193.5000000000002</v>
      </c>
    </row>
    <row r="209" spans="1:10" ht="15.75" hidden="1" customHeight="1" outlineLevel="2">
      <c r="A209" s="613"/>
      <c r="B209" s="612"/>
      <c r="C209" s="613"/>
      <c r="D209" s="612"/>
      <c r="E209" s="613"/>
      <c r="F209" s="611"/>
      <c r="G209" s="611">
        <f>SUM(G207:G208)</f>
        <v>36767.500000000007</v>
      </c>
    </row>
    <row r="210" spans="1:10" ht="15.75" hidden="1" customHeight="1" outlineLevel="2">
      <c r="A210" s="613"/>
      <c r="B210" s="612"/>
      <c r="C210" s="613"/>
      <c r="D210" s="612"/>
      <c r="E210" s="613"/>
      <c r="F210" s="611"/>
      <c r="G210" s="611"/>
    </row>
    <row r="211" spans="1:10" ht="15.75" customHeight="1" outlineLevel="1" collapsed="1">
      <c r="A211" s="613" t="s">
        <v>2074</v>
      </c>
      <c r="B211" s="612">
        <f>B204+1</f>
        <v>12</v>
      </c>
      <c r="C211" s="613" t="s">
        <v>1598</v>
      </c>
      <c r="D211" s="612" t="s">
        <v>40</v>
      </c>
      <c r="E211" s="613"/>
      <c r="F211" s="611"/>
      <c r="G211" s="611">
        <f>G222</f>
        <v>668438.72958000016</v>
      </c>
      <c r="I211" s="633" t="s">
        <v>103</v>
      </c>
    </row>
    <row r="212" spans="1:10" ht="15.75" hidden="1" customHeight="1" outlineLevel="2">
      <c r="A212" s="613"/>
      <c r="B212" s="612"/>
      <c r="C212" s="613" t="s">
        <v>66</v>
      </c>
      <c r="D212" s="612"/>
      <c r="E212" s="613"/>
      <c r="F212" s="611"/>
      <c r="G212" s="611"/>
    </row>
    <row r="213" spans="1:10" ht="15.75" hidden="1" customHeight="1" outlineLevel="2">
      <c r="A213" s="613"/>
      <c r="B213" s="612"/>
      <c r="C213" s="613" t="s">
        <v>32</v>
      </c>
      <c r="D213" s="612" t="s">
        <v>67</v>
      </c>
      <c r="E213" s="613">
        <v>1.3599999999999999E-2</v>
      </c>
      <c r="F213" s="611">
        <f>worker/8</f>
        <v>13475.000000000002</v>
      </c>
      <c r="G213" s="611">
        <f>F213*E213</f>
        <v>183.26000000000002</v>
      </c>
    </row>
    <row r="214" spans="1:10" ht="15.75" hidden="1" customHeight="1" outlineLevel="2">
      <c r="A214" s="613"/>
      <c r="B214" s="612"/>
      <c r="C214" s="613" t="s">
        <v>68</v>
      </c>
      <c r="D214" s="612" t="s">
        <v>67</v>
      </c>
      <c r="E214" s="613">
        <v>6.7999999999999996E-3</v>
      </c>
      <c r="F214" s="611">
        <f>operator/8</f>
        <v>23989.350000000002</v>
      </c>
      <c r="G214" s="611">
        <f>F214*E214</f>
        <v>163.12757999999999</v>
      </c>
    </row>
    <row r="215" spans="1:10" ht="15.75" hidden="1" customHeight="1" outlineLevel="2">
      <c r="A215" s="613"/>
      <c r="B215" s="612"/>
      <c r="C215" s="613"/>
      <c r="D215" s="612"/>
      <c r="E215" s="613"/>
      <c r="F215" s="611"/>
      <c r="G215" s="611"/>
    </row>
    <row r="216" spans="1:10" ht="15.75" hidden="1" customHeight="1" outlineLevel="2">
      <c r="A216" s="613"/>
      <c r="B216" s="612"/>
      <c r="C216" s="613" t="s">
        <v>70</v>
      </c>
      <c r="D216" s="612"/>
      <c r="E216" s="613"/>
      <c r="F216" s="611"/>
      <c r="G216" s="611"/>
    </row>
    <row r="217" spans="1:10" ht="12.75" hidden="1" outlineLevel="2">
      <c r="A217" s="613"/>
      <c r="B217" s="612"/>
      <c r="C217" s="613" t="s">
        <v>105</v>
      </c>
      <c r="D217" s="612" t="s">
        <v>72</v>
      </c>
      <c r="E217" s="613">
        <v>0.55000000000000004</v>
      </c>
      <c r="F217" s="611">
        <f>dump_truck_5m3</f>
        <v>1161622.4400000002</v>
      </c>
      <c r="G217" s="611">
        <f>F217*E217</f>
        <v>638892.34200000018</v>
      </c>
    </row>
    <row r="218" spans="1:10" ht="15.75" hidden="1" customHeight="1" outlineLevel="2">
      <c r="A218" s="613"/>
      <c r="B218" s="612"/>
      <c r="C218" s="613" t="s">
        <v>73</v>
      </c>
      <c r="D218" s="612" t="s">
        <v>74</v>
      </c>
      <c r="E218" s="613">
        <v>1</v>
      </c>
      <c r="F218" s="611">
        <v>5000</v>
      </c>
      <c r="G218" s="611">
        <f>F218*E218</f>
        <v>5000</v>
      </c>
    </row>
    <row r="219" spans="1:10" ht="15.75" hidden="1" customHeight="1" outlineLevel="2">
      <c r="A219" s="613"/>
      <c r="B219" s="612"/>
      <c r="C219" s="613"/>
      <c r="D219" s="612"/>
      <c r="E219" s="613"/>
      <c r="F219" s="611"/>
      <c r="G219" s="611"/>
    </row>
    <row r="220" spans="1:10" ht="15.75" hidden="1" customHeight="1" outlineLevel="2">
      <c r="A220" s="613"/>
      <c r="B220" s="612"/>
      <c r="C220" s="613" t="s">
        <v>75</v>
      </c>
      <c r="D220" s="612"/>
      <c r="E220" s="613"/>
      <c r="F220" s="611"/>
      <c r="G220" s="611"/>
    </row>
    <row r="221" spans="1:10" ht="15.75" hidden="1" customHeight="1" outlineLevel="2">
      <c r="A221" s="613"/>
      <c r="B221" s="612"/>
      <c r="C221" s="613" t="s">
        <v>76</v>
      </c>
      <c r="D221" s="612" t="s">
        <v>77</v>
      </c>
      <c r="E221" s="613">
        <v>2</v>
      </c>
      <c r="F221" s="611">
        <f>bbm</f>
        <v>12100.000000000002</v>
      </c>
      <c r="G221" s="611">
        <f>F221*E221</f>
        <v>24200.000000000004</v>
      </c>
      <c r="J221" s="633">
        <f>14285.71/4179.23</f>
        <v>3.4182636514381839</v>
      </c>
    </row>
    <row r="222" spans="1:10" ht="15.75" hidden="1" customHeight="1" outlineLevel="2">
      <c r="A222" s="613"/>
      <c r="B222" s="612"/>
      <c r="C222" s="613"/>
      <c r="D222" s="612"/>
      <c r="E222" s="613"/>
      <c r="F222" s="611"/>
      <c r="G222" s="611">
        <f>SUM(G213:G221)</f>
        <v>668438.72958000016</v>
      </c>
    </row>
    <row r="223" spans="1:10" ht="15.75" hidden="1" customHeight="1" outlineLevel="2">
      <c r="A223" s="613"/>
      <c r="B223" s="612"/>
      <c r="C223" s="613"/>
      <c r="D223" s="612"/>
      <c r="E223" s="613"/>
      <c r="F223" s="611"/>
      <c r="G223" s="611"/>
    </row>
    <row r="224" spans="1:10" ht="15.75" customHeight="1" outlineLevel="1" collapsed="1">
      <c r="A224" s="613" t="s">
        <v>2074</v>
      </c>
      <c r="B224" s="612">
        <f>B211+1</f>
        <v>13</v>
      </c>
      <c r="C224" s="613" t="s">
        <v>1599</v>
      </c>
      <c r="D224" s="612" t="s">
        <v>40</v>
      </c>
      <c r="E224" s="613"/>
      <c r="F224" s="611"/>
      <c r="G224" s="611">
        <f>G231</f>
        <v>238265.5</v>
      </c>
      <c r="I224" s="633" t="s">
        <v>108</v>
      </c>
    </row>
    <row r="225" spans="1:9" ht="15.75" hidden="1" customHeight="1" outlineLevel="2">
      <c r="A225" s="613"/>
      <c r="B225" s="612"/>
      <c r="C225" s="613" t="s">
        <v>20</v>
      </c>
      <c r="D225" s="612"/>
      <c r="E225" s="613"/>
      <c r="F225" s="611"/>
      <c r="G225" s="611"/>
    </row>
    <row r="226" spans="1:9" ht="15.75" hidden="1" customHeight="1" outlineLevel="2">
      <c r="A226" s="613"/>
      <c r="B226" s="612"/>
      <c r="C226" s="613" t="s">
        <v>109</v>
      </c>
      <c r="D226" s="612" t="s">
        <v>4288</v>
      </c>
      <c r="E226" s="613">
        <v>1.2</v>
      </c>
      <c r="F226" s="611">
        <f>sand_urug</f>
        <v>170610</v>
      </c>
      <c r="G226" s="611">
        <f>F226*E226</f>
        <v>204732</v>
      </c>
    </row>
    <row r="227" spans="1:9" ht="15.75" hidden="1" customHeight="1" outlineLevel="2">
      <c r="A227" s="613"/>
      <c r="B227" s="612"/>
      <c r="C227" s="613"/>
      <c r="D227" s="612"/>
      <c r="E227" s="613"/>
      <c r="F227" s="611"/>
      <c r="G227" s="611"/>
    </row>
    <row r="228" spans="1:9" ht="15.75" hidden="1" customHeight="1" outlineLevel="2">
      <c r="A228" s="613"/>
      <c r="B228" s="612"/>
      <c r="C228" s="613" t="s">
        <v>31</v>
      </c>
      <c r="D228" s="612"/>
      <c r="E228" s="613"/>
      <c r="F228" s="611"/>
      <c r="G228" s="611"/>
    </row>
    <row r="229" spans="1:9" ht="15.75" hidden="1" customHeight="1" outlineLevel="2">
      <c r="A229" s="613"/>
      <c r="B229" s="612"/>
      <c r="C229" s="613" t="s">
        <v>32</v>
      </c>
      <c r="D229" s="612" t="s">
        <v>33</v>
      </c>
      <c r="E229" s="613">
        <v>0.3</v>
      </c>
      <c r="F229" s="611">
        <f>worker</f>
        <v>107800.00000000001</v>
      </c>
      <c r="G229" s="611">
        <f>F229*E229</f>
        <v>32340.000000000004</v>
      </c>
    </row>
    <row r="230" spans="1:9" ht="15.75" hidden="1" customHeight="1" outlineLevel="2">
      <c r="A230" s="613"/>
      <c r="B230" s="612"/>
      <c r="C230" s="613" t="s">
        <v>36</v>
      </c>
      <c r="D230" s="612" t="s">
        <v>33</v>
      </c>
      <c r="E230" s="613">
        <v>0.01</v>
      </c>
      <c r="F230" s="611">
        <f>supervisor</f>
        <v>119350.00000000001</v>
      </c>
      <c r="G230" s="611">
        <f>F230*E230</f>
        <v>1193.5000000000002</v>
      </c>
    </row>
    <row r="231" spans="1:9" ht="15.75" hidden="1" customHeight="1" outlineLevel="2">
      <c r="A231" s="613"/>
      <c r="B231" s="612"/>
      <c r="C231" s="613"/>
      <c r="D231" s="612"/>
      <c r="E231" s="613"/>
      <c r="F231" s="611"/>
      <c r="G231" s="611">
        <f>SUM(G226:G230)</f>
        <v>238265.5</v>
      </c>
    </row>
    <row r="232" spans="1:9" ht="15.75" customHeight="1" outlineLevel="1" collapsed="1">
      <c r="A232" s="613" t="s">
        <v>2074</v>
      </c>
      <c r="B232" s="612">
        <f>B224+1</f>
        <v>14</v>
      </c>
      <c r="C232" s="613" t="s">
        <v>1601</v>
      </c>
      <c r="D232" s="612" t="s">
        <v>40</v>
      </c>
      <c r="E232" s="613"/>
      <c r="F232" s="611"/>
      <c r="G232" s="611">
        <f>G239</f>
        <v>375809.5</v>
      </c>
      <c r="I232" s="633" t="s">
        <v>108</v>
      </c>
    </row>
    <row r="233" spans="1:9" ht="15.75" hidden="1" customHeight="1" outlineLevel="2">
      <c r="A233" s="613"/>
      <c r="B233" s="612"/>
      <c r="C233" s="613" t="s">
        <v>20</v>
      </c>
      <c r="D233" s="612"/>
      <c r="E233" s="613"/>
      <c r="F233" s="611"/>
      <c r="G233" s="611"/>
    </row>
    <row r="234" spans="1:9" ht="15.75" hidden="1" customHeight="1" outlineLevel="2">
      <c r="A234" s="613"/>
      <c r="B234" s="612"/>
      <c r="C234" s="613" t="s">
        <v>863</v>
      </c>
      <c r="D234" s="612" t="s">
        <v>4288</v>
      </c>
      <c r="E234" s="613">
        <v>1.2</v>
      </c>
      <c r="F234" s="611">
        <f>tanah_humus</f>
        <v>285230</v>
      </c>
      <c r="G234" s="611">
        <f>F234*E234</f>
        <v>342276</v>
      </c>
    </row>
    <row r="235" spans="1:9" ht="15.75" hidden="1" customHeight="1" outlineLevel="2">
      <c r="A235" s="613"/>
      <c r="B235" s="612"/>
      <c r="C235" s="613"/>
      <c r="D235" s="612"/>
      <c r="E235" s="613"/>
      <c r="F235" s="611"/>
      <c r="G235" s="611"/>
    </row>
    <row r="236" spans="1:9" ht="15.75" hidden="1" customHeight="1" outlineLevel="2">
      <c r="A236" s="613"/>
      <c r="B236" s="612"/>
      <c r="C236" s="613" t="s">
        <v>31</v>
      </c>
      <c r="D236" s="612"/>
      <c r="E236" s="613"/>
      <c r="F236" s="611"/>
      <c r="G236" s="611"/>
    </row>
    <row r="237" spans="1:9" ht="15.75" hidden="1" customHeight="1" outlineLevel="2">
      <c r="A237" s="613"/>
      <c r="B237" s="612"/>
      <c r="C237" s="613" t="s">
        <v>32</v>
      </c>
      <c r="D237" s="612" t="s">
        <v>33</v>
      </c>
      <c r="E237" s="613">
        <v>0.3</v>
      </c>
      <c r="F237" s="611">
        <f>worker</f>
        <v>107800.00000000001</v>
      </c>
      <c r="G237" s="611">
        <f>F237*E237</f>
        <v>32340.000000000004</v>
      </c>
    </row>
    <row r="238" spans="1:9" ht="15.75" hidden="1" customHeight="1" outlineLevel="2">
      <c r="A238" s="613"/>
      <c r="B238" s="612"/>
      <c r="C238" s="613" t="s">
        <v>36</v>
      </c>
      <c r="D238" s="612" t="s">
        <v>33</v>
      </c>
      <c r="E238" s="613">
        <v>0.01</v>
      </c>
      <c r="F238" s="611">
        <f>supervisor</f>
        <v>119350.00000000001</v>
      </c>
      <c r="G238" s="611">
        <f>F238*E238</f>
        <v>1193.5000000000002</v>
      </c>
    </row>
    <row r="239" spans="1:9" ht="15.75" hidden="1" customHeight="1" outlineLevel="2">
      <c r="A239" s="613"/>
      <c r="B239" s="612"/>
      <c r="C239" s="613"/>
      <c r="D239" s="612"/>
      <c r="E239" s="613"/>
      <c r="F239" s="611"/>
      <c r="G239" s="611">
        <f>SUM(G234:G238)</f>
        <v>375809.5</v>
      </c>
    </row>
    <row r="240" spans="1:9" ht="15.75" customHeight="1" outlineLevel="1" collapsed="1">
      <c r="A240" s="613" t="s">
        <v>2074</v>
      </c>
      <c r="B240" s="612">
        <f>B232+1</f>
        <v>15</v>
      </c>
      <c r="C240" s="613" t="s">
        <v>1602</v>
      </c>
      <c r="D240" s="612" t="s">
        <v>40</v>
      </c>
      <c r="E240" s="613"/>
      <c r="F240" s="611"/>
      <c r="G240" s="611">
        <f>G254</f>
        <v>797528.16969100002</v>
      </c>
      <c r="I240" s="633" t="s">
        <v>110</v>
      </c>
    </row>
    <row r="241" spans="1:10" ht="15.75" hidden="1" customHeight="1" outlineLevel="2">
      <c r="A241" s="613"/>
      <c r="B241" s="612"/>
      <c r="C241" s="613" t="s">
        <v>20</v>
      </c>
      <c r="D241" s="612"/>
      <c r="E241" s="613"/>
      <c r="F241" s="611"/>
      <c r="G241" s="611"/>
    </row>
    <row r="242" spans="1:10" ht="15.75" hidden="1" customHeight="1" outlineLevel="2">
      <c r="A242" s="613"/>
      <c r="B242" s="612"/>
      <c r="C242" s="613" t="s">
        <v>111</v>
      </c>
      <c r="D242" s="612" t="s">
        <v>4288</v>
      </c>
      <c r="E242" s="613">
        <v>1.2</v>
      </c>
      <c r="F242" s="611">
        <f>soil</f>
        <v>137500</v>
      </c>
      <c r="G242" s="611">
        <f>F242*E242</f>
        <v>165000</v>
      </c>
    </row>
    <row r="243" spans="1:10" ht="15.75" hidden="1" customHeight="1" outlineLevel="2">
      <c r="A243" s="613"/>
      <c r="B243" s="612"/>
      <c r="C243" s="613" t="s">
        <v>112</v>
      </c>
      <c r="D243" s="612" t="s">
        <v>57</v>
      </c>
      <c r="E243" s="613">
        <v>2</v>
      </c>
      <c r="F243" s="611">
        <f>bbm</f>
        <v>12100.000000000002</v>
      </c>
      <c r="G243" s="611">
        <f>F243*E243</f>
        <v>24200.000000000004</v>
      </c>
    </row>
    <row r="244" spans="1:10" ht="15.75" hidden="1" customHeight="1" outlineLevel="2">
      <c r="A244" s="613"/>
      <c r="B244" s="612"/>
      <c r="C244" s="613"/>
      <c r="D244" s="612"/>
      <c r="E244" s="613"/>
      <c r="F244" s="611"/>
      <c r="G244" s="611"/>
    </row>
    <row r="245" spans="1:10" ht="15.75" hidden="1" customHeight="1" outlineLevel="2">
      <c r="A245" s="613"/>
      <c r="B245" s="612"/>
      <c r="C245" s="613" t="s">
        <v>31</v>
      </c>
      <c r="D245" s="612"/>
      <c r="E245" s="613"/>
      <c r="F245" s="611"/>
      <c r="G245" s="611"/>
    </row>
    <row r="246" spans="1:10" ht="15.75" hidden="1" customHeight="1" outlineLevel="2">
      <c r="A246" s="613"/>
      <c r="B246" s="612"/>
      <c r="C246" s="613" t="s">
        <v>32</v>
      </c>
      <c r="D246" s="612" t="s">
        <v>67</v>
      </c>
      <c r="E246" s="613">
        <v>4.3499999999999997E-2</v>
      </c>
      <c r="F246" s="611">
        <f>worker/8</f>
        <v>13475.000000000002</v>
      </c>
      <c r="G246" s="611">
        <f>F246*E246</f>
        <v>586.16250000000002</v>
      </c>
    </row>
    <row r="247" spans="1:10" ht="15.75" hidden="1" customHeight="1" outlineLevel="2">
      <c r="A247" s="613"/>
      <c r="B247" s="612"/>
      <c r="C247" s="613" t="s">
        <v>113</v>
      </c>
      <c r="D247" s="612" t="s">
        <v>67</v>
      </c>
      <c r="E247" s="613">
        <v>1.09E-2</v>
      </c>
      <c r="F247" s="611">
        <f>operator/8</f>
        <v>23989.350000000002</v>
      </c>
      <c r="G247" s="611">
        <f>F247*E247</f>
        <v>261.48391500000002</v>
      </c>
    </row>
    <row r="248" spans="1:10" ht="15.75" hidden="1" customHeight="1" outlineLevel="2">
      <c r="A248" s="613"/>
      <c r="B248" s="612"/>
      <c r="C248" s="613"/>
      <c r="D248" s="612"/>
      <c r="E248" s="613"/>
      <c r="F248" s="611"/>
      <c r="G248" s="611"/>
    </row>
    <row r="249" spans="1:10" ht="15.75" hidden="1" customHeight="1" outlineLevel="2">
      <c r="A249" s="613"/>
      <c r="B249" s="612"/>
      <c r="C249" s="613" t="s">
        <v>114</v>
      </c>
      <c r="D249" s="612"/>
      <c r="E249" s="613"/>
      <c r="F249" s="611"/>
      <c r="G249" s="611"/>
    </row>
    <row r="250" spans="1:10" ht="15.75" hidden="1" customHeight="1" outlineLevel="2">
      <c r="A250" s="613"/>
      <c r="B250" s="612"/>
      <c r="C250" s="613" t="s">
        <v>115</v>
      </c>
      <c r="D250" s="612" t="s">
        <v>72</v>
      </c>
      <c r="E250" s="613">
        <v>1.09E-2</v>
      </c>
      <c r="F250" s="611">
        <f>excavator_0.8m3</f>
        <v>704803</v>
      </c>
      <c r="G250" s="611">
        <f>F250*E250</f>
        <v>7682.3527000000004</v>
      </c>
    </row>
    <row r="251" spans="1:10" ht="15.75" hidden="1" customHeight="1" outlineLevel="2">
      <c r="A251" s="613"/>
      <c r="B251" s="612"/>
      <c r="C251" s="613" t="s">
        <v>116</v>
      </c>
      <c r="D251" s="612" t="s">
        <v>72</v>
      </c>
      <c r="E251" s="613">
        <v>0.51429999999999998</v>
      </c>
      <c r="F251" s="611">
        <f>dump_truck_5m3</f>
        <v>1161622.4400000002</v>
      </c>
      <c r="G251" s="611">
        <f>F251*E251</f>
        <v>597422.42089200008</v>
      </c>
    </row>
    <row r="252" spans="1:10" ht="15.75" hidden="1" customHeight="1" outlineLevel="2">
      <c r="A252" s="613"/>
      <c r="B252" s="612"/>
      <c r="C252" s="613" t="s">
        <v>117</v>
      </c>
      <c r="D252" s="612" t="s">
        <v>72</v>
      </c>
      <c r="E252" s="613">
        <v>4.1999999999999997E-3</v>
      </c>
      <c r="F252" s="611">
        <f>vibro_roller/5</f>
        <v>91237.52</v>
      </c>
      <c r="G252" s="611">
        <f>F252*E252</f>
        <v>383.19758400000001</v>
      </c>
    </row>
    <row r="253" spans="1:10" ht="15.75" hidden="1" customHeight="1" outlineLevel="2">
      <c r="A253" s="613"/>
      <c r="B253" s="612"/>
      <c r="C253" s="613" t="s">
        <v>118</v>
      </c>
      <c r="D253" s="612" t="s">
        <v>72</v>
      </c>
      <c r="E253" s="613">
        <v>7.0000000000000001E-3</v>
      </c>
      <c r="F253" s="611">
        <f>water_truck_2jam_hari</f>
        <v>284650.30000000005</v>
      </c>
      <c r="G253" s="611">
        <f>F253*E253</f>
        <v>1992.5521000000003</v>
      </c>
    </row>
    <row r="254" spans="1:10" ht="15.75" hidden="1" customHeight="1" outlineLevel="2">
      <c r="A254" s="613"/>
      <c r="B254" s="612"/>
      <c r="C254" s="613"/>
      <c r="D254" s="612"/>
      <c r="E254" s="613"/>
      <c r="F254" s="611"/>
      <c r="G254" s="611">
        <f>SUM(G242:G253)</f>
        <v>797528.16969100002</v>
      </c>
    </row>
    <row r="255" spans="1:10" ht="15.75" hidden="1" customHeight="1" outlineLevel="2">
      <c r="A255" s="613"/>
      <c r="B255" s="612"/>
      <c r="C255" s="613"/>
      <c r="D255" s="612"/>
      <c r="E255" s="613"/>
      <c r="F255" s="611"/>
      <c r="G255" s="611"/>
    </row>
    <row r="256" spans="1:10" ht="15.75" customHeight="1" outlineLevel="1" collapsed="1">
      <c r="A256" s="613" t="s">
        <v>2074</v>
      </c>
      <c r="B256" s="592">
        <f>B240+1</f>
        <v>16</v>
      </c>
      <c r="C256" s="613" t="s">
        <v>1603</v>
      </c>
      <c r="D256" s="612" t="s">
        <v>40</v>
      </c>
      <c r="E256" s="613"/>
      <c r="F256" s="611"/>
      <c r="G256" s="611">
        <f>G266</f>
        <v>404738.95</v>
      </c>
      <c r="I256" s="633" t="s">
        <v>119</v>
      </c>
      <c r="J256" s="633" t="s">
        <v>2071</v>
      </c>
    </row>
    <row r="257" spans="1:10" ht="15.75" hidden="1" customHeight="1" outlineLevel="2">
      <c r="A257" s="613"/>
      <c r="B257" s="612"/>
      <c r="C257" s="613" t="s">
        <v>20</v>
      </c>
      <c r="D257" s="612"/>
      <c r="E257" s="613"/>
      <c r="F257" s="611"/>
      <c r="G257" s="611"/>
      <c r="I257" s="633" t="s">
        <v>120</v>
      </c>
    </row>
    <row r="258" spans="1:10" ht="15.75" hidden="1" customHeight="1" outlineLevel="2">
      <c r="A258" s="613"/>
      <c r="B258" s="612"/>
      <c r="C258" s="613" t="s">
        <v>121</v>
      </c>
      <c r="D258" s="612" t="s">
        <v>4288</v>
      </c>
      <c r="E258" s="613">
        <v>1.2</v>
      </c>
      <c r="F258" s="611">
        <f>sand</f>
        <v>285230</v>
      </c>
      <c r="G258" s="611">
        <f>F258*E258</f>
        <v>342276</v>
      </c>
    </row>
    <row r="259" spans="1:10" ht="15.75" hidden="1" customHeight="1" outlineLevel="2">
      <c r="A259" s="613"/>
      <c r="B259" s="612"/>
      <c r="C259" s="613"/>
      <c r="D259" s="612"/>
      <c r="E259" s="613"/>
      <c r="F259" s="611"/>
      <c r="G259" s="611"/>
    </row>
    <row r="260" spans="1:10" ht="15.75" hidden="1" customHeight="1" outlineLevel="2">
      <c r="A260" s="613"/>
      <c r="B260" s="612"/>
      <c r="C260" s="613" t="s">
        <v>114</v>
      </c>
      <c r="D260" s="612"/>
      <c r="E260" s="613"/>
      <c r="F260" s="611"/>
      <c r="G260" s="611"/>
    </row>
    <row r="261" spans="1:10" ht="15.75" hidden="1" customHeight="1" outlineLevel="2">
      <c r="A261" s="613"/>
      <c r="B261" s="612"/>
      <c r="C261" s="613" t="s">
        <v>122</v>
      </c>
      <c r="D261" s="612" t="s">
        <v>72</v>
      </c>
      <c r="E261" s="613">
        <v>0.1</v>
      </c>
      <c r="F261" s="611">
        <f>stamper/8</f>
        <v>25954.500000000004</v>
      </c>
      <c r="G261" s="611">
        <f>F261*E261</f>
        <v>2595.4500000000007</v>
      </c>
    </row>
    <row r="262" spans="1:10" ht="15.75" hidden="1" customHeight="1" outlineLevel="2">
      <c r="A262" s="613"/>
      <c r="B262" s="612"/>
      <c r="C262" s="613"/>
      <c r="D262" s="612"/>
      <c r="E262" s="613"/>
      <c r="F262" s="611"/>
      <c r="G262" s="611"/>
    </row>
    <row r="263" spans="1:10" ht="15.75" hidden="1" customHeight="1" outlineLevel="2">
      <c r="A263" s="613"/>
      <c r="B263" s="612"/>
      <c r="C263" s="613" t="s">
        <v>31</v>
      </c>
      <c r="D263" s="612"/>
      <c r="E263" s="613"/>
      <c r="F263" s="611"/>
      <c r="G263" s="611"/>
    </row>
    <row r="264" spans="1:10" ht="15.75" hidden="1" customHeight="1" outlineLevel="2">
      <c r="A264" s="613"/>
      <c r="B264" s="612"/>
      <c r="C264" s="613" t="s">
        <v>32</v>
      </c>
      <c r="D264" s="612" t="s">
        <v>33</v>
      </c>
      <c r="E264" s="613">
        <f>0.4+0.1</f>
        <v>0.5</v>
      </c>
      <c r="F264" s="611">
        <f>worker</f>
        <v>107800.00000000001</v>
      </c>
      <c r="G264" s="611">
        <f>F264*E264</f>
        <v>53900.000000000007</v>
      </c>
    </row>
    <row r="265" spans="1:10" ht="15.75" hidden="1" customHeight="1" outlineLevel="2">
      <c r="A265" s="613"/>
      <c r="B265" s="612"/>
      <c r="C265" s="613" t="s">
        <v>1067</v>
      </c>
      <c r="D265" s="612" t="s">
        <v>33</v>
      </c>
      <c r="E265" s="613">
        <f>0.04+0.01</f>
        <v>0.05</v>
      </c>
      <c r="F265" s="611">
        <f>supervisor</f>
        <v>119350.00000000001</v>
      </c>
      <c r="G265" s="611">
        <f>F265*E265</f>
        <v>5967.5000000000009</v>
      </c>
    </row>
    <row r="266" spans="1:10" ht="15.75" hidden="1" customHeight="1" outlineLevel="2">
      <c r="A266" s="613"/>
      <c r="B266" s="612"/>
      <c r="C266" s="613"/>
      <c r="D266" s="612"/>
      <c r="E266" s="613"/>
      <c r="F266" s="611"/>
      <c r="G266" s="611">
        <f>SUM(G258:G265)</f>
        <v>404738.95</v>
      </c>
    </row>
    <row r="267" spans="1:10" ht="15.75" hidden="1" customHeight="1" outlineLevel="2">
      <c r="A267" s="613"/>
      <c r="B267" s="612"/>
      <c r="C267" s="613" t="s">
        <v>4292</v>
      </c>
      <c r="D267" s="612"/>
      <c r="E267" s="613"/>
      <c r="F267" s="611"/>
      <c r="G267" s="611">
        <f>SUM(G258:G265)*0.1</f>
        <v>40473.895000000004</v>
      </c>
    </row>
    <row r="268" spans="1:10" ht="15.75" hidden="1" customHeight="1" outlineLevel="2">
      <c r="A268" s="613"/>
      <c r="B268" s="612"/>
      <c r="C268" s="613" t="s">
        <v>4293</v>
      </c>
      <c r="D268" s="612"/>
      <c r="E268" s="613"/>
      <c r="F268" s="611"/>
      <c r="G268" s="611">
        <f>SUM(G259:G266)*0.05</f>
        <v>23360.095000000001</v>
      </c>
    </row>
    <row r="269" spans="1:10" ht="15.75" hidden="1" customHeight="1" outlineLevel="2">
      <c r="A269" s="613"/>
      <c r="B269" s="612"/>
      <c r="C269" s="613"/>
      <c r="D269" s="612"/>
      <c r="E269" s="613"/>
      <c r="F269" s="611"/>
      <c r="G269" s="611"/>
    </row>
    <row r="270" spans="1:10" ht="15.75" customHeight="1" outlineLevel="1" collapsed="1">
      <c r="A270" s="613" t="s">
        <v>2074</v>
      </c>
      <c r="B270" s="612">
        <f>B256+1</f>
        <v>17</v>
      </c>
      <c r="C270" s="613" t="s">
        <v>854</v>
      </c>
      <c r="D270" s="612" t="s">
        <v>40</v>
      </c>
      <c r="E270" s="613"/>
      <c r="F270" s="611"/>
      <c r="G270" s="611">
        <f>G280</f>
        <v>227462.95</v>
      </c>
      <c r="I270" s="633" t="s">
        <v>119</v>
      </c>
      <c r="J270" s="633" t="s">
        <v>120</v>
      </c>
    </row>
    <row r="271" spans="1:10" ht="15.75" hidden="1" customHeight="1" outlineLevel="2">
      <c r="A271" s="613"/>
      <c r="B271" s="612"/>
      <c r="C271" s="613" t="s">
        <v>20</v>
      </c>
      <c r="D271" s="612"/>
      <c r="E271" s="613"/>
      <c r="F271" s="611"/>
      <c r="G271" s="611"/>
    </row>
    <row r="272" spans="1:10" ht="15.75" hidden="1" customHeight="1" outlineLevel="2">
      <c r="A272" s="613"/>
      <c r="B272" s="612"/>
      <c r="C272" s="613" t="s">
        <v>111</v>
      </c>
      <c r="D272" s="612" t="s">
        <v>4288</v>
      </c>
      <c r="E272" s="613">
        <v>1.2</v>
      </c>
      <c r="F272" s="611">
        <f>soil</f>
        <v>137500</v>
      </c>
      <c r="G272" s="611">
        <f>F272*E272</f>
        <v>165000</v>
      </c>
    </row>
    <row r="273" spans="1:9" ht="15.75" hidden="1" customHeight="1" outlineLevel="2">
      <c r="A273" s="613"/>
      <c r="B273" s="612"/>
      <c r="C273" s="613"/>
      <c r="D273" s="612"/>
      <c r="E273" s="613"/>
      <c r="F273" s="611"/>
      <c r="G273" s="611"/>
    </row>
    <row r="274" spans="1:9" ht="15.75" hidden="1" customHeight="1" outlineLevel="2">
      <c r="A274" s="613"/>
      <c r="B274" s="612"/>
      <c r="C274" s="613" t="s">
        <v>114</v>
      </c>
      <c r="D274" s="612"/>
      <c r="E274" s="613"/>
      <c r="F274" s="611"/>
      <c r="G274" s="611"/>
    </row>
    <row r="275" spans="1:9" ht="15.75" hidden="1" customHeight="1" outlineLevel="2">
      <c r="A275" s="613"/>
      <c r="B275" s="612"/>
      <c r="C275" s="613" t="s">
        <v>122</v>
      </c>
      <c r="D275" s="612" t="s">
        <v>72</v>
      </c>
      <c r="E275" s="613">
        <v>0.1</v>
      </c>
      <c r="F275" s="611">
        <f>stamper/8</f>
        <v>25954.500000000004</v>
      </c>
      <c r="G275" s="611">
        <f>F275*E275</f>
        <v>2595.4500000000007</v>
      </c>
    </row>
    <row r="276" spans="1:9" ht="15.75" hidden="1" customHeight="1" outlineLevel="2">
      <c r="A276" s="613"/>
      <c r="B276" s="612"/>
      <c r="C276" s="613"/>
      <c r="D276" s="612"/>
      <c r="E276" s="613"/>
      <c r="F276" s="611"/>
      <c r="G276" s="611"/>
    </row>
    <row r="277" spans="1:9" ht="15.75" hidden="1" customHeight="1" outlineLevel="2">
      <c r="A277" s="613"/>
      <c r="B277" s="612"/>
      <c r="C277" s="613" t="s">
        <v>31</v>
      </c>
      <c r="D277" s="612"/>
      <c r="E277" s="613"/>
      <c r="F277" s="611"/>
      <c r="G277" s="611"/>
    </row>
    <row r="278" spans="1:9" ht="15.75" hidden="1" customHeight="1" outlineLevel="2">
      <c r="A278" s="613"/>
      <c r="B278" s="612"/>
      <c r="C278" s="613" t="s">
        <v>32</v>
      </c>
      <c r="D278" s="612" t="s">
        <v>33</v>
      </c>
      <c r="E278" s="613">
        <f>0.4+0.1</f>
        <v>0.5</v>
      </c>
      <c r="F278" s="611">
        <f>worker</f>
        <v>107800.00000000001</v>
      </c>
      <c r="G278" s="611">
        <f>F278*E278</f>
        <v>53900.000000000007</v>
      </c>
    </row>
    <row r="279" spans="1:9" ht="15.75" hidden="1" customHeight="1" outlineLevel="2">
      <c r="A279" s="613"/>
      <c r="B279" s="612"/>
      <c r="C279" s="613" t="s">
        <v>36</v>
      </c>
      <c r="D279" s="612" t="s">
        <v>33</v>
      </c>
      <c r="E279" s="613">
        <f>0.04+0.01</f>
        <v>0.05</v>
      </c>
      <c r="F279" s="611">
        <f>supervisor</f>
        <v>119350.00000000001</v>
      </c>
      <c r="G279" s="611">
        <f>F279*E279</f>
        <v>5967.5000000000009</v>
      </c>
    </row>
    <row r="280" spans="1:9" ht="15.75" hidden="1" customHeight="1" outlineLevel="2">
      <c r="A280" s="613"/>
      <c r="B280" s="612"/>
      <c r="C280" s="613"/>
      <c r="D280" s="612"/>
      <c r="E280" s="613"/>
      <c r="F280" s="611"/>
      <c r="G280" s="611">
        <f>SUM(G272:G279)</f>
        <v>227462.95</v>
      </c>
    </row>
    <row r="281" spans="1:9" ht="15.75" hidden="1" customHeight="1" outlineLevel="2">
      <c r="A281" s="613"/>
      <c r="B281" s="612"/>
      <c r="C281" s="613" t="s">
        <v>4292</v>
      </c>
      <c r="D281" s="612"/>
      <c r="E281" s="613"/>
      <c r="F281" s="611"/>
      <c r="G281" s="611">
        <f>SUM(G272:G279)*0.1</f>
        <v>22746.295000000002</v>
      </c>
    </row>
    <row r="282" spans="1:9" ht="15.75" hidden="1" customHeight="1" outlineLevel="2">
      <c r="A282" s="613"/>
      <c r="B282" s="612"/>
      <c r="C282" s="613" t="s">
        <v>4293</v>
      </c>
      <c r="D282" s="612"/>
      <c r="E282" s="613"/>
      <c r="F282" s="611"/>
      <c r="G282" s="611">
        <f>SUM(G273:G280)*0.05</f>
        <v>14496.295000000002</v>
      </c>
    </row>
    <row r="283" spans="1:9" ht="15.75" hidden="1" customHeight="1" outlineLevel="2">
      <c r="A283" s="613"/>
      <c r="B283" s="612"/>
      <c r="C283" s="613"/>
      <c r="D283" s="612"/>
      <c r="E283" s="613"/>
      <c r="F283" s="611"/>
      <c r="G283" s="611"/>
    </row>
    <row r="284" spans="1:9" ht="15.75" customHeight="1" outlineLevel="1" collapsed="1">
      <c r="A284" s="613" t="s">
        <v>2074</v>
      </c>
      <c r="B284" s="612">
        <f>B270+1</f>
        <v>18</v>
      </c>
      <c r="C284" s="613" t="s">
        <v>1604</v>
      </c>
      <c r="D284" s="612" t="s">
        <v>40</v>
      </c>
      <c r="E284" s="613"/>
      <c r="F284" s="611"/>
      <c r="G284" s="611">
        <f>G290</f>
        <v>302703.5</v>
      </c>
    </row>
    <row r="285" spans="1:9" ht="15.75" hidden="1" customHeight="1" outlineLevel="2">
      <c r="A285" s="613"/>
      <c r="B285" s="612"/>
      <c r="C285" s="613" t="s">
        <v>20</v>
      </c>
      <c r="D285" s="612"/>
      <c r="E285" s="613"/>
      <c r="F285" s="611"/>
      <c r="G285" s="611"/>
    </row>
    <row r="286" spans="1:9" ht="15.75" hidden="1" customHeight="1" outlineLevel="2">
      <c r="A286" s="613"/>
      <c r="B286" s="612"/>
      <c r="C286" s="613" t="s">
        <v>123</v>
      </c>
      <c r="D286" s="612" t="s">
        <v>4288</v>
      </c>
      <c r="E286" s="613">
        <v>1</v>
      </c>
      <c r="F286" s="611">
        <f>split_3.5</f>
        <v>269170</v>
      </c>
      <c r="G286" s="611">
        <f>F286*E286</f>
        <v>269170</v>
      </c>
    </row>
    <row r="287" spans="1:9" ht="15.75" hidden="1" customHeight="1" outlineLevel="2">
      <c r="A287" s="613"/>
      <c r="B287" s="612"/>
      <c r="C287" s="613" t="s">
        <v>31</v>
      </c>
      <c r="D287" s="612"/>
      <c r="E287" s="613"/>
      <c r="F287" s="611"/>
      <c r="G287" s="611"/>
      <c r="I287" s="633" t="s">
        <v>124</v>
      </c>
    </row>
    <row r="288" spans="1:9" ht="15.75" hidden="1" customHeight="1" outlineLevel="2">
      <c r="A288" s="613"/>
      <c r="B288" s="612"/>
      <c r="C288" s="613" t="s">
        <v>32</v>
      </c>
      <c r="D288" s="612" t="s">
        <v>33</v>
      </c>
      <c r="E288" s="613">
        <v>0.3</v>
      </c>
      <c r="F288" s="611">
        <f>worker</f>
        <v>107800.00000000001</v>
      </c>
      <c r="G288" s="611">
        <f>F288*E288</f>
        <v>32340.000000000004</v>
      </c>
      <c r="I288" s="633" t="s">
        <v>125</v>
      </c>
    </row>
    <row r="289" spans="1:9" ht="15.75" hidden="1" customHeight="1" outlineLevel="2">
      <c r="A289" s="613"/>
      <c r="B289" s="612"/>
      <c r="C289" s="613" t="s">
        <v>36</v>
      </c>
      <c r="D289" s="612" t="s">
        <v>33</v>
      </c>
      <c r="E289" s="613">
        <v>0.01</v>
      </c>
      <c r="F289" s="611">
        <f>supervisor</f>
        <v>119350.00000000001</v>
      </c>
      <c r="G289" s="611">
        <f>F289*E289</f>
        <v>1193.5000000000002</v>
      </c>
    </row>
    <row r="290" spans="1:9" ht="15.75" hidden="1" customHeight="1" outlineLevel="2">
      <c r="A290" s="613"/>
      <c r="B290" s="612"/>
      <c r="C290" s="613"/>
      <c r="D290" s="612"/>
      <c r="E290" s="613"/>
      <c r="F290" s="611"/>
      <c r="G290" s="611">
        <f>SUM(G286:G289)</f>
        <v>302703.5</v>
      </c>
    </row>
    <row r="291" spans="1:9" ht="15.75" hidden="1" customHeight="1" outlineLevel="2">
      <c r="A291" s="613"/>
      <c r="B291" s="612"/>
      <c r="C291" s="613" t="s">
        <v>4294</v>
      </c>
      <c r="D291" s="612"/>
      <c r="E291" s="613"/>
      <c r="F291" s="611"/>
      <c r="G291" s="611">
        <f>SUM(G286:G289)*0.2</f>
        <v>60540.700000000004</v>
      </c>
    </row>
    <row r="292" spans="1:9" ht="15.75" hidden="1" customHeight="1" outlineLevel="2">
      <c r="A292" s="613"/>
      <c r="B292" s="612"/>
      <c r="C292" s="613"/>
      <c r="D292" s="612"/>
      <c r="E292" s="613"/>
      <c r="F292" s="611"/>
      <c r="G292" s="611"/>
    </row>
    <row r="293" spans="1:9" ht="15.75" customHeight="1" outlineLevel="1" collapsed="1">
      <c r="A293" s="613" t="s">
        <v>2074</v>
      </c>
      <c r="B293" s="612">
        <f>B284+1</f>
        <v>19</v>
      </c>
      <c r="C293" s="613" t="s">
        <v>1605</v>
      </c>
      <c r="D293" s="612" t="s">
        <v>40</v>
      </c>
      <c r="E293" s="613"/>
      <c r="F293" s="611"/>
      <c r="G293" s="611">
        <f>G307</f>
        <v>30827.68002068</v>
      </c>
    </row>
    <row r="294" spans="1:9" ht="15.75" hidden="1" customHeight="1" outlineLevel="2">
      <c r="A294" s="613"/>
      <c r="B294" s="612"/>
      <c r="C294" s="613" t="s">
        <v>66</v>
      </c>
      <c r="D294" s="612"/>
      <c r="E294" s="613"/>
      <c r="F294" s="611"/>
      <c r="G294" s="611"/>
    </row>
    <row r="295" spans="1:9" ht="15.75" hidden="1" customHeight="1" outlineLevel="2">
      <c r="A295" s="613"/>
      <c r="B295" s="612"/>
      <c r="C295" s="613" t="s">
        <v>32</v>
      </c>
      <c r="D295" s="612" t="s">
        <v>33</v>
      </c>
      <c r="E295" s="613">
        <f>0.0764</f>
        <v>7.6399999999999996E-2</v>
      </c>
      <c r="F295" s="611">
        <f>worker</f>
        <v>107800.00000000001</v>
      </c>
      <c r="G295" s="611">
        <f>F295*E295</f>
        <v>8235.92</v>
      </c>
      <c r="I295" s="633" t="s">
        <v>126</v>
      </c>
    </row>
    <row r="296" spans="1:9" ht="15.75" hidden="1" customHeight="1" outlineLevel="2">
      <c r="A296" s="613"/>
      <c r="B296" s="612"/>
      <c r="C296" s="613" t="s">
        <v>127</v>
      </c>
      <c r="D296" s="612" t="s">
        <v>33</v>
      </c>
      <c r="E296" s="613">
        <v>7.6400000000000001E-3</v>
      </c>
      <c r="F296" s="611">
        <f>supervisor</f>
        <v>119350.00000000001</v>
      </c>
      <c r="G296" s="611">
        <f>F296*E296</f>
        <v>911.83400000000017</v>
      </c>
    </row>
    <row r="297" spans="1:9" ht="15.75" hidden="1" customHeight="1" outlineLevel="2">
      <c r="A297" s="613"/>
      <c r="B297" s="612"/>
      <c r="C297" s="613"/>
      <c r="D297" s="612"/>
      <c r="E297" s="613"/>
      <c r="F297" s="611"/>
      <c r="G297" s="611"/>
      <c r="I297" s="633" t="s">
        <v>128</v>
      </c>
    </row>
    <row r="298" spans="1:9" ht="15.75" hidden="1" customHeight="1" outlineLevel="2">
      <c r="A298" s="613"/>
      <c r="B298" s="612"/>
      <c r="C298" s="613" t="s">
        <v>70</v>
      </c>
      <c r="D298" s="612"/>
      <c r="E298" s="613"/>
      <c r="F298" s="611"/>
      <c r="G298" s="611"/>
    </row>
    <row r="299" spans="1:9" ht="15.75" hidden="1" customHeight="1" outlineLevel="2">
      <c r="A299" s="613"/>
      <c r="B299" s="612"/>
      <c r="C299" s="613" t="s">
        <v>129</v>
      </c>
      <c r="D299" s="612" t="s">
        <v>130</v>
      </c>
      <c r="E299" s="613">
        <v>1.9089999999999999E-2</v>
      </c>
      <c r="F299" s="611">
        <f>G2674</f>
        <v>1135669.2520000001</v>
      </c>
      <c r="G299" s="611">
        <f>F299*E299</f>
        <v>21679.926020680003</v>
      </c>
    </row>
    <row r="300" spans="1:9" ht="15.75" hidden="1" customHeight="1" outlineLevel="2">
      <c r="A300" s="613"/>
      <c r="B300" s="612"/>
      <c r="C300" s="613" t="s">
        <v>131</v>
      </c>
      <c r="D300" s="612"/>
      <c r="E300" s="613"/>
      <c r="F300" s="611"/>
      <c r="G300" s="611"/>
    </row>
    <row r="301" spans="1:9" ht="15.75" hidden="1" customHeight="1" outlineLevel="2">
      <c r="A301" s="613"/>
      <c r="B301" s="612"/>
      <c r="C301" s="613" t="s">
        <v>132</v>
      </c>
      <c r="D301" s="612"/>
      <c r="E301" s="613"/>
      <c r="F301" s="611"/>
      <c r="G301" s="611"/>
    </row>
    <row r="302" spans="1:9" ht="15.75" hidden="1" customHeight="1" outlineLevel="2">
      <c r="A302" s="613"/>
      <c r="B302" s="612"/>
      <c r="C302" s="613" t="s">
        <v>133</v>
      </c>
      <c r="D302" s="612"/>
      <c r="E302" s="613"/>
      <c r="F302" s="611"/>
      <c r="G302" s="611"/>
    </row>
    <row r="303" spans="1:9" ht="15.75" hidden="1" customHeight="1" outlineLevel="2">
      <c r="A303" s="613"/>
      <c r="B303" s="612"/>
      <c r="C303" s="613" t="s">
        <v>134</v>
      </c>
      <c r="D303" s="612"/>
      <c r="E303" s="613"/>
      <c r="F303" s="611"/>
      <c r="G303" s="611"/>
    </row>
    <row r="304" spans="1:9" ht="15.75" hidden="1" customHeight="1" outlineLevel="2">
      <c r="A304" s="613"/>
      <c r="B304" s="612"/>
      <c r="C304" s="613" t="s">
        <v>135</v>
      </c>
      <c r="D304" s="612"/>
      <c r="E304" s="613"/>
      <c r="F304" s="611"/>
      <c r="G304" s="611"/>
    </row>
    <row r="305" spans="1:9" ht="15.75" hidden="1" customHeight="1" outlineLevel="2">
      <c r="A305" s="613"/>
      <c r="B305" s="612"/>
      <c r="C305" s="613" t="s">
        <v>136</v>
      </c>
      <c r="D305" s="612"/>
      <c r="E305" s="613"/>
      <c r="F305" s="611"/>
      <c r="G305" s="611"/>
    </row>
    <row r="306" spans="1:9" ht="15.75" hidden="1" customHeight="1" outlineLevel="2">
      <c r="A306" s="613"/>
      <c r="B306" s="612"/>
      <c r="C306" s="613" t="s">
        <v>137</v>
      </c>
      <c r="D306" s="612"/>
      <c r="E306" s="613"/>
      <c r="F306" s="611"/>
      <c r="G306" s="611"/>
    </row>
    <row r="307" spans="1:9" ht="15" hidden="1" customHeight="1" outlineLevel="2">
      <c r="A307" s="613"/>
      <c r="B307" s="612"/>
      <c r="C307" s="613"/>
      <c r="D307" s="612"/>
      <c r="E307" s="613"/>
      <c r="F307" s="611"/>
      <c r="G307" s="611">
        <f>G299+G295+G296</f>
        <v>30827.68002068</v>
      </c>
      <c r="I307" s="633" t="s">
        <v>110</v>
      </c>
    </row>
    <row r="308" spans="1:9" ht="15.75" hidden="1" customHeight="1" outlineLevel="2">
      <c r="A308" s="613"/>
      <c r="B308" s="612"/>
      <c r="C308" s="613"/>
      <c r="D308" s="612"/>
      <c r="E308" s="613"/>
      <c r="F308" s="611"/>
      <c r="G308" s="611">
        <f>0.2*G307</f>
        <v>6165.536004136</v>
      </c>
    </row>
    <row r="309" spans="1:9" ht="15.75" customHeight="1" outlineLevel="1" collapsed="1">
      <c r="A309" s="613" t="s">
        <v>2074</v>
      </c>
      <c r="B309" s="612">
        <f>B293+1</f>
        <v>20</v>
      </c>
      <c r="C309" s="613" t="s">
        <v>1708</v>
      </c>
      <c r="D309" s="612" t="s">
        <v>40</v>
      </c>
      <c r="E309" s="613"/>
      <c r="F309" s="611"/>
      <c r="G309" s="611">
        <f>SUM(G311:G319)</f>
        <v>383628.95143700001</v>
      </c>
    </row>
    <row r="310" spans="1:9" ht="15.75" hidden="1" customHeight="1" outlineLevel="2">
      <c r="A310" s="613"/>
      <c r="B310" s="612"/>
      <c r="C310" s="613" t="s">
        <v>66</v>
      </c>
      <c r="D310" s="612"/>
      <c r="E310" s="613"/>
      <c r="F310" s="611"/>
      <c r="G310" s="611"/>
    </row>
    <row r="311" spans="1:9" ht="15.75" hidden="1" customHeight="1" outlineLevel="2">
      <c r="A311" s="613"/>
      <c r="B311" s="612"/>
      <c r="C311" s="613" t="s">
        <v>32</v>
      </c>
      <c r="D311" s="612" t="s">
        <v>33</v>
      </c>
      <c r="E311" s="613">
        <v>0.5</v>
      </c>
      <c r="F311" s="611">
        <f>worker</f>
        <v>107800.00000000001</v>
      </c>
      <c r="G311" s="611">
        <f>F311*E311</f>
        <v>53900.000000000007</v>
      </c>
      <c r="I311" s="633" t="s">
        <v>126</v>
      </c>
    </row>
    <row r="312" spans="1:9" ht="15.75" hidden="1" customHeight="1" outlineLevel="2">
      <c r="A312" s="613"/>
      <c r="B312" s="612"/>
      <c r="C312" s="613" t="s">
        <v>127</v>
      </c>
      <c r="D312" s="612" t="s">
        <v>33</v>
      </c>
      <c r="E312" s="613">
        <v>0.05</v>
      </c>
      <c r="F312" s="611">
        <f>supervisor</f>
        <v>119350.00000000001</v>
      </c>
      <c r="G312" s="611">
        <f>F312*E312</f>
        <v>5967.5000000000009</v>
      </c>
    </row>
    <row r="313" spans="1:9" ht="15.75" hidden="1" customHeight="1" outlineLevel="2">
      <c r="A313" s="613"/>
      <c r="B313" s="612"/>
      <c r="C313" s="613"/>
      <c r="D313" s="612"/>
      <c r="E313" s="613"/>
      <c r="F313" s="611"/>
      <c r="G313" s="611"/>
      <c r="I313" s="633" t="s">
        <v>128</v>
      </c>
    </row>
    <row r="314" spans="1:9" ht="15.75" hidden="1" customHeight="1" outlineLevel="2">
      <c r="A314" s="613"/>
      <c r="B314" s="612"/>
      <c r="C314" s="613" t="s">
        <v>70</v>
      </c>
      <c r="D314" s="612"/>
      <c r="E314" s="613"/>
      <c r="F314" s="611"/>
      <c r="G314" s="611"/>
    </row>
    <row r="315" spans="1:9" ht="15.75" hidden="1" customHeight="1" outlineLevel="2">
      <c r="A315" s="613"/>
      <c r="B315" s="612"/>
      <c r="C315" s="613" t="s">
        <v>129</v>
      </c>
      <c r="D315" s="612" t="s">
        <v>130</v>
      </c>
      <c r="E315" s="613">
        <v>1.9089999999999999E-2</v>
      </c>
      <c r="F315" s="611">
        <f>buldozer</f>
        <v>733263.3</v>
      </c>
      <c r="G315" s="611">
        <f>F315*E315</f>
        <v>13997.996397000001</v>
      </c>
    </row>
    <row r="316" spans="1:9" ht="15.75" hidden="1" customHeight="1" outlineLevel="2">
      <c r="A316" s="613"/>
      <c r="B316" s="612"/>
      <c r="C316" s="613" t="s">
        <v>104</v>
      </c>
      <c r="D316" s="612" t="s">
        <v>72</v>
      </c>
      <c r="E316" s="613">
        <v>6.7999999999999996E-3</v>
      </c>
      <c r="F316" s="611">
        <f>excavator_0.8m3</f>
        <v>704803</v>
      </c>
      <c r="G316" s="611">
        <f>E316*F316</f>
        <v>4792.6603999999998</v>
      </c>
    </row>
    <row r="317" spans="1:9" ht="15.75" hidden="1" customHeight="1" outlineLevel="2">
      <c r="A317" s="613"/>
      <c r="B317" s="612"/>
      <c r="C317" s="613" t="s">
        <v>105</v>
      </c>
      <c r="D317" s="612" t="s">
        <v>72</v>
      </c>
      <c r="E317" s="613">
        <v>0.25600000000000001</v>
      </c>
      <c r="F317" s="611">
        <f>dump_truck_5m3</f>
        <v>1161622.4400000002</v>
      </c>
      <c r="G317" s="611">
        <f t="shared" ref="G317:G318" si="3">E317*F317</f>
        <v>297375.34464000002</v>
      </c>
    </row>
    <row r="318" spans="1:9" ht="15.75" hidden="1" customHeight="1" outlineLevel="2">
      <c r="A318" s="613"/>
      <c r="B318" s="612"/>
      <c r="C318" s="613" t="s">
        <v>73</v>
      </c>
      <c r="D318" s="612" t="s">
        <v>74</v>
      </c>
      <c r="E318" s="613">
        <v>1</v>
      </c>
      <c r="F318" s="611">
        <v>5000</v>
      </c>
      <c r="G318" s="611">
        <f t="shared" si="3"/>
        <v>5000</v>
      </c>
    </row>
    <row r="319" spans="1:9" ht="15.75" hidden="1" customHeight="1" outlineLevel="2">
      <c r="A319" s="613"/>
      <c r="B319" s="612"/>
      <c r="C319" s="613" t="s">
        <v>122</v>
      </c>
      <c r="D319" s="612" t="s">
        <v>72</v>
      </c>
      <c r="E319" s="613">
        <v>0.1</v>
      </c>
      <c r="F319" s="611">
        <f>stamper/8</f>
        <v>25954.500000000004</v>
      </c>
      <c r="G319" s="611">
        <f>F319*E319</f>
        <v>2595.4500000000007</v>
      </c>
    </row>
    <row r="320" spans="1:9" ht="15.75" hidden="1" customHeight="1" outlineLevel="2">
      <c r="A320" s="613"/>
      <c r="B320" s="612"/>
      <c r="C320" s="613"/>
      <c r="D320" s="612"/>
      <c r="E320" s="613"/>
      <c r="F320" s="611"/>
      <c r="G320" s="611"/>
    </row>
    <row r="321" spans="1:9" ht="15.75" customHeight="1" outlineLevel="1" collapsed="1">
      <c r="A321" s="613" t="s">
        <v>2074</v>
      </c>
      <c r="B321" s="612">
        <f>B309+1</f>
        <v>21</v>
      </c>
      <c r="C321" s="613" t="s">
        <v>2070</v>
      </c>
      <c r="D321" s="612" t="s">
        <v>40</v>
      </c>
      <c r="E321" s="613"/>
      <c r="F321" s="611"/>
      <c r="G321" s="611">
        <f>SUM(G323:G327)</f>
        <v>61165.225000000006</v>
      </c>
      <c r="I321" s="633" t="s">
        <v>2071</v>
      </c>
    </row>
    <row r="322" spans="1:9" ht="15.75" hidden="1" customHeight="1" outlineLevel="2">
      <c r="A322" s="613"/>
      <c r="B322" s="612"/>
      <c r="C322" s="613" t="s">
        <v>66</v>
      </c>
      <c r="D322" s="612"/>
      <c r="E322" s="613"/>
      <c r="F322" s="611"/>
      <c r="G322" s="611"/>
    </row>
    <row r="323" spans="1:9" ht="15.75" hidden="1" customHeight="1" outlineLevel="2">
      <c r="A323" s="613"/>
      <c r="B323" s="612"/>
      <c r="C323" s="613" t="s">
        <v>32</v>
      </c>
      <c r="D323" s="612" t="s">
        <v>33</v>
      </c>
      <c r="E323" s="613">
        <v>0.5</v>
      </c>
      <c r="F323" s="611">
        <f>worker</f>
        <v>107800.00000000001</v>
      </c>
      <c r="G323" s="611">
        <f>F323*E323</f>
        <v>53900.000000000007</v>
      </c>
    </row>
    <row r="324" spans="1:9" ht="15.75" hidden="1" customHeight="1" outlineLevel="2">
      <c r="A324" s="613"/>
      <c r="B324" s="612"/>
      <c r="C324" s="613" t="s">
        <v>127</v>
      </c>
      <c r="D324" s="612" t="s">
        <v>33</v>
      </c>
      <c r="E324" s="613">
        <v>0.05</v>
      </c>
      <c r="F324" s="611">
        <f>supervisor</f>
        <v>119350.00000000001</v>
      </c>
      <c r="G324" s="611">
        <f>F324*E324</f>
        <v>5967.5000000000009</v>
      </c>
    </row>
    <row r="325" spans="1:9" ht="15.75" hidden="1" customHeight="1" outlineLevel="2">
      <c r="A325" s="613"/>
      <c r="B325" s="612"/>
      <c r="C325" s="613"/>
      <c r="D325" s="612"/>
      <c r="E325" s="613"/>
      <c r="F325" s="611"/>
      <c r="G325" s="611"/>
    </row>
    <row r="326" spans="1:9" ht="15.75" hidden="1" customHeight="1" outlineLevel="2">
      <c r="A326" s="613"/>
      <c r="B326" s="612"/>
      <c r="C326" s="613" t="s">
        <v>70</v>
      </c>
      <c r="D326" s="612"/>
      <c r="E326" s="613"/>
      <c r="F326" s="611"/>
      <c r="G326" s="611"/>
    </row>
    <row r="327" spans="1:9" ht="15.75" hidden="1" customHeight="1" outlineLevel="2">
      <c r="A327" s="613"/>
      <c r="B327" s="612"/>
      <c r="C327" s="613" t="s">
        <v>122</v>
      </c>
      <c r="D327" s="612" t="s">
        <v>72</v>
      </c>
      <c r="E327" s="613">
        <v>0.05</v>
      </c>
      <c r="F327" s="611">
        <f>stamper/8</f>
        <v>25954.500000000004</v>
      </c>
      <c r="G327" s="611">
        <f>F327*E327</f>
        <v>1297.7250000000004</v>
      </c>
    </row>
    <row r="328" spans="1:9" ht="15.75" customHeight="1" outlineLevel="1" collapsed="1" thickBot="1">
      <c r="A328" s="608" t="s">
        <v>2074</v>
      </c>
      <c r="B328" s="607"/>
      <c r="C328" s="608"/>
      <c r="D328" s="607"/>
      <c r="E328" s="608"/>
      <c r="F328" s="606"/>
      <c r="G328" s="606"/>
    </row>
    <row r="329" spans="1:9" ht="15.75" customHeight="1" thickBot="1">
      <c r="A329" s="1210" t="s">
        <v>138</v>
      </c>
      <c r="B329" s="1211"/>
      <c r="C329" s="1211"/>
      <c r="D329" s="1211"/>
      <c r="E329" s="1211"/>
      <c r="F329" s="1211"/>
      <c r="G329" s="1212"/>
    </row>
    <row r="330" spans="1:9" ht="15.75" customHeight="1" outlineLevel="1" collapsed="1">
      <c r="A330" s="616" t="s">
        <v>2074</v>
      </c>
      <c r="B330" s="615">
        <v>1</v>
      </c>
      <c r="C330" s="616" t="s">
        <v>1719</v>
      </c>
      <c r="D330" s="615" t="s">
        <v>4</v>
      </c>
      <c r="E330" s="616"/>
      <c r="F330" s="614"/>
      <c r="G330" s="605">
        <f>SUM(G333:G341)</f>
        <v>78362.900000000009</v>
      </c>
      <c r="I330" s="633" t="s">
        <v>147</v>
      </c>
    </row>
    <row r="331" spans="1:9" ht="15.75" hidden="1" customHeight="1" outlineLevel="2">
      <c r="A331" s="613"/>
      <c r="B331" s="612"/>
      <c r="C331" s="613"/>
      <c r="D331" s="612"/>
      <c r="E331" s="613"/>
      <c r="F331" s="611"/>
      <c r="G331" s="611"/>
    </row>
    <row r="332" spans="1:9" ht="15.75" hidden="1" customHeight="1" outlineLevel="2">
      <c r="A332" s="613"/>
      <c r="B332" s="612"/>
      <c r="C332" s="613" t="s">
        <v>20</v>
      </c>
      <c r="D332" s="612"/>
      <c r="E332" s="613"/>
      <c r="F332" s="611"/>
      <c r="G332" s="611"/>
    </row>
    <row r="333" spans="1:9" ht="15.75" hidden="1" customHeight="1" outlineLevel="2">
      <c r="A333" s="613"/>
      <c r="B333" s="612"/>
      <c r="C333" s="613" t="s">
        <v>1718</v>
      </c>
      <c r="D333" s="612" t="s">
        <v>40</v>
      </c>
      <c r="E333" s="613">
        <f>E312</f>
        <v>0.05</v>
      </c>
      <c r="F333" s="611">
        <f>bataco</f>
        <v>4400</v>
      </c>
      <c r="G333" s="611">
        <f>F333*E333</f>
        <v>220</v>
      </c>
      <c r="I333" s="633" t="s">
        <v>142</v>
      </c>
    </row>
    <row r="334" spans="1:9" ht="15.75" hidden="1" customHeight="1" outlineLevel="2">
      <c r="A334" s="613"/>
      <c r="B334" s="612"/>
      <c r="C334" s="613" t="s">
        <v>143</v>
      </c>
      <c r="D334" s="612" t="s">
        <v>1</v>
      </c>
      <c r="E334" s="613">
        <v>18.95</v>
      </c>
      <c r="F334" s="611">
        <f>PC</f>
        <v>1348.6000000000001</v>
      </c>
      <c r="G334" s="611">
        <f>F334*E334</f>
        <v>25555.97</v>
      </c>
    </row>
    <row r="335" spans="1:9" ht="15.75" hidden="1" customHeight="1" outlineLevel="2">
      <c r="A335" s="613"/>
      <c r="B335" s="612"/>
      <c r="C335" s="613" t="s">
        <v>144</v>
      </c>
      <c r="D335" s="612" t="s">
        <v>4288</v>
      </c>
      <c r="E335" s="613">
        <v>3.7999999999999999E-2</v>
      </c>
      <c r="F335" s="611">
        <f>sand_pasang</f>
        <v>170610</v>
      </c>
      <c r="G335" s="611">
        <f>F335*E335</f>
        <v>6483.18</v>
      </c>
    </row>
    <row r="336" spans="1:9" ht="15.75" hidden="1" customHeight="1" outlineLevel="2">
      <c r="A336" s="613"/>
      <c r="B336" s="612"/>
      <c r="C336" s="613"/>
      <c r="D336" s="612"/>
      <c r="E336" s="613"/>
      <c r="F336" s="611"/>
      <c r="G336" s="611"/>
    </row>
    <row r="337" spans="1:9" ht="15.75" hidden="1" customHeight="1" outlineLevel="2">
      <c r="A337" s="613"/>
      <c r="B337" s="612"/>
      <c r="C337" s="613" t="s">
        <v>31</v>
      </c>
      <c r="D337" s="612"/>
      <c r="E337" s="613"/>
      <c r="F337" s="611"/>
      <c r="G337" s="611"/>
    </row>
    <row r="338" spans="1:9" ht="15.75" hidden="1" customHeight="1" outlineLevel="2">
      <c r="A338" s="613"/>
      <c r="B338" s="612"/>
      <c r="C338" s="613" t="s">
        <v>145</v>
      </c>
      <c r="D338" s="612" t="s">
        <v>33</v>
      </c>
      <c r="E338" s="613">
        <v>0.1</v>
      </c>
      <c r="F338" s="611">
        <f>brick_layer</f>
        <v>107800.00000000001</v>
      </c>
      <c r="G338" s="611">
        <f>F338*E338</f>
        <v>10780.000000000002</v>
      </c>
    </row>
    <row r="339" spans="1:9" ht="15.75" hidden="1" customHeight="1" outlineLevel="2">
      <c r="A339" s="613"/>
      <c r="B339" s="612"/>
      <c r="C339" s="613" t="s">
        <v>32</v>
      </c>
      <c r="D339" s="612" t="s">
        <v>33</v>
      </c>
      <c r="E339" s="613">
        <v>0.3</v>
      </c>
      <c r="F339" s="611">
        <f>worker</f>
        <v>107800.00000000001</v>
      </c>
      <c r="G339" s="611">
        <f>F339*E339</f>
        <v>32340.000000000004</v>
      </c>
    </row>
    <row r="340" spans="1:9" ht="15.75" hidden="1" customHeight="1" outlineLevel="2">
      <c r="A340" s="613"/>
      <c r="B340" s="612"/>
      <c r="C340" s="613" t="s">
        <v>36</v>
      </c>
      <c r="D340" s="612" t="s">
        <v>33</v>
      </c>
      <c r="E340" s="613">
        <v>1.4999999999999999E-2</v>
      </c>
      <c r="F340" s="611">
        <f>supervisor</f>
        <v>119350.00000000001</v>
      </c>
      <c r="G340" s="611">
        <f>F340*E340</f>
        <v>1790.2500000000002</v>
      </c>
    </row>
    <row r="341" spans="1:9" ht="18.75" hidden="1" customHeight="1" outlineLevel="2">
      <c r="A341" s="613"/>
      <c r="B341" s="612"/>
      <c r="C341" s="613" t="s">
        <v>146</v>
      </c>
      <c r="D341" s="612" t="s">
        <v>33</v>
      </c>
      <c r="E341" s="613">
        <v>0.01</v>
      </c>
      <c r="F341" s="611">
        <f>brick_layer_chief</f>
        <v>119350.00000000001</v>
      </c>
      <c r="G341" s="611">
        <f>F341*E341</f>
        <v>1193.5000000000002</v>
      </c>
    </row>
    <row r="342" spans="1:9" ht="15.75" hidden="1" customHeight="1" outlineLevel="2">
      <c r="A342" s="613"/>
      <c r="B342" s="612"/>
      <c r="C342" s="613"/>
      <c r="D342" s="612"/>
      <c r="E342" s="613"/>
      <c r="F342" s="611"/>
      <c r="G342" s="611"/>
    </row>
    <row r="343" spans="1:9" ht="15.75" customHeight="1" outlineLevel="1" collapsed="1">
      <c r="A343" s="613" t="s">
        <v>2074</v>
      </c>
      <c r="B343" s="612">
        <f>B330+1</f>
        <v>2</v>
      </c>
      <c r="C343" s="613" t="s">
        <v>1716</v>
      </c>
      <c r="D343" s="612" t="s">
        <v>4</v>
      </c>
      <c r="E343" s="613"/>
      <c r="F343" s="611"/>
      <c r="G343" s="604">
        <f>G355</f>
        <v>69608.88</v>
      </c>
      <c r="I343" s="633" t="s">
        <v>139</v>
      </c>
    </row>
    <row r="344" spans="1:9" ht="15.75" hidden="1" customHeight="1" outlineLevel="2">
      <c r="A344" s="613"/>
      <c r="B344" s="612"/>
      <c r="C344" s="613"/>
      <c r="D344" s="612"/>
      <c r="E344" s="613"/>
      <c r="F344" s="611"/>
      <c r="G344" s="611"/>
    </row>
    <row r="345" spans="1:9" ht="15.75" hidden="1" customHeight="1" outlineLevel="2">
      <c r="A345" s="613"/>
      <c r="B345" s="612"/>
      <c r="C345" s="613" t="s">
        <v>20</v>
      </c>
      <c r="D345" s="612"/>
      <c r="E345" s="613"/>
      <c r="F345" s="611"/>
      <c r="G345" s="611"/>
    </row>
    <row r="346" spans="1:9" ht="15.75" hidden="1" customHeight="1" outlineLevel="2">
      <c r="A346" s="613"/>
      <c r="B346" s="612"/>
      <c r="C346" s="613" t="s">
        <v>1718</v>
      </c>
      <c r="D346" s="612" t="s">
        <v>141</v>
      </c>
      <c r="E346" s="613">
        <f>100/(40*20)*1.2</f>
        <v>0.15</v>
      </c>
      <c r="F346" s="611">
        <f>bataco</f>
        <v>4400</v>
      </c>
      <c r="G346" s="611">
        <f>F346*E346</f>
        <v>660</v>
      </c>
      <c r="I346" s="633" t="s">
        <v>142</v>
      </c>
    </row>
    <row r="347" spans="1:9" ht="15.75" hidden="1" customHeight="1" outlineLevel="2">
      <c r="A347" s="613"/>
      <c r="B347" s="612"/>
      <c r="C347" s="613" t="s">
        <v>143</v>
      </c>
      <c r="D347" s="612" t="s">
        <v>1</v>
      </c>
      <c r="E347" s="613">
        <v>11.5</v>
      </c>
      <c r="F347" s="611">
        <f>PC</f>
        <v>1348.6000000000001</v>
      </c>
      <c r="G347" s="611">
        <f>F347*E347</f>
        <v>15508.900000000001</v>
      </c>
    </row>
    <row r="348" spans="1:9" ht="15.75" hidden="1" customHeight="1" outlineLevel="2">
      <c r="A348" s="613"/>
      <c r="B348" s="612"/>
      <c r="C348" s="613" t="s">
        <v>144</v>
      </c>
      <c r="D348" s="612" t="s">
        <v>40</v>
      </c>
      <c r="E348" s="613">
        <v>4.2999999999999997E-2</v>
      </c>
      <c r="F348" s="611">
        <f>sand_pasang</f>
        <v>170610</v>
      </c>
      <c r="G348" s="611">
        <f>F348*E348</f>
        <v>7336.23</v>
      </c>
    </row>
    <row r="349" spans="1:9" ht="15.75" hidden="1" customHeight="1" outlineLevel="2">
      <c r="A349" s="613"/>
      <c r="B349" s="612"/>
      <c r="C349" s="613"/>
      <c r="D349" s="612"/>
      <c r="E349" s="613"/>
      <c r="F349" s="611"/>
      <c r="G349" s="611"/>
    </row>
    <row r="350" spans="1:9" ht="15.75" hidden="1" customHeight="1" outlineLevel="2">
      <c r="A350" s="613"/>
      <c r="B350" s="612"/>
      <c r="C350" s="613" t="s">
        <v>31</v>
      </c>
      <c r="D350" s="612"/>
      <c r="E350" s="613"/>
      <c r="F350" s="611"/>
      <c r="G350" s="611"/>
    </row>
    <row r="351" spans="1:9" ht="15.75" hidden="1" customHeight="1" outlineLevel="2">
      <c r="A351" s="613"/>
      <c r="B351" s="612"/>
      <c r="C351" s="613" t="s">
        <v>145</v>
      </c>
      <c r="D351" s="612" t="s">
        <v>33</v>
      </c>
      <c r="E351" s="613">
        <v>0.1</v>
      </c>
      <c r="F351" s="611">
        <f>brick_layer</f>
        <v>107800.00000000001</v>
      </c>
      <c r="G351" s="611">
        <f>F351*E351</f>
        <v>10780.000000000002</v>
      </c>
    </row>
    <row r="352" spans="1:9" ht="15.75" hidden="1" customHeight="1" outlineLevel="2">
      <c r="A352" s="613"/>
      <c r="B352" s="612"/>
      <c r="C352" s="613" t="s">
        <v>32</v>
      </c>
      <c r="D352" s="612" t="s">
        <v>33</v>
      </c>
      <c r="E352" s="613">
        <v>0.3</v>
      </c>
      <c r="F352" s="611">
        <f>worker</f>
        <v>107800.00000000001</v>
      </c>
      <c r="G352" s="611">
        <f>F352*E352</f>
        <v>32340.000000000004</v>
      </c>
    </row>
    <row r="353" spans="1:9" ht="15.75" hidden="1" customHeight="1" outlineLevel="2">
      <c r="A353" s="613"/>
      <c r="B353" s="612"/>
      <c r="C353" s="613" t="s">
        <v>36</v>
      </c>
      <c r="D353" s="612" t="s">
        <v>33</v>
      </c>
      <c r="E353" s="613">
        <v>1.4999999999999999E-2</v>
      </c>
      <c r="F353" s="611">
        <f>supervisor</f>
        <v>119350.00000000001</v>
      </c>
      <c r="G353" s="611">
        <f>F353*E353</f>
        <v>1790.2500000000002</v>
      </c>
    </row>
    <row r="354" spans="1:9" ht="15.75" hidden="1" customHeight="1" outlineLevel="2">
      <c r="A354" s="613"/>
      <c r="B354" s="612"/>
      <c r="C354" s="613" t="s">
        <v>146</v>
      </c>
      <c r="D354" s="612" t="s">
        <v>33</v>
      </c>
      <c r="E354" s="613">
        <v>0.01</v>
      </c>
      <c r="F354" s="611">
        <f>brick_layer_chief</f>
        <v>119350.00000000001</v>
      </c>
      <c r="G354" s="611">
        <f>F354*E354</f>
        <v>1193.5000000000002</v>
      </c>
    </row>
    <row r="355" spans="1:9" ht="15.75" hidden="1" customHeight="1" outlineLevel="2">
      <c r="A355" s="613"/>
      <c r="B355" s="612"/>
      <c r="C355" s="613"/>
      <c r="D355" s="612"/>
      <c r="E355" s="613"/>
      <c r="F355" s="611"/>
      <c r="G355" s="611">
        <f>SUM(G346:G354)</f>
        <v>69608.88</v>
      </c>
    </row>
    <row r="356" spans="1:9" ht="15.75" hidden="1" customHeight="1" outlineLevel="2">
      <c r="A356" s="613"/>
      <c r="B356" s="612"/>
      <c r="C356" s="613"/>
      <c r="D356" s="612"/>
      <c r="E356" s="613"/>
      <c r="F356" s="611"/>
      <c r="G356" s="611"/>
    </row>
    <row r="357" spans="1:9" ht="15.75" customHeight="1" outlineLevel="1" collapsed="1">
      <c r="A357" s="613" t="s">
        <v>2074</v>
      </c>
      <c r="B357" s="612">
        <f>B343+1</f>
        <v>3</v>
      </c>
      <c r="C357" s="613" t="s">
        <v>1608</v>
      </c>
      <c r="D357" s="612" t="s">
        <v>4</v>
      </c>
      <c r="E357" s="613"/>
      <c r="F357" s="611"/>
      <c r="G357" s="604">
        <f>SUM(G360:G368)</f>
        <v>147442.90000000002</v>
      </c>
      <c r="I357" s="633" t="s">
        <v>147</v>
      </c>
    </row>
    <row r="358" spans="1:9" ht="15.75" hidden="1" customHeight="1" outlineLevel="2">
      <c r="A358" s="613"/>
      <c r="B358" s="612"/>
      <c r="C358" s="613"/>
      <c r="D358" s="612"/>
      <c r="E358" s="613"/>
      <c r="F358" s="611"/>
      <c r="G358" s="611"/>
    </row>
    <row r="359" spans="1:9" ht="15.75" hidden="1" customHeight="1" outlineLevel="2">
      <c r="A359" s="613"/>
      <c r="B359" s="612"/>
      <c r="C359" s="613" t="s">
        <v>20</v>
      </c>
      <c r="D359" s="612"/>
      <c r="E359" s="613"/>
      <c r="F359" s="611"/>
      <c r="G359" s="611"/>
    </row>
    <row r="360" spans="1:9" ht="15.75" hidden="1" customHeight="1" outlineLevel="2">
      <c r="A360" s="613"/>
      <c r="B360" s="612"/>
      <c r="C360" s="613" t="s">
        <v>140</v>
      </c>
      <c r="D360" s="612" t="s">
        <v>40</v>
      </c>
      <c r="E360" s="613">
        <f>E373</f>
        <v>70</v>
      </c>
      <c r="F360" s="611">
        <f>red_brick</f>
        <v>990.00000000000011</v>
      </c>
      <c r="G360" s="611">
        <f>F360*E360</f>
        <v>69300.000000000015</v>
      </c>
      <c r="I360" s="633" t="s">
        <v>142</v>
      </c>
    </row>
    <row r="361" spans="1:9" ht="15.75" hidden="1" customHeight="1" outlineLevel="2">
      <c r="A361" s="613"/>
      <c r="B361" s="612"/>
      <c r="C361" s="613" t="s">
        <v>143</v>
      </c>
      <c r="D361" s="612" t="s">
        <v>1</v>
      </c>
      <c r="E361" s="613">
        <v>18.95</v>
      </c>
      <c r="F361" s="611">
        <f>PC</f>
        <v>1348.6000000000001</v>
      </c>
      <c r="G361" s="611">
        <f>F361*E361</f>
        <v>25555.97</v>
      </c>
    </row>
    <row r="362" spans="1:9" ht="15.75" hidden="1" customHeight="1" outlineLevel="2">
      <c r="A362" s="613"/>
      <c r="B362" s="612"/>
      <c r="C362" s="613" t="s">
        <v>144</v>
      </c>
      <c r="D362" s="612" t="s">
        <v>4288</v>
      </c>
      <c r="E362" s="613">
        <v>3.7999999999999999E-2</v>
      </c>
      <c r="F362" s="611">
        <f>sand_pasang</f>
        <v>170610</v>
      </c>
      <c r="G362" s="611">
        <f>F362*E362</f>
        <v>6483.18</v>
      </c>
    </row>
    <row r="363" spans="1:9" ht="15.75" hidden="1" customHeight="1" outlineLevel="2">
      <c r="A363" s="613"/>
      <c r="B363" s="612"/>
      <c r="C363" s="613"/>
      <c r="D363" s="612"/>
      <c r="E363" s="613"/>
      <c r="F363" s="611"/>
      <c r="G363" s="611"/>
    </row>
    <row r="364" spans="1:9" ht="15.75" hidden="1" customHeight="1" outlineLevel="2">
      <c r="A364" s="613"/>
      <c r="B364" s="612"/>
      <c r="C364" s="613" t="s">
        <v>31</v>
      </c>
      <c r="D364" s="612"/>
      <c r="E364" s="613"/>
      <c r="F364" s="611"/>
      <c r="G364" s="611"/>
    </row>
    <row r="365" spans="1:9" ht="15.75" hidden="1" customHeight="1" outlineLevel="2">
      <c r="A365" s="613"/>
      <c r="B365" s="612"/>
      <c r="C365" s="613" t="s">
        <v>145</v>
      </c>
      <c r="D365" s="612" t="s">
        <v>33</v>
      </c>
      <c r="E365" s="613">
        <v>0.1</v>
      </c>
      <c r="F365" s="611">
        <f>brick_layer</f>
        <v>107800.00000000001</v>
      </c>
      <c r="G365" s="611">
        <f>F365*E365</f>
        <v>10780.000000000002</v>
      </c>
    </row>
    <row r="366" spans="1:9" ht="15.75" hidden="1" customHeight="1" outlineLevel="2">
      <c r="A366" s="613"/>
      <c r="B366" s="612"/>
      <c r="C366" s="613" t="s">
        <v>32</v>
      </c>
      <c r="D366" s="612" t="s">
        <v>33</v>
      </c>
      <c r="E366" s="613">
        <v>0.3</v>
      </c>
      <c r="F366" s="611">
        <f>worker</f>
        <v>107800.00000000001</v>
      </c>
      <c r="G366" s="611">
        <f>F366*E366</f>
        <v>32340.000000000004</v>
      </c>
    </row>
    <row r="367" spans="1:9" ht="15.75" hidden="1" customHeight="1" outlineLevel="2">
      <c r="A367" s="613"/>
      <c r="B367" s="612"/>
      <c r="C367" s="613" t="s">
        <v>36</v>
      </c>
      <c r="D367" s="612" t="s">
        <v>33</v>
      </c>
      <c r="E367" s="613">
        <v>1.4999999999999999E-2</v>
      </c>
      <c r="F367" s="611">
        <f>supervisor</f>
        <v>119350.00000000001</v>
      </c>
      <c r="G367" s="611">
        <f>F367*E367</f>
        <v>1790.2500000000002</v>
      </c>
    </row>
    <row r="368" spans="1:9" ht="18.75" hidden="1" customHeight="1" outlineLevel="2">
      <c r="A368" s="613"/>
      <c r="B368" s="612"/>
      <c r="C368" s="613" t="s">
        <v>146</v>
      </c>
      <c r="D368" s="612" t="s">
        <v>33</v>
      </c>
      <c r="E368" s="613">
        <v>0.01</v>
      </c>
      <c r="F368" s="611">
        <f>brick_layer_chief</f>
        <v>119350.00000000001</v>
      </c>
      <c r="G368" s="611">
        <f>F368*E368</f>
        <v>1193.5000000000002</v>
      </c>
    </row>
    <row r="369" spans="1:9" ht="15.75" hidden="1" customHeight="1" outlineLevel="2">
      <c r="A369" s="613"/>
      <c r="B369" s="612"/>
      <c r="C369" s="613"/>
      <c r="D369" s="612"/>
      <c r="E369" s="613"/>
      <c r="F369" s="611"/>
      <c r="G369" s="611"/>
    </row>
    <row r="370" spans="1:9" ht="15.75" customHeight="1" outlineLevel="1" collapsed="1">
      <c r="A370" s="613" t="s">
        <v>2074</v>
      </c>
      <c r="B370" s="612">
        <f>B357+1</f>
        <v>4</v>
      </c>
      <c r="C370" s="613" t="s">
        <v>1607</v>
      </c>
      <c r="D370" s="612" t="s">
        <v>4</v>
      </c>
      <c r="E370" s="613"/>
      <c r="F370" s="611"/>
      <c r="G370" s="604">
        <f>SUM(G373:G381)</f>
        <v>138248.88000000003</v>
      </c>
      <c r="I370" s="633" t="s">
        <v>139</v>
      </c>
    </row>
    <row r="371" spans="1:9" ht="15.75" hidden="1" customHeight="1" outlineLevel="2">
      <c r="A371" s="613"/>
      <c r="B371" s="612"/>
      <c r="C371" s="613"/>
      <c r="D371" s="612"/>
      <c r="E371" s="613"/>
      <c r="F371" s="611"/>
      <c r="G371" s="611"/>
    </row>
    <row r="372" spans="1:9" ht="15.75" hidden="1" customHeight="1" outlineLevel="2">
      <c r="A372" s="613"/>
      <c r="B372" s="612"/>
      <c r="C372" s="613" t="s">
        <v>20</v>
      </c>
      <c r="D372" s="612"/>
      <c r="E372" s="613"/>
      <c r="F372" s="611"/>
      <c r="G372" s="611"/>
    </row>
    <row r="373" spans="1:9" ht="15.75" hidden="1" customHeight="1" outlineLevel="2">
      <c r="A373" s="613"/>
      <c r="B373" s="612"/>
      <c r="C373" s="613" t="s">
        <v>140</v>
      </c>
      <c r="D373" s="612" t="s">
        <v>141</v>
      </c>
      <c r="E373" s="613">
        <v>70</v>
      </c>
      <c r="F373" s="611">
        <f>red_brick</f>
        <v>990.00000000000011</v>
      </c>
      <c r="G373" s="611">
        <f>F373*E373</f>
        <v>69300.000000000015</v>
      </c>
      <c r="I373" s="633" t="s">
        <v>142</v>
      </c>
    </row>
    <row r="374" spans="1:9" ht="15.75" hidden="1" customHeight="1" outlineLevel="2">
      <c r="A374" s="613"/>
      <c r="B374" s="612"/>
      <c r="C374" s="613" t="s">
        <v>143</v>
      </c>
      <c r="D374" s="612" t="s">
        <v>1</v>
      </c>
      <c r="E374" s="613">
        <v>11.5</v>
      </c>
      <c r="F374" s="611">
        <f>PC</f>
        <v>1348.6000000000001</v>
      </c>
      <c r="G374" s="611">
        <f>F374*E374</f>
        <v>15508.900000000001</v>
      </c>
    </row>
    <row r="375" spans="1:9" ht="15.75" hidden="1" customHeight="1" outlineLevel="2">
      <c r="A375" s="613"/>
      <c r="B375" s="612"/>
      <c r="C375" s="613" t="s">
        <v>144</v>
      </c>
      <c r="D375" s="612" t="s">
        <v>40</v>
      </c>
      <c r="E375" s="613">
        <v>4.2999999999999997E-2</v>
      </c>
      <c r="F375" s="611">
        <f>sand_pasang</f>
        <v>170610</v>
      </c>
      <c r="G375" s="611">
        <f>F375*E375</f>
        <v>7336.23</v>
      </c>
    </row>
    <row r="376" spans="1:9" ht="15.75" hidden="1" customHeight="1" outlineLevel="2">
      <c r="A376" s="613"/>
      <c r="B376" s="612"/>
      <c r="C376" s="613"/>
      <c r="D376" s="612"/>
      <c r="E376" s="613"/>
      <c r="F376" s="611"/>
      <c r="G376" s="611"/>
    </row>
    <row r="377" spans="1:9" ht="15.75" hidden="1" customHeight="1" outlineLevel="2">
      <c r="A377" s="613"/>
      <c r="B377" s="612"/>
      <c r="C377" s="613" t="s">
        <v>31</v>
      </c>
      <c r="D377" s="612"/>
      <c r="E377" s="613"/>
      <c r="F377" s="611"/>
      <c r="G377" s="611"/>
    </row>
    <row r="378" spans="1:9" ht="15.75" hidden="1" customHeight="1" outlineLevel="2">
      <c r="A378" s="613"/>
      <c r="B378" s="612"/>
      <c r="C378" s="613" t="s">
        <v>145</v>
      </c>
      <c r="D378" s="612" t="s">
        <v>33</v>
      </c>
      <c r="E378" s="613">
        <v>0.1</v>
      </c>
      <c r="F378" s="611">
        <f>brick_layer</f>
        <v>107800.00000000001</v>
      </c>
      <c r="G378" s="611">
        <f>F378*E378</f>
        <v>10780.000000000002</v>
      </c>
    </row>
    <row r="379" spans="1:9" ht="15.75" hidden="1" customHeight="1" outlineLevel="2">
      <c r="A379" s="613"/>
      <c r="B379" s="612"/>
      <c r="C379" s="613" t="s">
        <v>32</v>
      </c>
      <c r="D379" s="612" t="s">
        <v>33</v>
      </c>
      <c r="E379" s="613">
        <v>0.3</v>
      </c>
      <c r="F379" s="611">
        <f>worker</f>
        <v>107800.00000000001</v>
      </c>
      <c r="G379" s="611">
        <f>F379*E379</f>
        <v>32340.000000000004</v>
      </c>
    </row>
    <row r="380" spans="1:9" ht="15.75" hidden="1" customHeight="1" outlineLevel="2">
      <c r="A380" s="613"/>
      <c r="B380" s="612"/>
      <c r="C380" s="613" t="s">
        <v>36</v>
      </c>
      <c r="D380" s="612" t="s">
        <v>33</v>
      </c>
      <c r="E380" s="613">
        <v>1.4999999999999999E-2</v>
      </c>
      <c r="F380" s="611">
        <f>supervisor</f>
        <v>119350.00000000001</v>
      </c>
      <c r="G380" s="611">
        <f>F380*E380</f>
        <v>1790.2500000000002</v>
      </c>
    </row>
    <row r="381" spans="1:9" ht="15.75" hidden="1" customHeight="1" outlineLevel="2">
      <c r="A381" s="613"/>
      <c r="B381" s="612"/>
      <c r="C381" s="613" t="s">
        <v>146</v>
      </c>
      <c r="D381" s="612" t="s">
        <v>33</v>
      </c>
      <c r="E381" s="613">
        <v>0.01</v>
      </c>
      <c r="F381" s="611">
        <f>brick_layer_chief</f>
        <v>119350.00000000001</v>
      </c>
      <c r="G381" s="611">
        <f>F381*E381</f>
        <v>1193.5000000000002</v>
      </c>
    </row>
    <row r="382" spans="1:9" ht="15.75" hidden="1" customHeight="1" outlineLevel="2">
      <c r="A382" s="613"/>
      <c r="B382" s="612"/>
      <c r="C382" s="613"/>
      <c r="D382" s="612"/>
      <c r="E382" s="613"/>
      <c r="F382" s="611"/>
      <c r="G382" s="611"/>
    </row>
    <row r="383" spans="1:9" ht="15.75" customHeight="1" outlineLevel="1" collapsed="1">
      <c r="A383" s="613" t="s">
        <v>2074</v>
      </c>
      <c r="B383" s="612">
        <f>1+B370</f>
        <v>5</v>
      </c>
      <c r="C383" s="613" t="s">
        <v>1609</v>
      </c>
      <c r="D383" s="612" t="s">
        <v>4</v>
      </c>
      <c r="E383" s="613"/>
      <c r="F383" s="611"/>
      <c r="G383" s="604">
        <f>G394</f>
        <v>282479.56000000006</v>
      </c>
      <c r="I383" s="633" t="s">
        <v>869</v>
      </c>
    </row>
    <row r="384" spans="1:9" ht="15.75" hidden="1" customHeight="1" outlineLevel="2">
      <c r="A384" s="613"/>
      <c r="B384" s="612"/>
      <c r="C384" s="613" t="s">
        <v>20</v>
      </c>
      <c r="D384" s="612"/>
      <c r="E384" s="613"/>
      <c r="F384" s="611"/>
      <c r="G384" s="611"/>
    </row>
    <row r="385" spans="1:9" ht="15.75" hidden="1" customHeight="1" outlineLevel="2">
      <c r="A385" s="613"/>
      <c r="B385" s="612"/>
      <c r="C385" s="613" t="s">
        <v>140</v>
      </c>
      <c r="D385" s="612" t="s">
        <v>141</v>
      </c>
      <c r="E385" s="613">
        <v>140</v>
      </c>
      <c r="F385" s="611">
        <f>red_brick</f>
        <v>990.00000000000011</v>
      </c>
      <c r="G385" s="611">
        <f>F385*E385</f>
        <v>138600.00000000003</v>
      </c>
      <c r="I385" s="633" t="s">
        <v>142</v>
      </c>
    </row>
    <row r="386" spans="1:9" ht="15.75" hidden="1" customHeight="1" outlineLevel="2">
      <c r="A386" s="613"/>
      <c r="B386" s="612"/>
      <c r="C386" s="613" t="s">
        <v>143</v>
      </c>
      <c r="D386" s="612" t="s">
        <v>1</v>
      </c>
      <c r="E386" s="613">
        <v>26.55</v>
      </c>
      <c r="F386" s="611">
        <f>PC</f>
        <v>1348.6000000000001</v>
      </c>
      <c r="G386" s="611">
        <f>F386*E386</f>
        <v>35805.33</v>
      </c>
    </row>
    <row r="387" spans="1:9" ht="15.75" hidden="1" customHeight="1" outlineLevel="2">
      <c r="A387" s="613"/>
      <c r="B387" s="612"/>
      <c r="C387" s="613" t="s">
        <v>144</v>
      </c>
      <c r="D387" s="612" t="s">
        <v>40</v>
      </c>
      <c r="E387" s="613">
        <v>9.2999999999999999E-2</v>
      </c>
      <c r="F387" s="611">
        <f>sand_pasang</f>
        <v>170610</v>
      </c>
      <c r="G387" s="611">
        <f>F387*E387</f>
        <v>15866.73</v>
      </c>
    </row>
    <row r="388" spans="1:9" ht="15.75" hidden="1" customHeight="1" outlineLevel="2">
      <c r="A388" s="613"/>
      <c r="B388" s="612"/>
      <c r="C388" s="613"/>
      <c r="D388" s="612"/>
      <c r="E388" s="613"/>
      <c r="F388" s="611"/>
      <c r="G388" s="611"/>
    </row>
    <row r="389" spans="1:9" ht="15.75" hidden="1" customHeight="1" outlineLevel="2">
      <c r="A389" s="613"/>
      <c r="B389" s="612"/>
      <c r="C389" s="613" t="s">
        <v>31</v>
      </c>
      <c r="D389" s="612"/>
      <c r="E389" s="613"/>
      <c r="F389" s="611"/>
      <c r="G389" s="611"/>
    </row>
    <row r="390" spans="1:9" ht="15.75" hidden="1" customHeight="1" outlineLevel="2">
      <c r="A390" s="613"/>
      <c r="B390" s="612"/>
      <c r="C390" s="613" t="s">
        <v>145</v>
      </c>
      <c r="D390" s="612" t="s">
        <v>33</v>
      </c>
      <c r="E390" s="613">
        <v>0.2</v>
      </c>
      <c r="F390" s="611">
        <f>brick_layer</f>
        <v>107800.00000000001</v>
      </c>
      <c r="G390" s="611">
        <f>F390*E390</f>
        <v>21560.000000000004</v>
      </c>
    </row>
    <row r="391" spans="1:9" ht="15.75" hidden="1" customHeight="1" outlineLevel="2">
      <c r="A391" s="613"/>
      <c r="B391" s="612"/>
      <c r="C391" s="613" t="s">
        <v>32</v>
      </c>
      <c r="D391" s="612" t="s">
        <v>33</v>
      </c>
      <c r="E391" s="613">
        <v>0.6</v>
      </c>
      <c r="F391" s="611">
        <f>worker</f>
        <v>107800.00000000001</v>
      </c>
      <c r="G391" s="611">
        <f>F391*E391</f>
        <v>64680.000000000007</v>
      </c>
    </row>
    <row r="392" spans="1:9" ht="15.75" hidden="1" customHeight="1" outlineLevel="2">
      <c r="A392" s="613"/>
      <c r="B392" s="612"/>
      <c r="C392" s="613" t="s">
        <v>36</v>
      </c>
      <c r="D392" s="612" t="s">
        <v>33</v>
      </c>
      <c r="E392" s="613">
        <v>0.03</v>
      </c>
      <c r="F392" s="611">
        <f>supervisor</f>
        <v>119350.00000000001</v>
      </c>
      <c r="G392" s="611">
        <f>F392*E392</f>
        <v>3580.5000000000005</v>
      </c>
    </row>
    <row r="393" spans="1:9" ht="15.75" hidden="1" customHeight="1" outlineLevel="2">
      <c r="A393" s="613"/>
      <c r="B393" s="612"/>
      <c r="C393" s="613" t="s">
        <v>146</v>
      </c>
      <c r="D393" s="612" t="s">
        <v>33</v>
      </c>
      <c r="E393" s="613">
        <v>0.02</v>
      </c>
      <c r="F393" s="611">
        <f>brick_layer_chief</f>
        <v>119350.00000000001</v>
      </c>
      <c r="G393" s="611">
        <f>F393*E393</f>
        <v>2387.0000000000005</v>
      </c>
    </row>
    <row r="394" spans="1:9" ht="15.75" hidden="1" customHeight="1" outlineLevel="2">
      <c r="A394" s="613"/>
      <c r="B394" s="612"/>
      <c r="C394" s="613"/>
      <c r="D394" s="612"/>
      <c r="E394" s="613"/>
      <c r="F394" s="611"/>
      <c r="G394" s="611">
        <f>SUM(G385:G393)</f>
        <v>282479.56000000006</v>
      </c>
    </row>
    <row r="395" spans="1:9" ht="15.75" hidden="1" customHeight="1" outlineLevel="2">
      <c r="A395" s="613"/>
      <c r="B395" s="612"/>
      <c r="C395" s="613"/>
      <c r="D395" s="612"/>
      <c r="E395" s="613"/>
      <c r="F395" s="611"/>
      <c r="G395" s="611"/>
    </row>
    <row r="396" spans="1:9" ht="15.75" customHeight="1" outlineLevel="1" collapsed="1">
      <c r="A396" s="613" t="s">
        <v>2074</v>
      </c>
      <c r="B396" s="612">
        <f>B383+1</f>
        <v>6</v>
      </c>
      <c r="C396" s="613" t="s">
        <v>1610</v>
      </c>
      <c r="D396" s="612" t="s">
        <v>4</v>
      </c>
      <c r="E396" s="613"/>
      <c r="F396" s="611"/>
      <c r="G396" s="604">
        <f>G408</f>
        <v>1358467.3299999998</v>
      </c>
      <c r="I396" s="633" t="s">
        <v>867</v>
      </c>
    </row>
    <row r="397" spans="1:9" ht="15.75" hidden="1" customHeight="1" outlineLevel="2">
      <c r="A397" s="613"/>
      <c r="B397" s="612"/>
      <c r="C397" s="613"/>
      <c r="D397" s="612"/>
      <c r="E397" s="613"/>
      <c r="F397" s="611"/>
      <c r="G397" s="611"/>
    </row>
    <row r="398" spans="1:9" ht="15.75" hidden="1" customHeight="1" outlineLevel="2">
      <c r="A398" s="613"/>
      <c r="B398" s="612"/>
      <c r="C398" s="613" t="s">
        <v>20</v>
      </c>
      <c r="D398" s="612"/>
      <c r="E398" s="613"/>
      <c r="F398" s="611"/>
      <c r="G398" s="611"/>
    </row>
    <row r="399" spans="1:9" ht="15.75" hidden="1" customHeight="1" outlineLevel="2">
      <c r="A399" s="613"/>
      <c r="B399" s="612"/>
      <c r="C399" s="613" t="s">
        <v>868</v>
      </c>
      <c r="D399" s="612" t="s">
        <v>141</v>
      </c>
      <c r="E399" s="613">
        <v>30</v>
      </c>
      <c r="F399" s="611">
        <f>roster_22.22</f>
        <v>42900</v>
      </c>
      <c r="G399" s="611">
        <f>F399*E399</f>
        <v>1287000</v>
      </c>
      <c r="I399" s="633" t="s">
        <v>142</v>
      </c>
    </row>
    <row r="400" spans="1:9" ht="15.75" hidden="1" customHeight="1" outlineLevel="2">
      <c r="A400" s="613"/>
      <c r="B400" s="612"/>
      <c r="C400" s="613" t="s">
        <v>143</v>
      </c>
      <c r="D400" s="612" t="s">
        <v>1</v>
      </c>
      <c r="E400" s="613">
        <v>14</v>
      </c>
      <c r="F400" s="611">
        <f>PC</f>
        <v>1348.6000000000001</v>
      </c>
      <c r="G400" s="611">
        <f>F400*E400</f>
        <v>18880.400000000001</v>
      </c>
    </row>
    <row r="401" spans="1:10" ht="15.75" hidden="1" customHeight="1" outlineLevel="2">
      <c r="A401" s="613"/>
      <c r="B401" s="612"/>
      <c r="C401" s="613" t="s">
        <v>144</v>
      </c>
      <c r="D401" s="612" t="s">
        <v>4288</v>
      </c>
      <c r="E401" s="613">
        <v>3.7999999999999999E-2</v>
      </c>
      <c r="F401" s="611">
        <f>sand_pasang</f>
        <v>170610</v>
      </c>
      <c r="G401" s="611">
        <f>F401*E401</f>
        <v>6483.18</v>
      </c>
    </row>
    <row r="402" spans="1:10" ht="15.75" hidden="1" customHeight="1" outlineLevel="2">
      <c r="A402" s="613"/>
      <c r="B402" s="612"/>
      <c r="C402" s="613"/>
      <c r="D402" s="612"/>
      <c r="E402" s="613"/>
      <c r="F402" s="611"/>
      <c r="G402" s="611"/>
    </row>
    <row r="403" spans="1:10" ht="15.75" hidden="1" customHeight="1" outlineLevel="2">
      <c r="A403" s="613"/>
      <c r="B403" s="612"/>
      <c r="C403" s="613" t="s">
        <v>31</v>
      </c>
      <c r="D403" s="612"/>
      <c r="E403" s="613"/>
      <c r="F403" s="611"/>
      <c r="G403" s="611"/>
    </row>
    <row r="404" spans="1:10" ht="15.75" hidden="1" customHeight="1" outlineLevel="2">
      <c r="A404" s="613"/>
      <c r="B404" s="612"/>
      <c r="C404" s="613" t="s">
        <v>145</v>
      </c>
      <c r="D404" s="612" t="s">
        <v>33</v>
      </c>
      <c r="E404" s="613">
        <v>0.1</v>
      </c>
      <c r="F404" s="611">
        <f>brick_layer</f>
        <v>107800.00000000001</v>
      </c>
      <c r="G404" s="611">
        <f>F404*E404</f>
        <v>10780.000000000002</v>
      </c>
    </row>
    <row r="405" spans="1:10" ht="15.75" hidden="1" customHeight="1" outlineLevel="2">
      <c r="A405" s="613"/>
      <c r="B405" s="612"/>
      <c r="C405" s="613" t="s">
        <v>32</v>
      </c>
      <c r="D405" s="612" t="s">
        <v>33</v>
      </c>
      <c r="E405" s="613">
        <v>0.3</v>
      </c>
      <c r="F405" s="611">
        <f>worker</f>
        <v>107800.00000000001</v>
      </c>
      <c r="G405" s="611">
        <f>F405*E405</f>
        <v>32340.000000000004</v>
      </c>
    </row>
    <row r="406" spans="1:10" ht="15.75" hidden="1" customHeight="1" outlineLevel="2">
      <c r="A406" s="613"/>
      <c r="B406" s="612"/>
      <c r="C406" s="613" t="s">
        <v>36</v>
      </c>
      <c r="D406" s="612" t="s">
        <v>33</v>
      </c>
      <c r="E406" s="613">
        <v>1.4999999999999999E-2</v>
      </c>
      <c r="F406" s="611">
        <f>supervisor</f>
        <v>119350.00000000001</v>
      </c>
      <c r="G406" s="611">
        <f>F406*E406</f>
        <v>1790.2500000000002</v>
      </c>
    </row>
    <row r="407" spans="1:10" ht="18.75" hidden="1" customHeight="1" outlineLevel="2">
      <c r="A407" s="613"/>
      <c r="B407" s="612"/>
      <c r="C407" s="613" t="s">
        <v>146</v>
      </c>
      <c r="D407" s="612" t="s">
        <v>33</v>
      </c>
      <c r="E407" s="613">
        <v>0.01</v>
      </c>
      <c r="F407" s="611">
        <f>brick_layer_chief</f>
        <v>119350.00000000001</v>
      </c>
      <c r="G407" s="611">
        <f>F407*E407</f>
        <v>1193.5000000000002</v>
      </c>
    </row>
    <row r="408" spans="1:10" ht="15.75" hidden="1" customHeight="1" outlineLevel="2">
      <c r="A408" s="613"/>
      <c r="B408" s="612"/>
      <c r="C408" s="613"/>
      <c r="D408" s="612"/>
      <c r="E408" s="613"/>
      <c r="F408" s="611"/>
      <c r="G408" s="611">
        <f>SUM(G399:G407)</f>
        <v>1358467.3299999998</v>
      </c>
    </row>
    <row r="409" spans="1:10" ht="15.75" hidden="1" customHeight="1" outlineLevel="2">
      <c r="A409" s="613"/>
      <c r="B409" s="612"/>
      <c r="C409" s="613"/>
      <c r="D409" s="612"/>
      <c r="E409" s="613"/>
      <c r="F409" s="611"/>
      <c r="G409" s="611"/>
    </row>
    <row r="410" spans="1:10" ht="15.75" customHeight="1" outlineLevel="1" collapsed="1">
      <c r="A410" s="613" t="s">
        <v>2074</v>
      </c>
      <c r="B410" s="592">
        <f>B396+1</f>
        <v>7</v>
      </c>
      <c r="C410" s="613" t="s">
        <v>1611</v>
      </c>
      <c r="D410" s="612" t="s">
        <v>4</v>
      </c>
      <c r="E410" s="613"/>
      <c r="F410" s="611"/>
      <c r="G410" s="604">
        <f>G421</f>
        <v>78976.347999999998</v>
      </c>
      <c r="I410" s="633" t="s">
        <v>148</v>
      </c>
      <c r="J410" s="633" t="s">
        <v>2073</v>
      </c>
    </row>
    <row r="411" spans="1:10" ht="15.75" hidden="1" customHeight="1" outlineLevel="2">
      <c r="A411" s="613"/>
      <c r="B411" s="612"/>
      <c r="C411" s="613"/>
      <c r="D411" s="612"/>
      <c r="E411" s="613"/>
      <c r="F411" s="611"/>
      <c r="G411" s="611"/>
    </row>
    <row r="412" spans="1:10" ht="15.75" hidden="1" customHeight="1" outlineLevel="2">
      <c r="A412" s="613"/>
      <c r="B412" s="612"/>
      <c r="C412" s="613" t="s">
        <v>20</v>
      </c>
      <c r="D412" s="612"/>
      <c r="E412" s="613"/>
      <c r="F412" s="611"/>
      <c r="G412" s="611"/>
    </row>
    <row r="413" spans="1:10" ht="15.75" hidden="1" customHeight="1" outlineLevel="2">
      <c r="A413" s="613"/>
      <c r="B413" s="612"/>
      <c r="C413" s="613" t="s">
        <v>143</v>
      </c>
      <c r="D413" s="612" t="s">
        <v>1</v>
      </c>
      <c r="E413" s="613">
        <v>6.28</v>
      </c>
      <c r="F413" s="611">
        <f>PC</f>
        <v>1348.6000000000001</v>
      </c>
      <c r="G413" s="611">
        <f>F413*E413</f>
        <v>8469.2080000000005</v>
      </c>
    </row>
    <row r="414" spans="1:10" ht="15.75" hidden="1" customHeight="1" outlineLevel="2">
      <c r="A414" s="613"/>
      <c r="B414" s="612"/>
      <c r="C414" s="613" t="s">
        <v>144</v>
      </c>
      <c r="D414" s="612" t="s">
        <v>4288</v>
      </c>
      <c r="E414" s="613">
        <v>2.4E-2</v>
      </c>
      <c r="F414" s="611">
        <f>sand_pasang</f>
        <v>170610</v>
      </c>
      <c r="G414" s="611">
        <f>F414*E414</f>
        <v>4094.64</v>
      </c>
    </row>
    <row r="415" spans="1:10" ht="15.75" hidden="1" customHeight="1" outlineLevel="2">
      <c r="A415" s="613"/>
      <c r="B415" s="612"/>
      <c r="C415" s="613"/>
      <c r="D415" s="612"/>
      <c r="E415" s="613"/>
      <c r="F415" s="611"/>
      <c r="G415" s="611"/>
    </row>
    <row r="416" spans="1:10" ht="15.75" hidden="1" customHeight="1" outlineLevel="2">
      <c r="A416" s="613"/>
      <c r="B416" s="612"/>
      <c r="C416" s="613" t="s">
        <v>31</v>
      </c>
      <c r="D416" s="612"/>
      <c r="E416" s="613"/>
      <c r="F416" s="611"/>
      <c r="G416" s="611"/>
    </row>
    <row r="417" spans="1:10" ht="15.75" hidden="1" customHeight="1" outlineLevel="2">
      <c r="A417" s="613"/>
      <c r="B417" s="612"/>
      <c r="C417" s="613" t="s">
        <v>145</v>
      </c>
      <c r="D417" s="612" t="s">
        <v>33</v>
      </c>
      <c r="E417" s="613">
        <v>0.19</v>
      </c>
      <c r="F417" s="611">
        <f>brick_layer</f>
        <v>107800.00000000001</v>
      </c>
      <c r="G417" s="611">
        <f>F417*E417</f>
        <v>20482.000000000004</v>
      </c>
    </row>
    <row r="418" spans="1:10" ht="15.75" hidden="1" customHeight="1" outlineLevel="2">
      <c r="A418" s="613"/>
      <c r="B418" s="612"/>
      <c r="C418" s="613" t="s">
        <v>32</v>
      </c>
      <c r="D418" s="612" t="s">
        <v>33</v>
      </c>
      <c r="E418" s="613">
        <v>0.38400000000000001</v>
      </c>
      <c r="F418" s="611">
        <f>worker</f>
        <v>107800.00000000001</v>
      </c>
      <c r="G418" s="611">
        <f>F418*E418</f>
        <v>41395.200000000004</v>
      </c>
    </row>
    <row r="419" spans="1:10" ht="15.75" hidden="1" customHeight="1" outlineLevel="2">
      <c r="A419" s="613"/>
      <c r="B419" s="612"/>
      <c r="C419" s="613" t="s">
        <v>1067</v>
      </c>
      <c r="D419" s="612" t="s">
        <v>33</v>
      </c>
      <c r="E419" s="613">
        <v>1.9E-2</v>
      </c>
      <c r="F419" s="611">
        <f>supervisor</f>
        <v>119350.00000000001</v>
      </c>
      <c r="G419" s="611">
        <f>F419*E419</f>
        <v>2267.65</v>
      </c>
    </row>
    <row r="420" spans="1:10" ht="15.75" hidden="1" customHeight="1" outlineLevel="2">
      <c r="A420" s="613"/>
      <c r="B420" s="612"/>
      <c r="C420" s="613" t="s">
        <v>149</v>
      </c>
      <c r="D420" s="612" t="s">
        <v>33</v>
      </c>
      <c r="E420" s="613">
        <v>1.9E-2</v>
      </c>
      <c r="F420" s="611">
        <f>brick_layer_chief</f>
        <v>119350.00000000001</v>
      </c>
      <c r="G420" s="611">
        <f>F420*E420</f>
        <v>2267.65</v>
      </c>
    </row>
    <row r="421" spans="1:10" ht="15.75" hidden="1" customHeight="1" outlineLevel="2">
      <c r="A421" s="613"/>
      <c r="B421" s="612"/>
      <c r="C421" s="613"/>
      <c r="D421" s="612"/>
      <c r="E421" s="613"/>
      <c r="F421" s="611"/>
      <c r="G421" s="611">
        <f>SUM(G413:G420)</f>
        <v>78976.347999999998</v>
      </c>
    </row>
    <row r="422" spans="1:10" ht="15.75" hidden="1" customHeight="1" outlineLevel="2">
      <c r="A422" s="613"/>
      <c r="B422" s="612"/>
      <c r="C422" s="613"/>
      <c r="D422" s="612"/>
      <c r="E422" s="613"/>
      <c r="F422" s="611"/>
      <c r="G422" s="611"/>
    </row>
    <row r="423" spans="1:10" ht="15.75" customHeight="1" outlineLevel="1" collapsed="1">
      <c r="A423" s="613" t="s">
        <v>2074</v>
      </c>
      <c r="B423" s="592">
        <f>B410+1</f>
        <v>8</v>
      </c>
      <c r="C423" s="613" t="s">
        <v>1612</v>
      </c>
      <c r="D423" s="612" t="s">
        <v>4</v>
      </c>
      <c r="E423" s="613"/>
      <c r="F423" s="611"/>
      <c r="G423" s="604">
        <f>G434</f>
        <v>83612.786399999997</v>
      </c>
      <c r="I423" s="633" t="s">
        <v>150</v>
      </c>
      <c r="J423" s="633" t="s">
        <v>2073</v>
      </c>
    </row>
    <row r="424" spans="1:10" ht="15.75" hidden="1" customHeight="1" outlineLevel="2">
      <c r="A424" s="613"/>
      <c r="B424" s="612"/>
      <c r="C424" s="613"/>
      <c r="D424" s="612"/>
      <c r="E424" s="613"/>
      <c r="F424" s="611"/>
      <c r="G424" s="611"/>
    </row>
    <row r="425" spans="1:10" ht="15.75" hidden="1" customHeight="1" outlineLevel="2">
      <c r="A425" s="613"/>
      <c r="B425" s="612"/>
      <c r="C425" s="613" t="s">
        <v>20</v>
      </c>
      <c r="D425" s="612"/>
      <c r="E425" s="613"/>
      <c r="F425" s="611"/>
      <c r="G425" s="611"/>
    </row>
    <row r="426" spans="1:10" ht="15.75" hidden="1" customHeight="1" outlineLevel="2">
      <c r="A426" s="613"/>
      <c r="B426" s="612"/>
      <c r="C426" s="613" t="s">
        <v>143</v>
      </c>
      <c r="D426" s="612" t="s">
        <v>1</v>
      </c>
      <c r="E426" s="613">
        <v>10.224</v>
      </c>
      <c r="F426" s="611">
        <f>PC</f>
        <v>1348.6000000000001</v>
      </c>
      <c r="G426" s="611">
        <f>F426*E426</f>
        <v>13788.086400000002</v>
      </c>
    </row>
    <row r="427" spans="1:10" ht="15.75" hidden="1" customHeight="1" outlineLevel="2">
      <c r="A427" s="613"/>
      <c r="B427" s="612"/>
      <c r="C427" s="613" t="s">
        <v>144</v>
      </c>
      <c r="D427" s="612" t="s">
        <v>4288</v>
      </c>
      <c r="E427" s="613">
        <v>0.02</v>
      </c>
      <c r="F427" s="611">
        <f>sand_pasang</f>
        <v>170610</v>
      </c>
      <c r="G427" s="611">
        <f>F427*E427</f>
        <v>3412.2000000000003</v>
      </c>
    </row>
    <row r="428" spans="1:10" ht="15.75" hidden="1" customHeight="1" outlineLevel="2">
      <c r="A428" s="613"/>
      <c r="B428" s="612"/>
      <c r="C428" s="613"/>
      <c r="D428" s="612"/>
      <c r="E428" s="613"/>
      <c r="F428" s="611"/>
      <c r="G428" s="611"/>
    </row>
    <row r="429" spans="1:10" ht="15.75" hidden="1" customHeight="1" outlineLevel="2">
      <c r="A429" s="613"/>
      <c r="B429" s="612"/>
      <c r="C429" s="613" t="s">
        <v>31</v>
      </c>
      <c r="D429" s="612"/>
      <c r="E429" s="613"/>
      <c r="F429" s="611"/>
      <c r="G429" s="611"/>
    </row>
    <row r="430" spans="1:10" ht="15.75" hidden="1" customHeight="1" outlineLevel="2">
      <c r="A430" s="613"/>
      <c r="B430" s="612"/>
      <c r="C430" s="613" t="s">
        <v>145</v>
      </c>
      <c r="D430" s="612" t="s">
        <v>33</v>
      </c>
      <c r="E430" s="613">
        <v>0.19</v>
      </c>
      <c r="F430" s="611">
        <f>brick_layer</f>
        <v>107800.00000000001</v>
      </c>
      <c r="G430" s="611">
        <f>F430*E430</f>
        <v>20482.000000000004</v>
      </c>
    </row>
    <row r="431" spans="1:10" ht="15.75" hidden="1" customHeight="1" outlineLevel="2">
      <c r="A431" s="613"/>
      <c r="B431" s="612"/>
      <c r="C431" s="613" t="s">
        <v>32</v>
      </c>
      <c r="D431" s="612" t="s">
        <v>33</v>
      </c>
      <c r="E431" s="613">
        <v>0.38400000000000001</v>
      </c>
      <c r="F431" s="611">
        <f>worker</f>
        <v>107800.00000000001</v>
      </c>
      <c r="G431" s="611">
        <f>F431*E431</f>
        <v>41395.200000000004</v>
      </c>
    </row>
    <row r="432" spans="1:10" ht="15.75" hidden="1" customHeight="1" outlineLevel="2">
      <c r="A432" s="613"/>
      <c r="B432" s="612"/>
      <c r="C432" s="613" t="s">
        <v>36</v>
      </c>
      <c r="D432" s="612" t="s">
        <v>33</v>
      </c>
      <c r="E432" s="613">
        <v>1.9E-2</v>
      </c>
      <c r="F432" s="611">
        <f>supervisor</f>
        <v>119350.00000000001</v>
      </c>
      <c r="G432" s="611">
        <f>F432*E432</f>
        <v>2267.65</v>
      </c>
    </row>
    <row r="433" spans="1:9" ht="15.75" hidden="1" customHeight="1" outlineLevel="2">
      <c r="A433" s="613"/>
      <c r="B433" s="612"/>
      <c r="C433" s="613" t="s">
        <v>149</v>
      </c>
      <c r="D433" s="612" t="s">
        <v>33</v>
      </c>
      <c r="E433" s="613">
        <v>1.9E-2</v>
      </c>
      <c r="F433" s="611">
        <f>brick_layer_chief</f>
        <v>119350.00000000001</v>
      </c>
      <c r="G433" s="611">
        <f>F433*E433</f>
        <v>2267.65</v>
      </c>
    </row>
    <row r="434" spans="1:9" ht="15.75" hidden="1" customHeight="1" outlineLevel="2">
      <c r="A434" s="613"/>
      <c r="B434" s="612"/>
      <c r="C434" s="613"/>
      <c r="D434" s="612"/>
      <c r="E434" s="613"/>
      <c r="F434" s="611"/>
      <c r="G434" s="611">
        <f>SUM(G426:G433)</f>
        <v>83612.786399999997</v>
      </c>
    </row>
    <row r="435" spans="1:9" ht="15.75" hidden="1" customHeight="1" outlineLevel="2">
      <c r="A435" s="613"/>
      <c r="B435" s="612"/>
      <c r="C435" s="613"/>
      <c r="D435" s="612"/>
      <c r="E435" s="613"/>
      <c r="F435" s="611"/>
      <c r="G435" s="611"/>
    </row>
    <row r="436" spans="1:9" ht="15.75" customHeight="1" outlineLevel="1" collapsed="1">
      <c r="A436" s="613" t="s">
        <v>2074</v>
      </c>
      <c r="B436" s="612">
        <f>B423+1</f>
        <v>9</v>
      </c>
      <c r="C436" s="613" t="s">
        <v>2072</v>
      </c>
      <c r="D436" s="612" t="s">
        <v>4</v>
      </c>
      <c r="E436" s="613"/>
      <c r="F436" s="611"/>
      <c r="G436" s="603">
        <f>G447</f>
        <v>83612.786399999997</v>
      </c>
      <c r="I436" s="633" t="s">
        <v>2073</v>
      </c>
    </row>
    <row r="437" spans="1:9" ht="15.75" hidden="1" customHeight="1" outlineLevel="2">
      <c r="A437" s="613"/>
      <c r="B437" s="612"/>
      <c r="C437" s="613"/>
      <c r="D437" s="612"/>
      <c r="E437" s="613"/>
      <c r="F437" s="611"/>
      <c r="G437" s="611"/>
    </row>
    <row r="438" spans="1:9" ht="15.75" hidden="1" customHeight="1" outlineLevel="2">
      <c r="A438" s="613"/>
      <c r="B438" s="612"/>
      <c r="C438" s="613" t="s">
        <v>20</v>
      </c>
      <c r="D438" s="612"/>
      <c r="E438" s="613"/>
      <c r="F438" s="611"/>
      <c r="G438" s="611"/>
    </row>
    <row r="439" spans="1:9" ht="15.75" hidden="1" customHeight="1" outlineLevel="2">
      <c r="A439" s="613"/>
      <c r="B439" s="612"/>
      <c r="C439" s="613" t="s">
        <v>143</v>
      </c>
      <c r="D439" s="612" t="s">
        <v>1</v>
      </c>
      <c r="E439" s="613">
        <v>10.224</v>
      </c>
      <c r="F439" s="611">
        <f>PC</f>
        <v>1348.6000000000001</v>
      </c>
      <c r="G439" s="611">
        <f>F439*E439</f>
        <v>13788.086400000002</v>
      </c>
    </row>
    <row r="440" spans="1:9" ht="15.75" hidden="1" customHeight="1" outlineLevel="2">
      <c r="A440" s="613"/>
      <c r="B440" s="612"/>
      <c r="C440" s="613" t="s">
        <v>144</v>
      </c>
      <c r="D440" s="612" t="s">
        <v>4288</v>
      </c>
      <c r="E440" s="613">
        <v>0.02</v>
      </c>
      <c r="F440" s="611">
        <f>sand_pasang</f>
        <v>170610</v>
      </c>
      <c r="G440" s="611">
        <f>F440*E440</f>
        <v>3412.2000000000003</v>
      </c>
    </row>
    <row r="441" spans="1:9" ht="15.75" hidden="1" customHeight="1" outlineLevel="2">
      <c r="A441" s="613"/>
      <c r="B441" s="612"/>
      <c r="C441" s="613"/>
      <c r="D441" s="612"/>
      <c r="E441" s="613"/>
      <c r="F441" s="611"/>
      <c r="G441" s="611"/>
    </row>
    <row r="442" spans="1:9" ht="15.75" hidden="1" customHeight="1" outlineLevel="2">
      <c r="A442" s="613"/>
      <c r="B442" s="612"/>
      <c r="C442" s="613" t="s">
        <v>31</v>
      </c>
      <c r="D442" s="612"/>
      <c r="E442" s="613"/>
      <c r="F442" s="611"/>
      <c r="G442" s="611"/>
    </row>
    <row r="443" spans="1:9" ht="15.75" hidden="1" customHeight="1" outlineLevel="2">
      <c r="A443" s="613"/>
      <c r="B443" s="612"/>
      <c r="C443" s="613" t="s">
        <v>145</v>
      </c>
      <c r="D443" s="612" t="s">
        <v>33</v>
      </c>
      <c r="E443" s="613">
        <v>0.19</v>
      </c>
      <c r="F443" s="611">
        <f>brick_layer</f>
        <v>107800.00000000001</v>
      </c>
      <c r="G443" s="611">
        <f>F443*E443</f>
        <v>20482.000000000004</v>
      </c>
    </row>
    <row r="444" spans="1:9" ht="15.75" hidden="1" customHeight="1" outlineLevel="2">
      <c r="A444" s="613"/>
      <c r="B444" s="612"/>
      <c r="C444" s="613" t="s">
        <v>32</v>
      </c>
      <c r="D444" s="612" t="s">
        <v>33</v>
      </c>
      <c r="E444" s="613">
        <v>0.38400000000000001</v>
      </c>
      <c r="F444" s="611">
        <f>worker</f>
        <v>107800.00000000001</v>
      </c>
      <c r="G444" s="611">
        <f>F444*E444</f>
        <v>41395.200000000004</v>
      </c>
    </row>
    <row r="445" spans="1:9" ht="15.75" hidden="1" customHeight="1" outlineLevel="2">
      <c r="A445" s="613"/>
      <c r="B445" s="612"/>
      <c r="C445" s="613" t="s">
        <v>36</v>
      </c>
      <c r="D445" s="612" t="s">
        <v>33</v>
      </c>
      <c r="E445" s="613">
        <v>1.9E-2</v>
      </c>
      <c r="F445" s="611">
        <f>supervisor</f>
        <v>119350.00000000001</v>
      </c>
      <c r="G445" s="611">
        <f>F445*E445</f>
        <v>2267.65</v>
      </c>
    </row>
    <row r="446" spans="1:9" ht="15.75" hidden="1" customHeight="1" outlineLevel="2">
      <c r="A446" s="613"/>
      <c r="B446" s="612"/>
      <c r="C446" s="613" t="s">
        <v>149</v>
      </c>
      <c r="D446" s="612" t="s">
        <v>33</v>
      </c>
      <c r="E446" s="613">
        <v>1.9E-2</v>
      </c>
      <c r="F446" s="611">
        <f>brick_layer_chief</f>
        <v>119350.00000000001</v>
      </c>
      <c r="G446" s="611">
        <f>F446*E446</f>
        <v>2267.65</v>
      </c>
    </row>
    <row r="447" spans="1:9" ht="15.75" hidden="1" customHeight="1" outlineLevel="2">
      <c r="A447" s="613"/>
      <c r="B447" s="612"/>
      <c r="C447" s="613"/>
      <c r="D447" s="612"/>
      <c r="E447" s="613"/>
      <c r="F447" s="611"/>
      <c r="G447" s="611">
        <f>SUM(G439:G446)</f>
        <v>83612.786399999997</v>
      </c>
    </row>
    <row r="448" spans="1:9" ht="15.75" hidden="1" customHeight="1" outlineLevel="2">
      <c r="A448" s="613"/>
      <c r="B448" s="612"/>
      <c r="C448" s="613"/>
      <c r="D448" s="612"/>
      <c r="E448" s="613"/>
      <c r="F448" s="611"/>
      <c r="G448" s="611"/>
    </row>
    <row r="449" spans="1:9" ht="15.75" customHeight="1" outlineLevel="1" collapsed="1">
      <c r="A449" s="613" t="s">
        <v>2074</v>
      </c>
      <c r="B449" s="592">
        <f>B436+1</f>
        <v>10</v>
      </c>
      <c r="C449" s="613" t="s">
        <v>1534</v>
      </c>
      <c r="D449" s="612" t="s">
        <v>4</v>
      </c>
      <c r="E449" s="613"/>
      <c r="F449" s="611"/>
      <c r="G449" s="603">
        <f>G459</f>
        <v>39109.950000000004</v>
      </c>
      <c r="I449" s="633" t="s">
        <v>151</v>
      </c>
    </row>
    <row r="450" spans="1:9" ht="15.75" hidden="1" customHeight="1" outlineLevel="2">
      <c r="A450" s="613"/>
      <c r="B450" s="612"/>
      <c r="C450" s="613"/>
      <c r="D450" s="612"/>
      <c r="E450" s="613"/>
      <c r="F450" s="611"/>
      <c r="G450" s="611"/>
    </row>
    <row r="451" spans="1:9" ht="15.75" hidden="1" customHeight="1" outlineLevel="2">
      <c r="A451" s="613"/>
      <c r="B451" s="612"/>
      <c r="C451" s="613" t="s">
        <v>20</v>
      </c>
      <c r="D451" s="612"/>
      <c r="E451" s="613"/>
      <c r="F451" s="611"/>
      <c r="G451" s="611"/>
    </row>
    <row r="452" spans="1:9" ht="15.75" hidden="1" customHeight="1" outlineLevel="2">
      <c r="A452" s="613"/>
      <c r="B452" s="612"/>
      <c r="C452" s="613" t="s">
        <v>143</v>
      </c>
      <c r="D452" s="612" t="s">
        <v>1</v>
      </c>
      <c r="E452" s="613">
        <v>3.25</v>
      </c>
      <c r="F452" s="611">
        <f>PC</f>
        <v>1348.6000000000001</v>
      </c>
      <c r="G452" s="611">
        <f>F452*E452</f>
        <v>4382.9500000000007</v>
      </c>
    </row>
    <row r="453" spans="1:9" ht="15.75" hidden="1" customHeight="1" outlineLevel="2">
      <c r="A453" s="613"/>
      <c r="B453" s="612"/>
      <c r="C453" s="613"/>
      <c r="D453" s="612"/>
      <c r="E453" s="613"/>
      <c r="F453" s="611"/>
      <c r="G453" s="611"/>
    </row>
    <row r="454" spans="1:9" ht="15.75" hidden="1" customHeight="1" outlineLevel="2">
      <c r="A454" s="613"/>
      <c r="B454" s="612"/>
      <c r="C454" s="613" t="s">
        <v>31</v>
      </c>
      <c r="D454" s="612"/>
      <c r="E454" s="613"/>
      <c r="F454" s="611"/>
      <c r="G454" s="611"/>
    </row>
    <row r="455" spans="1:9" ht="15.75" hidden="1" customHeight="1" outlineLevel="2">
      <c r="A455" s="613"/>
      <c r="B455" s="612"/>
      <c r="C455" s="613" t="s">
        <v>145</v>
      </c>
      <c r="D455" s="612" t="s">
        <v>33</v>
      </c>
      <c r="E455" s="613">
        <v>0.1</v>
      </c>
      <c r="F455" s="611">
        <f>brick_layer</f>
        <v>107800.00000000001</v>
      </c>
      <c r="G455" s="611">
        <f>F455*E455</f>
        <v>10780.000000000002</v>
      </c>
    </row>
    <row r="456" spans="1:9" ht="15.75" hidden="1" customHeight="1" outlineLevel="2">
      <c r="A456" s="613"/>
      <c r="B456" s="612"/>
      <c r="C456" s="613" t="s">
        <v>32</v>
      </c>
      <c r="D456" s="612" t="s">
        <v>33</v>
      </c>
      <c r="E456" s="613">
        <v>0.2</v>
      </c>
      <c r="F456" s="611">
        <f>worker</f>
        <v>107800.00000000001</v>
      </c>
      <c r="G456" s="611">
        <f>F456*E456</f>
        <v>21560.000000000004</v>
      </c>
    </row>
    <row r="457" spans="1:9" ht="15.75" hidden="1" customHeight="1" outlineLevel="2">
      <c r="A457" s="613"/>
      <c r="B457" s="612"/>
      <c r="C457" s="613" t="s">
        <v>36</v>
      </c>
      <c r="D457" s="612" t="s">
        <v>33</v>
      </c>
      <c r="E457" s="613">
        <v>0.01</v>
      </c>
      <c r="F457" s="611">
        <f>supervisor</f>
        <v>119350.00000000001</v>
      </c>
      <c r="G457" s="611">
        <f>F457*E457</f>
        <v>1193.5000000000002</v>
      </c>
    </row>
    <row r="458" spans="1:9" ht="15.75" hidden="1" customHeight="1" outlineLevel="2">
      <c r="A458" s="613"/>
      <c r="B458" s="612"/>
      <c r="C458" s="613" t="s">
        <v>149</v>
      </c>
      <c r="D458" s="612" t="s">
        <v>33</v>
      </c>
      <c r="E458" s="613">
        <v>0.01</v>
      </c>
      <c r="F458" s="611">
        <f>brick_layer_chief</f>
        <v>119350.00000000001</v>
      </c>
      <c r="G458" s="611">
        <f>F458*E458</f>
        <v>1193.5000000000002</v>
      </c>
    </row>
    <row r="459" spans="1:9" ht="15.75" hidden="1" customHeight="1" outlineLevel="2">
      <c r="A459" s="613"/>
      <c r="B459" s="612"/>
      <c r="C459" s="613"/>
      <c r="D459" s="612"/>
      <c r="E459" s="613"/>
      <c r="F459" s="611"/>
      <c r="G459" s="611">
        <f>SUM(G452:G458)</f>
        <v>39109.950000000004</v>
      </c>
    </row>
    <row r="460" spans="1:9" ht="15.75" hidden="1" customHeight="1" outlineLevel="2">
      <c r="A460" s="613"/>
      <c r="B460" s="612"/>
      <c r="C460" s="613"/>
      <c r="D460" s="612"/>
      <c r="E460" s="613"/>
      <c r="F460" s="611"/>
      <c r="G460" s="611"/>
    </row>
    <row r="461" spans="1:9" ht="15.75" customHeight="1" outlineLevel="1" collapsed="1">
      <c r="A461" s="613" t="s">
        <v>2074</v>
      </c>
      <c r="B461" s="612">
        <f>B449+1</f>
        <v>11</v>
      </c>
      <c r="C461" s="613" t="s">
        <v>1613</v>
      </c>
      <c r="D461" s="612" t="s">
        <v>4</v>
      </c>
      <c r="E461" s="613"/>
      <c r="F461" s="611"/>
      <c r="G461" s="604">
        <f>G472</f>
        <v>59484.490000000005</v>
      </c>
      <c r="I461" s="633" t="s">
        <v>124</v>
      </c>
    </row>
    <row r="462" spans="1:9" ht="15.75" hidden="1" customHeight="1" outlineLevel="2">
      <c r="A462" s="613"/>
      <c r="B462" s="612"/>
      <c r="C462" s="613"/>
      <c r="D462" s="612"/>
      <c r="E462" s="613"/>
      <c r="F462" s="611"/>
      <c r="G462" s="611"/>
    </row>
    <row r="463" spans="1:9" ht="15.75" hidden="1" customHeight="1" outlineLevel="2">
      <c r="A463" s="613"/>
      <c r="B463" s="612"/>
      <c r="C463" s="613" t="s">
        <v>20</v>
      </c>
      <c r="D463" s="612"/>
      <c r="E463" s="613"/>
      <c r="F463" s="611"/>
      <c r="G463" s="611"/>
    </row>
    <row r="464" spans="1:9" ht="15.75" hidden="1" customHeight="1" outlineLevel="2">
      <c r="A464" s="613"/>
      <c r="B464" s="612"/>
      <c r="C464" s="613" t="s">
        <v>143</v>
      </c>
      <c r="D464" s="612" t="s">
        <v>1</v>
      </c>
      <c r="E464" s="613">
        <v>4.34</v>
      </c>
      <c r="F464" s="611">
        <f>'[54]Basic price '!E9</f>
        <v>1366</v>
      </c>
      <c r="G464" s="611">
        <f>F464*E464</f>
        <v>5928.44</v>
      </c>
    </row>
    <row r="465" spans="1:9" ht="15.75" hidden="1" customHeight="1" outlineLevel="2">
      <c r="A465" s="613"/>
      <c r="B465" s="612"/>
      <c r="C465" s="613" t="s">
        <v>144</v>
      </c>
      <c r="D465" s="612" t="s">
        <v>4288</v>
      </c>
      <c r="E465" s="613">
        <v>0.04</v>
      </c>
      <c r="F465" s="611">
        <f>'[54]Basic price '!E19</f>
        <v>195300</v>
      </c>
      <c r="G465" s="611">
        <f>F465*E465</f>
        <v>7812</v>
      </c>
    </row>
    <row r="466" spans="1:9" ht="15.75" hidden="1" customHeight="1" outlineLevel="2">
      <c r="A466" s="613"/>
      <c r="B466" s="612"/>
      <c r="C466" s="613"/>
      <c r="D466" s="612"/>
      <c r="E466" s="613"/>
      <c r="F466" s="611"/>
      <c r="G466" s="611"/>
    </row>
    <row r="467" spans="1:9" ht="15.75" hidden="1" customHeight="1" outlineLevel="2">
      <c r="A467" s="613"/>
      <c r="B467" s="612"/>
      <c r="C467" s="613" t="s">
        <v>31</v>
      </c>
      <c r="D467" s="612"/>
      <c r="E467" s="613"/>
      <c r="F467" s="611"/>
      <c r="G467" s="611"/>
    </row>
    <row r="468" spans="1:9" ht="15.75" hidden="1" customHeight="1" outlineLevel="2">
      <c r="A468" s="613"/>
      <c r="B468" s="612"/>
      <c r="C468" s="613" t="s">
        <v>145</v>
      </c>
      <c r="D468" s="612" t="s">
        <v>33</v>
      </c>
      <c r="E468" s="613">
        <v>0.1</v>
      </c>
      <c r="F468" s="611">
        <f>'[54]Basic price '!E217</f>
        <v>121230</v>
      </c>
      <c r="G468" s="611">
        <f>F468*E468</f>
        <v>12123</v>
      </c>
    </row>
    <row r="469" spans="1:9" ht="15.75" hidden="1" customHeight="1" outlineLevel="2">
      <c r="A469" s="613"/>
      <c r="B469" s="612"/>
      <c r="C469" s="613" t="s">
        <v>35</v>
      </c>
      <c r="D469" s="612" t="s">
        <v>33</v>
      </c>
      <c r="E469" s="613">
        <v>0.01</v>
      </c>
      <c r="F469" s="611">
        <f>brick_layer_chief</f>
        <v>119350.00000000001</v>
      </c>
      <c r="G469" s="611">
        <f>F469*E469</f>
        <v>1193.5000000000002</v>
      </c>
    </row>
    <row r="470" spans="1:9" ht="15.75" hidden="1" customHeight="1" outlineLevel="2">
      <c r="A470" s="613"/>
      <c r="B470" s="612"/>
      <c r="C470" s="613" t="s">
        <v>32</v>
      </c>
      <c r="D470" s="612" t="s">
        <v>33</v>
      </c>
      <c r="E470" s="613">
        <v>0.3</v>
      </c>
      <c r="F470" s="611">
        <f>'[54]Basic price '!E211</f>
        <v>102920</v>
      </c>
      <c r="G470" s="611">
        <f>F470*E470</f>
        <v>30876</v>
      </c>
    </row>
    <row r="471" spans="1:9" ht="15.75" hidden="1" customHeight="1" outlineLevel="2">
      <c r="A471" s="613"/>
      <c r="B471" s="612"/>
      <c r="C471" s="613" t="s">
        <v>1067</v>
      </c>
      <c r="D471" s="612" t="s">
        <v>33</v>
      </c>
      <c r="E471" s="613">
        <v>0.01</v>
      </c>
      <c r="F471" s="611">
        <f>supervisor_Asli</f>
        <v>155155</v>
      </c>
      <c r="G471" s="611">
        <f>F471*E471</f>
        <v>1551.55</v>
      </c>
    </row>
    <row r="472" spans="1:9" ht="15.75" hidden="1" customHeight="1" outlineLevel="2">
      <c r="A472" s="613"/>
      <c r="B472" s="612"/>
      <c r="C472" s="613"/>
      <c r="D472" s="612"/>
      <c r="E472" s="613"/>
      <c r="F472" s="611"/>
      <c r="G472" s="611">
        <f>SUM(G464:G471)</f>
        <v>59484.490000000005</v>
      </c>
    </row>
    <row r="473" spans="1:9" ht="15.75" customHeight="1" outlineLevel="1" collapsed="1">
      <c r="A473" s="613" t="s">
        <v>2074</v>
      </c>
      <c r="B473" s="612">
        <f>B461+1</f>
        <v>12</v>
      </c>
      <c r="C473" s="613" t="s">
        <v>1614</v>
      </c>
      <c r="D473" s="612" t="s">
        <v>4</v>
      </c>
      <c r="E473" s="613"/>
      <c r="F473" s="611"/>
      <c r="G473" s="604">
        <f>G484</f>
        <v>64259.998000000007</v>
      </c>
      <c r="I473" s="633" t="s">
        <v>124</v>
      </c>
    </row>
    <row r="474" spans="1:9" ht="15.75" hidden="1" customHeight="1" outlineLevel="2">
      <c r="A474" s="613"/>
      <c r="B474" s="612"/>
      <c r="C474" s="613"/>
      <c r="D474" s="612"/>
      <c r="E474" s="613"/>
      <c r="F474" s="611"/>
      <c r="G474" s="611"/>
    </row>
    <row r="475" spans="1:9" ht="15.75" hidden="1" customHeight="1" outlineLevel="2">
      <c r="A475" s="613"/>
      <c r="B475" s="612"/>
      <c r="C475" s="613" t="s">
        <v>20</v>
      </c>
      <c r="D475" s="612"/>
      <c r="E475" s="613"/>
      <c r="F475" s="611"/>
      <c r="G475" s="611"/>
    </row>
    <row r="476" spans="1:9" ht="15.75" hidden="1" customHeight="1" outlineLevel="2">
      <c r="A476" s="613"/>
      <c r="B476" s="612"/>
      <c r="C476" s="613" t="s">
        <v>143</v>
      </c>
      <c r="D476" s="612" t="s">
        <v>1</v>
      </c>
      <c r="E476" s="613">
        <v>5.18</v>
      </c>
      <c r="F476" s="611">
        <f>PC</f>
        <v>1348.6000000000001</v>
      </c>
      <c r="G476" s="611">
        <f>F476*E476</f>
        <v>6985.7480000000005</v>
      </c>
    </row>
    <row r="477" spans="1:9" ht="15.75" hidden="1" customHeight="1" outlineLevel="2">
      <c r="A477" s="613"/>
      <c r="B477" s="612"/>
      <c r="C477" s="613" t="s">
        <v>144</v>
      </c>
      <c r="D477" s="612" t="s">
        <v>4288</v>
      </c>
      <c r="E477" s="613">
        <v>0.04</v>
      </c>
      <c r="F477" s="611">
        <f>sand</f>
        <v>285230</v>
      </c>
      <c r="G477" s="611">
        <f>F477*E477</f>
        <v>11409.2</v>
      </c>
    </row>
    <row r="478" spans="1:9" ht="15.75" hidden="1" customHeight="1" outlineLevel="2">
      <c r="A478" s="613"/>
      <c r="B478" s="612"/>
      <c r="C478" s="613"/>
      <c r="D478" s="612"/>
      <c r="E478" s="613"/>
      <c r="F478" s="611"/>
      <c r="G478" s="611"/>
    </row>
    <row r="479" spans="1:9" ht="15.75" hidden="1" customHeight="1" outlineLevel="2">
      <c r="A479" s="613"/>
      <c r="B479" s="612"/>
      <c r="C479" s="613" t="s">
        <v>31</v>
      </c>
      <c r="D479" s="612"/>
      <c r="E479" s="613"/>
      <c r="F479" s="611"/>
      <c r="G479" s="611"/>
    </row>
    <row r="480" spans="1:9" ht="15.75" hidden="1" customHeight="1" outlineLevel="2">
      <c r="A480" s="613"/>
      <c r="B480" s="612"/>
      <c r="C480" s="613" t="s">
        <v>145</v>
      </c>
      <c r="D480" s="612" t="s">
        <v>33</v>
      </c>
      <c r="E480" s="613">
        <v>0.1</v>
      </c>
      <c r="F480" s="611">
        <f>brick_layer</f>
        <v>107800.00000000001</v>
      </c>
      <c r="G480" s="611">
        <f>F480*E480</f>
        <v>10780.000000000002</v>
      </c>
    </row>
    <row r="481" spans="1:9" ht="15.75" hidden="1" customHeight="1" outlineLevel="2">
      <c r="A481" s="613"/>
      <c r="B481" s="612"/>
      <c r="C481" s="613" t="s">
        <v>35</v>
      </c>
      <c r="D481" s="612" t="s">
        <v>33</v>
      </c>
      <c r="E481" s="613">
        <v>0.01</v>
      </c>
      <c r="F481" s="611">
        <f>brick_layer_chief</f>
        <v>119350.00000000001</v>
      </c>
      <c r="G481" s="611">
        <f>F481*E481</f>
        <v>1193.5000000000002</v>
      </c>
    </row>
    <row r="482" spans="1:9" ht="15.75" hidden="1" customHeight="1" outlineLevel="2">
      <c r="A482" s="613"/>
      <c r="B482" s="612"/>
      <c r="C482" s="613" t="s">
        <v>32</v>
      </c>
      <c r="D482" s="612" t="s">
        <v>33</v>
      </c>
      <c r="E482" s="613">
        <v>0.3</v>
      </c>
      <c r="F482" s="611">
        <f>worker</f>
        <v>107800.00000000001</v>
      </c>
      <c r="G482" s="611">
        <f>F482*E482</f>
        <v>32340.000000000004</v>
      </c>
    </row>
    <row r="483" spans="1:9" ht="15.75" hidden="1" customHeight="1" outlineLevel="2">
      <c r="A483" s="613"/>
      <c r="B483" s="612"/>
      <c r="C483" s="613" t="s">
        <v>1067</v>
      </c>
      <c r="D483" s="612" t="s">
        <v>33</v>
      </c>
      <c r="E483" s="613">
        <v>0.01</v>
      </c>
      <c r="F483" s="611">
        <f>supervisor_Asli</f>
        <v>155155</v>
      </c>
      <c r="G483" s="611">
        <f>F483*E483</f>
        <v>1551.55</v>
      </c>
    </row>
    <row r="484" spans="1:9" ht="15.75" hidden="1" customHeight="1" outlineLevel="2">
      <c r="A484" s="613"/>
      <c r="B484" s="612"/>
      <c r="C484" s="613"/>
      <c r="D484" s="612"/>
      <c r="E484" s="613"/>
      <c r="F484" s="611"/>
      <c r="G484" s="611">
        <f>SUM(G476:G483)</f>
        <v>64259.998000000007</v>
      </c>
    </row>
    <row r="485" spans="1:9" ht="15.75" customHeight="1" outlineLevel="1" collapsed="1">
      <c r="A485" s="613" t="s">
        <v>2074</v>
      </c>
      <c r="B485" s="592">
        <f>B473+1</f>
        <v>13</v>
      </c>
      <c r="C485" s="613" t="s">
        <v>1615</v>
      </c>
      <c r="D485" s="612" t="s">
        <v>40</v>
      </c>
      <c r="E485" s="613"/>
      <c r="F485" s="611"/>
      <c r="G485" s="604">
        <f>G497</f>
        <v>710224.707936508</v>
      </c>
      <c r="I485" s="633" t="s">
        <v>152</v>
      </c>
    </row>
    <row r="486" spans="1:9" ht="15.75" hidden="1" customHeight="1" outlineLevel="2">
      <c r="A486" s="613"/>
      <c r="B486" s="612"/>
      <c r="C486" s="613" t="s">
        <v>20</v>
      </c>
      <c r="D486" s="612"/>
      <c r="E486" s="613"/>
      <c r="F486" s="611"/>
      <c r="G486" s="611"/>
      <c r="I486" s="633" t="s">
        <v>1395</v>
      </c>
    </row>
    <row r="487" spans="1:9" ht="15.75" hidden="1" customHeight="1" outlineLevel="2">
      <c r="A487" s="613"/>
      <c r="B487" s="612"/>
      <c r="C487" s="613" t="s">
        <v>143</v>
      </c>
      <c r="D487" s="612" t="s">
        <v>1</v>
      </c>
      <c r="E487" s="613">
        <v>230</v>
      </c>
      <c r="F487" s="611">
        <f>PC</f>
        <v>1348.6000000000001</v>
      </c>
      <c r="G487" s="611">
        <f>F487*E487</f>
        <v>310178.00000000006</v>
      </c>
    </row>
    <row r="488" spans="1:9" ht="15.75" hidden="1" customHeight="1" outlineLevel="2">
      <c r="A488" s="613"/>
      <c r="B488" s="612"/>
      <c r="C488" s="613" t="s">
        <v>53</v>
      </c>
      <c r="D488" s="612" t="s">
        <v>40</v>
      </c>
      <c r="E488" s="613">
        <f>893/1400</f>
        <v>0.6378571428571429</v>
      </c>
      <c r="F488" s="611">
        <f>sand_beton</f>
        <v>117700.00000000001</v>
      </c>
      <c r="G488" s="611">
        <f>F488*E488</f>
        <v>75075.785714285725</v>
      </c>
    </row>
    <row r="489" spans="1:9" ht="15.75" hidden="1" customHeight="1" outlineLevel="2">
      <c r="A489" s="613"/>
      <c r="B489" s="612"/>
      <c r="C489" s="613" t="s">
        <v>153</v>
      </c>
      <c r="D489" s="612" t="s">
        <v>40</v>
      </c>
      <c r="E489" s="613">
        <f>1027/1800</f>
        <v>0.57055555555555559</v>
      </c>
      <c r="F489" s="611">
        <f>split_2.3</f>
        <v>281380</v>
      </c>
      <c r="G489" s="611">
        <f>F489*E489</f>
        <v>160542.92222222223</v>
      </c>
    </row>
    <row r="490" spans="1:9" ht="15.75" hidden="1" customHeight="1" outlineLevel="2">
      <c r="A490" s="613"/>
      <c r="B490" s="612"/>
      <c r="C490" s="613" t="s">
        <v>154</v>
      </c>
      <c r="D490" s="612" t="s">
        <v>57</v>
      </c>
      <c r="E490" s="613">
        <v>200</v>
      </c>
      <c r="F490" s="611">
        <f>water</f>
        <v>19.8</v>
      </c>
      <c r="G490" s="611">
        <f>F490*E490</f>
        <v>3960</v>
      </c>
    </row>
    <row r="491" spans="1:9" ht="15.75" hidden="1" customHeight="1" outlineLevel="2">
      <c r="A491" s="613"/>
      <c r="B491" s="612"/>
      <c r="C491" s="613"/>
      <c r="D491" s="612"/>
      <c r="E491" s="613"/>
      <c r="F491" s="611"/>
      <c r="G491" s="611"/>
    </row>
    <row r="492" spans="1:9" ht="15.75" hidden="1" customHeight="1" outlineLevel="2">
      <c r="A492" s="613"/>
      <c r="B492" s="612"/>
      <c r="C492" s="613" t="s">
        <v>31</v>
      </c>
      <c r="D492" s="612"/>
      <c r="E492" s="613">
        <v>1</v>
      </c>
      <c r="F492" s="611"/>
      <c r="G492" s="611"/>
    </row>
    <row r="493" spans="1:9" ht="15.75" hidden="1" customHeight="1" outlineLevel="2">
      <c r="A493" s="613"/>
      <c r="B493" s="612"/>
      <c r="C493" s="613" t="s">
        <v>145</v>
      </c>
      <c r="D493" s="612" t="s">
        <v>33</v>
      </c>
      <c r="E493" s="613">
        <f>E492*0.2</f>
        <v>0.2</v>
      </c>
      <c r="F493" s="611">
        <f>brick_layer</f>
        <v>107800.00000000001</v>
      </c>
      <c r="G493" s="611">
        <f>F493*E493</f>
        <v>21560.000000000004</v>
      </c>
    </row>
    <row r="494" spans="1:9" ht="15.75" hidden="1" customHeight="1" outlineLevel="2">
      <c r="A494" s="613"/>
      <c r="B494" s="612"/>
      <c r="C494" s="613" t="s">
        <v>32</v>
      </c>
      <c r="D494" s="612" t="s">
        <v>33</v>
      </c>
      <c r="E494" s="613">
        <f>E492*1.2</f>
        <v>1.2</v>
      </c>
      <c r="F494" s="611">
        <f>worker</f>
        <v>107800.00000000001</v>
      </c>
      <c r="G494" s="611">
        <f>F494*E494</f>
        <v>129360.00000000001</v>
      </c>
    </row>
    <row r="495" spans="1:9" ht="15.75" hidden="1" customHeight="1" outlineLevel="2">
      <c r="A495" s="613"/>
      <c r="B495" s="612"/>
      <c r="C495" s="613" t="s">
        <v>1067</v>
      </c>
      <c r="D495" s="612" t="s">
        <v>33</v>
      </c>
      <c r="E495" s="613">
        <f>E492*0.06</f>
        <v>0.06</v>
      </c>
      <c r="F495" s="611">
        <f>supervisor</f>
        <v>119350.00000000001</v>
      </c>
      <c r="G495" s="611">
        <f>F495*E495</f>
        <v>7161.0000000000009</v>
      </c>
    </row>
    <row r="496" spans="1:9" ht="15.75" hidden="1" customHeight="1" outlineLevel="2">
      <c r="A496" s="613"/>
      <c r="B496" s="612"/>
      <c r="C496" s="613" t="s">
        <v>155</v>
      </c>
      <c r="D496" s="612" t="s">
        <v>33</v>
      </c>
      <c r="E496" s="613">
        <f>E492*0.02</f>
        <v>0.02</v>
      </c>
      <c r="F496" s="611">
        <f>brick_layer_chief</f>
        <v>119350.00000000001</v>
      </c>
      <c r="G496" s="611">
        <f>F496*E496</f>
        <v>2387.0000000000005</v>
      </c>
    </row>
    <row r="497" spans="1:12" ht="15.75" hidden="1" customHeight="1" outlineLevel="2">
      <c r="A497" s="613"/>
      <c r="B497" s="612"/>
      <c r="C497" s="613"/>
      <c r="D497" s="612"/>
      <c r="E497" s="613"/>
      <c r="F497" s="611"/>
      <c r="G497" s="611">
        <f>SUM(G487:G496)</f>
        <v>710224.707936508</v>
      </c>
    </row>
    <row r="498" spans="1:12" ht="15.75" hidden="1" customHeight="1" outlineLevel="2">
      <c r="A498" s="613"/>
      <c r="B498" s="612"/>
      <c r="C498" s="613"/>
      <c r="D498" s="612"/>
      <c r="E498" s="613"/>
      <c r="F498" s="611"/>
      <c r="G498" s="611"/>
    </row>
    <row r="499" spans="1:12" ht="15.75" customHeight="1" outlineLevel="1" collapsed="1">
      <c r="A499" s="613" t="s">
        <v>2074</v>
      </c>
      <c r="B499" s="612">
        <f>B485+1</f>
        <v>14</v>
      </c>
      <c r="C499" s="613" t="s">
        <v>1616</v>
      </c>
      <c r="D499" s="612" t="s">
        <v>40</v>
      </c>
      <c r="E499" s="613"/>
      <c r="F499" s="611"/>
      <c r="G499" s="604">
        <f>G515</f>
        <v>889732.72142857139</v>
      </c>
      <c r="I499" s="633" t="s">
        <v>156</v>
      </c>
    </row>
    <row r="500" spans="1:12" ht="15.75" hidden="1" customHeight="1" outlineLevel="2">
      <c r="A500" s="613"/>
      <c r="B500" s="612"/>
      <c r="C500" s="613"/>
      <c r="D500" s="612"/>
      <c r="E500" s="613"/>
      <c r="F500" s="611"/>
      <c r="G500" s="611"/>
      <c r="I500" s="633" t="s">
        <v>1396</v>
      </c>
    </row>
    <row r="501" spans="1:12" ht="15.75" hidden="1" customHeight="1" outlineLevel="2">
      <c r="A501" s="613"/>
      <c r="B501" s="612"/>
      <c r="C501" s="613" t="s">
        <v>20</v>
      </c>
      <c r="D501" s="612"/>
      <c r="E501" s="613"/>
      <c r="F501" s="611"/>
      <c r="G501" s="611"/>
    </row>
    <row r="502" spans="1:12" ht="15.75" hidden="1" customHeight="1" outlineLevel="2">
      <c r="A502" s="613"/>
      <c r="B502" s="612"/>
      <c r="C502" s="613" t="s">
        <v>143</v>
      </c>
      <c r="D502" s="612" t="s">
        <v>1</v>
      </c>
      <c r="E502" s="613">
        <v>247</v>
      </c>
      <c r="F502" s="611">
        <f>PC</f>
        <v>1348.6000000000001</v>
      </c>
      <c r="G502" s="611">
        <f>F502*E502</f>
        <v>333104.2</v>
      </c>
      <c r="L502" s="633">
        <f>600*0.83/9.8</f>
        <v>50.816326530612244</v>
      </c>
    </row>
    <row r="503" spans="1:12" ht="15.75" hidden="1" customHeight="1" outlineLevel="2">
      <c r="A503" s="613"/>
      <c r="B503" s="612"/>
      <c r="C503" s="613" t="s">
        <v>53</v>
      </c>
      <c r="D503" s="612" t="s">
        <v>4288</v>
      </c>
      <c r="E503" s="613">
        <f>869/1400</f>
        <v>0.62071428571428566</v>
      </c>
      <c r="F503" s="611">
        <f>sand_beton</f>
        <v>117700.00000000001</v>
      </c>
      <c r="G503" s="611">
        <f>F503*E503</f>
        <v>73058.071428571435</v>
      </c>
      <c r="L503" s="633">
        <f>100*0.83/9.8</f>
        <v>8.4693877551020407</v>
      </c>
    </row>
    <row r="504" spans="1:12" ht="15.75" hidden="1" customHeight="1" outlineLevel="2">
      <c r="A504" s="613"/>
      <c r="B504" s="612"/>
      <c r="C504" s="613" t="s">
        <v>153</v>
      </c>
      <c r="D504" s="612" t="s">
        <v>4288</v>
      </c>
      <c r="E504" s="613">
        <f>999/1800</f>
        <v>0.55500000000000005</v>
      </c>
      <c r="F504" s="611">
        <f>split_2.3</f>
        <v>281380</v>
      </c>
      <c r="G504" s="611">
        <f>F504*E504</f>
        <v>156165.90000000002</v>
      </c>
      <c r="L504" s="633">
        <f>500*0.83/9.8</f>
        <v>42.346938775510203</v>
      </c>
    </row>
    <row r="505" spans="1:12" ht="15.75" hidden="1" customHeight="1" outlineLevel="2">
      <c r="A505" s="613"/>
      <c r="B505" s="612"/>
      <c r="C505" s="613" t="s">
        <v>154</v>
      </c>
      <c r="D505" s="612" t="s">
        <v>57</v>
      </c>
      <c r="E505" s="613">
        <v>215</v>
      </c>
      <c r="F505" s="611">
        <f>water</f>
        <v>19.8</v>
      </c>
      <c r="G505" s="611">
        <f>F505*E505</f>
        <v>4257</v>
      </c>
    </row>
    <row r="506" spans="1:12" ht="15.75" hidden="1" customHeight="1" outlineLevel="2">
      <c r="A506" s="613"/>
      <c r="B506" s="612"/>
      <c r="C506" s="613"/>
      <c r="D506" s="612"/>
      <c r="E506" s="613"/>
      <c r="F506" s="611"/>
      <c r="G506" s="611"/>
    </row>
    <row r="507" spans="1:12" ht="15.75" hidden="1" customHeight="1" outlineLevel="2">
      <c r="A507" s="613"/>
      <c r="B507" s="612"/>
      <c r="C507" s="613" t="s">
        <v>157</v>
      </c>
      <c r="D507" s="612"/>
      <c r="E507" s="613"/>
      <c r="F507" s="611"/>
      <c r="G507" s="611"/>
    </row>
    <row r="508" spans="1:12" ht="15.75" hidden="1" customHeight="1" outlineLevel="2">
      <c r="A508" s="613"/>
      <c r="B508" s="612"/>
      <c r="C508" s="613" t="s">
        <v>158</v>
      </c>
      <c r="D508" s="612" t="s">
        <v>65</v>
      </c>
      <c r="E508" s="613">
        <v>0.25</v>
      </c>
      <c r="F508" s="611">
        <f>molen_mechine_0.5m3day</f>
        <v>568528.4</v>
      </c>
      <c r="G508" s="611">
        <f>F508*E508</f>
        <v>142132.1</v>
      </c>
    </row>
    <row r="509" spans="1:12" ht="15.75" hidden="1" customHeight="1" outlineLevel="2">
      <c r="A509" s="613"/>
      <c r="B509" s="612"/>
      <c r="C509" s="613"/>
      <c r="D509" s="612"/>
      <c r="E509" s="613"/>
      <c r="F509" s="611"/>
      <c r="G509" s="611"/>
    </row>
    <row r="510" spans="1:12" ht="15.75" hidden="1" customHeight="1" outlineLevel="2">
      <c r="A510" s="613"/>
      <c r="B510" s="612"/>
      <c r="C510" s="613" t="s">
        <v>31</v>
      </c>
      <c r="D510" s="612"/>
      <c r="E510" s="613"/>
      <c r="F510" s="611"/>
      <c r="G510" s="611"/>
    </row>
    <row r="511" spans="1:12" ht="15.75" hidden="1" customHeight="1" outlineLevel="2">
      <c r="A511" s="613"/>
      <c r="B511" s="612"/>
      <c r="C511" s="613" t="s">
        <v>145</v>
      </c>
      <c r="D511" s="612" t="s">
        <v>33</v>
      </c>
      <c r="E511" s="613">
        <v>0.189</v>
      </c>
      <c r="F511" s="611">
        <f>brick_layer</f>
        <v>107800.00000000001</v>
      </c>
      <c r="G511" s="611">
        <f>F511*E511</f>
        <v>20374.200000000004</v>
      </c>
    </row>
    <row r="512" spans="1:12" ht="15.75" hidden="1" customHeight="1" outlineLevel="2">
      <c r="A512" s="613"/>
      <c r="B512" s="612"/>
      <c r="C512" s="613" t="s">
        <v>32</v>
      </c>
      <c r="D512" s="612" t="s">
        <v>33</v>
      </c>
      <c r="E512" s="613">
        <v>1.323</v>
      </c>
      <c r="F512" s="611">
        <f>worker</f>
        <v>107800.00000000001</v>
      </c>
      <c r="G512" s="611">
        <f>F512*E512</f>
        <v>142619.40000000002</v>
      </c>
    </row>
    <row r="513" spans="1:9" ht="15.75" hidden="1" customHeight="1" outlineLevel="2">
      <c r="A513" s="613"/>
      <c r="B513" s="612"/>
      <c r="C513" s="613" t="s">
        <v>1067</v>
      </c>
      <c r="D513" s="612" t="s">
        <v>33</v>
      </c>
      <c r="E513" s="613">
        <v>0.13200000000000001</v>
      </c>
      <c r="F513" s="611">
        <f>supervisor</f>
        <v>119350.00000000001</v>
      </c>
      <c r="G513" s="611">
        <f>F513*E513</f>
        <v>15754.200000000003</v>
      </c>
    </row>
    <row r="514" spans="1:9" ht="15.75" hidden="1" customHeight="1" outlineLevel="2">
      <c r="A514" s="613"/>
      <c r="B514" s="612"/>
      <c r="C514" s="613" t="s">
        <v>159</v>
      </c>
      <c r="D514" s="612" t="s">
        <v>33</v>
      </c>
      <c r="E514" s="613">
        <v>1.9E-2</v>
      </c>
      <c r="F514" s="611">
        <f>brick_layer_chief</f>
        <v>119350.00000000001</v>
      </c>
      <c r="G514" s="611">
        <f>F514*E514</f>
        <v>2267.65</v>
      </c>
    </row>
    <row r="515" spans="1:9" ht="15.75" hidden="1" customHeight="1" outlineLevel="2">
      <c r="A515" s="613"/>
      <c r="B515" s="612"/>
      <c r="C515" s="613"/>
      <c r="D515" s="612"/>
      <c r="E515" s="613"/>
      <c r="F515" s="611"/>
      <c r="G515" s="611">
        <f>SUM(G502:G514)</f>
        <v>889732.72142857139</v>
      </c>
    </row>
    <row r="516" spans="1:9" ht="15.75" hidden="1" customHeight="1" outlineLevel="2">
      <c r="A516" s="613"/>
      <c r="B516" s="612"/>
      <c r="C516" s="613"/>
      <c r="D516" s="612"/>
      <c r="E516" s="613"/>
      <c r="F516" s="611"/>
      <c r="G516" s="611"/>
    </row>
    <row r="517" spans="1:9" ht="15.75" customHeight="1" outlineLevel="1" collapsed="1">
      <c r="A517" s="613" t="s">
        <v>2074</v>
      </c>
      <c r="B517" s="592">
        <f>B499+1</f>
        <v>15</v>
      </c>
      <c r="C517" s="613" t="s">
        <v>1617</v>
      </c>
      <c r="D517" s="612" t="s">
        <v>40</v>
      </c>
      <c r="E517" s="613"/>
      <c r="F517" s="611"/>
      <c r="G517" s="604">
        <f>G534</f>
        <v>1057576.2423809525</v>
      </c>
      <c r="I517" s="633" t="s">
        <v>160</v>
      </c>
    </row>
    <row r="518" spans="1:9" ht="15.75" customHeight="1" outlineLevel="2">
      <c r="A518" s="613"/>
      <c r="B518" s="612"/>
      <c r="C518" s="613"/>
      <c r="D518" s="612"/>
      <c r="E518" s="613"/>
      <c r="F518" s="611"/>
      <c r="G518" s="611"/>
      <c r="I518" s="633" t="s">
        <v>1397</v>
      </c>
    </row>
    <row r="519" spans="1:9" ht="15.75" customHeight="1" outlineLevel="2">
      <c r="A519" s="613"/>
      <c r="B519" s="612"/>
      <c r="C519" s="613" t="s">
        <v>20</v>
      </c>
      <c r="D519" s="612"/>
      <c r="E519" s="613"/>
      <c r="F519" s="611"/>
      <c r="G519" s="611"/>
    </row>
    <row r="520" spans="1:9" ht="15.75" customHeight="1" outlineLevel="2">
      <c r="A520" s="613"/>
      <c r="B520" s="612"/>
      <c r="C520" s="613" t="s">
        <v>143</v>
      </c>
      <c r="D520" s="612" t="s">
        <v>1</v>
      </c>
      <c r="E520" s="613">
        <v>326</v>
      </c>
      <c r="F520" s="611">
        <f>PC</f>
        <v>1348.6000000000001</v>
      </c>
      <c r="G520" s="611">
        <f>F520*E520</f>
        <v>439643.60000000003</v>
      </c>
    </row>
    <row r="521" spans="1:9" ht="15.75" customHeight="1" outlineLevel="2">
      <c r="A521" s="613"/>
      <c r="B521" s="612"/>
      <c r="C521" s="613" t="s">
        <v>53</v>
      </c>
      <c r="D521" s="612" t="s">
        <v>40</v>
      </c>
      <c r="E521" s="613">
        <f>760/1400</f>
        <v>0.54285714285714282</v>
      </c>
      <c r="F521" s="611">
        <f>sand_beton</f>
        <v>117700.00000000001</v>
      </c>
      <c r="G521" s="611">
        <f>F521*E521</f>
        <v>63894.285714285717</v>
      </c>
    </row>
    <row r="522" spans="1:9" ht="15.75" customHeight="1" outlineLevel="2">
      <c r="A522" s="613"/>
      <c r="B522" s="612"/>
      <c r="C522" s="613" t="s">
        <v>153</v>
      </c>
      <c r="D522" s="612" t="s">
        <v>40</v>
      </c>
      <c r="E522" s="613">
        <f>1029/1800</f>
        <v>0.57166666666666666</v>
      </c>
      <c r="F522" s="611">
        <f>split_2.3</f>
        <v>281380</v>
      </c>
      <c r="G522" s="611">
        <f>F522*E522</f>
        <v>160855.56666666665</v>
      </c>
    </row>
    <row r="523" spans="1:9" ht="15.75" customHeight="1" outlineLevel="2">
      <c r="A523" s="613"/>
      <c r="B523" s="612"/>
      <c r="C523" s="613" t="s">
        <v>154</v>
      </c>
      <c r="D523" s="612" t="s">
        <v>57</v>
      </c>
      <c r="E523" s="613">
        <v>215</v>
      </c>
      <c r="F523" s="611">
        <f>water</f>
        <v>19.8</v>
      </c>
      <c r="G523" s="611">
        <f>F523*E523</f>
        <v>4257</v>
      </c>
    </row>
    <row r="524" spans="1:9" ht="15.75" customHeight="1" outlineLevel="2">
      <c r="A524" s="613"/>
      <c r="B524" s="612"/>
      <c r="C524" s="613"/>
      <c r="D524" s="612"/>
      <c r="E524" s="613"/>
      <c r="F524" s="611"/>
      <c r="G524" s="611"/>
    </row>
    <row r="525" spans="1:9" ht="15.75" customHeight="1" outlineLevel="2">
      <c r="A525" s="613"/>
      <c r="B525" s="612"/>
      <c r="C525" s="613" t="s">
        <v>157</v>
      </c>
      <c r="D525" s="612"/>
      <c r="E525" s="613"/>
      <c r="F525" s="611"/>
      <c r="G525" s="611"/>
    </row>
    <row r="526" spans="1:9" ht="15.75" customHeight="1" outlineLevel="2">
      <c r="A526" s="613"/>
      <c r="B526" s="612"/>
      <c r="C526" s="613" t="s">
        <v>158</v>
      </c>
      <c r="D526" s="612" t="s">
        <v>65</v>
      </c>
      <c r="E526" s="613">
        <v>0.25</v>
      </c>
      <c r="F526" s="611">
        <f>molen_mechine_0.5m3day</f>
        <v>568528.4</v>
      </c>
      <c r="G526" s="611">
        <f>F526*E526</f>
        <v>142132.1</v>
      </c>
    </row>
    <row r="527" spans="1:9" ht="15.75" customHeight="1" outlineLevel="2">
      <c r="A527" s="613"/>
      <c r="B527" s="612"/>
      <c r="C527" s="613" t="s">
        <v>791</v>
      </c>
      <c r="D527" s="612" t="s">
        <v>72</v>
      </c>
      <c r="E527" s="613">
        <v>1.2</v>
      </c>
      <c r="F527" s="611">
        <f>concrete_vibrator/4</f>
        <v>54815.200000000004</v>
      </c>
      <c r="G527" s="611">
        <f>F527*E527</f>
        <v>65778.240000000005</v>
      </c>
    </row>
    <row r="528" spans="1:9" ht="15.75" customHeight="1" outlineLevel="2">
      <c r="A528" s="613"/>
      <c r="B528" s="612"/>
      <c r="C528" s="613"/>
      <c r="D528" s="612"/>
      <c r="E528" s="613"/>
      <c r="F528" s="611"/>
      <c r="G528" s="611"/>
    </row>
    <row r="529" spans="1:11" ht="15.75" customHeight="1" outlineLevel="2">
      <c r="A529" s="613"/>
      <c r="B529" s="612"/>
      <c r="C529" s="613" t="s">
        <v>31</v>
      </c>
      <c r="D529" s="612"/>
      <c r="E529" s="613"/>
      <c r="F529" s="611"/>
      <c r="G529" s="611"/>
    </row>
    <row r="530" spans="1:11" ht="15.75" customHeight="1" outlineLevel="2">
      <c r="A530" s="613"/>
      <c r="B530" s="612"/>
      <c r="C530" s="613" t="s">
        <v>145</v>
      </c>
      <c r="D530" s="612" t="s">
        <v>33</v>
      </c>
      <c r="E530" s="613">
        <v>0.189</v>
      </c>
      <c r="F530" s="611">
        <f>brick_layer</f>
        <v>107800.00000000001</v>
      </c>
      <c r="G530" s="611">
        <f>F530*E530</f>
        <v>20374.200000000004</v>
      </c>
    </row>
    <row r="531" spans="1:11" ht="15.75" customHeight="1" outlineLevel="2">
      <c r="A531" s="613"/>
      <c r="B531" s="612"/>
      <c r="C531" s="613" t="s">
        <v>32</v>
      </c>
      <c r="D531" s="612" t="s">
        <v>33</v>
      </c>
      <c r="E531" s="613">
        <v>1.323</v>
      </c>
      <c r="F531" s="611">
        <f>worker</f>
        <v>107800.00000000001</v>
      </c>
      <c r="G531" s="611">
        <f>F531*E531</f>
        <v>142619.40000000002</v>
      </c>
    </row>
    <row r="532" spans="1:11" ht="15.75" customHeight="1" outlineLevel="2">
      <c r="A532" s="613"/>
      <c r="B532" s="612"/>
      <c r="C532" s="613" t="s">
        <v>159</v>
      </c>
      <c r="D532" s="612" t="s">
        <v>33</v>
      </c>
      <c r="E532" s="613">
        <v>1.9E-2</v>
      </c>
      <c r="F532" s="611">
        <f>brick_layer_chief</f>
        <v>119350.00000000001</v>
      </c>
      <c r="G532" s="611">
        <f>F532*E532</f>
        <v>2267.65</v>
      </c>
    </row>
    <row r="533" spans="1:11" ht="15.75" customHeight="1" outlineLevel="2">
      <c r="A533" s="613"/>
      <c r="B533" s="612"/>
      <c r="C533" s="613" t="s">
        <v>36</v>
      </c>
      <c r="D533" s="612" t="s">
        <v>33</v>
      </c>
      <c r="E533" s="613">
        <v>0.13200000000000001</v>
      </c>
      <c r="F533" s="611">
        <f>supervisor</f>
        <v>119350.00000000001</v>
      </c>
      <c r="G533" s="611">
        <f>F533*E533</f>
        <v>15754.200000000003</v>
      </c>
    </row>
    <row r="534" spans="1:11" ht="15.75" customHeight="1" outlineLevel="2">
      <c r="A534" s="613"/>
      <c r="B534" s="612"/>
      <c r="C534" s="613"/>
      <c r="D534" s="612"/>
      <c r="E534" s="613"/>
      <c r="F534" s="611"/>
      <c r="G534" s="611">
        <f>SUM(G520:G533)</f>
        <v>1057576.2423809525</v>
      </c>
    </row>
    <row r="535" spans="1:11" ht="15.75" customHeight="1" outlineLevel="2">
      <c r="A535" s="613"/>
      <c r="B535" s="612"/>
      <c r="C535" s="613"/>
      <c r="D535" s="612"/>
      <c r="E535" s="613"/>
      <c r="F535" s="611"/>
      <c r="G535" s="611"/>
    </row>
    <row r="536" spans="1:11" ht="15.75" customHeight="1" outlineLevel="1">
      <c r="A536" s="613" t="s">
        <v>2074</v>
      </c>
      <c r="B536" s="592">
        <f>B517+1</f>
        <v>16</v>
      </c>
      <c r="C536" s="613" t="s">
        <v>1618</v>
      </c>
      <c r="D536" s="612" t="s">
        <v>40</v>
      </c>
      <c r="E536" s="613"/>
      <c r="F536" s="611"/>
      <c r="G536" s="604">
        <f>G553</f>
        <v>1115864.6138095236</v>
      </c>
      <c r="I536" s="633" t="s">
        <v>162</v>
      </c>
    </row>
    <row r="537" spans="1:11" ht="15.75" customHeight="1" outlineLevel="2">
      <c r="A537" s="613"/>
      <c r="B537" s="612"/>
      <c r="C537" s="613"/>
      <c r="D537" s="612"/>
      <c r="E537" s="613"/>
      <c r="F537" s="611"/>
      <c r="G537" s="611"/>
    </row>
    <row r="538" spans="1:11" ht="15.75" customHeight="1" outlineLevel="2">
      <c r="A538" s="613"/>
      <c r="B538" s="612"/>
      <c r="C538" s="613" t="s">
        <v>20</v>
      </c>
      <c r="D538" s="612"/>
      <c r="E538" s="613"/>
      <c r="F538" s="611"/>
      <c r="G538" s="611"/>
    </row>
    <row r="539" spans="1:11" ht="15.75" customHeight="1" outlineLevel="2">
      <c r="A539" s="613"/>
      <c r="B539" s="612"/>
      <c r="C539" s="613" t="s">
        <v>143</v>
      </c>
      <c r="D539" s="612" t="s">
        <v>1</v>
      </c>
      <c r="E539" s="613">
        <v>371</v>
      </c>
      <c r="F539" s="611">
        <f>PC</f>
        <v>1348.6000000000001</v>
      </c>
      <c r="G539" s="611">
        <f>F539*E539</f>
        <v>500330.60000000003</v>
      </c>
    </row>
    <row r="540" spans="1:11" ht="15.75" customHeight="1" outlineLevel="2">
      <c r="A540" s="613"/>
      <c r="B540" s="612"/>
      <c r="C540" s="613" t="s">
        <v>163</v>
      </c>
      <c r="D540" s="612" t="s">
        <v>40</v>
      </c>
      <c r="E540" s="613">
        <f>698/1400</f>
        <v>0.49857142857142855</v>
      </c>
      <c r="F540" s="611">
        <f>sand_beton</f>
        <v>117700.00000000001</v>
      </c>
      <c r="G540" s="611">
        <f>F540*E540</f>
        <v>58681.857142857145</v>
      </c>
      <c r="J540" s="633">
        <v>698</v>
      </c>
      <c r="K540" s="633">
        <f>J540*E540</f>
        <v>348.00285714285712</v>
      </c>
    </row>
    <row r="541" spans="1:11" ht="15.75" customHeight="1" outlineLevel="2">
      <c r="A541" s="613"/>
      <c r="B541" s="612"/>
      <c r="C541" s="613" t="s">
        <v>153</v>
      </c>
      <c r="D541" s="612" t="s">
        <v>40</v>
      </c>
      <c r="E541" s="613">
        <f>1047/1800</f>
        <v>0.58166666666666667</v>
      </c>
      <c r="F541" s="611">
        <f>split_2.3</f>
        <v>281380</v>
      </c>
      <c r="G541" s="611">
        <f>F541*E541</f>
        <v>163669.36666666667</v>
      </c>
      <c r="J541" s="633">
        <f>1047*E541</f>
        <v>609.005</v>
      </c>
    </row>
    <row r="542" spans="1:11" ht="15.75" customHeight="1" outlineLevel="2">
      <c r="A542" s="613"/>
      <c r="B542" s="612"/>
      <c r="C542" s="613" t="s">
        <v>154</v>
      </c>
      <c r="D542" s="612" t="s">
        <v>57</v>
      </c>
      <c r="E542" s="613">
        <v>215</v>
      </c>
      <c r="F542" s="611">
        <f>water</f>
        <v>19.8</v>
      </c>
      <c r="G542" s="611">
        <f>F542*E542</f>
        <v>4257</v>
      </c>
    </row>
    <row r="543" spans="1:11" ht="15.75" customHeight="1" outlineLevel="2">
      <c r="A543" s="613"/>
      <c r="B543" s="612"/>
      <c r="C543" s="613"/>
      <c r="D543" s="612"/>
      <c r="E543" s="613"/>
      <c r="F543" s="611"/>
      <c r="G543" s="611"/>
    </row>
    <row r="544" spans="1:11" ht="15.75" customHeight="1" outlineLevel="2">
      <c r="A544" s="613"/>
      <c r="B544" s="612"/>
      <c r="C544" s="613" t="s">
        <v>157</v>
      </c>
      <c r="D544" s="612"/>
      <c r="E544" s="613"/>
      <c r="F544" s="611"/>
      <c r="G544" s="611"/>
    </row>
    <row r="545" spans="1:11" ht="15.75" customHeight="1" outlineLevel="2">
      <c r="A545" s="613"/>
      <c r="B545" s="612"/>
      <c r="C545" s="613" t="s">
        <v>158</v>
      </c>
      <c r="D545" s="612" t="s">
        <v>65</v>
      </c>
      <c r="E545" s="613">
        <v>0.25</v>
      </c>
      <c r="F545" s="611">
        <f>molen_mechine_0.5m3day</f>
        <v>568528.4</v>
      </c>
      <c r="G545" s="611">
        <f>F545*E545</f>
        <v>142132.1</v>
      </c>
    </row>
    <row r="546" spans="1:11" ht="15.75" customHeight="1" outlineLevel="2">
      <c r="A546" s="613"/>
      <c r="B546" s="612"/>
      <c r="C546" s="613" t="s">
        <v>791</v>
      </c>
      <c r="D546" s="612" t="s">
        <v>72</v>
      </c>
      <c r="E546" s="613">
        <v>1.2</v>
      </c>
      <c r="F546" s="611">
        <f>concrete_vibrator/4</f>
        <v>54815.200000000004</v>
      </c>
      <c r="G546" s="611">
        <f>F546*E546</f>
        <v>65778.240000000005</v>
      </c>
    </row>
    <row r="547" spans="1:11" ht="15.75" customHeight="1" outlineLevel="2">
      <c r="A547" s="613"/>
      <c r="B547" s="612"/>
      <c r="C547" s="613"/>
      <c r="D547" s="612"/>
      <c r="E547" s="613"/>
      <c r="F547" s="611"/>
      <c r="G547" s="611"/>
    </row>
    <row r="548" spans="1:11" ht="15.75" customHeight="1" outlineLevel="2">
      <c r="A548" s="613"/>
      <c r="B548" s="612"/>
      <c r="C548" s="613" t="s">
        <v>31</v>
      </c>
      <c r="D548" s="612"/>
      <c r="E548" s="613"/>
      <c r="F548" s="611"/>
      <c r="G548" s="611"/>
    </row>
    <row r="549" spans="1:11" ht="15.75" customHeight="1" outlineLevel="2">
      <c r="A549" s="613"/>
      <c r="B549" s="612"/>
      <c r="C549" s="613" t="s">
        <v>145</v>
      </c>
      <c r="D549" s="612" t="s">
        <v>33</v>
      </c>
      <c r="E549" s="613">
        <v>0.189</v>
      </c>
      <c r="F549" s="611">
        <f>brick_layer</f>
        <v>107800.00000000001</v>
      </c>
      <c r="G549" s="1010">
        <f>F549*E549</f>
        <v>20374.200000000004</v>
      </c>
    </row>
    <row r="550" spans="1:11" ht="15.75" customHeight="1" outlineLevel="2">
      <c r="A550" s="613"/>
      <c r="B550" s="612"/>
      <c r="C550" s="613" t="s">
        <v>32</v>
      </c>
      <c r="D550" s="612" t="s">
        <v>33</v>
      </c>
      <c r="E550" s="613">
        <v>1.323</v>
      </c>
      <c r="F550" s="611">
        <f>worker</f>
        <v>107800.00000000001</v>
      </c>
      <c r="G550" s="1010">
        <f>F550*E550</f>
        <v>142619.40000000002</v>
      </c>
    </row>
    <row r="551" spans="1:11" ht="15.75" customHeight="1" outlineLevel="2">
      <c r="A551" s="613"/>
      <c r="B551" s="612"/>
      <c r="C551" s="613" t="s">
        <v>159</v>
      </c>
      <c r="D551" s="612" t="s">
        <v>33</v>
      </c>
      <c r="E551" s="613">
        <v>1.9E-2</v>
      </c>
      <c r="F551" s="611">
        <f>brick_layer_chief</f>
        <v>119350.00000000001</v>
      </c>
      <c r="G551" s="1010">
        <f>F551*E551</f>
        <v>2267.65</v>
      </c>
    </row>
    <row r="552" spans="1:11" ht="15.75" customHeight="1" outlineLevel="2">
      <c r="A552" s="613"/>
      <c r="B552" s="612"/>
      <c r="C552" s="613" t="s">
        <v>36</v>
      </c>
      <c r="D552" s="612" t="s">
        <v>33</v>
      </c>
      <c r="E552" s="613">
        <v>0.13200000000000001</v>
      </c>
      <c r="F552" s="611">
        <f>supervisor</f>
        <v>119350.00000000001</v>
      </c>
      <c r="G552" s="1010">
        <f>F552*E552</f>
        <v>15754.200000000003</v>
      </c>
    </row>
    <row r="553" spans="1:11" ht="15.75" customHeight="1" outlineLevel="2">
      <c r="A553" s="613"/>
      <c r="B553" s="612"/>
      <c r="C553" s="613"/>
      <c r="D553" s="612"/>
      <c r="E553" s="613"/>
      <c r="F553" s="611"/>
      <c r="G553" s="611">
        <f>SUM(G539:G552)</f>
        <v>1115864.6138095236</v>
      </c>
    </row>
    <row r="554" spans="1:11" ht="15.75" customHeight="1" outlineLevel="2">
      <c r="A554" s="613"/>
      <c r="B554" s="612"/>
      <c r="C554" s="613"/>
      <c r="D554" s="612"/>
      <c r="E554" s="613"/>
      <c r="F554" s="611"/>
      <c r="G554" s="611"/>
    </row>
    <row r="555" spans="1:11" ht="15.75" customHeight="1" outlineLevel="1">
      <c r="A555" s="613" t="s">
        <v>2074</v>
      </c>
      <c r="B555" s="612">
        <f>B536+1</f>
        <v>17</v>
      </c>
      <c r="C555" s="613" t="s">
        <v>1619</v>
      </c>
      <c r="D555" s="612" t="s">
        <v>40</v>
      </c>
      <c r="E555" s="613"/>
      <c r="F555" s="611"/>
      <c r="G555" s="604">
        <f>G572</f>
        <v>1103214.9874603173</v>
      </c>
      <c r="H555" s="602"/>
      <c r="I555" s="633" t="s">
        <v>162</v>
      </c>
      <c r="J555" s="633" t="s">
        <v>832</v>
      </c>
    </row>
    <row r="556" spans="1:11" ht="15.75" customHeight="1" outlineLevel="2">
      <c r="A556" s="613"/>
      <c r="B556" s="612"/>
      <c r="C556" s="613"/>
      <c r="D556" s="612"/>
      <c r="E556" s="613"/>
      <c r="F556" s="611"/>
      <c r="G556" s="611"/>
    </row>
    <row r="557" spans="1:11" ht="15.75" customHeight="1" outlineLevel="2">
      <c r="A557" s="613"/>
      <c r="B557" s="612"/>
      <c r="C557" s="613" t="s">
        <v>20</v>
      </c>
      <c r="D557" s="612"/>
      <c r="E557" s="613"/>
      <c r="F557" s="611"/>
      <c r="G557" s="611"/>
    </row>
    <row r="558" spans="1:11" ht="15.75" customHeight="1" outlineLevel="2">
      <c r="A558" s="613"/>
      <c r="B558" s="612"/>
      <c r="C558" s="613" t="s">
        <v>143</v>
      </c>
      <c r="D558" s="612" t="s">
        <v>1</v>
      </c>
      <c r="E558" s="613">
        <v>384</v>
      </c>
      <c r="F558" s="611">
        <f>PC</f>
        <v>1348.6000000000001</v>
      </c>
      <c r="G558" s="611">
        <f>F558*E558</f>
        <v>517862.40000000002</v>
      </c>
    </row>
    <row r="559" spans="1:11" ht="15.75" customHeight="1" outlineLevel="2">
      <c r="A559" s="613"/>
      <c r="B559" s="612"/>
      <c r="C559" s="613" t="s">
        <v>163</v>
      </c>
      <c r="D559" s="612" t="s">
        <v>40</v>
      </c>
      <c r="E559" s="640">
        <f>692/1400</f>
        <v>0.49428571428571427</v>
      </c>
      <c r="F559" s="611">
        <f>sand_beton</f>
        <v>117700.00000000001</v>
      </c>
      <c r="G559" s="611">
        <f>F559*E559</f>
        <v>58177.42857142858</v>
      </c>
      <c r="J559" s="633">
        <v>698</v>
      </c>
      <c r="K559" s="633">
        <f>J559*E559</f>
        <v>345.01142857142855</v>
      </c>
    </row>
    <row r="560" spans="1:11" ht="15.75" customHeight="1" outlineLevel="2">
      <c r="A560" s="613"/>
      <c r="B560" s="612"/>
      <c r="C560" s="613" t="s">
        <v>153</v>
      </c>
      <c r="D560" s="612" t="s">
        <v>40</v>
      </c>
      <c r="E560" s="640">
        <f>1039/1800</f>
        <v>0.57722222222222219</v>
      </c>
      <c r="F560" s="611">
        <f>split_2.3</f>
        <v>281380</v>
      </c>
      <c r="G560" s="611">
        <f>F560*E560</f>
        <v>162418.78888888887</v>
      </c>
      <c r="J560" s="633">
        <f>1047*E560</f>
        <v>604.35166666666669</v>
      </c>
    </row>
    <row r="561" spans="1:10" ht="15.75" customHeight="1" outlineLevel="2">
      <c r="A561" s="613"/>
      <c r="B561" s="612"/>
      <c r="C561" s="613" t="s">
        <v>154</v>
      </c>
      <c r="D561" s="612" t="s">
        <v>57</v>
      </c>
      <c r="E561" s="613">
        <v>215</v>
      </c>
      <c r="F561" s="611">
        <f>water</f>
        <v>19.8</v>
      </c>
      <c r="G561" s="611">
        <f>F561*E561</f>
        <v>4257</v>
      </c>
    </row>
    <row r="562" spans="1:10" ht="15.75" customHeight="1" outlineLevel="2">
      <c r="A562" s="613"/>
      <c r="B562" s="612"/>
      <c r="C562" s="613"/>
      <c r="D562" s="612"/>
      <c r="E562" s="613"/>
      <c r="F562" s="611"/>
      <c r="G562" s="611"/>
    </row>
    <row r="563" spans="1:10" ht="15.75" customHeight="1" outlineLevel="2">
      <c r="A563" s="613"/>
      <c r="B563" s="612"/>
      <c r="C563" s="613" t="s">
        <v>157</v>
      </c>
      <c r="D563" s="612"/>
      <c r="E563" s="613"/>
      <c r="F563" s="611"/>
      <c r="G563" s="611"/>
    </row>
    <row r="564" spans="1:10" ht="15.75" customHeight="1" outlineLevel="2">
      <c r="A564" s="613"/>
      <c r="B564" s="612"/>
      <c r="C564" s="613" t="s">
        <v>158</v>
      </c>
      <c r="D564" s="612" t="s">
        <v>65</v>
      </c>
      <c r="E564" s="613">
        <v>0.2</v>
      </c>
      <c r="F564" s="611">
        <f>molen_mechine_0.5m3day</f>
        <v>568528.4</v>
      </c>
      <c r="G564" s="611">
        <f>F564*E564</f>
        <v>113705.68000000001</v>
      </c>
    </row>
    <row r="565" spans="1:10" ht="15.75" customHeight="1" outlineLevel="2">
      <c r="A565" s="613"/>
      <c r="B565" s="612"/>
      <c r="C565" s="613" t="s">
        <v>791</v>
      </c>
      <c r="D565" s="612" t="s">
        <v>72</v>
      </c>
      <c r="E565" s="613">
        <v>1.2</v>
      </c>
      <c r="F565" s="611">
        <f>concrete_vibrator/4</f>
        <v>54815.200000000004</v>
      </c>
      <c r="G565" s="611">
        <f>F565*E565</f>
        <v>65778.240000000005</v>
      </c>
    </row>
    <row r="566" spans="1:10" ht="15.75" customHeight="1" outlineLevel="2">
      <c r="A566" s="613"/>
      <c r="B566" s="612"/>
      <c r="C566" s="613"/>
      <c r="D566" s="612"/>
      <c r="E566" s="613"/>
      <c r="F566" s="611"/>
      <c r="G566" s="611"/>
    </row>
    <row r="567" spans="1:10" ht="15.75" customHeight="1" outlineLevel="2">
      <c r="A567" s="613"/>
      <c r="B567" s="612"/>
      <c r="C567" s="613" t="s">
        <v>31</v>
      </c>
      <c r="D567" s="612"/>
      <c r="E567" s="613"/>
      <c r="F567" s="611"/>
      <c r="G567" s="611"/>
    </row>
    <row r="568" spans="1:10" ht="15.75" customHeight="1" outlineLevel="2">
      <c r="A568" s="613"/>
      <c r="B568" s="612"/>
      <c r="C568" s="613" t="s">
        <v>145</v>
      </c>
      <c r="D568" s="612" t="s">
        <v>33</v>
      </c>
      <c r="E568" s="613">
        <v>0.189</v>
      </c>
      <c r="F568" s="611">
        <f>brick_layer</f>
        <v>107800.00000000001</v>
      </c>
      <c r="G568" s="611">
        <f>F568*E568</f>
        <v>20374.200000000004</v>
      </c>
    </row>
    <row r="569" spans="1:10" ht="15.75" customHeight="1" outlineLevel="2">
      <c r="A569" s="613"/>
      <c r="B569" s="612"/>
      <c r="C569" s="613" t="s">
        <v>32</v>
      </c>
      <c r="D569" s="612" t="s">
        <v>33</v>
      </c>
      <c r="E569" s="613">
        <v>1.323</v>
      </c>
      <c r="F569" s="611">
        <f>worker</f>
        <v>107800.00000000001</v>
      </c>
      <c r="G569" s="611">
        <f>F569*E569</f>
        <v>142619.40000000002</v>
      </c>
    </row>
    <row r="570" spans="1:10" ht="15.75" customHeight="1" outlineLevel="2">
      <c r="A570" s="613"/>
      <c r="B570" s="612"/>
      <c r="C570" s="613" t="s">
        <v>159</v>
      </c>
      <c r="D570" s="612" t="s">
        <v>33</v>
      </c>
      <c r="E570" s="613">
        <v>1.9E-2</v>
      </c>
      <c r="F570" s="611">
        <f>brick_layer_chief</f>
        <v>119350.00000000001</v>
      </c>
      <c r="G570" s="611">
        <f>F570*E570</f>
        <v>2267.65</v>
      </c>
    </row>
    <row r="571" spans="1:10" ht="15.75" customHeight="1" outlineLevel="2">
      <c r="A571" s="613"/>
      <c r="B571" s="612"/>
      <c r="C571" s="613" t="s">
        <v>36</v>
      </c>
      <c r="D571" s="612" t="s">
        <v>33</v>
      </c>
      <c r="E571" s="613">
        <v>0.13200000000000001</v>
      </c>
      <c r="F571" s="611">
        <f>supervisor</f>
        <v>119350.00000000001</v>
      </c>
      <c r="G571" s="611">
        <f>F571*E571</f>
        <v>15754.200000000003</v>
      </c>
    </row>
    <row r="572" spans="1:10" ht="15.75" customHeight="1" outlineLevel="2">
      <c r="A572" s="613"/>
      <c r="B572" s="612"/>
      <c r="C572" s="613"/>
      <c r="D572" s="612"/>
      <c r="E572" s="613"/>
      <c r="F572" s="611"/>
      <c r="G572" s="611">
        <f>SUM(G558:G571)</f>
        <v>1103214.9874603173</v>
      </c>
    </row>
    <row r="573" spans="1:10" ht="15.75" customHeight="1" outlineLevel="1">
      <c r="A573" s="613" t="s">
        <v>2074</v>
      </c>
      <c r="B573" s="612">
        <f>B555+1</f>
        <v>18</v>
      </c>
      <c r="C573" s="613" t="s">
        <v>1704</v>
      </c>
      <c r="D573" s="612" t="s">
        <v>40</v>
      </c>
      <c r="E573" s="613"/>
      <c r="F573" s="611"/>
      <c r="G573" s="604">
        <f>G589</f>
        <v>1188119.9017460318</v>
      </c>
      <c r="I573" s="633" t="s">
        <v>161</v>
      </c>
      <c r="J573" s="633" t="s">
        <v>833</v>
      </c>
    </row>
    <row r="574" spans="1:10" ht="15.75" hidden="1" customHeight="1" outlineLevel="2">
      <c r="A574" s="613"/>
      <c r="B574" s="612"/>
      <c r="C574" s="613" t="s">
        <v>20</v>
      </c>
      <c r="D574" s="612"/>
      <c r="E574" s="613"/>
      <c r="F574" s="611"/>
      <c r="G574" s="611"/>
    </row>
    <row r="575" spans="1:10" ht="15.75" hidden="1" customHeight="1" outlineLevel="2">
      <c r="A575" s="613"/>
      <c r="B575" s="612"/>
      <c r="C575" s="613" t="s">
        <v>143</v>
      </c>
      <c r="D575" s="612" t="s">
        <v>1</v>
      </c>
      <c r="E575" s="613">
        <v>413</v>
      </c>
      <c r="F575" s="611">
        <f>PC</f>
        <v>1348.6000000000001</v>
      </c>
      <c r="G575" s="611">
        <f>F575*E575</f>
        <v>556971.80000000005</v>
      </c>
    </row>
    <row r="576" spans="1:10" ht="15.75" hidden="1" customHeight="1" outlineLevel="2">
      <c r="A576" s="613"/>
      <c r="B576" s="612"/>
      <c r="C576" s="613" t="s">
        <v>53</v>
      </c>
      <c r="D576" s="612" t="s">
        <v>40</v>
      </c>
      <c r="E576" s="613">
        <f>681/1400</f>
        <v>0.48642857142857143</v>
      </c>
      <c r="F576" s="611">
        <f>sand_beton</f>
        <v>117700.00000000001</v>
      </c>
      <c r="G576" s="611">
        <f>F576*E576</f>
        <v>57252.642857142862</v>
      </c>
    </row>
    <row r="577" spans="1:10" ht="15.75" hidden="1" customHeight="1" outlineLevel="2">
      <c r="A577" s="613"/>
      <c r="B577" s="612"/>
      <c r="C577" s="613" t="s">
        <v>153</v>
      </c>
      <c r="D577" s="612" t="s">
        <v>40</v>
      </c>
      <c r="E577" s="613">
        <f>1021/1800</f>
        <v>0.56722222222222218</v>
      </c>
      <c r="F577" s="611">
        <f>split_2.3</f>
        <v>281380</v>
      </c>
      <c r="G577" s="611">
        <f>F577*E577</f>
        <v>159604.98888888888</v>
      </c>
    </row>
    <row r="578" spans="1:10" ht="15.75" hidden="1" customHeight="1" outlineLevel="2">
      <c r="A578" s="613"/>
      <c r="B578" s="612"/>
      <c r="C578" s="613" t="s">
        <v>154</v>
      </c>
      <c r="D578" s="612" t="s">
        <v>57</v>
      </c>
      <c r="E578" s="613">
        <v>215</v>
      </c>
      <c r="F578" s="611">
        <f>water</f>
        <v>19.8</v>
      </c>
      <c r="G578" s="611">
        <f>F578*E578</f>
        <v>4257</v>
      </c>
    </row>
    <row r="579" spans="1:10" ht="15.75" hidden="1" customHeight="1" outlineLevel="2">
      <c r="A579" s="613"/>
      <c r="B579" s="612"/>
      <c r="C579" s="613"/>
      <c r="D579" s="612"/>
      <c r="E579" s="613"/>
      <c r="F579" s="611"/>
      <c r="G579" s="611"/>
    </row>
    <row r="580" spans="1:10" ht="15.75" hidden="1" customHeight="1" outlineLevel="2">
      <c r="A580" s="613"/>
      <c r="B580" s="612"/>
      <c r="C580" s="613" t="s">
        <v>157</v>
      </c>
      <c r="D580" s="612"/>
      <c r="E580" s="613"/>
      <c r="F580" s="611"/>
      <c r="G580" s="611"/>
    </row>
    <row r="581" spans="1:10" ht="15.75" hidden="1" customHeight="1" outlineLevel="2">
      <c r="A581" s="613"/>
      <c r="B581" s="612"/>
      <c r="C581" s="613" t="s">
        <v>158</v>
      </c>
      <c r="D581" s="612" t="s">
        <v>65</v>
      </c>
      <c r="E581" s="613">
        <v>0.2</v>
      </c>
      <c r="F581" s="611">
        <f>molen_mechine_0.5m3day</f>
        <v>568528.4</v>
      </c>
      <c r="G581" s="611">
        <f>F581*E581</f>
        <v>113705.68000000001</v>
      </c>
    </row>
    <row r="582" spans="1:10" ht="15.75" hidden="1" customHeight="1" outlineLevel="2">
      <c r="A582" s="613"/>
      <c r="B582" s="612"/>
      <c r="C582" s="613" t="s">
        <v>791</v>
      </c>
      <c r="D582" s="612" t="s">
        <v>72</v>
      </c>
      <c r="E582" s="613">
        <v>1.2</v>
      </c>
      <c r="F582" s="611">
        <f>concrete_vibrator/4</f>
        <v>54815.200000000004</v>
      </c>
      <c r="G582" s="611">
        <f>F582*E582</f>
        <v>65778.240000000005</v>
      </c>
    </row>
    <row r="583" spans="1:10" ht="15.75" hidden="1" customHeight="1" outlineLevel="2">
      <c r="A583" s="613"/>
      <c r="B583" s="612"/>
      <c r="C583" s="613"/>
      <c r="D583" s="612"/>
      <c r="E583" s="613"/>
      <c r="F583" s="611"/>
      <c r="G583" s="611"/>
    </row>
    <row r="584" spans="1:10" ht="15.75" hidden="1" customHeight="1" outlineLevel="2">
      <c r="A584" s="613"/>
      <c r="B584" s="612"/>
      <c r="C584" s="613" t="s">
        <v>31</v>
      </c>
      <c r="D584" s="612"/>
      <c r="E584" s="613"/>
      <c r="F584" s="611"/>
      <c r="G584" s="611"/>
    </row>
    <row r="585" spans="1:10" ht="15.75" hidden="1" customHeight="1" outlineLevel="2">
      <c r="A585" s="613"/>
      <c r="B585" s="612"/>
      <c r="C585" s="613" t="s">
        <v>145</v>
      </c>
      <c r="D585" s="612" t="s">
        <v>33</v>
      </c>
      <c r="E585" s="613">
        <v>0.27500000000000002</v>
      </c>
      <c r="F585" s="611">
        <f>brick_layer</f>
        <v>107800.00000000001</v>
      </c>
      <c r="G585" s="611">
        <f>F585*E585</f>
        <v>29645.000000000007</v>
      </c>
    </row>
    <row r="586" spans="1:10" ht="15.75" hidden="1" customHeight="1" outlineLevel="2">
      <c r="A586" s="613"/>
      <c r="B586" s="612"/>
      <c r="C586" s="613" t="s">
        <v>32</v>
      </c>
      <c r="D586" s="612" t="s">
        <v>33</v>
      </c>
      <c r="E586" s="613">
        <v>1.65</v>
      </c>
      <c r="F586" s="611">
        <f>worker</f>
        <v>107800.00000000001</v>
      </c>
      <c r="G586" s="611">
        <f>F586*E586</f>
        <v>177870</v>
      </c>
    </row>
    <row r="587" spans="1:10" ht="15.75" hidden="1" customHeight="1" outlineLevel="2">
      <c r="A587" s="613"/>
      <c r="B587" s="612"/>
      <c r="C587" s="613" t="s">
        <v>159</v>
      </c>
      <c r="D587" s="612" t="s">
        <v>33</v>
      </c>
      <c r="E587" s="613">
        <v>2.8000000000000001E-2</v>
      </c>
      <c r="F587" s="611">
        <f>brick_layer_chief</f>
        <v>119350.00000000001</v>
      </c>
      <c r="G587" s="611">
        <f>F587*E587</f>
        <v>3341.8000000000006</v>
      </c>
    </row>
    <row r="588" spans="1:10" ht="15.75" hidden="1" customHeight="1" outlineLevel="2">
      <c r="A588" s="613"/>
      <c r="B588" s="612"/>
      <c r="C588" s="613" t="s">
        <v>36</v>
      </c>
      <c r="D588" s="612" t="s">
        <v>33</v>
      </c>
      <c r="E588" s="613">
        <v>0.16500000000000001</v>
      </c>
      <c r="F588" s="611">
        <f>supervisor</f>
        <v>119350.00000000001</v>
      </c>
      <c r="G588" s="611">
        <f>F588*E588</f>
        <v>19692.750000000004</v>
      </c>
    </row>
    <row r="589" spans="1:10" ht="15.75" hidden="1" customHeight="1" outlineLevel="2">
      <c r="A589" s="613"/>
      <c r="B589" s="612"/>
      <c r="C589" s="613"/>
      <c r="D589" s="612"/>
      <c r="E589" s="613"/>
      <c r="F589" s="611"/>
      <c r="G589" s="611">
        <f>SUM(G575:G588)</f>
        <v>1188119.9017460318</v>
      </c>
    </row>
    <row r="590" spans="1:10" ht="15.75" hidden="1" customHeight="1" outlineLevel="2">
      <c r="A590" s="613"/>
      <c r="B590" s="612"/>
      <c r="C590" s="613"/>
      <c r="D590" s="612"/>
      <c r="E590" s="613"/>
      <c r="F590" s="611"/>
      <c r="G590" s="611"/>
    </row>
    <row r="591" spans="1:10" ht="15.75" customHeight="1" outlineLevel="1" collapsed="1">
      <c r="A591" s="613" t="s">
        <v>2074</v>
      </c>
      <c r="B591" s="612">
        <f>B573+1</f>
        <v>19</v>
      </c>
      <c r="C591" s="613" t="s">
        <v>1705</v>
      </c>
      <c r="D591" s="612" t="s">
        <v>40</v>
      </c>
      <c r="E591" s="613"/>
      <c r="F591" s="611"/>
      <c r="G591" s="604">
        <f>G607</f>
        <v>1259287.5550793651</v>
      </c>
      <c r="I591" s="633" t="s">
        <v>161</v>
      </c>
      <c r="J591" s="633" t="s">
        <v>833</v>
      </c>
    </row>
    <row r="592" spans="1:10" ht="15.75" hidden="1" customHeight="1" outlineLevel="2">
      <c r="A592" s="613"/>
      <c r="B592" s="612"/>
      <c r="C592" s="613" t="s">
        <v>20</v>
      </c>
      <c r="D592" s="612"/>
      <c r="E592" s="613"/>
      <c r="F592" s="611"/>
      <c r="G592" s="611"/>
    </row>
    <row r="593" spans="1:7" ht="15.75" hidden="1" customHeight="1" outlineLevel="2">
      <c r="A593" s="613"/>
      <c r="B593" s="612"/>
      <c r="C593" s="613" t="s">
        <v>143</v>
      </c>
      <c r="D593" s="612" t="s">
        <v>1</v>
      </c>
      <c r="E593" s="613">
        <v>448</v>
      </c>
      <c r="F593" s="611">
        <f>PC</f>
        <v>1348.6000000000001</v>
      </c>
      <c r="G593" s="611">
        <f>F593*E593</f>
        <v>604172.80000000005</v>
      </c>
    </row>
    <row r="594" spans="1:7" ht="15.75" hidden="1" customHeight="1" outlineLevel="2">
      <c r="A594" s="613"/>
      <c r="B594" s="612"/>
      <c r="C594" s="613" t="s">
        <v>53</v>
      </c>
      <c r="D594" s="612" t="s">
        <v>40</v>
      </c>
      <c r="E594" s="613">
        <f>667/1400</f>
        <v>0.47642857142857142</v>
      </c>
      <c r="F594" s="611">
        <f>sand_beton</f>
        <v>117700.00000000001</v>
      </c>
      <c r="G594" s="611">
        <f>F594*E594</f>
        <v>56075.642857142862</v>
      </c>
    </row>
    <row r="595" spans="1:7" ht="15.75" hidden="1" customHeight="1" outlineLevel="2">
      <c r="A595" s="613"/>
      <c r="B595" s="612"/>
      <c r="C595" s="613" t="s">
        <v>153</v>
      </c>
      <c r="D595" s="612" t="s">
        <v>40</v>
      </c>
      <c r="E595" s="613">
        <f>1000/1800</f>
        <v>0.55555555555555558</v>
      </c>
      <c r="F595" s="611">
        <f>split_2.3</f>
        <v>281380</v>
      </c>
      <c r="G595" s="611">
        <f>F595*E595</f>
        <v>156322.22222222222</v>
      </c>
    </row>
    <row r="596" spans="1:7" ht="15.75" hidden="1" customHeight="1" outlineLevel="2">
      <c r="A596" s="613"/>
      <c r="B596" s="612"/>
      <c r="C596" s="613" t="s">
        <v>154</v>
      </c>
      <c r="D596" s="612" t="s">
        <v>57</v>
      </c>
      <c r="E596" s="613">
        <v>215</v>
      </c>
      <c r="F596" s="611">
        <f>water</f>
        <v>19.8</v>
      </c>
      <c r="G596" s="611">
        <f>F596*E596</f>
        <v>4257</v>
      </c>
    </row>
    <row r="597" spans="1:7" ht="15.75" hidden="1" customHeight="1" outlineLevel="2">
      <c r="A597" s="613"/>
      <c r="B597" s="612"/>
      <c r="C597" s="613"/>
      <c r="D597" s="612"/>
      <c r="E597" s="613"/>
      <c r="F597" s="611"/>
      <c r="G597" s="611"/>
    </row>
    <row r="598" spans="1:7" ht="15.75" hidden="1" customHeight="1" outlineLevel="2">
      <c r="A598" s="613"/>
      <c r="B598" s="612"/>
      <c r="C598" s="613" t="s">
        <v>157</v>
      </c>
      <c r="D598" s="612"/>
      <c r="E598" s="613"/>
      <c r="F598" s="611"/>
      <c r="G598" s="611"/>
    </row>
    <row r="599" spans="1:7" ht="15.75" hidden="1" customHeight="1" outlineLevel="2">
      <c r="A599" s="613"/>
      <c r="B599" s="612"/>
      <c r="C599" s="613" t="s">
        <v>158</v>
      </c>
      <c r="D599" s="612" t="s">
        <v>65</v>
      </c>
      <c r="E599" s="613">
        <v>0.25</v>
      </c>
      <c r="F599" s="611">
        <f>molen_mechine_0.5m3day</f>
        <v>568528.4</v>
      </c>
      <c r="G599" s="611">
        <f>F599*E599</f>
        <v>142132.1</v>
      </c>
    </row>
    <row r="600" spans="1:7" ht="15.75" hidden="1" customHeight="1" outlineLevel="2">
      <c r="A600" s="613"/>
      <c r="B600" s="612"/>
      <c r="C600" s="613" t="s">
        <v>791</v>
      </c>
      <c r="D600" s="612" t="s">
        <v>72</v>
      </c>
      <c r="E600" s="613">
        <v>1.2</v>
      </c>
      <c r="F600" s="611">
        <f>concrete_vibrator/4</f>
        <v>54815.200000000004</v>
      </c>
      <c r="G600" s="611">
        <f>F600*E600</f>
        <v>65778.240000000005</v>
      </c>
    </row>
    <row r="601" spans="1:7" ht="15.75" hidden="1" customHeight="1" outlineLevel="2">
      <c r="A601" s="613"/>
      <c r="B601" s="612"/>
      <c r="C601" s="613"/>
      <c r="D601" s="612"/>
      <c r="E601" s="613"/>
      <c r="F601" s="611"/>
      <c r="G601" s="611"/>
    </row>
    <row r="602" spans="1:7" ht="15.75" hidden="1" customHeight="1" outlineLevel="2">
      <c r="A602" s="613"/>
      <c r="B602" s="612"/>
      <c r="C602" s="613" t="s">
        <v>31</v>
      </c>
      <c r="D602" s="612"/>
      <c r="E602" s="613"/>
      <c r="F602" s="611"/>
      <c r="G602" s="611"/>
    </row>
    <row r="603" spans="1:7" ht="15.75" hidden="1" customHeight="1" outlineLevel="2">
      <c r="A603" s="613"/>
      <c r="B603" s="612"/>
      <c r="C603" s="613" t="s">
        <v>145</v>
      </c>
      <c r="D603" s="612" t="s">
        <v>33</v>
      </c>
      <c r="E603" s="613">
        <v>0.27500000000000002</v>
      </c>
      <c r="F603" s="611">
        <f>brick_layer</f>
        <v>107800.00000000001</v>
      </c>
      <c r="G603" s="611">
        <f>F603*E603</f>
        <v>29645.000000000007</v>
      </c>
    </row>
    <row r="604" spans="1:7" ht="15.75" hidden="1" customHeight="1" outlineLevel="2">
      <c r="A604" s="613"/>
      <c r="B604" s="612"/>
      <c r="C604" s="613" t="s">
        <v>32</v>
      </c>
      <c r="D604" s="612" t="s">
        <v>33</v>
      </c>
      <c r="E604" s="613">
        <v>1.65</v>
      </c>
      <c r="F604" s="611">
        <f>worker</f>
        <v>107800.00000000001</v>
      </c>
      <c r="G604" s="611">
        <f>F604*E604</f>
        <v>177870</v>
      </c>
    </row>
    <row r="605" spans="1:7" ht="15.75" hidden="1" customHeight="1" outlineLevel="2">
      <c r="A605" s="613"/>
      <c r="B605" s="612"/>
      <c r="C605" s="613" t="s">
        <v>159</v>
      </c>
      <c r="D605" s="612" t="s">
        <v>33</v>
      </c>
      <c r="E605" s="613">
        <v>2.8000000000000001E-2</v>
      </c>
      <c r="F605" s="611">
        <f>brick_layer_chief</f>
        <v>119350.00000000001</v>
      </c>
      <c r="G605" s="611">
        <f>F605*E605</f>
        <v>3341.8000000000006</v>
      </c>
    </row>
    <row r="606" spans="1:7" ht="15.75" hidden="1" customHeight="1" outlineLevel="2">
      <c r="A606" s="613"/>
      <c r="B606" s="612"/>
      <c r="C606" s="613" t="s">
        <v>36</v>
      </c>
      <c r="D606" s="612" t="s">
        <v>33</v>
      </c>
      <c r="E606" s="613">
        <v>0.16500000000000001</v>
      </c>
      <c r="F606" s="611">
        <f>supervisor</f>
        <v>119350.00000000001</v>
      </c>
      <c r="G606" s="611">
        <f>F606*E606</f>
        <v>19692.750000000004</v>
      </c>
    </row>
    <row r="607" spans="1:7" ht="15.75" hidden="1" customHeight="1" outlineLevel="2">
      <c r="A607" s="613"/>
      <c r="B607" s="612"/>
      <c r="C607" s="613"/>
      <c r="D607" s="612"/>
      <c r="E607" s="613"/>
      <c r="F607" s="611"/>
      <c r="G607" s="611">
        <f>SUM(G593:G606)</f>
        <v>1259287.5550793651</v>
      </c>
    </row>
    <row r="608" spans="1:7" ht="15.75" hidden="1" customHeight="1" outlineLevel="2">
      <c r="A608" s="613"/>
      <c r="B608" s="612"/>
      <c r="C608" s="613"/>
      <c r="D608" s="612"/>
      <c r="E608" s="613"/>
      <c r="F608" s="611"/>
      <c r="G608" s="611"/>
    </row>
    <row r="609" spans="1:9" ht="15.75" customHeight="1" outlineLevel="1" collapsed="1">
      <c r="A609" s="613" t="s">
        <v>2074</v>
      </c>
      <c r="B609" s="612">
        <f>B591+1</f>
        <v>20</v>
      </c>
      <c r="C609" s="613" t="s">
        <v>1706</v>
      </c>
      <c r="D609" s="612" t="s">
        <v>40</v>
      </c>
      <c r="E609" s="613"/>
      <c r="F609" s="611"/>
      <c r="G609" s="604">
        <f>G624</f>
        <v>2109039.4160000002</v>
      </c>
      <c r="I609" s="633" t="s">
        <v>161</v>
      </c>
    </row>
    <row r="610" spans="1:9" ht="15.75" customHeight="1" outlineLevel="2">
      <c r="A610" s="613"/>
      <c r="B610" s="612"/>
      <c r="C610" s="613" t="s">
        <v>20</v>
      </c>
      <c r="D610" s="612"/>
      <c r="E610" s="613"/>
      <c r="F610" s="611"/>
      <c r="G610" s="611"/>
    </row>
    <row r="611" spans="1:9" ht="15.75" customHeight="1" outlineLevel="2">
      <c r="A611" s="613"/>
      <c r="B611" s="612"/>
      <c r="C611" s="613" t="s">
        <v>143</v>
      </c>
      <c r="D611" s="612" t="s">
        <v>1</v>
      </c>
      <c r="E611" s="613">
        <v>588</v>
      </c>
      <c r="F611" s="611">
        <f>PC</f>
        <v>1348.6000000000001</v>
      </c>
      <c r="G611" s="611">
        <f>F611*E611</f>
        <v>792976.8</v>
      </c>
    </row>
    <row r="612" spans="1:9" ht="15.75" customHeight="1" outlineLevel="2">
      <c r="A612" s="613"/>
      <c r="B612" s="612"/>
      <c r="C612" s="613" t="s">
        <v>53</v>
      </c>
      <c r="D612" s="612" t="s">
        <v>40</v>
      </c>
      <c r="E612" s="613">
        <v>0.54</v>
      </c>
      <c r="F612" s="611">
        <f>sand_beton</f>
        <v>117700.00000000001</v>
      </c>
      <c r="G612" s="611">
        <f>F612*E612</f>
        <v>63558.000000000015</v>
      </c>
    </row>
    <row r="613" spans="1:9" ht="15.75" customHeight="1" outlineLevel="2">
      <c r="A613" s="613"/>
      <c r="B613" s="612"/>
      <c r="C613" s="613" t="s">
        <v>153</v>
      </c>
      <c r="D613" s="612" t="s">
        <v>40</v>
      </c>
      <c r="E613" s="613">
        <v>0.85</v>
      </c>
      <c r="F613" s="611">
        <f>split_2.3</f>
        <v>281380</v>
      </c>
      <c r="G613" s="611">
        <f>F613*E613</f>
        <v>239173</v>
      </c>
    </row>
    <row r="614" spans="1:9" ht="15.75" customHeight="1" outlineLevel="2">
      <c r="A614" s="613"/>
      <c r="B614" s="612"/>
      <c r="C614" s="613" t="s">
        <v>154</v>
      </c>
      <c r="D614" s="612" t="s">
        <v>57</v>
      </c>
      <c r="E614" s="613">
        <v>215</v>
      </c>
      <c r="F614" s="611">
        <f>water</f>
        <v>19.8</v>
      </c>
      <c r="G614" s="611">
        <f>F614*E614</f>
        <v>4257</v>
      </c>
    </row>
    <row r="615" spans="1:9" ht="15.75" customHeight="1" outlineLevel="2">
      <c r="A615" s="613"/>
      <c r="B615" s="612"/>
      <c r="C615" s="613"/>
      <c r="D615" s="612"/>
      <c r="E615" s="613"/>
      <c r="F615" s="611"/>
      <c r="G615" s="611"/>
    </row>
    <row r="616" spans="1:9" ht="15.75" customHeight="1" outlineLevel="2">
      <c r="A616" s="613"/>
      <c r="B616" s="612"/>
      <c r="C616" s="613" t="s">
        <v>157</v>
      </c>
      <c r="D616" s="612"/>
      <c r="E616" s="613"/>
      <c r="F616" s="611"/>
      <c r="G616" s="611"/>
    </row>
    <row r="617" spans="1:9" ht="15.75" customHeight="1" outlineLevel="2">
      <c r="A617" s="613"/>
      <c r="B617" s="612"/>
      <c r="C617" s="613" t="s">
        <v>158</v>
      </c>
      <c r="D617" s="612" t="s">
        <v>72</v>
      </c>
      <c r="E617" s="613">
        <v>1.2</v>
      </c>
      <c r="F617" s="611">
        <f>molen_mechine_0.5m3day/5</f>
        <v>113705.68000000001</v>
      </c>
      <c r="G617" s="611">
        <f>F617*E617</f>
        <v>136446.81599999999</v>
      </c>
    </row>
    <row r="618" spans="1:9" ht="15.75" customHeight="1" outlineLevel="2">
      <c r="A618" s="613"/>
      <c r="B618" s="612"/>
      <c r="C618" s="613" t="s">
        <v>791</v>
      </c>
      <c r="D618" s="612" t="s">
        <v>72</v>
      </c>
      <c r="E618" s="613">
        <v>1.5</v>
      </c>
      <c r="F618" s="611">
        <f>concrete_vibrator/4</f>
        <v>54815.200000000004</v>
      </c>
      <c r="G618" s="611">
        <f>F618*E618</f>
        <v>82222.8</v>
      </c>
    </row>
    <row r="619" spans="1:9" ht="15.75" customHeight="1" outlineLevel="2">
      <c r="A619" s="613"/>
      <c r="B619" s="612"/>
      <c r="C619" s="613"/>
      <c r="D619" s="612"/>
      <c r="E619" s="613"/>
      <c r="F619" s="611"/>
      <c r="G619" s="611"/>
    </row>
    <row r="620" spans="1:9" ht="15.75" customHeight="1" outlineLevel="2">
      <c r="A620" s="613"/>
      <c r="B620" s="612"/>
      <c r="C620" s="613" t="s">
        <v>31</v>
      </c>
      <c r="D620" s="612"/>
      <c r="E620" s="613"/>
      <c r="F620" s="611"/>
      <c r="G620" s="611"/>
    </row>
    <row r="621" spans="1:9" ht="15.75" customHeight="1" outlineLevel="2">
      <c r="A621" s="613"/>
      <c r="B621" s="612"/>
      <c r="C621" s="613" t="s">
        <v>145</v>
      </c>
      <c r="D621" s="612" t="s">
        <v>33</v>
      </c>
      <c r="E621" s="613">
        <v>1</v>
      </c>
      <c r="F621" s="611">
        <f>brick_layer</f>
        <v>107800.00000000001</v>
      </c>
      <c r="G621" s="611">
        <f>F621*E621</f>
        <v>107800.00000000001</v>
      </c>
    </row>
    <row r="622" spans="1:9" ht="15.75" customHeight="1" outlineLevel="2">
      <c r="A622" s="613"/>
      <c r="B622" s="612"/>
      <c r="C622" s="613" t="s">
        <v>32</v>
      </c>
      <c r="D622" s="612" t="s">
        <v>33</v>
      </c>
      <c r="E622" s="613">
        <v>6</v>
      </c>
      <c r="F622" s="611">
        <f>worker</f>
        <v>107800.00000000001</v>
      </c>
      <c r="G622" s="611">
        <f>F622*E622</f>
        <v>646800.00000000012</v>
      </c>
    </row>
    <row r="623" spans="1:9" ht="15.75" customHeight="1" outlineLevel="2">
      <c r="A623" s="613"/>
      <c r="B623" s="612"/>
      <c r="C623" s="613" t="s">
        <v>1067</v>
      </c>
      <c r="D623" s="612" t="s">
        <v>33</v>
      </c>
      <c r="E623" s="613">
        <v>0.3</v>
      </c>
      <c r="F623" s="611">
        <f>supervisor</f>
        <v>119350.00000000001</v>
      </c>
      <c r="G623" s="611">
        <f>F623*E623</f>
        <v>35805</v>
      </c>
    </row>
    <row r="624" spans="1:9" ht="15.75" customHeight="1" outlineLevel="2">
      <c r="A624" s="613"/>
      <c r="B624" s="612"/>
      <c r="C624" s="613"/>
      <c r="D624" s="612"/>
      <c r="E624" s="613"/>
      <c r="F624" s="611"/>
      <c r="G624" s="611">
        <f>SUM(G611:G623)</f>
        <v>2109039.4160000002</v>
      </c>
    </row>
    <row r="625" spans="1:9" ht="15.75" customHeight="1" outlineLevel="1">
      <c r="A625" s="613" t="s">
        <v>2074</v>
      </c>
      <c r="B625" s="612">
        <f>B609+1</f>
        <v>21</v>
      </c>
      <c r="C625" s="613" t="s">
        <v>1620</v>
      </c>
      <c r="D625" s="612" t="s">
        <v>40</v>
      </c>
      <c r="E625" s="613"/>
      <c r="F625" s="611"/>
      <c r="G625" s="604">
        <f>G640</f>
        <v>984680.34279999998</v>
      </c>
      <c r="I625" s="633" t="s">
        <v>164</v>
      </c>
    </row>
    <row r="626" spans="1:9" ht="15.75" hidden="1" customHeight="1" outlineLevel="2">
      <c r="A626" s="613"/>
      <c r="B626" s="612"/>
      <c r="C626" s="613"/>
      <c r="D626" s="612"/>
      <c r="E626" s="613"/>
      <c r="F626" s="611"/>
      <c r="G626" s="611"/>
      <c r="I626" s="633" t="s">
        <v>2068</v>
      </c>
    </row>
    <row r="627" spans="1:9" ht="15.75" hidden="1" customHeight="1" outlineLevel="2">
      <c r="A627" s="613"/>
      <c r="B627" s="612"/>
      <c r="C627" s="613" t="s">
        <v>20</v>
      </c>
      <c r="D627" s="612"/>
      <c r="E627" s="613"/>
      <c r="F627" s="611"/>
      <c r="G627" s="611"/>
      <c r="I627" s="633" t="s">
        <v>2066</v>
      </c>
    </row>
    <row r="628" spans="1:9" ht="15.75" hidden="1" customHeight="1" outlineLevel="2">
      <c r="A628" s="613"/>
      <c r="B628" s="612"/>
      <c r="C628" s="613" t="s">
        <v>165</v>
      </c>
      <c r="D628" s="612" t="s">
        <v>4288</v>
      </c>
      <c r="E628" s="613">
        <v>1.2</v>
      </c>
      <c r="F628" s="611">
        <f>crushed_stone</f>
        <v>178640</v>
      </c>
      <c r="G628" s="611">
        <f>F628*E628</f>
        <v>214368</v>
      </c>
    </row>
    <row r="629" spans="1:9" ht="15.75" hidden="1" customHeight="1" outlineLevel="2">
      <c r="A629" s="613"/>
      <c r="B629" s="612"/>
      <c r="C629" s="613" t="s">
        <v>143</v>
      </c>
      <c r="D629" s="612" t="s">
        <v>1</v>
      </c>
      <c r="E629" s="613">
        <v>252</v>
      </c>
      <c r="F629" s="611">
        <f>PC</f>
        <v>1348.6000000000001</v>
      </c>
      <c r="G629" s="611">
        <f>F629*E629</f>
        <v>339847.2</v>
      </c>
    </row>
    <row r="630" spans="1:9" ht="15.75" hidden="1" customHeight="1" outlineLevel="2">
      <c r="A630" s="613"/>
      <c r="B630" s="612"/>
      <c r="C630" s="613" t="s">
        <v>144</v>
      </c>
      <c r="D630" s="612" t="s">
        <v>4288</v>
      </c>
      <c r="E630" s="613">
        <v>0.44</v>
      </c>
      <c r="F630" s="611">
        <f>sand_pasang</f>
        <v>170610</v>
      </c>
      <c r="G630" s="611">
        <f>F630*E630</f>
        <v>75068.399999999994</v>
      </c>
    </row>
    <row r="631" spans="1:9" ht="15.75" hidden="1" customHeight="1" outlineLevel="2">
      <c r="A631" s="613"/>
      <c r="B631" s="612"/>
      <c r="C631" s="613"/>
      <c r="D631" s="612"/>
      <c r="E631" s="613"/>
      <c r="F631" s="611"/>
      <c r="G631" s="611"/>
    </row>
    <row r="632" spans="1:9" ht="15.75" hidden="1" customHeight="1" outlineLevel="2">
      <c r="A632" s="613"/>
      <c r="B632" s="612"/>
      <c r="C632" s="613" t="s">
        <v>31</v>
      </c>
      <c r="D632" s="612"/>
      <c r="E632" s="613"/>
      <c r="F632" s="611"/>
      <c r="G632" s="611"/>
    </row>
    <row r="633" spans="1:9" ht="15.75" hidden="1" customHeight="1" outlineLevel="2">
      <c r="A633" s="613"/>
      <c r="B633" s="612"/>
      <c r="C633" s="613" t="s">
        <v>145</v>
      </c>
      <c r="D633" s="612" t="s">
        <v>33</v>
      </c>
      <c r="E633" s="613">
        <v>0.75</v>
      </c>
      <c r="F633" s="611">
        <f>brick_layer</f>
        <v>107800.00000000001</v>
      </c>
      <c r="G633" s="611">
        <f>F633*E633</f>
        <v>80850.000000000015</v>
      </c>
    </row>
    <row r="634" spans="1:9" ht="15.75" hidden="1" customHeight="1" outlineLevel="2">
      <c r="A634" s="613"/>
      <c r="B634" s="612"/>
      <c r="C634" s="613" t="s">
        <v>32</v>
      </c>
      <c r="D634" s="612" t="s">
        <v>33</v>
      </c>
      <c r="E634" s="613">
        <v>1.5</v>
      </c>
      <c r="F634" s="611">
        <f>worker</f>
        <v>107800.00000000001</v>
      </c>
      <c r="G634" s="611">
        <f>F634*E634</f>
        <v>161700.00000000003</v>
      </c>
    </row>
    <row r="635" spans="1:9" ht="15.75" hidden="1" customHeight="1" outlineLevel="2">
      <c r="A635" s="613"/>
      <c r="B635" s="612"/>
      <c r="C635" s="613" t="s">
        <v>36</v>
      </c>
      <c r="D635" s="612" t="s">
        <v>33</v>
      </c>
      <c r="E635" s="613">
        <v>7.4999999999999997E-2</v>
      </c>
      <c r="F635" s="611">
        <f>supervisor</f>
        <v>119350.00000000001</v>
      </c>
      <c r="G635" s="611">
        <f>F635*E635</f>
        <v>8951.25</v>
      </c>
    </row>
    <row r="636" spans="1:9" ht="15.75" hidden="1" customHeight="1" outlineLevel="2">
      <c r="A636" s="613"/>
      <c r="B636" s="612"/>
      <c r="C636" s="613" t="s">
        <v>159</v>
      </c>
      <c r="D636" s="612" t="s">
        <v>33</v>
      </c>
      <c r="E636" s="613">
        <v>7.4999999999999997E-2</v>
      </c>
      <c r="F636" s="611">
        <f>brick_layer_chief</f>
        <v>119350.00000000001</v>
      </c>
      <c r="G636" s="611">
        <f>F636*E636</f>
        <v>8951.25</v>
      </c>
    </row>
    <row r="637" spans="1:9" ht="15.75" hidden="1" customHeight="1" outlineLevel="2">
      <c r="A637" s="613"/>
      <c r="B637" s="612"/>
      <c r="C637" s="613"/>
      <c r="D637" s="612"/>
      <c r="E637" s="613"/>
      <c r="F637" s="611"/>
      <c r="G637" s="611"/>
    </row>
    <row r="638" spans="1:9" ht="15.75" hidden="1" customHeight="1" outlineLevel="2">
      <c r="A638" s="613"/>
      <c r="B638" s="612"/>
      <c r="C638" s="613" t="s">
        <v>157</v>
      </c>
      <c r="D638" s="612"/>
      <c r="E638" s="613"/>
      <c r="F638" s="611"/>
      <c r="G638" s="611"/>
    </row>
    <row r="639" spans="1:9" ht="15.75" hidden="1" customHeight="1" outlineLevel="2">
      <c r="A639" s="613"/>
      <c r="B639" s="612"/>
      <c r="C639" s="613" t="s">
        <v>166</v>
      </c>
      <c r="D639" s="612" t="s">
        <v>65</v>
      </c>
      <c r="E639" s="613">
        <v>0.16700000000000001</v>
      </c>
      <c r="F639" s="611">
        <f>molen_mechine_0.5m3day</f>
        <v>568528.4</v>
      </c>
      <c r="G639" s="611">
        <f>F639*E639</f>
        <v>94944.242800000007</v>
      </c>
    </row>
    <row r="640" spans="1:9" ht="15.75" hidden="1" customHeight="1" outlineLevel="2">
      <c r="A640" s="613"/>
      <c r="B640" s="612"/>
      <c r="C640" s="613"/>
      <c r="D640" s="612"/>
      <c r="E640" s="613"/>
      <c r="F640" s="611"/>
      <c r="G640" s="611">
        <f>SUM(G628:G639)</f>
        <v>984680.34279999998</v>
      </c>
    </row>
    <row r="641" spans="1:9" ht="15.75" hidden="1" customHeight="1" outlineLevel="2">
      <c r="A641" s="613"/>
      <c r="B641" s="612"/>
      <c r="C641" s="613"/>
      <c r="D641" s="612"/>
      <c r="E641" s="613"/>
      <c r="F641" s="611"/>
      <c r="G641" s="611"/>
    </row>
    <row r="642" spans="1:9" ht="15.75" customHeight="1" outlineLevel="1" collapsed="1">
      <c r="A642" s="613" t="s">
        <v>2074</v>
      </c>
      <c r="B642" s="612">
        <f>B625+1</f>
        <v>22</v>
      </c>
      <c r="C642" s="613" t="s">
        <v>1621</v>
      </c>
      <c r="D642" s="612" t="s">
        <v>40</v>
      </c>
      <c r="E642" s="613"/>
      <c r="F642" s="611"/>
      <c r="G642" s="604">
        <f>G657</f>
        <v>924927.79280000005</v>
      </c>
      <c r="I642" s="633" t="s">
        <v>164</v>
      </c>
    </row>
    <row r="643" spans="1:9" ht="15.75" hidden="1" customHeight="1" outlineLevel="2">
      <c r="A643" s="613"/>
      <c r="B643" s="612"/>
      <c r="C643" s="613"/>
      <c r="D643" s="612"/>
      <c r="E643" s="613"/>
      <c r="F643" s="611"/>
      <c r="G643" s="611"/>
      <c r="I643" s="633" t="s">
        <v>2068</v>
      </c>
    </row>
    <row r="644" spans="1:9" ht="15.75" hidden="1" customHeight="1" outlineLevel="2">
      <c r="A644" s="613"/>
      <c r="B644" s="612"/>
      <c r="C644" s="613" t="s">
        <v>20</v>
      </c>
      <c r="D644" s="612"/>
      <c r="E644" s="613"/>
      <c r="F644" s="611"/>
      <c r="G644" s="611"/>
      <c r="I644" s="633" t="s">
        <v>2066</v>
      </c>
    </row>
    <row r="645" spans="1:9" ht="15.75" hidden="1" customHeight="1" outlineLevel="2">
      <c r="A645" s="613"/>
      <c r="B645" s="612"/>
      <c r="C645" s="613" t="s">
        <v>165</v>
      </c>
      <c r="D645" s="612" t="s">
        <v>4288</v>
      </c>
      <c r="E645" s="613">
        <v>1.2</v>
      </c>
      <c r="F645" s="611">
        <f>crushed_stone</f>
        <v>178640</v>
      </c>
      <c r="G645" s="611">
        <f>F645*E645</f>
        <v>214368</v>
      </c>
    </row>
    <row r="646" spans="1:9" ht="15.75" hidden="1" customHeight="1" outlineLevel="2">
      <c r="A646" s="613"/>
      <c r="B646" s="612"/>
      <c r="C646" s="613" t="s">
        <v>143</v>
      </c>
      <c r="D646" s="612" t="s">
        <v>1</v>
      </c>
      <c r="E646" s="613">
        <v>202</v>
      </c>
      <c r="F646" s="611">
        <f>PC</f>
        <v>1348.6000000000001</v>
      </c>
      <c r="G646" s="611">
        <f>F646*E646</f>
        <v>272417.2</v>
      </c>
    </row>
    <row r="647" spans="1:9" ht="15.75" hidden="1" customHeight="1" outlineLevel="2">
      <c r="A647" s="613"/>
      <c r="B647" s="612"/>
      <c r="C647" s="613" t="s">
        <v>144</v>
      </c>
      <c r="D647" s="612" t="s">
        <v>4288</v>
      </c>
      <c r="E647" s="613">
        <v>0.48499999999999999</v>
      </c>
      <c r="F647" s="611">
        <f>sand_pasang</f>
        <v>170610</v>
      </c>
      <c r="G647" s="611">
        <f>F647*E647</f>
        <v>82745.849999999991</v>
      </c>
    </row>
    <row r="648" spans="1:9" ht="15.75" hidden="1" customHeight="1" outlineLevel="2">
      <c r="A648" s="613"/>
      <c r="B648" s="612"/>
      <c r="C648" s="613"/>
      <c r="D648" s="612"/>
      <c r="E648" s="613"/>
      <c r="F648" s="611"/>
      <c r="G648" s="611"/>
    </row>
    <row r="649" spans="1:9" ht="15.75" hidden="1" customHeight="1" outlineLevel="2">
      <c r="A649" s="613"/>
      <c r="B649" s="612"/>
      <c r="C649" s="613" t="s">
        <v>31</v>
      </c>
      <c r="D649" s="612"/>
      <c r="E649" s="613"/>
      <c r="F649" s="611"/>
      <c r="G649" s="611"/>
    </row>
    <row r="650" spans="1:9" ht="15.75" hidden="1" customHeight="1" outlineLevel="2">
      <c r="A650" s="613"/>
      <c r="B650" s="612"/>
      <c r="C650" s="613" t="s">
        <v>145</v>
      </c>
      <c r="D650" s="612" t="s">
        <v>33</v>
      </c>
      <c r="E650" s="613">
        <v>0.75</v>
      </c>
      <c r="F650" s="611">
        <f>brick_layer</f>
        <v>107800.00000000001</v>
      </c>
      <c r="G650" s="611">
        <f>F650*E650</f>
        <v>80850.000000000015</v>
      </c>
    </row>
    <row r="651" spans="1:9" ht="15.75" hidden="1" customHeight="1" outlineLevel="2">
      <c r="A651" s="613"/>
      <c r="B651" s="612"/>
      <c r="C651" s="613" t="s">
        <v>32</v>
      </c>
      <c r="D651" s="612" t="s">
        <v>33</v>
      </c>
      <c r="E651" s="613">
        <v>1.5</v>
      </c>
      <c r="F651" s="611">
        <f>worker</f>
        <v>107800.00000000001</v>
      </c>
      <c r="G651" s="611">
        <f>F651*E651</f>
        <v>161700.00000000003</v>
      </c>
    </row>
    <row r="652" spans="1:9" ht="15.75" hidden="1" customHeight="1" outlineLevel="2">
      <c r="A652" s="613"/>
      <c r="B652" s="612"/>
      <c r="C652" s="613" t="s">
        <v>1067</v>
      </c>
      <c r="D652" s="612" t="s">
        <v>33</v>
      </c>
      <c r="E652" s="613">
        <v>7.4999999999999997E-2</v>
      </c>
      <c r="F652" s="611">
        <f>supervisor</f>
        <v>119350.00000000001</v>
      </c>
      <c r="G652" s="611">
        <f>F652*E652</f>
        <v>8951.25</v>
      </c>
    </row>
    <row r="653" spans="1:9" ht="15.75" hidden="1" customHeight="1" outlineLevel="2">
      <c r="A653" s="613"/>
      <c r="B653" s="612"/>
      <c r="C653" s="613" t="s">
        <v>159</v>
      </c>
      <c r="D653" s="612" t="s">
        <v>33</v>
      </c>
      <c r="E653" s="613">
        <v>7.4999999999999997E-2</v>
      </c>
      <c r="F653" s="611">
        <f>brick_layer_chief</f>
        <v>119350.00000000001</v>
      </c>
      <c r="G653" s="611">
        <f>F653*E653</f>
        <v>8951.25</v>
      </c>
    </row>
    <row r="654" spans="1:9" ht="15.75" hidden="1" customHeight="1" outlineLevel="2">
      <c r="A654" s="613"/>
      <c r="B654" s="612"/>
      <c r="C654" s="613"/>
      <c r="D654" s="612"/>
      <c r="E654" s="613"/>
      <c r="F654" s="611"/>
      <c r="G654" s="611"/>
    </row>
    <row r="655" spans="1:9" ht="15.75" hidden="1" customHeight="1" outlineLevel="2">
      <c r="A655" s="613"/>
      <c r="B655" s="612"/>
      <c r="C655" s="613" t="s">
        <v>157</v>
      </c>
      <c r="D655" s="612"/>
      <c r="E655" s="613"/>
      <c r="F655" s="611"/>
      <c r="G655" s="611"/>
    </row>
    <row r="656" spans="1:9" ht="15.75" hidden="1" customHeight="1" outlineLevel="2">
      <c r="A656" s="613"/>
      <c r="B656" s="612"/>
      <c r="C656" s="613" t="s">
        <v>167</v>
      </c>
      <c r="D656" s="612" t="s">
        <v>65</v>
      </c>
      <c r="E656" s="613">
        <v>0.16700000000000001</v>
      </c>
      <c r="F656" s="611">
        <f>molen_mechine_0.5m3day</f>
        <v>568528.4</v>
      </c>
      <c r="G656" s="611">
        <f>F656*E656</f>
        <v>94944.242800000007</v>
      </c>
    </row>
    <row r="657" spans="1:9" ht="15.75" hidden="1" customHeight="1" outlineLevel="2">
      <c r="A657" s="613"/>
      <c r="B657" s="612"/>
      <c r="C657" s="613"/>
      <c r="D657" s="612"/>
      <c r="E657" s="613"/>
      <c r="F657" s="611"/>
      <c r="G657" s="611">
        <f>SUM(G645:G656)</f>
        <v>924927.79280000005</v>
      </c>
    </row>
    <row r="658" spans="1:9" ht="15.75" hidden="1" customHeight="1" outlineLevel="2">
      <c r="A658" s="613"/>
      <c r="B658" s="612"/>
      <c r="C658" s="613"/>
      <c r="D658" s="612"/>
      <c r="E658" s="613"/>
      <c r="F658" s="611"/>
      <c r="G658" s="611"/>
    </row>
    <row r="659" spans="1:9" ht="15.75" customHeight="1" outlineLevel="1" collapsed="1">
      <c r="A659" s="613" t="s">
        <v>2074</v>
      </c>
      <c r="B659" s="592">
        <f>B642+1</f>
        <v>23</v>
      </c>
      <c r="C659" s="613" t="s">
        <v>1622</v>
      </c>
      <c r="D659" s="612" t="s">
        <v>40</v>
      </c>
      <c r="E659" s="613"/>
      <c r="F659" s="611"/>
      <c r="G659" s="604">
        <f>G674</f>
        <v>878303.74280000012</v>
      </c>
      <c r="I659" s="633" t="s">
        <v>2066</v>
      </c>
    </row>
    <row r="660" spans="1:9" ht="15.75" customHeight="1" outlineLevel="2">
      <c r="A660" s="613"/>
      <c r="B660" s="612"/>
      <c r="C660" s="613"/>
      <c r="D660" s="612"/>
      <c r="E660" s="613"/>
      <c r="F660" s="611"/>
      <c r="G660" s="611"/>
      <c r="I660" s="633" t="s">
        <v>2068</v>
      </c>
    </row>
    <row r="661" spans="1:9" ht="15.75" customHeight="1" outlineLevel="2">
      <c r="A661" s="613"/>
      <c r="B661" s="612"/>
      <c r="C661" s="613" t="s">
        <v>20</v>
      </c>
      <c r="D661" s="612"/>
      <c r="E661" s="613"/>
      <c r="F661" s="611"/>
      <c r="G661" s="611"/>
    </row>
    <row r="662" spans="1:9" ht="15.75" customHeight="1" outlineLevel="2">
      <c r="A662" s="613"/>
      <c r="B662" s="612"/>
      <c r="C662" s="613" t="s">
        <v>165</v>
      </c>
      <c r="D662" s="612" t="s">
        <v>4288</v>
      </c>
      <c r="E662" s="613">
        <v>1.2</v>
      </c>
      <c r="F662" s="611">
        <f>crushed_stone</f>
        <v>178640</v>
      </c>
      <c r="G662" s="611">
        <f>F662*E662</f>
        <v>214368</v>
      </c>
    </row>
    <row r="663" spans="1:9" ht="15.75" customHeight="1" outlineLevel="2">
      <c r="A663" s="613"/>
      <c r="B663" s="612"/>
      <c r="C663" s="613" t="s">
        <v>143</v>
      </c>
      <c r="D663" s="612" t="s">
        <v>1</v>
      </c>
      <c r="E663" s="613">
        <v>163</v>
      </c>
      <c r="F663" s="611">
        <f>PC</f>
        <v>1348.6000000000001</v>
      </c>
      <c r="G663" s="611">
        <f>F663*E663</f>
        <v>219821.80000000002</v>
      </c>
    </row>
    <row r="664" spans="1:9" ht="15.75" customHeight="1" outlineLevel="2">
      <c r="A664" s="613"/>
      <c r="B664" s="612"/>
      <c r="C664" s="613" t="s">
        <v>144</v>
      </c>
      <c r="D664" s="612" t="s">
        <v>4288</v>
      </c>
      <c r="E664" s="613">
        <v>0.52</v>
      </c>
      <c r="F664" s="611">
        <f>sand_pasang</f>
        <v>170610</v>
      </c>
      <c r="G664" s="611">
        <f>F664*E664</f>
        <v>88717.2</v>
      </c>
    </row>
    <row r="665" spans="1:9" ht="15.75" customHeight="1" outlineLevel="2">
      <c r="A665" s="613"/>
      <c r="B665" s="612"/>
      <c r="C665" s="613"/>
      <c r="D665" s="612"/>
      <c r="E665" s="613"/>
      <c r="F665" s="611"/>
      <c r="G665" s="611"/>
    </row>
    <row r="666" spans="1:9" ht="15.75" customHeight="1" outlineLevel="2">
      <c r="A666" s="613"/>
      <c r="B666" s="612"/>
      <c r="C666" s="613" t="s">
        <v>31</v>
      </c>
      <c r="D666" s="612"/>
      <c r="E666" s="613"/>
      <c r="F666" s="611"/>
      <c r="G666" s="611"/>
    </row>
    <row r="667" spans="1:9" ht="15.75" customHeight="1" outlineLevel="2">
      <c r="A667" s="613"/>
      <c r="B667" s="612"/>
      <c r="C667" s="613" t="s">
        <v>145</v>
      </c>
      <c r="D667" s="612" t="s">
        <v>33</v>
      </c>
      <c r="E667" s="613">
        <v>0.75</v>
      </c>
      <c r="F667" s="611">
        <f>brick_layer</f>
        <v>107800.00000000001</v>
      </c>
      <c r="G667" s="611">
        <f>F667*E667</f>
        <v>80850.000000000015</v>
      </c>
    </row>
    <row r="668" spans="1:9" ht="15.75" customHeight="1" outlineLevel="2">
      <c r="A668" s="613"/>
      <c r="B668" s="612"/>
      <c r="C668" s="613" t="s">
        <v>32</v>
      </c>
      <c r="D668" s="612" t="s">
        <v>33</v>
      </c>
      <c r="E668" s="613">
        <v>1.5</v>
      </c>
      <c r="F668" s="611">
        <f>worker</f>
        <v>107800.00000000001</v>
      </c>
      <c r="G668" s="611">
        <f>F668*E668</f>
        <v>161700.00000000003</v>
      </c>
    </row>
    <row r="669" spans="1:9" ht="15.75" customHeight="1" outlineLevel="2">
      <c r="A669" s="613"/>
      <c r="B669" s="612"/>
      <c r="C669" s="613" t="s">
        <v>36</v>
      </c>
      <c r="D669" s="612" t="s">
        <v>33</v>
      </c>
      <c r="E669" s="613">
        <v>7.4999999999999997E-2</v>
      </c>
      <c r="F669" s="611">
        <f>supervisor</f>
        <v>119350.00000000001</v>
      </c>
      <c r="G669" s="611">
        <f>F669*E669</f>
        <v>8951.25</v>
      </c>
    </row>
    <row r="670" spans="1:9" ht="15.75" customHeight="1" outlineLevel="2">
      <c r="A670" s="613"/>
      <c r="B670" s="612"/>
      <c r="C670" s="613" t="s">
        <v>159</v>
      </c>
      <c r="D670" s="612" t="s">
        <v>33</v>
      </c>
      <c r="E670" s="613">
        <v>7.4999999999999997E-2</v>
      </c>
      <c r="F670" s="611">
        <f>brick_layer_chief</f>
        <v>119350.00000000001</v>
      </c>
      <c r="G670" s="611">
        <f>F670*E670</f>
        <v>8951.25</v>
      </c>
    </row>
    <row r="671" spans="1:9" ht="15.75" customHeight="1" outlineLevel="2">
      <c r="A671" s="613"/>
      <c r="B671" s="612"/>
      <c r="C671" s="613"/>
      <c r="D671" s="612"/>
      <c r="E671" s="613"/>
      <c r="F671" s="611"/>
      <c r="G671" s="611"/>
    </row>
    <row r="672" spans="1:9" ht="15.75" customHeight="1" outlineLevel="2">
      <c r="A672" s="613"/>
      <c r="B672" s="612"/>
      <c r="C672" s="613" t="s">
        <v>157</v>
      </c>
      <c r="D672" s="612"/>
      <c r="E672" s="613"/>
      <c r="F672" s="611"/>
      <c r="G672" s="611"/>
    </row>
    <row r="673" spans="1:9" ht="15.75" customHeight="1" outlineLevel="2">
      <c r="A673" s="613"/>
      <c r="B673" s="612"/>
      <c r="C673" s="613" t="s">
        <v>167</v>
      </c>
      <c r="D673" s="612" t="s">
        <v>65</v>
      </c>
      <c r="E673" s="613">
        <v>0.16700000000000001</v>
      </c>
      <c r="F673" s="611">
        <f>molen_mechine_0.5m3day</f>
        <v>568528.4</v>
      </c>
      <c r="G673" s="611">
        <f>F673*E673</f>
        <v>94944.242800000007</v>
      </c>
    </row>
    <row r="674" spans="1:9" ht="15.75" customHeight="1" outlineLevel="2">
      <c r="A674" s="613"/>
      <c r="B674" s="612"/>
      <c r="C674" s="613"/>
      <c r="D674" s="612"/>
      <c r="E674" s="613"/>
      <c r="F674" s="611"/>
      <c r="G674" s="611">
        <f>SUM(G662:G673)</f>
        <v>878303.74280000012</v>
      </c>
    </row>
    <row r="675" spans="1:9" ht="15.75" customHeight="1" outlineLevel="1">
      <c r="A675" s="613" t="s">
        <v>2074</v>
      </c>
      <c r="B675" s="612">
        <f>B659+1</f>
        <v>24</v>
      </c>
      <c r="C675" s="613" t="s">
        <v>1623</v>
      </c>
      <c r="D675" s="612" t="s">
        <v>40</v>
      </c>
      <c r="E675" s="613"/>
      <c r="F675" s="611"/>
      <c r="G675" s="604">
        <f>G690</f>
        <v>792901.49840000004</v>
      </c>
      <c r="I675" s="633" t="s">
        <v>2066</v>
      </c>
    </row>
    <row r="676" spans="1:9" ht="15.75" hidden="1" customHeight="1" outlineLevel="2">
      <c r="A676" s="613"/>
      <c r="B676" s="612"/>
      <c r="C676" s="613"/>
      <c r="D676" s="612"/>
      <c r="E676" s="613"/>
      <c r="F676" s="611"/>
      <c r="G676" s="611"/>
      <c r="I676" s="633" t="s">
        <v>2068</v>
      </c>
    </row>
    <row r="677" spans="1:9" ht="15.75" hidden="1" customHeight="1" outlineLevel="2">
      <c r="A677" s="613"/>
      <c r="B677" s="612"/>
      <c r="C677" s="613" t="s">
        <v>20</v>
      </c>
      <c r="D677" s="612"/>
      <c r="E677" s="613"/>
      <c r="F677" s="611"/>
      <c r="G677" s="611"/>
    </row>
    <row r="678" spans="1:9" ht="15.75" hidden="1" customHeight="1" outlineLevel="2">
      <c r="A678" s="613"/>
      <c r="B678" s="612"/>
      <c r="C678" s="613" t="s">
        <v>165</v>
      </c>
      <c r="D678" s="612" t="s">
        <v>4288</v>
      </c>
      <c r="E678" s="613">
        <v>1.2</v>
      </c>
      <c r="F678" s="611">
        <f>crushed_stone</f>
        <v>178640</v>
      </c>
      <c r="G678" s="611">
        <f>F678*E678</f>
        <v>214368</v>
      </c>
    </row>
    <row r="679" spans="1:9" ht="15.75" hidden="1" customHeight="1" outlineLevel="2">
      <c r="A679" s="613"/>
      <c r="B679" s="612"/>
      <c r="C679" s="613" t="s">
        <v>143</v>
      </c>
      <c r="D679" s="612" t="s">
        <v>1</v>
      </c>
      <c r="E679" s="613">
        <v>135</v>
      </c>
      <c r="F679" s="611">
        <f>PC</f>
        <v>1348.6000000000001</v>
      </c>
      <c r="G679" s="611">
        <f>F679*E679</f>
        <v>182061.00000000003</v>
      </c>
    </row>
    <row r="680" spans="1:9" ht="15.75" hidden="1" customHeight="1" outlineLevel="2">
      <c r="A680" s="613"/>
      <c r="B680" s="612"/>
      <c r="C680" s="613" t="s">
        <v>144</v>
      </c>
      <c r="D680" s="612" t="s">
        <v>4288</v>
      </c>
      <c r="E680" s="613">
        <v>0.54400000000000004</v>
      </c>
      <c r="F680" s="611">
        <f>sand_pasang</f>
        <v>170610</v>
      </c>
      <c r="G680" s="611">
        <f>F680*E680</f>
        <v>92811.840000000011</v>
      </c>
    </row>
    <row r="681" spans="1:9" ht="15.75" hidden="1" customHeight="1" outlineLevel="2">
      <c r="A681" s="613"/>
      <c r="B681" s="612"/>
      <c r="C681" s="613"/>
      <c r="D681" s="612"/>
      <c r="E681" s="613"/>
      <c r="F681" s="611"/>
      <c r="G681" s="611"/>
    </row>
    <row r="682" spans="1:9" ht="15.75" hidden="1" customHeight="1" outlineLevel="2">
      <c r="A682" s="613"/>
      <c r="B682" s="612"/>
      <c r="C682" s="613" t="s">
        <v>31</v>
      </c>
      <c r="D682" s="612"/>
      <c r="E682" s="613"/>
      <c r="F682" s="611"/>
      <c r="G682" s="611"/>
    </row>
    <row r="683" spans="1:9" ht="15.75" hidden="1" customHeight="1" outlineLevel="2">
      <c r="A683" s="613"/>
      <c r="B683" s="612"/>
      <c r="C683" s="613" t="s">
        <v>145</v>
      </c>
      <c r="D683" s="612" t="s">
        <v>33</v>
      </c>
      <c r="E683" s="613">
        <v>0.75</v>
      </c>
      <c r="F683" s="611">
        <f>brick_layer</f>
        <v>107800.00000000001</v>
      </c>
      <c r="G683" s="611">
        <f>F683*E683</f>
        <v>80850.000000000015</v>
      </c>
    </row>
    <row r="684" spans="1:9" ht="15.75" hidden="1" customHeight="1" outlineLevel="2">
      <c r="A684" s="613"/>
      <c r="B684" s="612"/>
      <c r="C684" s="613" t="s">
        <v>32</v>
      </c>
      <c r="D684" s="612" t="s">
        <v>33</v>
      </c>
      <c r="E684" s="613">
        <v>1.5</v>
      </c>
      <c r="F684" s="611">
        <f>worker</f>
        <v>107800.00000000001</v>
      </c>
      <c r="G684" s="611">
        <f>F684*E684</f>
        <v>161700.00000000003</v>
      </c>
    </row>
    <row r="685" spans="1:9" ht="15.75" hidden="1" customHeight="1" outlineLevel="2">
      <c r="A685" s="613"/>
      <c r="B685" s="612"/>
      <c r="C685" s="613" t="s">
        <v>36</v>
      </c>
      <c r="D685" s="612" t="s">
        <v>33</v>
      </c>
      <c r="E685" s="613">
        <v>7.4999999999999997E-2</v>
      </c>
      <c r="F685" s="611">
        <f>supervisor</f>
        <v>119350.00000000001</v>
      </c>
      <c r="G685" s="611">
        <f>F685*E685</f>
        <v>8951.25</v>
      </c>
    </row>
    <row r="686" spans="1:9" ht="15.75" hidden="1" customHeight="1" outlineLevel="2">
      <c r="A686" s="613"/>
      <c r="B686" s="612"/>
      <c r="C686" s="613" t="s">
        <v>159</v>
      </c>
      <c r="D686" s="612" t="s">
        <v>33</v>
      </c>
      <c r="E686" s="613">
        <v>7.4999999999999997E-2</v>
      </c>
      <c r="F686" s="611">
        <f>brick_layer_chief</f>
        <v>119350.00000000001</v>
      </c>
      <c r="G686" s="611">
        <f>F686*E686</f>
        <v>8951.25</v>
      </c>
    </row>
    <row r="687" spans="1:9" ht="15.75" hidden="1" customHeight="1" outlineLevel="2">
      <c r="A687" s="613"/>
      <c r="B687" s="612"/>
      <c r="C687" s="613"/>
      <c r="D687" s="612"/>
      <c r="E687" s="613"/>
      <c r="F687" s="611"/>
      <c r="G687" s="611"/>
    </row>
    <row r="688" spans="1:9" ht="15.75" hidden="1" customHeight="1" outlineLevel="2">
      <c r="A688" s="613"/>
      <c r="B688" s="612"/>
      <c r="C688" s="613" t="s">
        <v>157</v>
      </c>
      <c r="D688" s="612"/>
      <c r="E688" s="613"/>
      <c r="F688" s="611"/>
      <c r="G688" s="611"/>
    </row>
    <row r="689" spans="1:9" ht="15.75" hidden="1" customHeight="1" outlineLevel="2">
      <c r="A689" s="613"/>
      <c r="B689" s="612"/>
      <c r="C689" s="613" t="s">
        <v>167</v>
      </c>
      <c r="D689" s="612" t="s">
        <v>65</v>
      </c>
      <c r="E689" s="613">
        <v>7.5999999999999998E-2</v>
      </c>
      <c r="F689" s="611">
        <f>molen_mechine_0.5m3day</f>
        <v>568528.4</v>
      </c>
      <c r="G689" s="611">
        <f>F689*E689</f>
        <v>43208.1584</v>
      </c>
    </row>
    <row r="690" spans="1:9" ht="15.75" hidden="1" customHeight="1" outlineLevel="2">
      <c r="A690" s="613"/>
      <c r="B690" s="612"/>
      <c r="C690" s="613"/>
      <c r="D690" s="612"/>
      <c r="E690" s="613"/>
      <c r="F690" s="611"/>
      <c r="G690" s="611">
        <f>SUM(G678:G689)</f>
        <v>792901.49840000004</v>
      </c>
    </row>
    <row r="691" spans="1:9" ht="15.75" customHeight="1" outlineLevel="1" collapsed="1">
      <c r="A691" s="613" t="s">
        <v>2074</v>
      </c>
      <c r="B691" s="612">
        <f>B675+1</f>
        <v>25</v>
      </c>
      <c r="C691" s="613" t="s">
        <v>2067</v>
      </c>
      <c r="D691" s="612" t="s">
        <v>40</v>
      </c>
      <c r="E691" s="613"/>
      <c r="F691" s="611"/>
      <c r="G691" s="604">
        <f>SUM(G694:G705)</f>
        <v>771527.06839999999</v>
      </c>
      <c r="I691" s="633" t="s">
        <v>2066</v>
      </c>
    </row>
    <row r="692" spans="1:9" ht="15.75" hidden="1" customHeight="1" outlineLevel="2">
      <c r="A692" s="613"/>
      <c r="B692" s="612"/>
      <c r="C692" s="613"/>
      <c r="D692" s="612"/>
      <c r="E692" s="613"/>
      <c r="F692" s="611"/>
      <c r="G692" s="611"/>
      <c r="I692" s="633" t="s">
        <v>2068</v>
      </c>
    </row>
    <row r="693" spans="1:9" ht="15.75" hidden="1" customHeight="1" outlineLevel="2">
      <c r="A693" s="613"/>
      <c r="B693" s="612"/>
      <c r="C693" s="613" t="s">
        <v>20</v>
      </c>
      <c r="D693" s="612"/>
      <c r="E693" s="613"/>
      <c r="F693" s="611"/>
      <c r="G693" s="611"/>
    </row>
    <row r="694" spans="1:9" ht="15.75" hidden="1" customHeight="1" outlineLevel="2">
      <c r="A694" s="613"/>
      <c r="B694" s="612"/>
      <c r="C694" s="613" t="s">
        <v>165</v>
      </c>
      <c r="D694" s="612" t="s">
        <v>4288</v>
      </c>
      <c r="E694" s="613">
        <v>1.2</v>
      </c>
      <c r="F694" s="611">
        <f>crushed_stone</f>
        <v>178640</v>
      </c>
      <c r="G694" s="611">
        <f>F694*E694</f>
        <v>214368</v>
      </c>
    </row>
    <row r="695" spans="1:9" ht="15.75" hidden="1" customHeight="1" outlineLevel="2">
      <c r="A695" s="613"/>
      <c r="B695" s="612"/>
      <c r="C695" s="613" t="s">
        <v>143</v>
      </c>
      <c r="D695" s="612" t="s">
        <v>1</v>
      </c>
      <c r="E695" s="613">
        <v>117</v>
      </c>
      <c r="F695" s="611">
        <f>PC</f>
        <v>1348.6000000000001</v>
      </c>
      <c r="G695" s="611">
        <f>F695*E695</f>
        <v>157786.20000000001</v>
      </c>
    </row>
    <row r="696" spans="1:9" ht="15.75" hidden="1" customHeight="1" outlineLevel="2">
      <c r="A696" s="613"/>
      <c r="B696" s="612"/>
      <c r="C696" s="613" t="s">
        <v>144</v>
      </c>
      <c r="D696" s="612" t="s">
        <v>4288</v>
      </c>
      <c r="E696" s="613">
        <v>0.56100000000000005</v>
      </c>
      <c r="F696" s="611">
        <f>sand_pasang</f>
        <v>170610</v>
      </c>
      <c r="G696" s="611">
        <f>F696*E696</f>
        <v>95712.21</v>
      </c>
    </row>
    <row r="697" spans="1:9" ht="15.75" hidden="1" customHeight="1" outlineLevel="2">
      <c r="A697" s="613"/>
      <c r="B697" s="612"/>
      <c r="C697" s="613"/>
      <c r="D697" s="612"/>
      <c r="E697" s="613"/>
      <c r="F697" s="611"/>
      <c r="G697" s="611"/>
    </row>
    <row r="698" spans="1:9" ht="15.75" hidden="1" customHeight="1" outlineLevel="2">
      <c r="A698" s="613"/>
      <c r="B698" s="612"/>
      <c r="C698" s="613" t="s">
        <v>31</v>
      </c>
      <c r="D698" s="612"/>
      <c r="E698" s="613"/>
      <c r="F698" s="611"/>
      <c r="G698" s="611"/>
    </row>
    <row r="699" spans="1:9" ht="15.75" hidden="1" customHeight="1" outlineLevel="2">
      <c r="A699" s="613"/>
      <c r="B699" s="612"/>
      <c r="C699" s="613" t="s">
        <v>145</v>
      </c>
      <c r="D699" s="612" t="s">
        <v>33</v>
      </c>
      <c r="E699" s="613">
        <v>0.75</v>
      </c>
      <c r="F699" s="611">
        <f>brick_layer</f>
        <v>107800.00000000001</v>
      </c>
      <c r="G699" s="611">
        <f>F699*E699</f>
        <v>80850.000000000015</v>
      </c>
    </row>
    <row r="700" spans="1:9" ht="15.75" hidden="1" customHeight="1" outlineLevel="2">
      <c r="A700" s="613"/>
      <c r="B700" s="612"/>
      <c r="C700" s="613" t="s">
        <v>32</v>
      </c>
      <c r="D700" s="612" t="s">
        <v>33</v>
      </c>
      <c r="E700" s="613">
        <v>1.5</v>
      </c>
      <c r="F700" s="611">
        <f>worker</f>
        <v>107800.00000000001</v>
      </c>
      <c r="G700" s="611">
        <f>F700*E700</f>
        <v>161700.00000000003</v>
      </c>
    </row>
    <row r="701" spans="1:9" ht="15.75" hidden="1" customHeight="1" outlineLevel="2">
      <c r="A701" s="613"/>
      <c r="B701" s="612"/>
      <c r="C701" s="613" t="s">
        <v>36</v>
      </c>
      <c r="D701" s="612" t="s">
        <v>33</v>
      </c>
      <c r="E701" s="613">
        <v>7.4999999999999997E-2</v>
      </c>
      <c r="F701" s="611">
        <f>supervisor</f>
        <v>119350.00000000001</v>
      </c>
      <c r="G701" s="611">
        <f>F701*E701</f>
        <v>8951.25</v>
      </c>
    </row>
    <row r="702" spans="1:9" ht="15.75" hidden="1" customHeight="1" outlineLevel="2">
      <c r="A702" s="613"/>
      <c r="B702" s="612"/>
      <c r="C702" s="613" t="s">
        <v>159</v>
      </c>
      <c r="D702" s="612" t="s">
        <v>33</v>
      </c>
      <c r="E702" s="613">
        <v>7.4999999999999997E-2</v>
      </c>
      <c r="F702" s="611">
        <f>brick_layer_chief</f>
        <v>119350.00000000001</v>
      </c>
      <c r="G702" s="611">
        <f>F702*E702</f>
        <v>8951.25</v>
      </c>
    </row>
    <row r="703" spans="1:9" ht="15.75" hidden="1" customHeight="1" outlineLevel="2">
      <c r="A703" s="613"/>
      <c r="B703" s="612"/>
      <c r="C703" s="613"/>
      <c r="D703" s="612"/>
      <c r="E703" s="613"/>
      <c r="F703" s="611"/>
      <c r="G703" s="611"/>
    </row>
    <row r="704" spans="1:9" ht="15.75" hidden="1" customHeight="1" outlineLevel="2">
      <c r="A704" s="613"/>
      <c r="B704" s="612"/>
      <c r="C704" s="613" t="s">
        <v>157</v>
      </c>
      <c r="D704" s="612"/>
      <c r="E704" s="613"/>
      <c r="F704" s="611"/>
      <c r="G704" s="611"/>
    </row>
    <row r="705" spans="1:9" ht="15.75" hidden="1" customHeight="1" outlineLevel="2">
      <c r="A705" s="613"/>
      <c r="B705" s="612"/>
      <c r="C705" s="613" t="s">
        <v>167</v>
      </c>
      <c r="D705" s="612" t="s">
        <v>65</v>
      </c>
      <c r="E705" s="613">
        <v>7.5999999999999998E-2</v>
      </c>
      <c r="F705" s="611">
        <f>molen_mechine_0.5m3day</f>
        <v>568528.4</v>
      </c>
      <c r="G705" s="611">
        <f>F705*E705</f>
        <v>43208.1584</v>
      </c>
    </row>
    <row r="706" spans="1:9" ht="15.75" hidden="1" customHeight="1" outlineLevel="2">
      <c r="A706" s="613"/>
      <c r="B706" s="612"/>
      <c r="C706" s="613"/>
      <c r="D706" s="612"/>
      <c r="E706" s="613"/>
      <c r="F706" s="611"/>
      <c r="G706" s="611"/>
    </row>
    <row r="707" spans="1:9" ht="15.75" customHeight="1" outlineLevel="1" collapsed="1">
      <c r="A707" s="613" t="s">
        <v>2074</v>
      </c>
      <c r="B707" s="592">
        <f>B691+1</f>
        <v>26</v>
      </c>
      <c r="C707" s="613" t="s">
        <v>1624</v>
      </c>
      <c r="D707" s="612" t="s">
        <v>4</v>
      </c>
      <c r="E707" s="613"/>
      <c r="F707" s="611"/>
      <c r="G707" s="604">
        <f>G718</f>
        <v>214807.285</v>
      </c>
      <c r="I707" s="633" t="s">
        <v>168</v>
      </c>
    </row>
    <row r="708" spans="1:9" ht="15.75" hidden="1" customHeight="1" outlineLevel="2">
      <c r="A708" s="613"/>
      <c r="B708" s="612"/>
      <c r="C708" s="613"/>
      <c r="D708" s="612"/>
      <c r="E708" s="613"/>
      <c r="F708" s="611"/>
      <c r="G708" s="611"/>
    </row>
    <row r="709" spans="1:9" ht="15.75" hidden="1" customHeight="1" outlineLevel="2">
      <c r="A709" s="613"/>
      <c r="B709" s="612"/>
      <c r="C709" s="613" t="s">
        <v>20</v>
      </c>
      <c r="D709" s="612"/>
      <c r="E709" s="613"/>
      <c r="F709" s="611"/>
      <c r="G709" s="611"/>
    </row>
    <row r="710" spans="1:9" ht="15.75" hidden="1" customHeight="1" outlineLevel="2">
      <c r="A710" s="613"/>
      <c r="B710" s="612"/>
      <c r="C710" s="613" t="s">
        <v>169</v>
      </c>
      <c r="D710" s="612" t="s">
        <v>4288</v>
      </c>
      <c r="E710" s="613">
        <v>9.4500000000000001E-2</v>
      </c>
      <c r="F710" s="611">
        <f>meranti_beam_5.7</f>
        <v>2669260</v>
      </c>
      <c r="G710" s="611">
        <f>F710*E710</f>
        <v>252245.07</v>
      </c>
    </row>
    <row r="711" spans="1:9" ht="15.75" hidden="1" customHeight="1" outlineLevel="2">
      <c r="A711" s="613"/>
      <c r="B711" s="612"/>
      <c r="C711" s="613" t="s">
        <v>24</v>
      </c>
      <c r="D711" s="612" t="s">
        <v>1</v>
      </c>
      <c r="E711" s="613">
        <v>0.35</v>
      </c>
      <c r="F711" s="611">
        <f>nail</f>
        <v>96250.000000000015</v>
      </c>
      <c r="G711" s="611">
        <f>F711*E711</f>
        <v>33687.5</v>
      </c>
    </row>
    <row r="712" spans="1:9" ht="15.75" hidden="1" customHeight="1" outlineLevel="2">
      <c r="A712" s="613"/>
      <c r="B712" s="612"/>
      <c r="C712" s="613"/>
      <c r="D712" s="612"/>
      <c r="E712" s="613"/>
      <c r="F712" s="611"/>
      <c r="G712" s="611"/>
    </row>
    <row r="713" spans="1:9" ht="15.75" hidden="1" customHeight="1" outlineLevel="2">
      <c r="A713" s="613"/>
      <c r="B713" s="612"/>
      <c r="C713" s="613" t="s">
        <v>31</v>
      </c>
      <c r="D713" s="612"/>
      <c r="E713" s="613"/>
      <c r="F713" s="611"/>
      <c r="G713" s="611"/>
    </row>
    <row r="714" spans="1:9" ht="15.75" hidden="1" customHeight="1" outlineLevel="2">
      <c r="A714" s="613"/>
      <c r="B714" s="612"/>
      <c r="C714" s="613" t="s">
        <v>45</v>
      </c>
      <c r="D714" s="612" t="s">
        <v>33</v>
      </c>
      <c r="E714" s="613">
        <v>0.6</v>
      </c>
      <c r="F714" s="611">
        <f>carpenter</f>
        <v>107800.00000000001</v>
      </c>
      <c r="G714" s="611">
        <f>F714*E714</f>
        <v>64680.000000000007</v>
      </c>
    </row>
    <row r="715" spans="1:9" ht="15.75" hidden="1" customHeight="1" outlineLevel="2">
      <c r="A715" s="613"/>
      <c r="B715" s="612"/>
      <c r="C715" s="613" t="s">
        <v>32</v>
      </c>
      <c r="D715" s="612" t="s">
        <v>33</v>
      </c>
      <c r="E715" s="613">
        <v>0.6</v>
      </c>
      <c r="F715" s="611">
        <f>worker</f>
        <v>107800.00000000001</v>
      </c>
      <c r="G715" s="611">
        <f>F715*E715</f>
        <v>64680.000000000007</v>
      </c>
    </row>
    <row r="716" spans="1:9" ht="15.75" hidden="1" customHeight="1" outlineLevel="2">
      <c r="A716" s="613"/>
      <c r="B716" s="612"/>
      <c r="C716" s="613" t="s">
        <v>36</v>
      </c>
      <c r="D716" s="612" t="s">
        <v>33</v>
      </c>
      <c r="E716" s="613">
        <v>0.06</v>
      </c>
      <c r="F716" s="611">
        <f>supervisor</f>
        <v>119350.00000000001</v>
      </c>
      <c r="G716" s="611">
        <f>F716*E716</f>
        <v>7161.0000000000009</v>
      </c>
    </row>
    <row r="717" spans="1:9" ht="15.75" hidden="1" customHeight="1" outlineLevel="2">
      <c r="A717" s="613"/>
      <c r="B717" s="612"/>
      <c r="C717" s="613" t="s">
        <v>61</v>
      </c>
      <c r="D717" s="612" t="s">
        <v>33</v>
      </c>
      <c r="E717" s="613">
        <v>0.06</v>
      </c>
      <c r="F717" s="611">
        <f>carpenter_chief</f>
        <v>119350.00000000001</v>
      </c>
      <c r="G717" s="611">
        <f>F717*E717</f>
        <v>7161.0000000000009</v>
      </c>
    </row>
    <row r="718" spans="1:9" ht="15.75" hidden="1" customHeight="1" outlineLevel="2">
      <c r="A718" s="613"/>
      <c r="B718" s="612"/>
      <c r="C718" s="613"/>
      <c r="D718" s="612"/>
      <c r="E718" s="613"/>
      <c r="F718" s="611"/>
      <c r="G718" s="611">
        <f>SUM(G710:G717)/2</f>
        <v>214807.285</v>
      </c>
      <c r="I718" s="633" t="s">
        <v>170</v>
      </c>
    </row>
    <row r="719" spans="1:9" ht="15.75" hidden="1" customHeight="1" outlineLevel="2">
      <c r="A719" s="613"/>
      <c r="B719" s="612"/>
      <c r="C719" s="613"/>
      <c r="D719" s="612"/>
      <c r="E719" s="613"/>
      <c r="F719" s="611"/>
      <c r="G719" s="611"/>
    </row>
    <row r="720" spans="1:9" ht="15.75" customHeight="1" outlineLevel="1" collapsed="1">
      <c r="A720" s="613" t="s">
        <v>2074</v>
      </c>
      <c r="B720" s="592">
        <f>B707+1</f>
        <v>27</v>
      </c>
      <c r="C720" s="613" t="s">
        <v>1625</v>
      </c>
      <c r="D720" s="612" t="s">
        <v>4</v>
      </c>
      <c r="E720" s="613"/>
      <c r="F720" s="611"/>
      <c r="G720" s="604">
        <f>G733</f>
        <v>226578.88</v>
      </c>
      <c r="I720" s="633" t="s">
        <v>168</v>
      </c>
    </row>
    <row r="721" spans="1:9" ht="15.75" hidden="1" customHeight="1" outlineLevel="2">
      <c r="A721" s="613"/>
      <c r="B721" s="612"/>
      <c r="C721" s="613"/>
      <c r="D721" s="612"/>
      <c r="E721" s="613"/>
      <c r="F721" s="611"/>
      <c r="G721" s="611"/>
    </row>
    <row r="722" spans="1:9" ht="15.75" hidden="1" customHeight="1" outlineLevel="2">
      <c r="A722" s="613"/>
      <c r="B722" s="612"/>
      <c r="C722" s="613" t="s">
        <v>20</v>
      </c>
      <c r="D722" s="612"/>
      <c r="E722" s="613"/>
      <c r="F722" s="611"/>
      <c r="G722" s="611"/>
    </row>
    <row r="723" spans="1:9" ht="15.75" hidden="1" customHeight="1" outlineLevel="2">
      <c r="A723" s="613"/>
      <c r="B723" s="612"/>
      <c r="C723" s="613" t="s">
        <v>792</v>
      </c>
      <c r="D723" s="612" t="s">
        <v>793</v>
      </c>
      <c r="E723" s="613">
        <v>0.128</v>
      </c>
      <c r="F723" s="611">
        <f>plywood_18mm</f>
        <v>289190</v>
      </c>
      <c r="G723" s="611">
        <f>E723*F723</f>
        <v>37016.32</v>
      </c>
    </row>
    <row r="724" spans="1:9" ht="15.75" hidden="1" customHeight="1" outlineLevel="2">
      <c r="A724" s="613"/>
      <c r="B724" s="612"/>
      <c r="C724" s="613" t="s">
        <v>169</v>
      </c>
      <c r="D724" s="612" t="s">
        <v>4288</v>
      </c>
      <c r="E724" s="613">
        <v>6.0000000000000001E-3</v>
      </c>
      <c r="F724" s="611">
        <f>meranti_beam_5.7</f>
        <v>2669260</v>
      </c>
      <c r="G724" s="611">
        <f>F724*E724</f>
        <v>16015.56</v>
      </c>
    </row>
    <row r="725" spans="1:9" ht="15.75" hidden="1" customHeight="1" outlineLevel="2">
      <c r="A725" s="613"/>
      <c r="B725" s="612"/>
      <c r="C725" s="613" t="s">
        <v>24</v>
      </c>
      <c r="D725" s="612" t="s">
        <v>1</v>
      </c>
      <c r="E725" s="613">
        <v>0.28000000000000003</v>
      </c>
      <c r="F725" s="611">
        <f>nail</f>
        <v>96250.000000000015</v>
      </c>
      <c r="G725" s="611">
        <f>F725*E725</f>
        <v>26950.000000000007</v>
      </c>
    </row>
    <row r="726" spans="1:9" ht="15.75" hidden="1" customHeight="1" outlineLevel="2">
      <c r="A726" s="613"/>
      <c r="B726" s="612"/>
      <c r="C726" s="613" t="s">
        <v>794</v>
      </c>
      <c r="D726" s="612" t="s">
        <v>95</v>
      </c>
      <c r="E726" s="613">
        <v>0.25</v>
      </c>
      <c r="F726" s="611">
        <f>minyak_bekisting</f>
        <v>11660.000000000002</v>
      </c>
      <c r="G726" s="611">
        <f>F726*E726</f>
        <v>2915.0000000000005</v>
      </c>
    </row>
    <row r="727" spans="1:9" ht="15.75" hidden="1" customHeight="1" outlineLevel="2">
      <c r="A727" s="613"/>
      <c r="B727" s="612"/>
      <c r="C727" s="613"/>
      <c r="D727" s="612"/>
      <c r="E727" s="613"/>
      <c r="F727" s="611"/>
      <c r="G727" s="611"/>
    </row>
    <row r="728" spans="1:9" ht="15.75" hidden="1" customHeight="1" outlineLevel="2">
      <c r="A728" s="613"/>
      <c r="B728" s="612"/>
      <c r="C728" s="613" t="s">
        <v>31</v>
      </c>
      <c r="D728" s="612"/>
      <c r="E728" s="613"/>
      <c r="F728" s="611"/>
      <c r="G728" s="611"/>
    </row>
    <row r="729" spans="1:9" ht="15.75" hidden="1" customHeight="1" outlineLevel="2">
      <c r="A729" s="613"/>
      <c r="B729" s="612"/>
      <c r="C729" s="613" t="s">
        <v>45</v>
      </c>
      <c r="D729" s="612" t="s">
        <v>33</v>
      </c>
      <c r="E729" s="613">
        <v>0.6</v>
      </c>
      <c r="F729" s="611">
        <f>carpenter</f>
        <v>107800.00000000001</v>
      </c>
      <c r="G729" s="611">
        <f>F729*E729</f>
        <v>64680.000000000007</v>
      </c>
    </row>
    <row r="730" spans="1:9" ht="15.75" hidden="1" customHeight="1" outlineLevel="2">
      <c r="A730" s="613"/>
      <c r="B730" s="612"/>
      <c r="C730" s="613" t="s">
        <v>32</v>
      </c>
      <c r="D730" s="612" t="s">
        <v>33</v>
      </c>
      <c r="E730" s="613">
        <v>0.6</v>
      </c>
      <c r="F730" s="611">
        <f>worker</f>
        <v>107800.00000000001</v>
      </c>
      <c r="G730" s="611">
        <f>F730*E730</f>
        <v>64680.000000000007</v>
      </c>
    </row>
    <row r="731" spans="1:9" ht="15.75" hidden="1" customHeight="1" outlineLevel="2">
      <c r="A731" s="613"/>
      <c r="B731" s="612"/>
      <c r="C731" s="613" t="s">
        <v>1067</v>
      </c>
      <c r="D731" s="612" t="s">
        <v>33</v>
      </c>
      <c r="E731" s="613">
        <v>0.06</v>
      </c>
      <c r="F731" s="611">
        <f>supervisor</f>
        <v>119350.00000000001</v>
      </c>
      <c r="G731" s="611">
        <f>F731*E731</f>
        <v>7161.0000000000009</v>
      </c>
    </row>
    <row r="732" spans="1:9" ht="15.75" hidden="1" customHeight="1" outlineLevel="2">
      <c r="A732" s="613"/>
      <c r="B732" s="612"/>
      <c r="C732" s="613" t="s">
        <v>61</v>
      </c>
      <c r="D732" s="612" t="s">
        <v>33</v>
      </c>
      <c r="E732" s="613">
        <v>0.06</v>
      </c>
      <c r="F732" s="611">
        <f>carpenter_chief</f>
        <v>119350.00000000001</v>
      </c>
      <c r="G732" s="611">
        <f>F732*E732</f>
        <v>7161.0000000000009</v>
      </c>
    </row>
    <row r="733" spans="1:9" ht="15.75" hidden="1" customHeight="1" outlineLevel="2">
      <c r="A733" s="613"/>
      <c r="B733" s="612"/>
      <c r="C733" s="613"/>
      <c r="D733" s="612"/>
      <c r="E733" s="613"/>
      <c r="F733" s="611"/>
      <c r="G733" s="611">
        <f>SUM(G723:G732)/1</f>
        <v>226578.88</v>
      </c>
      <c r="I733" s="633" t="s">
        <v>1287</v>
      </c>
    </row>
    <row r="734" spans="1:9" ht="15.75" hidden="1" customHeight="1" outlineLevel="2">
      <c r="A734" s="613"/>
      <c r="B734" s="612"/>
      <c r="C734" s="613"/>
      <c r="D734" s="612"/>
      <c r="E734" s="613"/>
      <c r="F734" s="611"/>
      <c r="G734" s="611"/>
    </row>
    <row r="735" spans="1:9" ht="15.75" customHeight="1" outlineLevel="1" collapsed="1">
      <c r="A735" s="613" t="s">
        <v>2074</v>
      </c>
      <c r="B735" s="592">
        <f>B720+1</f>
        <v>28</v>
      </c>
      <c r="C735" s="613" t="s">
        <v>1626</v>
      </c>
      <c r="D735" s="612" t="s">
        <v>4</v>
      </c>
      <c r="E735" s="613"/>
      <c r="F735" s="611"/>
      <c r="G735" s="604">
        <f>G748</f>
        <v>123354.66</v>
      </c>
      <c r="I735" s="633" t="s">
        <v>168</v>
      </c>
    </row>
    <row r="736" spans="1:9" ht="15.75" hidden="1" customHeight="1" outlineLevel="2">
      <c r="A736" s="613"/>
      <c r="B736" s="612"/>
      <c r="C736" s="613"/>
      <c r="D736" s="612"/>
      <c r="E736" s="613"/>
      <c r="F736" s="611"/>
      <c r="G736" s="611"/>
      <c r="I736" s="633" t="s">
        <v>1425</v>
      </c>
    </row>
    <row r="737" spans="1:9" ht="15.75" hidden="1" customHeight="1" outlineLevel="2">
      <c r="A737" s="613"/>
      <c r="B737" s="612"/>
      <c r="C737" s="613" t="s">
        <v>20</v>
      </c>
      <c r="D737" s="612"/>
      <c r="E737" s="613"/>
      <c r="F737" s="611"/>
      <c r="G737" s="611"/>
      <c r="I737" s="633" t="s">
        <v>1427</v>
      </c>
    </row>
    <row r="738" spans="1:9" ht="15.75" hidden="1" customHeight="1" outlineLevel="2">
      <c r="A738" s="613"/>
      <c r="B738" s="612"/>
      <c r="C738" s="613" t="s">
        <v>792</v>
      </c>
      <c r="D738" s="612" t="s">
        <v>793</v>
      </c>
      <c r="E738" s="613">
        <v>0.128</v>
      </c>
      <c r="F738" s="611">
        <f>plywood_18mm</f>
        <v>289190</v>
      </c>
      <c r="G738" s="611">
        <f>E738*F738</f>
        <v>37016.32</v>
      </c>
    </row>
    <row r="739" spans="1:9" ht="15.75" hidden="1" customHeight="1" outlineLevel="2">
      <c r="A739" s="613"/>
      <c r="B739" s="612"/>
      <c r="C739" s="613" t="s">
        <v>169</v>
      </c>
      <c r="D739" s="612" t="s">
        <v>4288</v>
      </c>
      <c r="E739" s="613">
        <v>8.9999999999999993E-3</v>
      </c>
      <c r="F739" s="611">
        <f>meranti_beam_5.7</f>
        <v>2669260</v>
      </c>
      <c r="G739" s="611">
        <f>F739*E739</f>
        <v>24023.339999999997</v>
      </c>
    </row>
    <row r="740" spans="1:9" ht="15.75" hidden="1" customHeight="1" outlineLevel="2">
      <c r="A740" s="613"/>
      <c r="B740" s="612"/>
      <c r="C740" s="613" t="s">
        <v>24</v>
      </c>
      <c r="D740" s="612" t="s">
        <v>1</v>
      </c>
      <c r="E740" s="613">
        <v>0.25</v>
      </c>
      <c r="F740" s="611">
        <f>nail</f>
        <v>96250.000000000015</v>
      </c>
      <c r="G740" s="611">
        <f>F740*E740</f>
        <v>24062.500000000004</v>
      </c>
    </row>
    <row r="741" spans="1:9" ht="15.75" hidden="1" customHeight="1" outlineLevel="2">
      <c r="A741" s="613"/>
      <c r="B741" s="612"/>
      <c r="C741" s="613" t="s">
        <v>794</v>
      </c>
      <c r="D741" s="612" t="s">
        <v>95</v>
      </c>
      <c r="E741" s="613">
        <v>0.2</v>
      </c>
      <c r="F741" s="611">
        <f>minyak_bekisting</f>
        <v>11660.000000000002</v>
      </c>
      <c r="G741" s="611">
        <f>F741*E741</f>
        <v>2332.0000000000005</v>
      </c>
    </row>
    <row r="742" spans="1:9" ht="15.75" hidden="1" customHeight="1" outlineLevel="2">
      <c r="A742" s="613"/>
      <c r="B742" s="612"/>
      <c r="C742" s="613"/>
      <c r="D742" s="612"/>
      <c r="E742" s="613"/>
      <c r="F742" s="611"/>
      <c r="G742" s="611"/>
    </row>
    <row r="743" spans="1:9" ht="15.75" hidden="1" customHeight="1" outlineLevel="2">
      <c r="A743" s="613"/>
      <c r="B743" s="612"/>
      <c r="C743" s="613" t="s">
        <v>31</v>
      </c>
      <c r="D743" s="612"/>
      <c r="E743" s="613"/>
      <c r="F743" s="611"/>
      <c r="G743" s="611"/>
    </row>
    <row r="744" spans="1:9" ht="15.75" hidden="1" customHeight="1" outlineLevel="2">
      <c r="A744" s="613"/>
      <c r="B744" s="612"/>
      <c r="C744" s="613" t="s">
        <v>45</v>
      </c>
      <c r="D744" s="612" t="s">
        <v>33</v>
      </c>
      <c r="E744" s="613">
        <v>0.1</v>
      </c>
      <c r="F744" s="611">
        <f>carpenter</f>
        <v>107800.00000000001</v>
      </c>
      <c r="G744" s="611">
        <f>F744*E744</f>
        <v>10780.000000000002</v>
      </c>
    </row>
    <row r="745" spans="1:9" ht="15.75" hidden="1" customHeight="1" outlineLevel="2">
      <c r="A745" s="613"/>
      <c r="B745" s="612"/>
      <c r="C745" s="613" t="s">
        <v>32</v>
      </c>
      <c r="D745" s="612" t="s">
        <v>33</v>
      </c>
      <c r="E745" s="613">
        <v>0.2</v>
      </c>
      <c r="F745" s="611">
        <f>worker</f>
        <v>107800.00000000001</v>
      </c>
      <c r="G745" s="611">
        <f>F745*E745</f>
        <v>21560.000000000004</v>
      </c>
    </row>
    <row r="746" spans="1:9" ht="15.75" hidden="1" customHeight="1" outlineLevel="2">
      <c r="A746" s="613"/>
      <c r="B746" s="612"/>
      <c r="C746" s="613" t="s">
        <v>1067</v>
      </c>
      <c r="D746" s="612" t="s">
        <v>33</v>
      </c>
      <c r="E746" s="613">
        <v>0.02</v>
      </c>
      <c r="F746" s="611">
        <f>supervisor</f>
        <v>119350.00000000001</v>
      </c>
      <c r="G746" s="611">
        <f>F746*E746</f>
        <v>2387.0000000000005</v>
      </c>
    </row>
    <row r="747" spans="1:9" ht="15.75" hidden="1" customHeight="1" outlineLevel="2">
      <c r="A747" s="613"/>
      <c r="B747" s="612"/>
      <c r="C747" s="613" t="s">
        <v>61</v>
      </c>
      <c r="D747" s="612" t="s">
        <v>33</v>
      </c>
      <c r="E747" s="613">
        <v>0.01</v>
      </c>
      <c r="F747" s="611">
        <f>carpenter_chief</f>
        <v>119350.00000000001</v>
      </c>
      <c r="G747" s="611">
        <f>F747*E747</f>
        <v>1193.5000000000002</v>
      </c>
    </row>
    <row r="748" spans="1:9" ht="15.75" hidden="1" customHeight="1" outlineLevel="2">
      <c r="A748" s="613"/>
      <c r="B748" s="612"/>
      <c r="C748" s="613"/>
      <c r="D748" s="612"/>
      <c r="E748" s="613"/>
      <c r="F748" s="611"/>
      <c r="G748" s="611">
        <f>SUM(G738:G747)/1</f>
        <v>123354.66</v>
      </c>
      <c r="I748" s="633" t="s">
        <v>1287</v>
      </c>
    </row>
    <row r="749" spans="1:9" ht="15.75" customHeight="1" outlineLevel="1" collapsed="1">
      <c r="A749" s="613" t="s">
        <v>2074</v>
      </c>
      <c r="B749" s="612">
        <f>B735+1</f>
        <v>29</v>
      </c>
      <c r="C749" s="613" t="s">
        <v>1627</v>
      </c>
      <c r="D749" s="612" t="s">
        <v>4</v>
      </c>
      <c r="E749" s="613"/>
      <c r="F749" s="611"/>
      <c r="G749" s="604">
        <f>G762</f>
        <v>145812.67000000001</v>
      </c>
      <c r="I749" s="633" t="s">
        <v>168</v>
      </c>
    </row>
    <row r="750" spans="1:9" ht="15.75" hidden="1" customHeight="1" outlineLevel="2">
      <c r="A750" s="613"/>
      <c r="B750" s="612"/>
      <c r="C750" s="613"/>
      <c r="D750" s="612"/>
      <c r="E750" s="613"/>
      <c r="F750" s="611"/>
      <c r="G750" s="611"/>
      <c r="I750" s="633" t="s">
        <v>1426</v>
      </c>
    </row>
    <row r="751" spans="1:9" ht="15.75" hidden="1" customHeight="1" outlineLevel="2">
      <c r="A751" s="613"/>
      <c r="B751" s="612"/>
      <c r="C751" s="613" t="s">
        <v>20</v>
      </c>
      <c r="D751" s="612"/>
      <c r="E751" s="613"/>
      <c r="F751" s="611"/>
      <c r="G751" s="611"/>
    </row>
    <row r="752" spans="1:9" ht="15.75" hidden="1" customHeight="1" outlineLevel="2">
      <c r="A752" s="613"/>
      <c r="B752" s="612"/>
      <c r="C752" s="613" t="s">
        <v>1220</v>
      </c>
      <c r="D752" s="612" t="s">
        <v>4288</v>
      </c>
      <c r="E752" s="613">
        <v>1.4E-2</v>
      </c>
      <c r="F752" s="611">
        <f>plank_meranti_3.20</f>
        <v>2730970</v>
      </c>
      <c r="G752" s="611">
        <f>E752*F752</f>
        <v>38233.58</v>
      </c>
    </row>
    <row r="753" spans="1:9" ht="15.75" hidden="1" customHeight="1" outlineLevel="2">
      <c r="A753" s="613"/>
      <c r="B753" s="612"/>
      <c r="C753" s="613" t="s">
        <v>1219</v>
      </c>
      <c r="D753" s="612" t="s">
        <v>4288</v>
      </c>
      <c r="E753" s="613">
        <v>8.9999999999999993E-3</v>
      </c>
      <c r="F753" s="611">
        <f>meranti_beam_5.7</f>
        <v>2669260</v>
      </c>
      <c r="G753" s="611">
        <f>F753*E753</f>
        <v>24023.339999999997</v>
      </c>
    </row>
    <row r="754" spans="1:9" ht="15.75" hidden="1" customHeight="1" outlineLevel="2">
      <c r="A754" s="613"/>
      <c r="B754" s="612"/>
      <c r="C754" s="613" t="s">
        <v>1218</v>
      </c>
      <c r="D754" s="612" t="s">
        <v>1</v>
      </c>
      <c r="E754" s="613">
        <v>0.3</v>
      </c>
      <c r="F754" s="611">
        <f>nail</f>
        <v>96250.000000000015</v>
      </c>
      <c r="G754" s="611">
        <f>F754*E754</f>
        <v>28875.000000000004</v>
      </c>
    </row>
    <row r="755" spans="1:9" ht="15.75" hidden="1" customHeight="1" outlineLevel="2">
      <c r="A755" s="613"/>
      <c r="B755" s="612"/>
      <c r="C755" s="613" t="s">
        <v>1217</v>
      </c>
      <c r="D755" s="612" t="s">
        <v>95</v>
      </c>
      <c r="E755" s="613">
        <v>0.2</v>
      </c>
      <c r="F755" s="611">
        <v>4000</v>
      </c>
      <c r="G755" s="611">
        <f>F755*E755</f>
        <v>800</v>
      </c>
    </row>
    <row r="756" spans="1:9" ht="15.75" hidden="1" customHeight="1" outlineLevel="2">
      <c r="A756" s="613"/>
      <c r="B756" s="612"/>
      <c r="C756" s="613"/>
      <c r="D756" s="612"/>
      <c r="E756" s="613"/>
      <c r="F756" s="611"/>
      <c r="G756" s="611"/>
    </row>
    <row r="757" spans="1:9" ht="15.75" hidden="1" customHeight="1" outlineLevel="2">
      <c r="A757" s="613"/>
      <c r="B757" s="612"/>
      <c r="C757" s="613" t="s">
        <v>31</v>
      </c>
      <c r="D757" s="612"/>
      <c r="E757" s="613"/>
      <c r="F757" s="611"/>
      <c r="G757" s="611"/>
    </row>
    <row r="758" spans="1:9" ht="15.75" hidden="1" customHeight="1" outlineLevel="2">
      <c r="A758" s="613"/>
      <c r="B758" s="612"/>
      <c r="C758" s="613" t="s">
        <v>45</v>
      </c>
      <c r="D758" s="612" t="s">
        <v>33</v>
      </c>
      <c r="E758" s="613">
        <v>0.15</v>
      </c>
      <c r="F758" s="611">
        <f>carpenter</f>
        <v>107800.00000000001</v>
      </c>
      <c r="G758" s="611">
        <f>F758*E758</f>
        <v>16170.000000000002</v>
      </c>
    </row>
    <row r="759" spans="1:9" ht="15.75" hidden="1" customHeight="1" outlineLevel="2">
      <c r="A759" s="613"/>
      <c r="B759" s="612"/>
      <c r="C759" s="613" t="s">
        <v>32</v>
      </c>
      <c r="D759" s="612" t="s">
        <v>33</v>
      </c>
      <c r="E759" s="613">
        <v>0.3</v>
      </c>
      <c r="F759" s="611">
        <f>worker</f>
        <v>107800.00000000001</v>
      </c>
      <c r="G759" s="611">
        <f>F759*E759</f>
        <v>32340.000000000004</v>
      </c>
    </row>
    <row r="760" spans="1:9" ht="15.75" hidden="1" customHeight="1" outlineLevel="2">
      <c r="A760" s="613"/>
      <c r="B760" s="612"/>
      <c r="C760" s="613" t="s">
        <v>1067</v>
      </c>
      <c r="D760" s="612" t="s">
        <v>33</v>
      </c>
      <c r="E760" s="613">
        <v>0.03</v>
      </c>
      <c r="F760" s="611">
        <f>supervisor</f>
        <v>119350.00000000001</v>
      </c>
      <c r="G760" s="611">
        <f>F760*E760</f>
        <v>3580.5000000000005</v>
      </c>
    </row>
    <row r="761" spans="1:9" ht="15.75" hidden="1" customHeight="1" outlineLevel="2">
      <c r="A761" s="613"/>
      <c r="B761" s="612"/>
      <c r="C761" s="613" t="s">
        <v>61</v>
      </c>
      <c r="D761" s="612" t="s">
        <v>33</v>
      </c>
      <c r="E761" s="613">
        <v>1.4999999999999999E-2</v>
      </c>
      <c r="F761" s="611">
        <f>carpenter_chief</f>
        <v>119350.00000000001</v>
      </c>
      <c r="G761" s="611">
        <f>F761*E761</f>
        <v>1790.2500000000002</v>
      </c>
    </row>
    <row r="762" spans="1:9" ht="15.75" hidden="1" customHeight="1" outlineLevel="2">
      <c r="A762" s="613"/>
      <c r="B762" s="612"/>
      <c r="C762" s="613"/>
      <c r="D762" s="612"/>
      <c r="E762" s="613"/>
      <c r="F762" s="611"/>
      <c r="G762" s="611">
        <f>SUM(G752:G761)/1</f>
        <v>145812.67000000001</v>
      </c>
      <c r="I762" s="633" t="s">
        <v>170</v>
      </c>
    </row>
    <row r="763" spans="1:9" ht="15.75" hidden="1" customHeight="1" outlineLevel="2">
      <c r="A763" s="613"/>
      <c r="B763" s="612"/>
      <c r="C763" s="613"/>
      <c r="D763" s="612"/>
      <c r="E763" s="613"/>
      <c r="F763" s="611"/>
      <c r="G763" s="611"/>
    </row>
    <row r="764" spans="1:9" ht="15.75" customHeight="1" outlineLevel="1" collapsed="1">
      <c r="A764" s="613" t="s">
        <v>2074</v>
      </c>
      <c r="B764" s="592">
        <f>B749+1</f>
        <v>30</v>
      </c>
      <c r="C764" s="613" t="s">
        <v>4321</v>
      </c>
      <c r="D764" s="612" t="s">
        <v>4</v>
      </c>
      <c r="E764" s="613"/>
      <c r="F764" s="611"/>
      <c r="G764" s="604">
        <f>G778</f>
        <v>338394.1</v>
      </c>
      <c r="I764" s="633" t="s">
        <v>168</v>
      </c>
    </row>
    <row r="765" spans="1:9" ht="15.75" hidden="1" customHeight="1" outlineLevel="2">
      <c r="A765" s="613"/>
      <c r="B765" s="612"/>
      <c r="C765" s="613"/>
      <c r="D765" s="612"/>
      <c r="E765" s="613"/>
      <c r="F765" s="611"/>
      <c r="G765" s="611"/>
      <c r="I765" s="633" t="s">
        <v>1430</v>
      </c>
    </row>
    <row r="766" spans="1:9" ht="15.75" hidden="1" customHeight="1" outlineLevel="2">
      <c r="A766" s="613"/>
      <c r="B766" s="612"/>
      <c r="C766" s="613" t="s">
        <v>20</v>
      </c>
      <c r="D766" s="612"/>
      <c r="E766" s="613"/>
      <c r="F766" s="611"/>
      <c r="G766" s="611"/>
    </row>
    <row r="767" spans="1:9" ht="15.75" hidden="1" customHeight="1" outlineLevel="2">
      <c r="A767" s="613"/>
      <c r="B767" s="612"/>
      <c r="C767" s="613" t="s">
        <v>1432</v>
      </c>
      <c r="D767" s="612" t="s">
        <v>793</v>
      </c>
      <c r="E767" s="613">
        <v>0.35</v>
      </c>
      <c r="F767" s="611">
        <f>plywood_9mm</f>
        <v>129580.00000000001</v>
      </c>
      <c r="G767" s="611">
        <f>E767*F767</f>
        <v>45353</v>
      </c>
    </row>
    <row r="768" spans="1:9" ht="15.75" hidden="1" customHeight="1" outlineLevel="2">
      <c r="A768" s="613"/>
      <c r="B768" s="612"/>
      <c r="C768" s="613" t="s">
        <v>1428</v>
      </c>
      <c r="D768" s="612" t="s">
        <v>4288</v>
      </c>
      <c r="E768" s="613">
        <f>0.015</f>
        <v>1.4999999999999999E-2</v>
      </c>
      <c r="F768" s="611">
        <f>meranti_beam_5.7</f>
        <v>2669260</v>
      </c>
      <c r="G768" s="611">
        <f>F768*E768</f>
        <v>40038.9</v>
      </c>
    </row>
    <row r="769" spans="1:9" ht="15.75" hidden="1" customHeight="1" outlineLevel="2">
      <c r="A769" s="613"/>
      <c r="B769" s="612"/>
      <c r="C769" s="613" t="s">
        <v>24</v>
      </c>
      <c r="D769" s="612" t="s">
        <v>1</v>
      </c>
      <c r="E769" s="613">
        <v>0.4</v>
      </c>
      <c r="F769" s="611">
        <f>nail</f>
        <v>96250.000000000015</v>
      </c>
      <c r="G769" s="611">
        <f>F769*E769</f>
        <v>38500.000000000007</v>
      </c>
    </row>
    <row r="770" spans="1:9" ht="15.75" hidden="1" customHeight="1" outlineLevel="2">
      <c r="A770" s="613"/>
      <c r="B770" s="612"/>
      <c r="C770" s="613" t="s">
        <v>794</v>
      </c>
      <c r="D770" s="612" t="s">
        <v>95</v>
      </c>
      <c r="E770" s="613">
        <v>0.2</v>
      </c>
      <c r="F770" s="611">
        <f>minyak_bekisting</f>
        <v>11660.000000000002</v>
      </c>
      <c r="G770" s="611">
        <f>F770*E770</f>
        <v>2332.0000000000005</v>
      </c>
    </row>
    <row r="771" spans="1:9" ht="15.75" hidden="1" customHeight="1" outlineLevel="2">
      <c r="A771" s="613"/>
      <c r="B771" s="612"/>
      <c r="C771" s="613" t="s">
        <v>1429</v>
      </c>
      <c r="D771" s="612" t="s">
        <v>873</v>
      </c>
      <c r="E771" s="613">
        <v>2</v>
      </c>
      <c r="F771" s="611">
        <f>dolken_dia10cm_L.4m</f>
        <v>60940.000000000007</v>
      </c>
      <c r="G771" s="611">
        <f>F771*E771</f>
        <v>121880.00000000001</v>
      </c>
    </row>
    <row r="772" spans="1:9" ht="15.75" hidden="1" customHeight="1" outlineLevel="2">
      <c r="A772" s="613"/>
      <c r="B772" s="612"/>
      <c r="C772" s="613"/>
      <c r="D772" s="612"/>
      <c r="E772" s="613"/>
      <c r="F772" s="611"/>
      <c r="G772" s="611"/>
    </row>
    <row r="773" spans="1:9" ht="15.75" hidden="1" customHeight="1" outlineLevel="2">
      <c r="A773" s="613"/>
      <c r="B773" s="612"/>
      <c r="C773" s="613" t="s">
        <v>31</v>
      </c>
      <c r="D773" s="612"/>
      <c r="E773" s="613"/>
      <c r="F773" s="611"/>
      <c r="G773" s="611"/>
    </row>
    <row r="774" spans="1:9" ht="15.75" hidden="1" customHeight="1" outlineLevel="2">
      <c r="A774" s="613"/>
      <c r="B774" s="612"/>
      <c r="C774" s="613" t="s">
        <v>45</v>
      </c>
      <c r="D774" s="612" t="s">
        <v>33</v>
      </c>
      <c r="E774" s="613">
        <v>0.26</v>
      </c>
      <c r="F774" s="611">
        <f>carpenter</f>
        <v>107800.00000000001</v>
      </c>
      <c r="G774" s="611">
        <f>F774*E774</f>
        <v>28028.000000000004</v>
      </c>
    </row>
    <row r="775" spans="1:9" ht="15.75" hidden="1" customHeight="1" outlineLevel="2">
      <c r="A775" s="613"/>
      <c r="B775" s="612"/>
      <c r="C775" s="613" t="s">
        <v>32</v>
      </c>
      <c r="D775" s="612" t="s">
        <v>33</v>
      </c>
      <c r="E775" s="613">
        <v>0.52</v>
      </c>
      <c r="F775" s="611">
        <f>worker</f>
        <v>107800.00000000001</v>
      </c>
      <c r="G775" s="611">
        <f>F775*E775</f>
        <v>56056.000000000007</v>
      </c>
    </row>
    <row r="776" spans="1:9" ht="15.75" hidden="1" customHeight="1" outlineLevel="2">
      <c r="A776" s="613"/>
      <c r="B776" s="612"/>
      <c r="C776" s="613" t="s">
        <v>1067</v>
      </c>
      <c r="D776" s="612" t="s">
        <v>33</v>
      </c>
      <c r="E776" s="613">
        <v>2.5999999999999999E-2</v>
      </c>
      <c r="F776" s="611">
        <f>supervisor</f>
        <v>119350.00000000001</v>
      </c>
      <c r="G776" s="611">
        <f>F776*E776</f>
        <v>3103.1000000000004</v>
      </c>
    </row>
    <row r="777" spans="1:9" ht="15.75" hidden="1" customHeight="1" outlineLevel="2">
      <c r="A777" s="613"/>
      <c r="B777" s="612"/>
      <c r="C777" s="613" t="s">
        <v>61</v>
      </c>
      <c r="D777" s="612" t="s">
        <v>33</v>
      </c>
      <c r="E777" s="613">
        <v>2.5999999999999999E-2</v>
      </c>
      <c r="F777" s="611">
        <f>carpenter_chief</f>
        <v>119350.00000000001</v>
      </c>
      <c r="G777" s="611">
        <f>F777*E777</f>
        <v>3103.1000000000004</v>
      </c>
    </row>
    <row r="778" spans="1:9" ht="15.75" hidden="1" customHeight="1" outlineLevel="2">
      <c r="A778" s="613"/>
      <c r="B778" s="612"/>
      <c r="C778" s="613"/>
      <c r="D778" s="612"/>
      <c r="E778" s="613"/>
      <c r="F778" s="611"/>
      <c r="G778" s="611">
        <f>SUM(G767:G777)/1</f>
        <v>338394.1</v>
      </c>
      <c r="I778" s="633" t="s">
        <v>1287</v>
      </c>
    </row>
    <row r="779" spans="1:9" ht="15.75" customHeight="1" outlineLevel="1" collapsed="1">
      <c r="A779" s="613" t="s">
        <v>2074</v>
      </c>
      <c r="B779" s="592">
        <f>B764+1</f>
        <v>31</v>
      </c>
      <c r="C779" s="613" t="s">
        <v>1628</v>
      </c>
      <c r="D779" s="612" t="s">
        <v>4</v>
      </c>
      <c r="E779" s="613"/>
      <c r="F779" s="611"/>
      <c r="G779" s="604">
        <f>G793</f>
        <v>370710.77999999997</v>
      </c>
      <c r="I779" s="633" t="s">
        <v>168</v>
      </c>
    </row>
    <row r="780" spans="1:9" ht="15.75" hidden="1" customHeight="1" outlineLevel="2">
      <c r="A780" s="613"/>
      <c r="B780" s="612"/>
      <c r="C780" s="613"/>
      <c r="D780" s="612"/>
      <c r="E780" s="613"/>
      <c r="F780" s="611"/>
      <c r="G780" s="611"/>
      <c r="I780" s="633" t="s">
        <v>1430</v>
      </c>
    </row>
    <row r="781" spans="1:9" ht="15.75" hidden="1" customHeight="1" outlineLevel="2">
      <c r="A781" s="613"/>
      <c r="B781" s="612"/>
      <c r="C781" s="613" t="s">
        <v>20</v>
      </c>
      <c r="D781" s="612"/>
      <c r="E781" s="613"/>
      <c r="F781" s="611"/>
      <c r="G781" s="611"/>
    </row>
    <row r="782" spans="1:9" ht="15.75" hidden="1" customHeight="1" outlineLevel="2">
      <c r="A782" s="613"/>
      <c r="B782" s="612"/>
      <c r="C782" s="613" t="s">
        <v>1432</v>
      </c>
      <c r="D782" s="612" t="s">
        <v>793</v>
      </c>
      <c r="E782" s="613">
        <v>0.35</v>
      </c>
      <c r="F782" s="611">
        <f>plywood_9mm</f>
        <v>129580.00000000001</v>
      </c>
      <c r="G782" s="611">
        <f>E782*F782</f>
        <v>45353</v>
      </c>
    </row>
    <row r="783" spans="1:9" ht="15.75" hidden="1" customHeight="1" outlineLevel="2">
      <c r="A783" s="613"/>
      <c r="B783" s="612"/>
      <c r="C783" s="613" t="s">
        <v>1428</v>
      </c>
      <c r="D783" s="612" t="s">
        <v>4288</v>
      </c>
      <c r="E783" s="613">
        <f>0.018</f>
        <v>1.7999999999999999E-2</v>
      </c>
      <c r="F783" s="611">
        <f>meranti_beam_5.7</f>
        <v>2669260</v>
      </c>
      <c r="G783" s="611">
        <f>F783*E783</f>
        <v>48046.679999999993</v>
      </c>
    </row>
    <row r="784" spans="1:9" ht="15.75" hidden="1" customHeight="1" outlineLevel="2">
      <c r="A784" s="613"/>
      <c r="B784" s="612"/>
      <c r="C784" s="613" t="s">
        <v>24</v>
      </c>
      <c r="D784" s="612" t="s">
        <v>1</v>
      </c>
      <c r="E784" s="613">
        <v>0.4</v>
      </c>
      <c r="F784" s="611">
        <f>nail</f>
        <v>96250.000000000015</v>
      </c>
      <c r="G784" s="611">
        <f>F784*E784</f>
        <v>38500.000000000007</v>
      </c>
    </row>
    <row r="785" spans="1:9" ht="15.75" hidden="1" customHeight="1" outlineLevel="2">
      <c r="A785" s="613"/>
      <c r="B785" s="612"/>
      <c r="C785" s="613" t="s">
        <v>794</v>
      </c>
      <c r="D785" s="612" t="s">
        <v>95</v>
      </c>
      <c r="E785" s="613">
        <v>0.2</v>
      </c>
      <c r="F785" s="611">
        <f>minyak_bekisting</f>
        <v>11660.000000000002</v>
      </c>
      <c r="G785" s="611">
        <f>F785*E785</f>
        <v>2332.0000000000005</v>
      </c>
    </row>
    <row r="786" spans="1:9" ht="15.75" hidden="1" customHeight="1" outlineLevel="2">
      <c r="A786" s="613"/>
      <c r="B786" s="612"/>
      <c r="C786" s="613" t="s">
        <v>1429</v>
      </c>
      <c r="D786" s="612" t="s">
        <v>873</v>
      </c>
      <c r="E786" s="613">
        <v>2</v>
      </c>
      <c r="F786" s="611">
        <f>dolken_dia10cm_L.4m</f>
        <v>60940.000000000007</v>
      </c>
      <c r="G786" s="611">
        <f>F786*E786</f>
        <v>121880.00000000001</v>
      </c>
    </row>
    <row r="787" spans="1:9" ht="15.75" hidden="1" customHeight="1" outlineLevel="2">
      <c r="A787" s="613"/>
      <c r="B787" s="612"/>
      <c r="C787" s="613"/>
      <c r="D787" s="612"/>
      <c r="E787" s="613"/>
      <c r="F787" s="611"/>
      <c r="G787" s="611"/>
    </row>
    <row r="788" spans="1:9" ht="15.75" hidden="1" customHeight="1" outlineLevel="2">
      <c r="A788" s="613"/>
      <c r="B788" s="612"/>
      <c r="C788" s="613" t="s">
        <v>31</v>
      </c>
      <c r="D788" s="612"/>
      <c r="E788" s="613"/>
      <c r="F788" s="611"/>
      <c r="G788" s="611"/>
    </row>
    <row r="789" spans="1:9" ht="15.75" hidden="1" customHeight="1" outlineLevel="2">
      <c r="A789" s="613"/>
      <c r="B789" s="612"/>
      <c r="C789" s="613" t="s">
        <v>45</v>
      </c>
      <c r="D789" s="612" t="s">
        <v>33</v>
      </c>
      <c r="E789" s="613">
        <v>0.33</v>
      </c>
      <c r="F789" s="611">
        <f>carpenter</f>
        <v>107800.00000000001</v>
      </c>
      <c r="G789" s="611">
        <f>F789*E789</f>
        <v>35574.000000000007</v>
      </c>
    </row>
    <row r="790" spans="1:9" ht="15.75" hidden="1" customHeight="1" outlineLevel="2">
      <c r="A790" s="613"/>
      <c r="B790" s="612"/>
      <c r="C790" s="613" t="s">
        <v>32</v>
      </c>
      <c r="D790" s="612" t="s">
        <v>33</v>
      </c>
      <c r="E790" s="613">
        <v>0.66</v>
      </c>
      <c r="F790" s="611">
        <f>worker</f>
        <v>107800.00000000001</v>
      </c>
      <c r="G790" s="611">
        <f>F790*E790</f>
        <v>71148.000000000015</v>
      </c>
    </row>
    <row r="791" spans="1:9" ht="15.75" hidden="1" customHeight="1" outlineLevel="2">
      <c r="A791" s="613"/>
      <c r="B791" s="612"/>
      <c r="C791" s="613" t="s">
        <v>1067</v>
      </c>
      <c r="D791" s="612" t="s">
        <v>33</v>
      </c>
      <c r="E791" s="613">
        <v>3.3000000000000002E-2</v>
      </c>
      <c r="F791" s="611">
        <f>supervisor</f>
        <v>119350.00000000001</v>
      </c>
      <c r="G791" s="611">
        <f>F791*E791</f>
        <v>3938.5500000000006</v>
      </c>
    </row>
    <row r="792" spans="1:9" ht="15.75" hidden="1" customHeight="1" outlineLevel="2">
      <c r="A792" s="613"/>
      <c r="B792" s="612"/>
      <c r="C792" s="613" t="s">
        <v>61</v>
      </c>
      <c r="D792" s="612" t="s">
        <v>33</v>
      </c>
      <c r="E792" s="613">
        <v>3.3000000000000002E-2</v>
      </c>
      <c r="F792" s="611">
        <f>carpenter_chief</f>
        <v>119350.00000000001</v>
      </c>
      <c r="G792" s="611">
        <f>F792*E792</f>
        <v>3938.5500000000006</v>
      </c>
    </row>
    <row r="793" spans="1:9" ht="15.75" hidden="1" customHeight="1" outlineLevel="2">
      <c r="A793" s="613"/>
      <c r="B793" s="612"/>
      <c r="C793" s="613"/>
      <c r="D793" s="612"/>
      <c r="E793" s="613"/>
      <c r="F793" s="611"/>
      <c r="G793" s="611">
        <f>SUM(G782:G792)/1</f>
        <v>370710.77999999997</v>
      </c>
      <c r="I793" s="633" t="s">
        <v>1287</v>
      </c>
    </row>
    <row r="794" spans="1:9" ht="15.75" customHeight="1" outlineLevel="1" collapsed="1">
      <c r="A794" s="613" t="s">
        <v>2074</v>
      </c>
      <c r="B794" s="592">
        <f>B779+1</f>
        <v>32</v>
      </c>
      <c r="C794" s="613" t="s">
        <v>1629</v>
      </c>
      <c r="D794" s="612" t="s">
        <v>4</v>
      </c>
      <c r="E794" s="613"/>
      <c r="F794" s="611"/>
      <c r="G794" s="604">
        <f>G808</f>
        <v>469473.39999999997</v>
      </c>
      <c r="I794" s="633" t="s">
        <v>168</v>
      </c>
    </row>
    <row r="795" spans="1:9" ht="15.75" hidden="1" customHeight="1" outlineLevel="2">
      <c r="A795" s="613"/>
      <c r="B795" s="612"/>
      <c r="C795" s="613"/>
      <c r="D795" s="612"/>
      <c r="E795" s="613"/>
      <c r="F795" s="611"/>
      <c r="G795" s="611"/>
      <c r="I795" s="633" t="s">
        <v>1430</v>
      </c>
    </row>
    <row r="796" spans="1:9" ht="15.75" hidden="1" customHeight="1" outlineLevel="2">
      <c r="A796" s="613"/>
      <c r="B796" s="612"/>
      <c r="C796" s="613" t="s">
        <v>20</v>
      </c>
      <c r="D796" s="612"/>
      <c r="E796" s="613"/>
      <c r="F796" s="611"/>
      <c r="G796" s="611"/>
    </row>
    <row r="797" spans="1:9" ht="15.75" hidden="1" customHeight="1" outlineLevel="2">
      <c r="A797" s="613"/>
      <c r="B797" s="612"/>
      <c r="C797" s="613" t="s">
        <v>1432</v>
      </c>
      <c r="D797" s="612" t="s">
        <v>793</v>
      </c>
      <c r="E797" s="613">
        <v>0.35</v>
      </c>
      <c r="F797" s="611">
        <f>plywood_9mm</f>
        <v>129580.00000000001</v>
      </c>
      <c r="G797" s="611">
        <f>E797*F797</f>
        <v>45353</v>
      </c>
    </row>
    <row r="798" spans="1:9" ht="15.75" hidden="1" customHeight="1" outlineLevel="2">
      <c r="A798" s="613"/>
      <c r="B798" s="612"/>
      <c r="C798" s="613" t="s">
        <v>1428</v>
      </c>
      <c r="D798" s="612" t="s">
        <v>4288</v>
      </c>
      <c r="E798" s="613">
        <f>0.015+0.04</f>
        <v>5.5E-2</v>
      </c>
      <c r="F798" s="611">
        <f>meranti_beam_5.7</f>
        <v>2669260</v>
      </c>
      <c r="G798" s="611">
        <f>F798*E798</f>
        <v>146809.29999999999</v>
      </c>
    </row>
    <row r="799" spans="1:9" ht="15.75" hidden="1" customHeight="1" outlineLevel="2">
      <c r="A799" s="613"/>
      <c r="B799" s="612"/>
      <c r="C799" s="613" t="s">
        <v>24</v>
      </c>
      <c r="D799" s="612" t="s">
        <v>1</v>
      </c>
      <c r="E799" s="613">
        <v>0.4</v>
      </c>
      <c r="F799" s="611">
        <f>nail</f>
        <v>96250.000000000015</v>
      </c>
      <c r="G799" s="611">
        <f>F799*E799</f>
        <v>38500.000000000007</v>
      </c>
    </row>
    <row r="800" spans="1:9" ht="15.75" hidden="1" customHeight="1" outlineLevel="2">
      <c r="A800" s="613"/>
      <c r="B800" s="612"/>
      <c r="C800" s="613" t="s">
        <v>794</v>
      </c>
      <c r="D800" s="612" t="s">
        <v>95</v>
      </c>
      <c r="E800" s="613">
        <v>0.2</v>
      </c>
      <c r="F800" s="611">
        <f>minyak_bekisting</f>
        <v>11660.000000000002</v>
      </c>
      <c r="G800" s="611">
        <f>F800*E800</f>
        <v>2332.0000000000005</v>
      </c>
    </row>
    <row r="801" spans="1:9" ht="15.75" hidden="1" customHeight="1" outlineLevel="2">
      <c r="A801" s="613"/>
      <c r="B801" s="612"/>
      <c r="C801" s="613" t="s">
        <v>1429</v>
      </c>
      <c r="D801" s="612" t="s">
        <v>873</v>
      </c>
      <c r="E801" s="613">
        <v>2</v>
      </c>
      <c r="F801" s="611">
        <f>dolken_dia10cm_L.4m</f>
        <v>60940.000000000007</v>
      </c>
      <c r="G801" s="611">
        <f>F801*E801</f>
        <v>121880.00000000001</v>
      </c>
    </row>
    <row r="802" spans="1:9" ht="15.75" hidden="1" customHeight="1" outlineLevel="2">
      <c r="A802" s="613"/>
      <c r="B802" s="612"/>
      <c r="C802" s="613"/>
      <c r="D802" s="612"/>
      <c r="E802" s="613"/>
      <c r="F802" s="611"/>
      <c r="G802" s="611"/>
    </row>
    <row r="803" spans="1:9" ht="15.75" hidden="1" customHeight="1" outlineLevel="2">
      <c r="A803" s="613"/>
      <c r="B803" s="612"/>
      <c r="C803" s="613" t="s">
        <v>31</v>
      </c>
      <c r="D803" s="612"/>
      <c r="E803" s="613"/>
      <c r="F803" s="611"/>
      <c r="G803" s="611"/>
    </row>
    <row r="804" spans="1:9" ht="15.75" hidden="1" customHeight="1" outlineLevel="2">
      <c r="A804" s="613"/>
      <c r="B804" s="612"/>
      <c r="C804" s="613" t="s">
        <v>45</v>
      </c>
      <c r="D804" s="612" t="s">
        <v>33</v>
      </c>
      <c r="E804" s="613">
        <v>0.33</v>
      </c>
      <c r="F804" s="611">
        <f>carpenter</f>
        <v>107800.00000000001</v>
      </c>
      <c r="G804" s="611">
        <f>F804*E804</f>
        <v>35574.000000000007</v>
      </c>
    </row>
    <row r="805" spans="1:9" ht="15.75" hidden="1" customHeight="1" outlineLevel="2">
      <c r="A805" s="613"/>
      <c r="B805" s="612"/>
      <c r="C805" s="613" t="s">
        <v>32</v>
      </c>
      <c r="D805" s="612" t="s">
        <v>33</v>
      </c>
      <c r="E805" s="613">
        <v>0.66</v>
      </c>
      <c r="F805" s="611">
        <f>worker</f>
        <v>107800.00000000001</v>
      </c>
      <c r="G805" s="611">
        <f>F805*E805</f>
        <v>71148.000000000015</v>
      </c>
    </row>
    <row r="806" spans="1:9" ht="15.75" hidden="1" customHeight="1" outlineLevel="2">
      <c r="A806" s="613"/>
      <c r="B806" s="612"/>
      <c r="C806" s="613" t="s">
        <v>1067</v>
      </c>
      <c r="D806" s="612" t="s">
        <v>33</v>
      </c>
      <c r="E806" s="613">
        <v>3.3000000000000002E-2</v>
      </c>
      <c r="F806" s="611">
        <f>supervisor</f>
        <v>119350.00000000001</v>
      </c>
      <c r="G806" s="611">
        <f>F806*E806</f>
        <v>3938.5500000000006</v>
      </c>
    </row>
    <row r="807" spans="1:9" ht="15.75" hidden="1" customHeight="1" outlineLevel="2">
      <c r="A807" s="613"/>
      <c r="B807" s="612"/>
      <c r="C807" s="613" t="s">
        <v>61</v>
      </c>
      <c r="D807" s="612" t="s">
        <v>33</v>
      </c>
      <c r="E807" s="613">
        <v>3.3000000000000002E-2</v>
      </c>
      <c r="F807" s="611">
        <f>carpenter_chief</f>
        <v>119350.00000000001</v>
      </c>
      <c r="G807" s="611">
        <f>F807*E807</f>
        <v>3938.5500000000006</v>
      </c>
    </row>
    <row r="808" spans="1:9" ht="15.75" hidden="1" customHeight="1" outlineLevel="2">
      <c r="A808" s="613"/>
      <c r="B808" s="612"/>
      <c r="C808" s="613"/>
      <c r="D808" s="612"/>
      <c r="E808" s="613"/>
      <c r="F808" s="611"/>
      <c r="G808" s="611">
        <f>SUM(G797:G807)/1</f>
        <v>469473.39999999997</v>
      </c>
      <c r="I808" s="633" t="s">
        <v>1287</v>
      </c>
    </row>
    <row r="809" spans="1:9" ht="15.75" customHeight="1" outlineLevel="1" collapsed="1">
      <c r="A809" s="613" t="s">
        <v>2074</v>
      </c>
      <c r="B809" s="612">
        <f>B794+1</f>
        <v>33</v>
      </c>
      <c r="C809" s="613" t="s">
        <v>1630</v>
      </c>
      <c r="D809" s="612" t="s">
        <v>4</v>
      </c>
      <c r="E809" s="613"/>
      <c r="F809" s="611"/>
      <c r="G809" s="604">
        <f>G823</f>
        <v>769096.90000000014</v>
      </c>
      <c r="I809" s="633" t="s">
        <v>168</v>
      </c>
    </row>
    <row r="810" spans="1:9" ht="15.75" hidden="1" customHeight="1" outlineLevel="2">
      <c r="A810" s="613"/>
      <c r="B810" s="612"/>
      <c r="C810" s="613"/>
      <c r="D810" s="612"/>
      <c r="E810" s="613"/>
      <c r="F810" s="611"/>
      <c r="G810" s="611"/>
      <c r="I810" s="633" t="s">
        <v>1430</v>
      </c>
    </row>
    <row r="811" spans="1:9" ht="15.75" hidden="1" customHeight="1" outlineLevel="2">
      <c r="A811" s="613"/>
      <c r="B811" s="612"/>
      <c r="C811" s="613" t="s">
        <v>20</v>
      </c>
      <c r="D811" s="612"/>
      <c r="E811" s="613"/>
      <c r="F811" s="611"/>
      <c r="G811" s="611"/>
    </row>
    <row r="812" spans="1:9" ht="15.75" hidden="1" customHeight="1" outlineLevel="2">
      <c r="A812" s="613"/>
      <c r="B812" s="612"/>
      <c r="C812" s="613" t="s">
        <v>1432</v>
      </c>
      <c r="D812" s="612" t="s">
        <v>793</v>
      </c>
      <c r="E812" s="613">
        <v>0.35</v>
      </c>
      <c r="F812" s="611">
        <f>plywood_18mm</f>
        <v>289190</v>
      </c>
      <c r="G812" s="611">
        <f>E812*F812</f>
        <v>101216.5</v>
      </c>
    </row>
    <row r="813" spans="1:9" ht="15.75" hidden="1" customHeight="1" outlineLevel="2">
      <c r="A813" s="613"/>
      <c r="B813" s="612"/>
      <c r="C813" s="613" t="s">
        <v>1428</v>
      </c>
      <c r="D813" s="612" t="s">
        <v>4288</v>
      </c>
      <c r="E813" s="613">
        <f>0.015+0.04</f>
        <v>5.5E-2</v>
      </c>
      <c r="F813" s="611">
        <f>meranti_beam_5.7</f>
        <v>2669260</v>
      </c>
      <c r="G813" s="611">
        <f>F813*E813</f>
        <v>146809.29999999999</v>
      </c>
    </row>
    <row r="814" spans="1:9" ht="15.75" hidden="1" customHeight="1" outlineLevel="2">
      <c r="A814" s="613"/>
      <c r="B814" s="612"/>
      <c r="C814" s="613" t="s">
        <v>24</v>
      </c>
      <c r="D814" s="612" t="s">
        <v>1</v>
      </c>
      <c r="E814" s="613">
        <v>0.4</v>
      </c>
      <c r="F814" s="611">
        <f>nail</f>
        <v>96250.000000000015</v>
      </c>
      <c r="G814" s="611">
        <f>F814*E814</f>
        <v>38500.000000000007</v>
      </c>
    </row>
    <row r="815" spans="1:9" ht="15.75" hidden="1" customHeight="1" outlineLevel="2">
      <c r="A815" s="613"/>
      <c r="B815" s="612"/>
      <c r="C815" s="613" t="s">
        <v>794</v>
      </c>
      <c r="D815" s="612" t="s">
        <v>95</v>
      </c>
      <c r="E815" s="613">
        <v>0.2</v>
      </c>
      <c r="F815" s="611">
        <f>minyak_bekisting</f>
        <v>11660.000000000002</v>
      </c>
      <c r="G815" s="611">
        <f>F815*E815</f>
        <v>2332.0000000000005</v>
      </c>
    </row>
    <row r="816" spans="1:9" ht="15.75" hidden="1" customHeight="1" outlineLevel="2">
      <c r="A816" s="613"/>
      <c r="B816" s="612"/>
      <c r="C816" s="613" t="s">
        <v>1429</v>
      </c>
      <c r="D816" s="612" t="s">
        <v>873</v>
      </c>
      <c r="E816" s="613">
        <v>6</v>
      </c>
      <c r="F816" s="611">
        <f>dolken_dia10cm_L.4m</f>
        <v>60940.000000000007</v>
      </c>
      <c r="G816" s="611">
        <f>F816*E816</f>
        <v>365640.00000000006</v>
      </c>
    </row>
    <row r="817" spans="1:9" ht="15.75" hidden="1" customHeight="1" outlineLevel="2">
      <c r="A817" s="613"/>
      <c r="B817" s="612"/>
      <c r="C817" s="613"/>
      <c r="D817" s="612"/>
      <c r="E817" s="613"/>
      <c r="F817" s="611"/>
      <c r="G817" s="611"/>
    </row>
    <row r="818" spans="1:9" ht="15.75" hidden="1" customHeight="1" outlineLevel="2">
      <c r="A818" s="613"/>
      <c r="B818" s="612"/>
      <c r="C818" s="613" t="s">
        <v>31</v>
      </c>
      <c r="D818" s="612"/>
      <c r="E818" s="613"/>
      <c r="F818" s="611"/>
      <c r="G818" s="611"/>
    </row>
    <row r="819" spans="1:9" ht="15.75" hidden="1" customHeight="1" outlineLevel="2">
      <c r="A819" s="613"/>
      <c r="B819" s="612"/>
      <c r="C819" s="613" t="s">
        <v>45</v>
      </c>
      <c r="D819" s="612" t="s">
        <v>33</v>
      </c>
      <c r="E819" s="613">
        <v>0.33</v>
      </c>
      <c r="F819" s="611">
        <f>carpenter</f>
        <v>107800.00000000001</v>
      </c>
      <c r="G819" s="611">
        <f>F819*E819</f>
        <v>35574.000000000007</v>
      </c>
    </row>
    <row r="820" spans="1:9" ht="15.75" hidden="1" customHeight="1" outlineLevel="2">
      <c r="A820" s="613"/>
      <c r="B820" s="612"/>
      <c r="C820" s="613" t="s">
        <v>32</v>
      </c>
      <c r="D820" s="612" t="s">
        <v>33</v>
      </c>
      <c r="E820" s="613">
        <v>0.66</v>
      </c>
      <c r="F820" s="611">
        <f>worker</f>
        <v>107800.00000000001</v>
      </c>
      <c r="G820" s="611">
        <f>F820*E820</f>
        <v>71148.000000000015</v>
      </c>
    </row>
    <row r="821" spans="1:9" ht="15.75" hidden="1" customHeight="1" outlineLevel="2">
      <c r="A821" s="613"/>
      <c r="B821" s="612"/>
      <c r="C821" s="613" t="s">
        <v>1067</v>
      </c>
      <c r="D821" s="612" t="s">
        <v>33</v>
      </c>
      <c r="E821" s="613">
        <v>3.3000000000000002E-2</v>
      </c>
      <c r="F821" s="611">
        <f>supervisor</f>
        <v>119350.00000000001</v>
      </c>
      <c r="G821" s="611">
        <f>F821*E821</f>
        <v>3938.5500000000006</v>
      </c>
    </row>
    <row r="822" spans="1:9" ht="15.75" hidden="1" customHeight="1" outlineLevel="2">
      <c r="A822" s="613"/>
      <c r="B822" s="612"/>
      <c r="C822" s="613" t="s">
        <v>61</v>
      </c>
      <c r="D822" s="612" t="s">
        <v>33</v>
      </c>
      <c r="E822" s="613">
        <v>3.3000000000000002E-2</v>
      </c>
      <c r="F822" s="611">
        <f>carpenter_chief</f>
        <v>119350.00000000001</v>
      </c>
      <c r="G822" s="611">
        <f>F822*E822</f>
        <v>3938.5500000000006</v>
      </c>
    </row>
    <row r="823" spans="1:9" ht="15.75" hidden="1" customHeight="1" outlineLevel="2">
      <c r="A823" s="613"/>
      <c r="B823" s="612"/>
      <c r="C823" s="613"/>
      <c r="D823" s="612"/>
      <c r="E823" s="613"/>
      <c r="F823" s="611"/>
      <c r="G823" s="611">
        <f>SUM(G812:G822)/1</f>
        <v>769096.90000000014</v>
      </c>
      <c r="I823" s="633" t="s">
        <v>1287</v>
      </c>
    </row>
    <row r="824" spans="1:9" ht="15.75" customHeight="1" outlineLevel="1" collapsed="1">
      <c r="A824" s="613" t="s">
        <v>2074</v>
      </c>
      <c r="B824" s="612">
        <f>B809+1</f>
        <v>34</v>
      </c>
      <c r="C824" s="613" t="s">
        <v>1631</v>
      </c>
      <c r="D824" s="612" t="s">
        <v>4</v>
      </c>
      <c r="E824" s="613"/>
      <c r="F824" s="611"/>
      <c r="G824" s="604">
        <f>G838</f>
        <v>442197.8</v>
      </c>
      <c r="I824" s="633" t="s">
        <v>168</v>
      </c>
    </row>
    <row r="825" spans="1:9" ht="15.75" hidden="1" customHeight="1" outlineLevel="2">
      <c r="A825" s="613"/>
      <c r="B825" s="612"/>
      <c r="C825" s="613"/>
      <c r="D825" s="612"/>
      <c r="E825" s="613"/>
      <c r="F825" s="611"/>
      <c r="G825" s="611"/>
      <c r="I825" s="633" t="s">
        <v>1430</v>
      </c>
    </row>
    <row r="826" spans="1:9" ht="15.75" hidden="1" customHeight="1" outlineLevel="2">
      <c r="A826" s="613"/>
      <c r="B826" s="612"/>
      <c r="C826" s="613" t="s">
        <v>20</v>
      </c>
      <c r="D826" s="612"/>
      <c r="E826" s="613"/>
      <c r="F826" s="611"/>
      <c r="G826" s="611"/>
    </row>
    <row r="827" spans="1:9" ht="15.75" hidden="1" customHeight="1" outlineLevel="2">
      <c r="A827" s="613"/>
      <c r="B827" s="612"/>
      <c r="C827" s="613" t="s">
        <v>1432</v>
      </c>
      <c r="D827" s="612" t="s">
        <v>793</v>
      </c>
      <c r="E827" s="613">
        <v>0.35</v>
      </c>
      <c r="F827" s="611">
        <f>plywood_9mm</f>
        <v>129580.00000000001</v>
      </c>
      <c r="G827" s="611">
        <f>E827*F827</f>
        <v>45353</v>
      </c>
    </row>
    <row r="828" spans="1:9" ht="15.75" hidden="1" customHeight="1" outlineLevel="2">
      <c r="A828" s="613"/>
      <c r="B828" s="612"/>
      <c r="C828" s="613" t="s">
        <v>1428</v>
      </c>
      <c r="D828" s="612" t="s">
        <v>4288</v>
      </c>
      <c r="E828" s="613">
        <f>0.015+0.03</f>
        <v>4.4999999999999998E-2</v>
      </c>
      <c r="F828" s="611">
        <f>meranti_beam_5.7</f>
        <v>2669260</v>
      </c>
      <c r="G828" s="611">
        <f>F828*E828</f>
        <v>120116.7</v>
      </c>
    </row>
    <row r="829" spans="1:9" ht="15.75" hidden="1" customHeight="1" outlineLevel="2">
      <c r="A829" s="613"/>
      <c r="B829" s="612"/>
      <c r="C829" s="613" t="s">
        <v>24</v>
      </c>
      <c r="D829" s="612" t="s">
        <v>1</v>
      </c>
      <c r="E829" s="613">
        <v>0.4</v>
      </c>
      <c r="F829" s="611">
        <f>nail</f>
        <v>96250.000000000015</v>
      </c>
      <c r="G829" s="611">
        <f>F829*E829</f>
        <v>38500.000000000007</v>
      </c>
    </row>
    <row r="830" spans="1:9" ht="15.75" hidden="1" customHeight="1" outlineLevel="2">
      <c r="A830" s="613"/>
      <c r="B830" s="612"/>
      <c r="C830" s="613" t="s">
        <v>794</v>
      </c>
      <c r="D830" s="612" t="s">
        <v>95</v>
      </c>
      <c r="E830" s="613">
        <v>0.15</v>
      </c>
      <c r="F830" s="611">
        <f>minyak_bekisting</f>
        <v>11660.000000000002</v>
      </c>
      <c r="G830" s="611">
        <f>F830*E830</f>
        <v>1749.0000000000002</v>
      </c>
    </row>
    <row r="831" spans="1:9" ht="15.75" hidden="1" customHeight="1" outlineLevel="2">
      <c r="A831" s="613"/>
      <c r="B831" s="612"/>
      <c r="C831" s="613" t="s">
        <v>1429</v>
      </c>
      <c r="D831" s="612" t="s">
        <v>873</v>
      </c>
      <c r="E831" s="613">
        <v>2</v>
      </c>
      <c r="F831" s="611">
        <f>dolken_dia10cm_L.4m</f>
        <v>60940.000000000007</v>
      </c>
      <c r="G831" s="611">
        <f>F831*E831</f>
        <v>121880.00000000001</v>
      </c>
    </row>
    <row r="832" spans="1:9" ht="15.75" hidden="1" customHeight="1" outlineLevel="2">
      <c r="A832" s="613"/>
      <c r="B832" s="612"/>
      <c r="C832" s="613"/>
      <c r="D832" s="612"/>
      <c r="E832" s="613"/>
      <c r="F832" s="611"/>
      <c r="G832" s="611"/>
    </row>
    <row r="833" spans="1:9" ht="15.75" hidden="1" customHeight="1" outlineLevel="2">
      <c r="A833" s="613"/>
      <c r="B833" s="612"/>
      <c r="C833" s="613" t="s">
        <v>31</v>
      </c>
      <c r="D833" s="612"/>
      <c r="E833" s="613"/>
      <c r="F833" s="611"/>
      <c r="G833" s="611"/>
    </row>
    <row r="834" spans="1:9" ht="15.75" hidden="1" customHeight="1" outlineLevel="2">
      <c r="A834" s="613"/>
      <c r="B834" s="612"/>
      <c r="C834" s="613" t="s">
        <v>45</v>
      </c>
      <c r="D834" s="612" t="s">
        <v>33</v>
      </c>
      <c r="E834" s="613">
        <v>0.33</v>
      </c>
      <c r="F834" s="611">
        <f>carpenter</f>
        <v>107800.00000000001</v>
      </c>
      <c r="G834" s="611">
        <f>F834*E834</f>
        <v>35574.000000000007</v>
      </c>
    </row>
    <row r="835" spans="1:9" ht="15.75" hidden="1" customHeight="1" outlineLevel="2">
      <c r="A835" s="613"/>
      <c r="B835" s="612"/>
      <c r="C835" s="613" t="s">
        <v>32</v>
      </c>
      <c r="D835" s="612" t="s">
        <v>33</v>
      </c>
      <c r="E835" s="613">
        <v>0.66</v>
      </c>
      <c r="F835" s="611">
        <f>worker</f>
        <v>107800.00000000001</v>
      </c>
      <c r="G835" s="611">
        <f>F835*E835</f>
        <v>71148.000000000015</v>
      </c>
    </row>
    <row r="836" spans="1:9" ht="15.75" hidden="1" customHeight="1" outlineLevel="2">
      <c r="A836" s="613"/>
      <c r="B836" s="612"/>
      <c r="C836" s="613" t="s">
        <v>1067</v>
      </c>
      <c r="D836" s="612" t="s">
        <v>33</v>
      </c>
      <c r="E836" s="613">
        <v>3.3000000000000002E-2</v>
      </c>
      <c r="F836" s="611">
        <f>supervisor</f>
        <v>119350.00000000001</v>
      </c>
      <c r="G836" s="611">
        <f>F836*E836</f>
        <v>3938.5500000000006</v>
      </c>
    </row>
    <row r="837" spans="1:9" ht="15.75" hidden="1" customHeight="1" outlineLevel="2">
      <c r="A837" s="613"/>
      <c r="B837" s="612"/>
      <c r="C837" s="613" t="s">
        <v>61</v>
      </c>
      <c r="D837" s="612" t="s">
        <v>33</v>
      </c>
      <c r="E837" s="613">
        <v>3.3000000000000002E-2</v>
      </c>
      <c r="F837" s="611">
        <f>carpenter_chief</f>
        <v>119350.00000000001</v>
      </c>
      <c r="G837" s="611">
        <f>F837*E837</f>
        <v>3938.5500000000006</v>
      </c>
    </row>
    <row r="838" spans="1:9" ht="15.75" hidden="1" customHeight="1" outlineLevel="2">
      <c r="A838" s="613"/>
      <c r="B838" s="612"/>
      <c r="C838" s="613"/>
      <c r="D838" s="612"/>
      <c r="E838" s="613"/>
      <c r="F838" s="611"/>
      <c r="G838" s="611">
        <f>SUM(G827:G837)/1</f>
        <v>442197.8</v>
      </c>
      <c r="I838" s="633" t="s">
        <v>1287</v>
      </c>
    </row>
    <row r="839" spans="1:9" ht="15.75" customHeight="1" outlineLevel="1" collapsed="1">
      <c r="A839" s="613" t="s">
        <v>2074</v>
      </c>
      <c r="B839" s="612">
        <f>B824+1</f>
        <v>35</v>
      </c>
      <c r="C839" s="613" t="s">
        <v>1632</v>
      </c>
      <c r="D839" s="612" t="s">
        <v>52</v>
      </c>
      <c r="E839" s="613"/>
      <c r="F839" s="611"/>
      <c r="G839" s="604">
        <f>G853</f>
        <v>18666.917500000003</v>
      </c>
      <c r="I839" s="633" t="s">
        <v>171</v>
      </c>
    </row>
    <row r="840" spans="1:9" ht="15.75" customHeight="1" outlineLevel="2">
      <c r="A840" s="613"/>
      <c r="B840" s="612"/>
      <c r="C840" s="613"/>
      <c r="D840" s="612"/>
      <c r="E840" s="613"/>
      <c r="F840" s="611"/>
      <c r="G840" s="611"/>
    </row>
    <row r="841" spans="1:9" ht="15.75" customHeight="1" outlineLevel="2">
      <c r="A841" s="613"/>
      <c r="B841" s="612"/>
      <c r="C841" s="613" t="s">
        <v>20</v>
      </c>
      <c r="D841" s="612"/>
      <c r="E841" s="613"/>
      <c r="F841" s="611"/>
      <c r="G841" s="611"/>
    </row>
    <row r="842" spans="1:9" ht="15.75" customHeight="1" outlineLevel="2">
      <c r="A842" s="613"/>
      <c r="B842" s="612"/>
      <c r="C842" s="613" t="s">
        <v>172</v>
      </c>
      <c r="D842" s="612" t="s">
        <v>1</v>
      </c>
      <c r="E842" s="613">
        <v>105</v>
      </c>
      <c r="F842" s="611">
        <f>besi_polos</f>
        <v>15537.500000000002</v>
      </c>
      <c r="G842" s="611">
        <f>F842*E842</f>
        <v>1631437.5000000002</v>
      </c>
    </row>
    <row r="843" spans="1:9" ht="15.75" customHeight="1" outlineLevel="2">
      <c r="A843" s="613"/>
      <c r="B843" s="612"/>
      <c r="C843" s="613" t="s">
        <v>173</v>
      </c>
      <c r="D843" s="612" t="s">
        <v>1</v>
      </c>
      <c r="E843" s="613">
        <v>1.5</v>
      </c>
      <c r="F843" s="611">
        <f>concrete_wire</f>
        <v>18480</v>
      </c>
      <c r="G843" s="611">
        <f>F843*E843</f>
        <v>27720</v>
      </c>
    </row>
    <row r="844" spans="1:9" ht="15.75" customHeight="1" outlineLevel="2">
      <c r="A844" s="613"/>
      <c r="B844" s="612"/>
      <c r="C844" s="613"/>
      <c r="D844" s="612"/>
      <c r="E844" s="613"/>
      <c r="F844" s="611"/>
      <c r="G844" s="611"/>
    </row>
    <row r="845" spans="1:9" ht="15.75" customHeight="1" outlineLevel="2">
      <c r="A845" s="613"/>
      <c r="B845" s="612"/>
      <c r="C845" s="613" t="s">
        <v>31</v>
      </c>
      <c r="D845" s="612"/>
      <c r="E845" s="613"/>
      <c r="F845" s="611"/>
      <c r="G845" s="611"/>
    </row>
    <row r="846" spans="1:9" ht="15.75" customHeight="1" outlineLevel="2">
      <c r="A846" s="613"/>
      <c r="B846" s="612"/>
      <c r="C846" s="613" t="s">
        <v>174</v>
      </c>
      <c r="D846" s="612" t="s">
        <v>33</v>
      </c>
      <c r="E846" s="613">
        <v>0.7</v>
      </c>
      <c r="F846" s="611">
        <f>steel_worker</f>
        <v>119350.00000000001</v>
      </c>
      <c r="G846" s="611">
        <f>F846*E846</f>
        <v>83545</v>
      </c>
    </row>
    <row r="847" spans="1:9" ht="15.75" customHeight="1" outlineLevel="2">
      <c r="A847" s="613"/>
      <c r="B847" s="612"/>
      <c r="C847" s="613" t="s">
        <v>32</v>
      </c>
      <c r="D847" s="612" t="s">
        <v>33</v>
      </c>
      <c r="E847" s="613">
        <v>0.7</v>
      </c>
      <c r="F847" s="611">
        <f>worker</f>
        <v>107800.00000000001</v>
      </c>
      <c r="G847" s="611">
        <f>F847*E847</f>
        <v>75460</v>
      </c>
    </row>
    <row r="848" spans="1:9" ht="15.75" customHeight="1" outlineLevel="2">
      <c r="A848" s="613"/>
      <c r="B848" s="612"/>
      <c r="C848" s="613" t="s">
        <v>36</v>
      </c>
      <c r="D848" s="612" t="s">
        <v>33</v>
      </c>
      <c r="E848" s="613">
        <v>7.0000000000000007E-2</v>
      </c>
      <c r="F848" s="611">
        <f>supervisor</f>
        <v>119350.00000000001</v>
      </c>
      <c r="G848" s="611">
        <f>F848*E848</f>
        <v>8354.5000000000018</v>
      </c>
    </row>
    <row r="849" spans="1:14" ht="15.75" customHeight="1" outlineLevel="2">
      <c r="A849" s="613"/>
      <c r="B849" s="612"/>
      <c r="C849" s="613" t="s">
        <v>175</v>
      </c>
      <c r="D849" s="612" t="s">
        <v>33</v>
      </c>
      <c r="E849" s="613">
        <v>7.0000000000000007E-2</v>
      </c>
      <c r="F849" s="611">
        <f>steel_worker_chief</f>
        <v>107800.00000000001</v>
      </c>
      <c r="G849" s="611">
        <f>F849*E849</f>
        <v>7546.0000000000018</v>
      </c>
    </row>
    <row r="850" spans="1:14" ht="15.75" customHeight="1" outlineLevel="2">
      <c r="A850" s="613"/>
      <c r="B850" s="612"/>
      <c r="C850" s="613"/>
      <c r="D850" s="612"/>
      <c r="E850" s="613"/>
      <c r="F850" s="611"/>
      <c r="G850" s="611"/>
    </row>
    <row r="851" spans="1:14" ht="15.75" customHeight="1" outlineLevel="2">
      <c r="A851" s="613"/>
      <c r="B851" s="612"/>
      <c r="C851" s="613" t="s">
        <v>4318</v>
      </c>
      <c r="D851" s="612" t="s">
        <v>74</v>
      </c>
      <c r="E851" s="613">
        <v>1</v>
      </c>
      <c r="F851" s="611">
        <f>2%*G842</f>
        <v>32628.750000000004</v>
      </c>
      <c r="G851" s="611">
        <f>F851*E851</f>
        <v>32628.750000000004</v>
      </c>
    </row>
    <row r="852" spans="1:14" ht="15.75" customHeight="1" outlineLevel="2">
      <c r="A852" s="613"/>
      <c r="B852" s="612"/>
      <c r="C852" s="613"/>
      <c r="D852" s="612"/>
      <c r="E852" s="613"/>
      <c r="F852" s="611"/>
      <c r="G852" s="611">
        <f>SUM(G842:G851)</f>
        <v>1866691.7500000002</v>
      </c>
    </row>
    <row r="853" spans="1:14" ht="15.75" customHeight="1" outlineLevel="2">
      <c r="A853" s="613"/>
      <c r="B853" s="612"/>
      <c r="C853" s="613" t="s">
        <v>176</v>
      </c>
      <c r="D853" s="612"/>
      <c r="E853" s="613"/>
      <c r="F853" s="611"/>
      <c r="G853" s="611">
        <f>G852/100</f>
        <v>18666.917500000003</v>
      </c>
    </row>
    <row r="854" spans="1:14" ht="15.75" customHeight="1" outlineLevel="2">
      <c r="A854" s="613"/>
      <c r="B854" s="612"/>
      <c r="C854" s="613"/>
      <c r="D854" s="612"/>
      <c r="E854" s="613"/>
      <c r="F854" s="611"/>
      <c r="G854" s="611"/>
    </row>
    <row r="855" spans="1:14" ht="15.75" customHeight="1" outlineLevel="1">
      <c r="A855" s="613" t="s">
        <v>2074</v>
      </c>
      <c r="B855" s="612">
        <f>B839+1</f>
        <v>36</v>
      </c>
      <c r="C855" s="613" t="s">
        <v>2048</v>
      </c>
      <c r="D855" s="612" t="s">
        <v>52</v>
      </c>
      <c r="E855" s="613"/>
      <c r="F855" s="611"/>
      <c r="G855" s="604">
        <f>G869</f>
        <v>19621.178500000002</v>
      </c>
      <c r="I855" s="633" t="s">
        <v>171</v>
      </c>
    </row>
    <row r="856" spans="1:14" ht="15.75" customHeight="1" outlineLevel="2">
      <c r="A856" s="613"/>
      <c r="B856" s="612"/>
      <c r="C856" s="613"/>
      <c r="D856" s="612"/>
      <c r="E856" s="613"/>
      <c r="F856" s="611"/>
      <c r="G856" s="611"/>
      <c r="J856" s="633" t="s">
        <v>1295</v>
      </c>
      <c r="K856" s="633" t="s">
        <v>1296</v>
      </c>
      <c r="L856" s="633" t="s">
        <v>1297</v>
      </c>
    </row>
    <row r="857" spans="1:14" ht="15.75" customHeight="1" outlineLevel="2">
      <c r="A857" s="613"/>
      <c r="B857" s="612"/>
      <c r="C857" s="613" t="s">
        <v>20</v>
      </c>
      <c r="D857" s="612"/>
      <c r="E857" s="613"/>
      <c r="F857" s="611"/>
      <c r="G857" s="611"/>
      <c r="J857" s="633">
        <v>8</v>
      </c>
      <c r="K857" s="633">
        <v>0.50270000000000004</v>
      </c>
      <c r="L857" s="633">
        <v>0.39500000000000002</v>
      </c>
    </row>
    <row r="858" spans="1:14" ht="15.75" customHeight="1" outlineLevel="2">
      <c r="A858" s="613"/>
      <c r="B858" s="612"/>
      <c r="C858" s="613" t="s">
        <v>177</v>
      </c>
      <c r="D858" s="612" t="s">
        <v>1</v>
      </c>
      <c r="E858" s="613">
        <v>105</v>
      </c>
      <c r="F858" s="611">
        <f>besi_ulir</f>
        <v>16428.5</v>
      </c>
      <c r="G858" s="611">
        <f>F858*E858</f>
        <v>1724992.5</v>
      </c>
      <c r="J858" s="633">
        <v>10</v>
      </c>
      <c r="K858" s="633">
        <v>0.78539999999999999</v>
      </c>
      <c r="L858" s="633">
        <v>0.61699999999999999</v>
      </c>
      <c r="N858" s="633" t="s">
        <v>1442</v>
      </c>
    </row>
    <row r="859" spans="1:14" ht="15.75" customHeight="1" outlineLevel="2">
      <c r="A859" s="613"/>
      <c r="B859" s="612"/>
      <c r="C859" s="613" t="s">
        <v>173</v>
      </c>
      <c r="D859" s="612" t="s">
        <v>1</v>
      </c>
      <c r="E859" s="613">
        <v>1.5</v>
      </c>
      <c r="F859" s="611">
        <f>concrete_wire</f>
        <v>18480</v>
      </c>
      <c r="G859" s="611">
        <f>F859*E859</f>
        <v>27720</v>
      </c>
      <c r="J859" s="633">
        <v>13</v>
      </c>
      <c r="K859" s="633">
        <v>1.327</v>
      </c>
      <c r="L859" s="633">
        <v>1.04</v>
      </c>
      <c r="N859" s="633">
        <f>3.14*0.4*(1/0.25)</f>
        <v>5.0240000000000009</v>
      </c>
    </row>
    <row r="860" spans="1:14" ht="15.75" customHeight="1" outlineLevel="2">
      <c r="A860" s="613"/>
      <c r="B860" s="612"/>
      <c r="C860" s="613"/>
      <c r="D860" s="612"/>
      <c r="E860" s="613"/>
      <c r="F860" s="611"/>
      <c r="G860" s="611"/>
      <c r="J860" s="633">
        <v>16</v>
      </c>
      <c r="K860" s="633">
        <v>2.0110000000000001</v>
      </c>
      <c r="L860" s="633">
        <v>1.58</v>
      </c>
    </row>
    <row r="861" spans="1:14" ht="15.75" customHeight="1" outlineLevel="2">
      <c r="A861" s="613"/>
      <c r="B861" s="612"/>
      <c r="C861" s="613" t="s">
        <v>31</v>
      </c>
      <c r="D861" s="612"/>
      <c r="E861" s="613"/>
      <c r="F861" s="611"/>
      <c r="G861" s="611"/>
      <c r="J861" s="633">
        <v>19</v>
      </c>
      <c r="K861" s="633">
        <v>2.835</v>
      </c>
      <c r="L861" s="633">
        <v>2.23</v>
      </c>
    </row>
    <row r="862" spans="1:14" ht="15.75" customHeight="1" outlineLevel="2">
      <c r="A862" s="613"/>
      <c r="B862" s="612"/>
      <c r="C862" s="613" t="s">
        <v>174</v>
      </c>
      <c r="D862" s="612" t="s">
        <v>33</v>
      </c>
      <c r="E862" s="613">
        <v>0.7</v>
      </c>
      <c r="F862" s="611">
        <f>steel_worker</f>
        <v>119350.00000000001</v>
      </c>
      <c r="G862" s="611">
        <f>F862*E862</f>
        <v>83545</v>
      </c>
      <c r="J862" s="633">
        <v>22</v>
      </c>
      <c r="K862" s="633">
        <v>3.8010000000000002</v>
      </c>
      <c r="L862" s="633">
        <v>2.96</v>
      </c>
    </row>
    <row r="863" spans="1:14" ht="15.75" customHeight="1" outlineLevel="2">
      <c r="A863" s="613"/>
      <c r="B863" s="612"/>
      <c r="C863" s="613" t="s">
        <v>32</v>
      </c>
      <c r="D863" s="612" t="s">
        <v>33</v>
      </c>
      <c r="E863" s="613">
        <v>0.7</v>
      </c>
      <c r="F863" s="611">
        <f>worker</f>
        <v>107800.00000000001</v>
      </c>
      <c r="G863" s="611">
        <f>F863*E863</f>
        <v>75460</v>
      </c>
      <c r="J863" s="633">
        <v>25</v>
      </c>
      <c r="K863" s="633">
        <v>4.9089999999999998</v>
      </c>
      <c r="L863" s="633">
        <v>3.85</v>
      </c>
    </row>
    <row r="864" spans="1:14" ht="15.75" customHeight="1" outlineLevel="2">
      <c r="A864" s="613"/>
      <c r="B864" s="612"/>
      <c r="C864" s="613" t="s">
        <v>36</v>
      </c>
      <c r="D864" s="612" t="s">
        <v>33</v>
      </c>
      <c r="E864" s="613">
        <v>7.0000000000000007E-2</v>
      </c>
      <c r="F864" s="611">
        <f>supervisor</f>
        <v>119350.00000000001</v>
      </c>
      <c r="G864" s="611">
        <f>F864*E864</f>
        <v>8354.5000000000018</v>
      </c>
      <c r="J864" s="633">
        <v>29</v>
      </c>
      <c r="K864" s="633">
        <v>60625</v>
      </c>
      <c r="L864" s="633">
        <v>5.18</v>
      </c>
    </row>
    <row r="865" spans="1:12" ht="15.75" customHeight="1" outlineLevel="2">
      <c r="A865" s="613"/>
      <c r="B865" s="612"/>
      <c r="C865" s="613" t="s">
        <v>175</v>
      </c>
      <c r="D865" s="612" t="s">
        <v>33</v>
      </c>
      <c r="E865" s="613">
        <v>7.0000000000000007E-2</v>
      </c>
      <c r="F865" s="611">
        <f>steel_worker_chief</f>
        <v>107800.00000000001</v>
      </c>
      <c r="G865" s="611">
        <f>F865*E865</f>
        <v>7546.0000000000018</v>
      </c>
      <c r="J865" s="633">
        <v>32</v>
      </c>
      <c r="K865" s="633">
        <v>8.0419999999999998</v>
      </c>
      <c r="L865" s="633">
        <v>6.31</v>
      </c>
    </row>
    <row r="866" spans="1:12" ht="15.75" customHeight="1" outlineLevel="2">
      <c r="A866" s="613"/>
      <c r="B866" s="612"/>
      <c r="C866" s="613"/>
      <c r="D866" s="612"/>
      <c r="E866" s="613"/>
      <c r="F866" s="611"/>
      <c r="G866" s="611"/>
    </row>
    <row r="867" spans="1:12" ht="15.75" customHeight="1" outlineLevel="2">
      <c r="A867" s="613"/>
      <c r="B867" s="612"/>
      <c r="C867" s="613" t="s">
        <v>4318</v>
      </c>
      <c r="D867" s="612" t="s">
        <v>74</v>
      </c>
      <c r="E867" s="613">
        <v>1</v>
      </c>
      <c r="F867" s="611">
        <f>2%*G858</f>
        <v>34499.85</v>
      </c>
      <c r="G867" s="611">
        <f>F867*E867</f>
        <v>34499.85</v>
      </c>
    </row>
    <row r="868" spans="1:12" ht="15.75" customHeight="1" outlineLevel="2">
      <c r="A868" s="613"/>
      <c r="B868" s="612"/>
      <c r="C868" s="613"/>
      <c r="D868" s="612"/>
      <c r="E868" s="613"/>
      <c r="F868" s="611"/>
      <c r="G868" s="611">
        <f>SUM(G858:G867)</f>
        <v>1962117.85</v>
      </c>
    </row>
    <row r="869" spans="1:12" ht="15.75" customHeight="1" outlineLevel="2">
      <c r="A869" s="613"/>
      <c r="B869" s="612"/>
      <c r="C869" s="613" t="s">
        <v>176</v>
      </c>
      <c r="D869" s="612"/>
      <c r="E869" s="613"/>
      <c r="F869" s="611"/>
      <c r="G869" s="611">
        <f>G868/100</f>
        <v>19621.178500000002</v>
      </c>
    </row>
    <row r="870" spans="1:12" ht="15.75" customHeight="1" outlineLevel="2">
      <c r="A870" s="613"/>
      <c r="B870" s="612"/>
      <c r="C870" s="613"/>
      <c r="D870" s="612"/>
      <c r="E870" s="613"/>
      <c r="F870" s="611"/>
      <c r="G870" s="611"/>
    </row>
    <row r="871" spans="1:12" ht="15.75" customHeight="1" outlineLevel="1">
      <c r="A871" s="613" t="s">
        <v>2074</v>
      </c>
      <c r="B871" s="612">
        <f>B855+1</f>
        <v>37</v>
      </c>
      <c r="C871" s="613" t="s">
        <v>1633</v>
      </c>
      <c r="D871" s="612" t="s">
        <v>180</v>
      </c>
      <c r="E871" s="613"/>
      <c r="F871" s="611"/>
      <c r="G871" s="604">
        <f>G883</f>
        <v>19164530</v>
      </c>
      <c r="I871" s="633" t="s">
        <v>178</v>
      </c>
    </row>
    <row r="872" spans="1:12" ht="15.75" hidden="1" customHeight="1" outlineLevel="2">
      <c r="A872" s="613"/>
      <c r="B872" s="612"/>
      <c r="C872" s="613"/>
      <c r="D872" s="612"/>
      <c r="E872" s="613"/>
      <c r="F872" s="611"/>
      <c r="G872" s="611"/>
    </row>
    <row r="873" spans="1:12" ht="15.75" hidden="1" customHeight="1" outlineLevel="2">
      <c r="A873" s="613"/>
      <c r="B873" s="612"/>
      <c r="C873" s="613" t="s">
        <v>20</v>
      </c>
      <c r="D873" s="612"/>
      <c r="E873" s="613"/>
      <c r="F873" s="611"/>
      <c r="G873" s="611"/>
    </row>
    <row r="874" spans="1:12" ht="15.75" hidden="1" customHeight="1" outlineLevel="2">
      <c r="A874" s="613"/>
      <c r="B874" s="612"/>
      <c r="C874" s="613" t="s">
        <v>179</v>
      </c>
      <c r="D874" s="612" t="s">
        <v>180</v>
      </c>
      <c r="E874" s="613">
        <f>1.15*0.65</f>
        <v>0.74749999999999994</v>
      </c>
      <c r="F874" s="611">
        <f>'[54]Basic price '!E26*1000</f>
        <v>12266000</v>
      </c>
      <c r="G874" s="611">
        <f>F874*E874</f>
        <v>9168835</v>
      </c>
    </row>
    <row r="875" spans="1:12" ht="15.75" hidden="1" customHeight="1" outlineLevel="2">
      <c r="A875" s="613"/>
      <c r="B875" s="612"/>
      <c r="C875" s="613" t="s">
        <v>181</v>
      </c>
      <c r="D875" s="612" t="s">
        <v>180</v>
      </c>
      <c r="E875" s="613">
        <f>1.15*0.35</f>
        <v>0.40249999999999997</v>
      </c>
      <c r="F875" s="611">
        <f>'[54]Basic price '!E27*1000</f>
        <v>12266000</v>
      </c>
      <c r="G875" s="611">
        <f>F875*E875</f>
        <v>4937065</v>
      </c>
    </row>
    <row r="876" spans="1:12" ht="15.75" hidden="1" customHeight="1" outlineLevel="2">
      <c r="A876" s="613"/>
      <c r="B876" s="612"/>
      <c r="C876" s="613" t="s">
        <v>182</v>
      </c>
      <c r="D876" s="612" t="s">
        <v>141</v>
      </c>
      <c r="E876" s="613">
        <v>120</v>
      </c>
      <c r="F876" s="611">
        <f>'[54]Basic price '!E29</f>
        <v>12266</v>
      </c>
      <c r="G876" s="611">
        <f>F876*E876</f>
        <v>1471920</v>
      </c>
    </row>
    <row r="877" spans="1:12" ht="15.75" hidden="1" customHeight="1" outlineLevel="2">
      <c r="A877" s="613"/>
      <c r="B877" s="612"/>
      <c r="C877" s="613" t="s">
        <v>183</v>
      </c>
      <c r="D877" s="612" t="s">
        <v>180</v>
      </c>
      <c r="E877" s="613">
        <v>3.5000000000000003E-2</v>
      </c>
      <c r="F877" s="611">
        <f>'[54]Basic price '!E33</f>
        <v>10800</v>
      </c>
      <c r="G877" s="611">
        <f>F877*E877</f>
        <v>378.00000000000006</v>
      </c>
    </row>
    <row r="878" spans="1:12" ht="15.75" hidden="1" customHeight="1" outlineLevel="2">
      <c r="A878" s="613"/>
      <c r="B878" s="612"/>
      <c r="C878" s="613"/>
      <c r="D878" s="612"/>
      <c r="E878" s="613"/>
      <c r="F878" s="611"/>
      <c r="G878" s="611"/>
    </row>
    <row r="879" spans="1:12" ht="15.75" hidden="1" customHeight="1" outlineLevel="2">
      <c r="A879" s="613"/>
      <c r="B879" s="612"/>
      <c r="C879" s="613" t="s">
        <v>31</v>
      </c>
      <c r="D879" s="612"/>
      <c r="E879" s="613"/>
      <c r="F879" s="611"/>
      <c r="G879" s="611"/>
    </row>
    <row r="880" spans="1:12" ht="15.75" hidden="1" customHeight="1" outlineLevel="2">
      <c r="A880" s="613"/>
      <c r="B880" s="612"/>
      <c r="C880" s="613" t="s">
        <v>174</v>
      </c>
      <c r="D880" s="612" t="s">
        <v>33</v>
      </c>
      <c r="E880" s="613">
        <v>10</v>
      </c>
      <c r="F880" s="611">
        <f>'[54]Basic price '!E219</f>
        <v>121213</v>
      </c>
      <c r="G880" s="611">
        <f>F880*E880</f>
        <v>1212130</v>
      </c>
    </row>
    <row r="881" spans="1:7" ht="15.75" hidden="1" customHeight="1" outlineLevel="2">
      <c r="A881" s="613"/>
      <c r="B881" s="612"/>
      <c r="C881" s="613" t="s">
        <v>32</v>
      </c>
      <c r="D881" s="612" t="s">
        <v>33</v>
      </c>
      <c r="E881" s="613">
        <v>20</v>
      </c>
      <c r="F881" s="611">
        <f>'[54]Basic price '!E211</f>
        <v>102920</v>
      </c>
      <c r="G881" s="611">
        <f>F881*E881</f>
        <v>2058400</v>
      </c>
    </row>
    <row r="882" spans="1:7" ht="15.75" hidden="1" customHeight="1" outlineLevel="2">
      <c r="A882" s="613"/>
      <c r="B882" s="612"/>
      <c r="C882" s="613" t="s">
        <v>36</v>
      </c>
      <c r="D882" s="612" t="s">
        <v>33</v>
      </c>
      <c r="E882" s="613">
        <v>2</v>
      </c>
      <c r="F882" s="611">
        <f>'[54]Basic price '!E213</f>
        <v>157901</v>
      </c>
      <c r="G882" s="611">
        <f>F882*E882</f>
        <v>315802</v>
      </c>
    </row>
    <row r="883" spans="1:7" ht="15.75" hidden="1" customHeight="1" outlineLevel="2">
      <c r="A883" s="613"/>
      <c r="B883" s="612"/>
      <c r="C883" s="613"/>
      <c r="D883" s="612"/>
      <c r="E883" s="613"/>
      <c r="F883" s="611"/>
      <c r="G883" s="611">
        <f>SUM(G874:G882)</f>
        <v>19164530</v>
      </c>
    </row>
    <row r="884" spans="1:7" ht="15.75" hidden="1" customHeight="1" outlineLevel="2">
      <c r="A884" s="613"/>
      <c r="B884" s="612"/>
      <c r="C884" s="613" t="s">
        <v>184</v>
      </c>
      <c r="D884" s="612"/>
      <c r="E884" s="613"/>
      <c r="F884" s="611"/>
      <c r="G884" s="611">
        <f>G883/1000</f>
        <v>19164.53</v>
      </c>
    </row>
    <row r="885" spans="1:7" ht="18.75" hidden="1" customHeight="1" outlineLevel="2">
      <c r="A885" s="613"/>
      <c r="B885" s="612"/>
      <c r="C885" s="613"/>
      <c r="D885" s="612"/>
      <c r="E885" s="613"/>
      <c r="F885" s="611"/>
      <c r="G885" s="611"/>
    </row>
    <row r="886" spans="1:7" ht="15.75" customHeight="1" outlineLevel="1" collapsed="1">
      <c r="A886" s="613" t="s">
        <v>2074</v>
      </c>
      <c r="B886" s="612">
        <f>B871+1</f>
        <v>38</v>
      </c>
      <c r="C886" s="613" t="s">
        <v>1634</v>
      </c>
      <c r="D886" s="612" t="s">
        <v>52</v>
      </c>
      <c r="E886" s="613"/>
      <c r="F886" s="611"/>
      <c r="G886" s="604"/>
    </row>
    <row r="887" spans="1:7" ht="15.75" hidden="1" customHeight="1" outlineLevel="2">
      <c r="A887" s="613"/>
      <c r="B887" s="612"/>
      <c r="C887" s="613"/>
      <c r="D887" s="612"/>
      <c r="E887" s="613"/>
      <c r="F887" s="611"/>
      <c r="G887" s="611"/>
    </row>
    <row r="888" spans="1:7" ht="15.75" hidden="1" customHeight="1" outlineLevel="2">
      <c r="A888" s="613"/>
      <c r="B888" s="612"/>
      <c r="C888" s="613" t="s">
        <v>20</v>
      </c>
      <c r="D888" s="612"/>
      <c r="E888" s="613"/>
      <c r="F888" s="611"/>
      <c r="G888" s="611"/>
    </row>
    <row r="889" spans="1:7" ht="15.75" hidden="1" customHeight="1" outlineLevel="2">
      <c r="A889" s="613"/>
      <c r="B889" s="612"/>
      <c r="C889" s="613" t="s">
        <v>185</v>
      </c>
      <c r="D889" s="612" t="s">
        <v>1</v>
      </c>
      <c r="E889" s="613">
        <v>1.1499999999999999</v>
      </c>
      <c r="F889" s="611">
        <f>'[54]Basic price '!E30</f>
        <v>14900</v>
      </c>
      <c r="G889" s="611">
        <f>F889*E889</f>
        <v>17135</v>
      </c>
    </row>
    <row r="890" spans="1:7" ht="15.75" hidden="1" customHeight="1" outlineLevel="2">
      <c r="A890" s="613"/>
      <c r="B890" s="612"/>
      <c r="C890" s="613" t="s">
        <v>186</v>
      </c>
      <c r="D890" s="612" t="s">
        <v>1</v>
      </c>
      <c r="E890" s="613">
        <v>0.08</v>
      </c>
      <c r="F890" s="611">
        <f>'[54]Basic price '!E36</f>
        <v>53000</v>
      </c>
      <c r="G890" s="611">
        <f>F890*E890</f>
        <v>4240</v>
      </c>
    </row>
    <row r="891" spans="1:7" ht="15.75" hidden="1" customHeight="1" outlineLevel="2">
      <c r="A891" s="613"/>
      <c r="B891" s="612"/>
      <c r="C891" s="613"/>
      <c r="D891" s="612"/>
      <c r="E891" s="613"/>
      <c r="F891" s="611"/>
      <c r="G891" s="611"/>
    </row>
    <row r="892" spans="1:7" ht="15.75" hidden="1" customHeight="1" outlineLevel="2">
      <c r="A892" s="613"/>
      <c r="B892" s="612"/>
      <c r="C892" s="613" t="s">
        <v>31</v>
      </c>
      <c r="D892" s="612"/>
      <c r="E892" s="613"/>
      <c r="F892" s="611"/>
      <c r="G892" s="611"/>
    </row>
    <row r="893" spans="1:7" ht="15.75" hidden="1" customHeight="1" outlineLevel="2">
      <c r="A893" s="613"/>
      <c r="B893" s="612"/>
      <c r="C893" s="613" t="s">
        <v>32</v>
      </c>
      <c r="D893" s="612" t="s">
        <v>33</v>
      </c>
      <c r="E893" s="613">
        <v>0.06</v>
      </c>
      <c r="F893" s="611">
        <f>'[54]Basic price '!E211</f>
        <v>102920</v>
      </c>
      <c r="G893" s="611">
        <f>F893*E893</f>
        <v>6175.2</v>
      </c>
    </row>
    <row r="894" spans="1:7" ht="15.75" hidden="1" customHeight="1" outlineLevel="2">
      <c r="A894" s="613"/>
      <c r="B894" s="612"/>
      <c r="C894" s="613" t="s">
        <v>36</v>
      </c>
      <c r="D894" s="612" t="s">
        <v>33</v>
      </c>
      <c r="E894" s="613">
        <v>3.0000000000000001E-3</v>
      </c>
      <c r="F894" s="611">
        <f>'[54]Basic price '!E213</f>
        <v>157901</v>
      </c>
      <c r="G894" s="611">
        <f>F894*E894</f>
        <v>473.70300000000003</v>
      </c>
    </row>
    <row r="895" spans="1:7" ht="15.75" hidden="1" customHeight="1" outlineLevel="2">
      <c r="A895" s="613"/>
      <c r="B895" s="612"/>
      <c r="C895" s="613" t="s">
        <v>187</v>
      </c>
      <c r="D895" s="612" t="s">
        <v>33</v>
      </c>
      <c r="E895" s="613">
        <v>0.06</v>
      </c>
      <c r="F895" s="611">
        <f>'[54]Basic price '!E229</f>
        <v>121230</v>
      </c>
      <c r="G895" s="611">
        <f>F895*E895</f>
        <v>7273.8</v>
      </c>
    </row>
    <row r="896" spans="1:7" ht="15.75" hidden="1" customHeight="1" outlineLevel="2">
      <c r="A896" s="613"/>
      <c r="B896" s="612"/>
      <c r="C896" s="613" t="s">
        <v>188</v>
      </c>
      <c r="D896" s="612" t="s">
        <v>33</v>
      </c>
      <c r="E896" s="613">
        <v>6.0000000000000001E-3</v>
      </c>
      <c r="F896" s="611">
        <f>'[54]Basic price '!E218</f>
        <v>139754</v>
      </c>
      <c r="G896" s="611">
        <f>F896*E896</f>
        <v>838.524</v>
      </c>
    </row>
    <row r="897" spans="1:9" ht="15.75" hidden="1" customHeight="1" outlineLevel="2">
      <c r="A897" s="613"/>
      <c r="B897" s="612"/>
      <c r="C897" s="613"/>
      <c r="D897" s="612"/>
      <c r="E897" s="613"/>
      <c r="F897" s="611"/>
      <c r="G897" s="611"/>
    </row>
    <row r="898" spans="1:9" ht="15.75" hidden="1" customHeight="1" outlineLevel="2">
      <c r="A898" s="613"/>
      <c r="B898" s="612"/>
      <c r="C898" s="613" t="s">
        <v>70</v>
      </c>
      <c r="D898" s="612"/>
      <c r="E898" s="613"/>
      <c r="F898" s="611"/>
      <c r="G898" s="611"/>
    </row>
    <row r="899" spans="1:9" ht="15.75" hidden="1" customHeight="1" outlineLevel="2">
      <c r="A899" s="613"/>
      <c r="B899" s="612"/>
      <c r="C899" s="613" t="s">
        <v>189</v>
      </c>
      <c r="D899" s="612" t="s">
        <v>65</v>
      </c>
      <c r="E899" s="613">
        <v>0.02</v>
      </c>
      <c r="F899" s="611">
        <f>'[54]Basic price '!E258</f>
        <v>495000</v>
      </c>
      <c r="G899" s="611">
        <f>F899*E899</f>
        <v>9900</v>
      </c>
    </row>
    <row r="900" spans="1:9" ht="15.75" hidden="1" customHeight="1" outlineLevel="2">
      <c r="A900" s="613"/>
      <c r="B900" s="612"/>
      <c r="C900" s="613"/>
      <c r="D900" s="612"/>
      <c r="E900" s="613"/>
      <c r="F900" s="611"/>
      <c r="G900" s="611">
        <f>SUM(G889:G899)</f>
        <v>46036.226999999999</v>
      </c>
    </row>
    <row r="901" spans="1:9" ht="15.75" hidden="1" customHeight="1" outlineLevel="2">
      <c r="A901" s="613"/>
      <c r="B901" s="612"/>
      <c r="C901" s="613"/>
      <c r="D901" s="612"/>
      <c r="E901" s="613"/>
      <c r="F901" s="611"/>
      <c r="G901" s="611"/>
    </row>
    <row r="902" spans="1:9" ht="15.75" hidden="1" customHeight="1" outlineLevel="2">
      <c r="A902" s="613"/>
      <c r="B902" s="612"/>
      <c r="C902" s="613"/>
      <c r="D902" s="612"/>
      <c r="E902" s="613"/>
      <c r="F902" s="611"/>
      <c r="G902" s="611"/>
    </row>
    <row r="903" spans="1:9" ht="15.75" customHeight="1" outlineLevel="1" collapsed="1">
      <c r="A903" s="613" t="s">
        <v>2074</v>
      </c>
      <c r="B903" s="612">
        <f>B886+1</f>
        <v>39</v>
      </c>
      <c r="C903" s="613" t="s">
        <v>1635</v>
      </c>
      <c r="D903" s="612" t="s">
        <v>1606</v>
      </c>
      <c r="E903" s="613"/>
      <c r="F903" s="611"/>
      <c r="G903" s="604">
        <f>G913</f>
        <v>452563.10000000003</v>
      </c>
      <c r="I903" s="633" t="s">
        <v>872</v>
      </c>
    </row>
    <row r="904" spans="1:9" ht="15.75" hidden="1" customHeight="1" outlineLevel="2">
      <c r="A904" s="613"/>
      <c r="B904" s="612"/>
      <c r="C904" s="613" t="s">
        <v>20</v>
      </c>
      <c r="D904" s="612"/>
      <c r="E904" s="613"/>
      <c r="F904" s="611"/>
      <c r="G904" s="611"/>
    </row>
    <row r="905" spans="1:9" ht="15.75" hidden="1" customHeight="1" outlineLevel="2">
      <c r="A905" s="613"/>
      <c r="B905" s="612"/>
      <c r="C905" s="613" t="s">
        <v>871</v>
      </c>
      <c r="D905" s="612" t="s">
        <v>5</v>
      </c>
      <c r="E905" s="613">
        <v>1</v>
      </c>
      <c r="F905" s="611">
        <f>wiremesh_M6_2.1m_54m_rol</f>
        <v>416350.00000000006</v>
      </c>
      <c r="G905" s="611">
        <f>F905*E905</f>
        <v>416350.00000000006</v>
      </c>
    </row>
    <row r="906" spans="1:9" ht="15.75" hidden="1" customHeight="1" outlineLevel="2">
      <c r="A906" s="613"/>
      <c r="B906" s="612"/>
      <c r="C906" s="613" t="s">
        <v>173</v>
      </c>
      <c r="D906" s="612" t="s">
        <v>1</v>
      </c>
      <c r="E906" s="613">
        <v>1.5</v>
      </c>
      <c r="F906" s="611">
        <f>concrete_wire</f>
        <v>18480</v>
      </c>
      <c r="G906" s="611">
        <f>F906*E906</f>
        <v>27720</v>
      </c>
    </row>
    <row r="907" spans="1:9" ht="15.75" hidden="1" customHeight="1" outlineLevel="2">
      <c r="A907" s="613"/>
      <c r="B907" s="612"/>
      <c r="C907" s="613"/>
      <c r="D907" s="612"/>
      <c r="E907" s="613"/>
      <c r="F907" s="611"/>
      <c r="G907" s="611"/>
    </row>
    <row r="908" spans="1:9" ht="15.75" hidden="1" customHeight="1" outlineLevel="2">
      <c r="A908" s="613"/>
      <c r="B908" s="612"/>
      <c r="C908" s="613" t="s">
        <v>31</v>
      </c>
      <c r="D908" s="612"/>
      <c r="E908" s="613"/>
      <c r="F908" s="611"/>
      <c r="G908" s="611"/>
    </row>
    <row r="909" spans="1:9" ht="15.75" hidden="1" customHeight="1" outlineLevel="2">
      <c r="A909" s="613"/>
      <c r="B909" s="612"/>
      <c r="C909" s="613" t="s">
        <v>174</v>
      </c>
      <c r="D909" s="612" t="s">
        <v>33</v>
      </c>
      <c r="E909" s="613">
        <v>2.5000000000000001E-2</v>
      </c>
      <c r="F909" s="611">
        <f>steel_worker</f>
        <v>119350.00000000001</v>
      </c>
      <c r="G909" s="611">
        <f>F909*E909</f>
        <v>2983.7500000000005</v>
      </c>
    </row>
    <row r="910" spans="1:9" ht="15.75" hidden="1" customHeight="1" outlineLevel="2">
      <c r="A910" s="613"/>
      <c r="B910" s="612"/>
      <c r="C910" s="613" t="s">
        <v>32</v>
      </c>
      <c r="D910" s="612" t="s">
        <v>33</v>
      </c>
      <c r="E910" s="613">
        <v>2.5000000000000001E-2</v>
      </c>
      <c r="F910" s="611">
        <f>worker</f>
        <v>107800.00000000001</v>
      </c>
      <c r="G910" s="611">
        <f>F910*E910</f>
        <v>2695.0000000000005</v>
      </c>
    </row>
    <row r="911" spans="1:9" ht="15.75" hidden="1" customHeight="1" outlineLevel="2">
      <c r="A911" s="613"/>
      <c r="B911" s="612"/>
      <c r="C911" s="613" t="s">
        <v>36</v>
      </c>
      <c r="D911" s="612" t="s">
        <v>33</v>
      </c>
      <c r="E911" s="613">
        <v>1E-3</v>
      </c>
      <c r="F911" s="611">
        <f>supervisor</f>
        <v>119350.00000000001</v>
      </c>
      <c r="G911" s="611">
        <f>F911*E911</f>
        <v>119.35000000000002</v>
      </c>
    </row>
    <row r="912" spans="1:9" ht="15.75" hidden="1" customHeight="1" outlineLevel="2">
      <c r="A912" s="613"/>
      <c r="B912" s="612"/>
      <c r="C912" s="613" t="s">
        <v>175</v>
      </c>
      <c r="D912" s="612" t="s">
        <v>33</v>
      </c>
      <c r="E912" s="613">
        <v>2.5000000000000001E-2</v>
      </c>
      <c r="F912" s="611">
        <f>steel_worker_chief</f>
        <v>107800.00000000001</v>
      </c>
      <c r="G912" s="611">
        <f>F912*E912</f>
        <v>2695.0000000000005</v>
      </c>
    </row>
    <row r="913" spans="1:11" ht="15.75" hidden="1" customHeight="1" outlineLevel="2">
      <c r="A913" s="613"/>
      <c r="B913" s="612"/>
      <c r="C913" s="613"/>
      <c r="D913" s="612"/>
      <c r="E913" s="613"/>
      <c r="F913" s="611"/>
      <c r="G913" s="611">
        <f>SUM(G905:G912)</f>
        <v>452563.10000000003</v>
      </c>
    </row>
    <row r="914" spans="1:11" ht="15.75" hidden="1" customHeight="1" outlineLevel="2">
      <c r="A914" s="613"/>
      <c r="B914" s="612"/>
      <c r="C914" s="613" t="s">
        <v>176</v>
      </c>
      <c r="D914" s="612"/>
      <c r="E914" s="613"/>
      <c r="F914" s="611"/>
      <c r="G914" s="611">
        <f>G913/100</f>
        <v>4525.6310000000003</v>
      </c>
    </row>
    <row r="915" spans="1:11" ht="15.75" hidden="1" customHeight="1" outlineLevel="2">
      <c r="A915" s="613"/>
      <c r="B915" s="612"/>
      <c r="C915" s="613"/>
      <c r="D915" s="612"/>
      <c r="E915" s="613"/>
      <c r="F915" s="611"/>
      <c r="G915" s="611"/>
    </row>
    <row r="916" spans="1:11" ht="15.75" customHeight="1" outlineLevel="1" collapsed="1">
      <c r="A916" s="613" t="s">
        <v>2074</v>
      </c>
      <c r="B916" s="612">
        <f>B903+1</f>
        <v>40</v>
      </c>
      <c r="C916" s="613" t="s">
        <v>1636</v>
      </c>
      <c r="D916" s="612" t="s">
        <v>3</v>
      </c>
      <c r="E916" s="613"/>
      <c r="F916" s="611"/>
      <c r="G916" s="604">
        <f>G930</f>
        <v>1016903.0300000001</v>
      </c>
      <c r="I916" s="633" t="s">
        <v>190</v>
      </c>
      <c r="K916" s="633" t="s">
        <v>191</v>
      </c>
    </row>
    <row r="917" spans="1:11" ht="15.75" hidden="1" customHeight="1" outlineLevel="2">
      <c r="A917" s="613"/>
      <c r="B917" s="612"/>
      <c r="C917" s="613"/>
      <c r="D917" s="612"/>
      <c r="E917" s="613"/>
      <c r="F917" s="611"/>
      <c r="G917" s="611"/>
      <c r="K917" s="633" t="s">
        <v>192</v>
      </c>
    </row>
    <row r="918" spans="1:11" ht="15.75" hidden="1" customHeight="1" outlineLevel="2">
      <c r="A918" s="613"/>
      <c r="B918" s="612"/>
      <c r="C918" s="613" t="s">
        <v>20</v>
      </c>
      <c r="D918" s="612"/>
      <c r="E918" s="613"/>
      <c r="F918" s="611"/>
      <c r="G918" s="611"/>
    </row>
    <row r="919" spans="1:11" ht="15.75" hidden="1" customHeight="1" outlineLevel="2">
      <c r="A919" s="613"/>
      <c r="B919" s="612"/>
      <c r="C919" s="613" t="s">
        <v>193</v>
      </c>
      <c r="D919" s="612" t="s">
        <v>194</v>
      </c>
      <c r="E919" s="613">
        <v>1.1000000000000001</v>
      </c>
      <c r="F919" s="611">
        <f>driven_pile_30.30*1.5</f>
        <v>825000</v>
      </c>
      <c r="G919" s="611">
        <f>F919*E919</f>
        <v>907500.00000000012</v>
      </c>
    </row>
    <row r="920" spans="1:11" ht="15.75" hidden="1" customHeight="1" outlineLevel="2">
      <c r="A920" s="613"/>
      <c r="B920" s="612"/>
      <c r="C920" s="613"/>
      <c r="D920" s="612"/>
      <c r="E920" s="613"/>
      <c r="F920" s="611"/>
      <c r="G920" s="611"/>
    </row>
    <row r="921" spans="1:11" ht="15.75" hidden="1" customHeight="1" outlineLevel="2">
      <c r="A921" s="613"/>
      <c r="B921" s="612"/>
      <c r="C921" s="613" t="s">
        <v>157</v>
      </c>
      <c r="D921" s="612"/>
      <c r="E921" s="613"/>
      <c r="F921" s="611"/>
      <c r="G921" s="611"/>
    </row>
    <row r="922" spans="1:11" ht="15.75" hidden="1" customHeight="1" outlineLevel="2">
      <c r="A922" s="613"/>
      <c r="B922" s="612"/>
      <c r="C922" s="613" t="s">
        <v>195</v>
      </c>
      <c r="D922" s="612" t="s">
        <v>65</v>
      </c>
      <c r="E922" s="613">
        <v>3.1199999999999999E-2</v>
      </c>
      <c r="F922" s="611">
        <f>tripod</f>
        <v>220000.00000000003</v>
      </c>
      <c r="G922" s="611">
        <f>F922*E922</f>
        <v>6864.0000000000009</v>
      </c>
    </row>
    <row r="923" spans="1:11" ht="15.75" hidden="1" customHeight="1" outlineLevel="2">
      <c r="A923" s="613"/>
      <c r="B923" s="612"/>
      <c r="C923" s="613" t="s">
        <v>196</v>
      </c>
      <c r="D923" s="612" t="s">
        <v>65</v>
      </c>
      <c r="E923" s="613">
        <v>3.1199999999999999E-2</v>
      </c>
      <c r="F923" s="611">
        <f>pile_driver_hammer_hour*8</f>
        <v>1161600</v>
      </c>
      <c r="G923" s="611">
        <f>F923*E923</f>
        <v>36241.919999999998</v>
      </c>
    </row>
    <row r="924" spans="1:11" ht="15.75" hidden="1" customHeight="1" outlineLevel="2">
      <c r="A924" s="613"/>
      <c r="B924" s="612"/>
      <c r="C924" s="613" t="s">
        <v>197</v>
      </c>
      <c r="D924" s="612" t="s">
        <v>141</v>
      </c>
      <c r="E924" s="613">
        <v>0.25</v>
      </c>
      <c r="F924" s="611">
        <f>pile_connection</f>
        <v>132000</v>
      </c>
      <c r="G924" s="611">
        <f>F924*E924</f>
        <v>33000</v>
      </c>
    </row>
    <row r="925" spans="1:11" ht="15.75" hidden="1" customHeight="1" outlineLevel="2">
      <c r="A925" s="613"/>
      <c r="B925" s="612"/>
      <c r="C925" s="613"/>
      <c r="D925" s="612"/>
      <c r="E925" s="613"/>
      <c r="F925" s="611"/>
      <c r="G925" s="611"/>
    </row>
    <row r="926" spans="1:11" ht="15.75" hidden="1" customHeight="1" outlineLevel="2">
      <c r="A926" s="613"/>
      <c r="B926" s="612"/>
      <c r="C926" s="613" t="s">
        <v>31</v>
      </c>
      <c r="D926" s="612"/>
      <c r="E926" s="613"/>
      <c r="F926" s="611"/>
      <c r="G926" s="611"/>
    </row>
    <row r="927" spans="1:11" ht="15.75" hidden="1" customHeight="1" outlineLevel="2">
      <c r="A927" s="613"/>
      <c r="B927" s="612"/>
      <c r="C927" s="613" t="s">
        <v>32</v>
      </c>
      <c r="D927" s="612" t="s">
        <v>33</v>
      </c>
      <c r="E927" s="613">
        <v>0.25</v>
      </c>
      <c r="F927" s="611">
        <f>worker</f>
        <v>107800.00000000001</v>
      </c>
      <c r="G927" s="611">
        <f>F927*E927</f>
        <v>26950.000000000004</v>
      </c>
    </row>
    <row r="928" spans="1:11" ht="15.75" hidden="1" customHeight="1" outlineLevel="2">
      <c r="A928" s="613"/>
      <c r="B928" s="612"/>
      <c r="C928" s="613" t="s">
        <v>36</v>
      </c>
      <c r="D928" s="612" t="s">
        <v>33</v>
      </c>
      <c r="E928" s="613">
        <v>2.5000000000000001E-2</v>
      </c>
      <c r="F928" s="611">
        <f>supervisor</f>
        <v>119350.00000000001</v>
      </c>
      <c r="G928" s="611">
        <f>F928*E928</f>
        <v>2983.7500000000005</v>
      </c>
    </row>
    <row r="929" spans="1:11" ht="15.75" hidden="1" customHeight="1" outlineLevel="2">
      <c r="A929" s="613"/>
      <c r="B929" s="612"/>
      <c r="C929" s="613" t="s">
        <v>145</v>
      </c>
      <c r="D929" s="612" t="s">
        <v>33</v>
      </c>
      <c r="E929" s="613">
        <v>3.1199999999999999E-2</v>
      </c>
      <c r="F929" s="611">
        <f>brick_layer</f>
        <v>107800.00000000001</v>
      </c>
      <c r="G929" s="611">
        <f>F929*E929</f>
        <v>3363.36</v>
      </c>
    </row>
    <row r="930" spans="1:11" ht="15.75" hidden="1" customHeight="1" outlineLevel="2">
      <c r="A930" s="613"/>
      <c r="B930" s="612"/>
      <c r="C930" s="613"/>
      <c r="D930" s="612"/>
      <c r="E930" s="613"/>
      <c r="F930" s="611"/>
      <c r="G930" s="611">
        <f>SUM(G919:G929)</f>
        <v>1016903.0300000001</v>
      </c>
    </row>
    <row r="931" spans="1:11" ht="15.75" hidden="1" customHeight="1" outlineLevel="2">
      <c r="A931" s="613"/>
      <c r="B931" s="612"/>
      <c r="C931" s="613"/>
      <c r="D931" s="612"/>
      <c r="E931" s="613"/>
      <c r="F931" s="611"/>
      <c r="G931" s="611"/>
    </row>
    <row r="932" spans="1:11" ht="15.75" customHeight="1" outlineLevel="1" collapsed="1">
      <c r="A932" s="613" t="s">
        <v>2074</v>
      </c>
      <c r="B932" s="612">
        <f>B916+1</f>
        <v>41</v>
      </c>
      <c r="C932" s="613" t="s">
        <v>1637</v>
      </c>
      <c r="D932" s="612" t="s">
        <v>3</v>
      </c>
      <c r="E932" s="613"/>
      <c r="F932" s="611"/>
      <c r="G932" s="604">
        <f>G946</f>
        <v>1100778.0300000003</v>
      </c>
      <c r="I932" s="633" t="s">
        <v>190</v>
      </c>
      <c r="K932" s="633" t="s">
        <v>191</v>
      </c>
    </row>
    <row r="933" spans="1:11" ht="15.75" hidden="1" customHeight="1" outlineLevel="2">
      <c r="A933" s="613"/>
      <c r="B933" s="612"/>
      <c r="C933" s="613"/>
      <c r="D933" s="612"/>
      <c r="E933" s="613"/>
      <c r="F933" s="611"/>
      <c r="G933" s="611"/>
      <c r="K933" s="633" t="s">
        <v>192</v>
      </c>
    </row>
    <row r="934" spans="1:11" ht="15.75" hidden="1" customHeight="1" outlineLevel="2">
      <c r="A934" s="613"/>
      <c r="B934" s="612"/>
      <c r="C934" s="613" t="s">
        <v>20</v>
      </c>
      <c r="D934" s="612"/>
      <c r="E934" s="613"/>
      <c r="F934" s="611"/>
      <c r="G934" s="611"/>
    </row>
    <row r="935" spans="1:11" ht="15.75" hidden="1" customHeight="1" outlineLevel="2">
      <c r="A935" s="613"/>
      <c r="B935" s="612"/>
      <c r="C935" s="613" t="s">
        <v>193</v>
      </c>
      <c r="D935" s="612" t="s">
        <v>194</v>
      </c>
      <c r="E935" s="613">
        <v>1.03</v>
      </c>
      <c r="F935" s="611">
        <f>driven_pile_40.40*1.5</f>
        <v>962500.00000000012</v>
      </c>
      <c r="G935" s="611">
        <f>F935*E935</f>
        <v>991375.00000000012</v>
      </c>
    </row>
    <row r="936" spans="1:11" ht="15.75" hidden="1" customHeight="1" outlineLevel="2">
      <c r="A936" s="613"/>
      <c r="B936" s="612"/>
      <c r="C936" s="613"/>
      <c r="D936" s="612"/>
      <c r="E936" s="613"/>
      <c r="F936" s="611"/>
      <c r="G936" s="611"/>
    </row>
    <row r="937" spans="1:11" ht="15.75" hidden="1" customHeight="1" outlineLevel="2">
      <c r="A937" s="613"/>
      <c r="B937" s="612"/>
      <c r="C937" s="613" t="s">
        <v>157</v>
      </c>
      <c r="D937" s="612"/>
      <c r="E937" s="613"/>
      <c r="F937" s="611"/>
      <c r="G937" s="611"/>
    </row>
    <row r="938" spans="1:11" ht="15.75" hidden="1" customHeight="1" outlineLevel="2">
      <c r="A938" s="613"/>
      <c r="B938" s="612"/>
      <c r="C938" s="613" t="s">
        <v>195</v>
      </c>
      <c r="D938" s="612" t="s">
        <v>65</v>
      </c>
      <c r="E938" s="613">
        <v>3.1199999999999999E-2</v>
      </c>
      <c r="F938" s="611">
        <f>tripod</f>
        <v>220000.00000000003</v>
      </c>
      <c r="G938" s="611">
        <f>F938*E938</f>
        <v>6864.0000000000009</v>
      </c>
    </row>
    <row r="939" spans="1:11" ht="15.75" hidden="1" customHeight="1" outlineLevel="2">
      <c r="A939" s="613"/>
      <c r="B939" s="612"/>
      <c r="C939" s="613" t="s">
        <v>196</v>
      </c>
      <c r="D939" s="612" t="s">
        <v>65</v>
      </c>
      <c r="E939" s="613">
        <v>3.1199999999999999E-2</v>
      </c>
      <c r="F939" s="611">
        <f>pile_driver_hammer_hour*8</f>
        <v>1161600</v>
      </c>
      <c r="G939" s="611">
        <f>F939*E939</f>
        <v>36241.919999999998</v>
      </c>
    </row>
    <row r="940" spans="1:11" ht="15.75" hidden="1" customHeight="1" outlineLevel="2">
      <c r="A940" s="613"/>
      <c r="B940" s="612"/>
      <c r="C940" s="613" t="s">
        <v>197</v>
      </c>
      <c r="D940" s="612" t="s">
        <v>141</v>
      </c>
      <c r="E940" s="613">
        <v>0.25</v>
      </c>
      <c r="F940" s="611">
        <f>pile_connection</f>
        <v>132000</v>
      </c>
      <c r="G940" s="611">
        <f>F940*E940</f>
        <v>33000</v>
      </c>
    </row>
    <row r="941" spans="1:11" ht="15.75" hidden="1" customHeight="1" outlineLevel="2">
      <c r="A941" s="613"/>
      <c r="B941" s="612"/>
      <c r="C941" s="613"/>
      <c r="D941" s="612"/>
      <c r="E941" s="613"/>
      <c r="F941" s="611"/>
      <c r="G941" s="611"/>
    </row>
    <row r="942" spans="1:11" ht="15.75" hidden="1" customHeight="1" outlineLevel="2">
      <c r="A942" s="613"/>
      <c r="B942" s="612"/>
      <c r="C942" s="613" t="s">
        <v>31</v>
      </c>
      <c r="D942" s="612"/>
      <c r="E942" s="613"/>
      <c r="F942" s="611"/>
      <c r="G942" s="611"/>
    </row>
    <row r="943" spans="1:11" ht="15.75" hidden="1" customHeight="1" outlineLevel="2">
      <c r="A943" s="613"/>
      <c r="B943" s="612"/>
      <c r="C943" s="613" t="s">
        <v>32</v>
      </c>
      <c r="D943" s="612" t="s">
        <v>33</v>
      </c>
      <c r="E943" s="613">
        <v>0.25</v>
      </c>
      <c r="F943" s="611">
        <f>worker</f>
        <v>107800.00000000001</v>
      </c>
      <c r="G943" s="611">
        <f>F943*E943</f>
        <v>26950.000000000004</v>
      </c>
    </row>
    <row r="944" spans="1:11" ht="15.75" hidden="1" customHeight="1" outlineLevel="2">
      <c r="A944" s="613"/>
      <c r="B944" s="612"/>
      <c r="C944" s="613" t="s">
        <v>36</v>
      </c>
      <c r="D944" s="612" t="s">
        <v>33</v>
      </c>
      <c r="E944" s="613">
        <v>2.5000000000000001E-2</v>
      </c>
      <c r="F944" s="611">
        <f>supervisor</f>
        <v>119350.00000000001</v>
      </c>
      <c r="G944" s="611">
        <f>F944*E944</f>
        <v>2983.7500000000005</v>
      </c>
    </row>
    <row r="945" spans="1:15" ht="15.75" hidden="1" customHeight="1" outlineLevel="2">
      <c r="A945" s="613"/>
      <c r="B945" s="612"/>
      <c r="C945" s="613" t="s">
        <v>145</v>
      </c>
      <c r="D945" s="612" t="s">
        <v>33</v>
      </c>
      <c r="E945" s="613">
        <v>3.1199999999999999E-2</v>
      </c>
      <c r="F945" s="611">
        <f>brick_layer</f>
        <v>107800.00000000001</v>
      </c>
      <c r="G945" s="611">
        <f>F945*E945</f>
        <v>3363.36</v>
      </c>
    </row>
    <row r="946" spans="1:15" ht="15.75" hidden="1" customHeight="1" outlineLevel="2">
      <c r="A946" s="613"/>
      <c r="B946" s="612"/>
      <c r="C946" s="613"/>
      <c r="D946" s="612"/>
      <c r="E946" s="613"/>
      <c r="F946" s="611"/>
      <c r="G946" s="611">
        <f>SUM(G935:G945)</f>
        <v>1100778.0300000003</v>
      </c>
    </row>
    <row r="947" spans="1:15" ht="15.75" hidden="1" customHeight="1" outlineLevel="2">
      <c r="A947" s="613"/>
      <c r="B947" s="612"/>
      <c r="C947" s="613"/>
      <c r="D947" s="612"/>
      <c r="E947" s="613"/>
      <c r="F947" s="611"/>
      <c r="G947" s="611"/>
    </row>
    <row r="948" spans="1:15" ht="15.75" customHeight="1" outlineLevel="1" collapsed="1">
      <c r="A948" s="613" t="s">
        <v>2074</v>
      </c>
      <c r="B948" s="612">
        <f>B932+1</f>
        <v>42</v>
      </c>
      <c r="C948" s="613" t="s">
        <v>1638</v>
      </c>
      <c r="D948" s="612" t="s">
        <v>3</v>
      </c>
      <c r="E948" s="613"/>
      <c r="F948" s="611"/>
      <c r="G948" s="604">
        <f>G970</f>
        <v>663776.09446104988</v>
      </c>
      <c r="I948" s="633" t="s">
        <v>190</v>
      </c>
      <c r="K948" s="633" t="s">
        <v>191</v>
      </c>
    </row>
    <row r="949" spans="1:15" ht="15.75" customHeight="1" outlineLevel="2">
      <c r="A949" s="613"/>
      <c r="B949" s="612"/>
      <c r="C949" s="613" t="s">
        <v>20</v>
      </c>
      <c r="D949" s="612"/>
      <c r="E949" s="613"/>
      <c r="F949" s="611"/>
      <c r="G949" s="611"/>
    </row>
    <row r="950" spans="1:15" ht="15.75" customHeight="1" outlineLevel="2">
      <c r="A950" s="613"/>
      <c r="B950" s="612"/>
      <c r="C950" s="613" t="s">
        <v>810</v>
      </c>
      <c r="D950" s="612" t="s">
        <v>40</v>
      </c>
      <c r="E950" s="613">
        <f>3.14*0.2*0.2*1.1</f>
        <v>0.13816000000000003</v>
      </c>
      <c r="F950" s="611">
        <f>K_225</f>
        <v>1115864.6138095236</v>
      </c>
      <c r="G950" s="611">
        <f>F950*E950</f>
        <v>154167.85504392383</v>
      </c>
    </row>
    <row r="951" spans="1:15" ht="15.75" customHeight="1" outlineLevel="2">
      <c r="A951" s="613"/>
      <c r="B951" s="612"/>
      <c r="C951" s="613" t="s">
        <v>795</v>
      </c>
      <c r="D951" s="612" t="s">
        <v>1</v>
      </c>
      <c r="E951" s="613">
        <f>((8*1*M955*1.05)+(3.14*0.4*M953*(1/0.2))*1.1)</f>
        <v>17.534236000000003</v>
      </c>
      <c r="F951" s="611">
        <f>ahs_besi_ulir_kg</f>
        <v>19621.178500000002</v>
      </c>
      <c r="G951" s="611">
        <f>F951*E951</f>
        <v>344042.37441712612</v>
      </c>
      <c r="K951" s="633" t="s">
        <v>1295</v>
      </c>
      <c r="L951" s="633" t="s">
        <v>1296</v>
      </c>
      <c r="M951" s="633" t="s">
        <v>1297</v>
      </c>
    </row>
    <row r="952" spans="1:15" ht="15.75" customHeight="1" outlineLevel="2">
      <c r="A952" s="613"/>
      <c r="B952" s="612"/>
      <c r="C952" s="613" t="s">
        <v>796</v>
      </c>
      <c r="D952" s="612" t="s">
        <v>210</v>
      </c>
      <c r="E952" s="613">
        <v>1</v>
      </c>
      <c r="F952" s="611">
        <v>37800</v>
      </c>
      <c r="G952" s="611">
        <f>F952*E952</f>
        <v>37800</v>
      </c>
      <c r="K952" s="633">
        <v>8</v>
      </c>
      <c r="L952" s="633">
        <v>0.50270000000000004</v>
      </c>
      <c r="M952" s="633">
        <v>0.39500000000000002</v>
      </c>
    </row>
    <row r="953" spans="1:15" ht="15.75" customHeight="1" outlineLevel="2">
      <c r="A953" s="613"/>
      <c r="B953" s="612"/>
      <c r="C953" s="613" t="s">
        <v>797</v>
      </c>
      <c r="D953" s="612" t="s">
        <v>798</v>
      </c>
      <c r="E953" s="613">
        <v>0.5</v>
      </c>
      <c r="F953" s="611">
        <f>bbm</f>
        <v>12100.000000000002</v>
      </c>
      <c r="G953" s="611">
        <f>F953*E953</f>
        <v>6050.0000000000009</v>
      </c>
      <c r="K953" s="633">
        <v>10</v>
      </c>
      <c r="L953" s="633">
        <v>0.78539999999999999</v>
      </c>
      <c r="M953" s="633">
        <v>0.61699999999999999</v>
      </c>
      <c r="O953" s="633" t="s">
        <v>1442</v>
      </c>
    </row>
    <row r="954" spans="1:15" ht="15.75" customHeight="1" outlineLevel="2">
      <c r="A954" s="613"/>
      <c r="B954" s="612"/>
      <c r="C954" s="613"/>
      <c r="D954" s="612"/>
      <c r="E954" s="613"/>
      <c r="F954" s="611"/>
      <c r="G954" s="611"/>
      <c r="K954" s="633">
        <v>13</v>
      </c>
      <c r="L954" s="633">
        <v>1.327</v>
      </c>
      <c r="M954" s="633">
        <v>1.04</v>
      </c>
      <c r="O954" s="633">
        <f>3.14*0.4*(1/0.25)</f>
        <v>5.0240000000000009</v>
      </c>
    </row>
    <row r="955" spans="1:15" ht="15.75" customHeight="1" outlineLevel="2">
      <c r="A955" s="613"/>
      <c r="B955" s="612"/>
      <c r="C955" s="613" t="s">
        <v>157</v>
      </c>
      <c r="D955" s="612"/>
      <c r="E955" s="613"/>
      <c r="F955" s="611"/>
      <c r="G955" s="611"/>
      <c r="K955" s="633">
        <v>16</v>
      </c>
      <c r="L955" s="633">
        <v>2.0110000000000001</v>
      </c>
      <c r="M955" s="633">
        <v>1.58</v>
      </c>
    </row>
    <row r="956" spans="1:15" ht="15.75" customHeight="1" outlineLevel="2">
      <c r="A956" s="613"/>
      <c r="B956" s="612"/>
      <c r="C956" s="613" t="s">
        <v>803</v>
      </c>
      <c r="D956" s="612" t="s">
        <v>72</v>
      </c>
      <c r="E956" s="613">
        <v>0.15</v>
      </c>
      <c r="F956" s="611">
        <f>bored_pile_machine_day/8</f>
        <v>138187.5</v>
      </c>
      <c r="G956" s="611">
        <f>F956*E956</f>
        <v>20728.125</v>
      </c>
      <c r="K956" s="633">
        <v>19</v>
      </c>
      <c r="L956" s="633">
        <v>2.835</v>
      </c>
      <c r="M956" s="633">
        <v>2.23</v>
      </c>
    </row>
    <row r="957" spans="1:15" ht="15.75" customHeight="1" outlineLevel="2">
      <c r="A957" s="613"/>
      <c r="B957" s="612"/>
      <c r="C957" s="613" t="s">
        <v>804</v>
      </c>
      <c r="D957" s="612" t="s">
        <v>72</v>
      </c>
      <c r="E957" s="613">
        <v>0.15</v>
      </c>
      <c r="F957" s="611">
        <f>pipe_tremi</f>
        <v>35640</v>
      </c>
      <c r="G957" s="611">
        <f>F957*E957</f>
        <v>5346</v>
      </c>
      <c r="K957" s="633">
        <v>22</v>
      </c>
      <c r="L957" s="633">
        <v>3.8010000000000002</v>
      </c>
      <c r="M957" s="633">
        <v>2.96</v>
      </c>
    </row>
    <row r="958" spans="1:15" ht="15.75" customHeight="1" outlineLevel="2">
      <c r="A958" s="613"/>
      <c r="B958" s="612"/>
      <c r="C958" s="613" t="s">
        <v>805</v>
      </c>
      <c r="D958" s="612" t="s">
        <v>72</v>
      </c>
      <c r="E958" s="613">
        <v>0.15</v>
      </c>
      <c r="F958" s="611">
        <f>theodolit</f>
        <v>220000.00000000003</v>
      </c>
      <c r="G958" s="611">
        <f>F958*E958</f>
        <v>33000</v>
      </c>
      <c r="K958" s="633">
        <v>25</v>
      </c>
      <c r="L958" s="633">
        <v>4.9089999999999998</v>
      </c>
      <c r="M958" s="633">
        <v>3.85</v>
      </c>
    </row>
    <row r="959" spans="1:15" ht="15.75" customHeight="1" outlineLevel="2">
      <c r="A959" s="613"/>
      <c r="B959" s="612"/>
      <c r="C959" s="613" t="s">
        <v>806</v>
      </c>
      <c r="D959" s="612" t="s">
        <v>72</v>
      </c>
      <c r="E959" s="613">
        <v>0.15</v>
      </c>
      <c r="F959" s="611">
        <f>supporting_equip_welder_cutting</f>
        <v>7150.0000000000009</v>
      </c>
      <c r="G959" s="611">
        <f>F959*E959</f>
        <v>1072.5</v>
      </c>
      <c r="K959" s="633">
        <v>29</v>
      </c>
      <c r="L959" s="633">
        <v>60625</v>
      </c>
      <c r="M959" s="633">
        <v>5.18</v>
      </c>
    </row>
    <row r="960" spans="1:15" ht="15.75" customHeight="1" outlineLevel="2">
      <c r="A960" s="613"/>
      <c r="B960" s="612"/>
      <c r="C960" s="613"/>
      <c r="D960" s="612"/>
      <c r="E960" s="613"/>
      <c r="F960" s="611"/>
      <c r="G960" s="611"/>
      <c r="K960" s="633">
        <v>32</v>
      </c>
      <c r="L960" s="633">
        <v>8.0419999999999998</v>
      </c>
      <c r="M960" s="633">
        <v>6.31</v>
      </c>
    </row>
    <row r="961" spans="1:13" ht="15.75" customHeight="1" outlineLevel="2">
      <c r="A961" s="613"/>
      <c r="B961" s="612"/>
      <c r="C961" s="613" t="s">
        <v>807</v>
      </c>
      <c r="D961" s="612"/>
      <c r="E961" s="613"/>
      <c r="F961" s="611"/>
      <c r="G961" s="611"/>
    </row>
    <row r="962" spans="1:13" ht="15.75" customHeight="1" outlineLevel="2">
      <c r="A962" s="613"/>
      <c r="B962" s="612"/>
      <c r="C962" s="613" t="s">
        <v>808</v>
      </c>
      <c r="D962" s="612" t="s">
        <v>210</v>
      </c>
      <c r="E962" s="613">
        <v>0.04</v>
      </c>
      <c r="F962" s="611">
        <v>1000000</v>
      </c>
      <c r="G962" s="611">
        <f>F962*E962</f>
        <v>40000</v>
      </c>
    </row>
    <row r="963" spans="1:13" ht="15.75" customHeight="1" outlineLevel="2">
      <c r="A963" s="613"/>
      <c r="B963" s="612"/>
      <c r="C963" s="613"/>
      <c r="D963" s="612"/>
      <c r="E963" s="613"/>
      <c r="F963" s="611"/>
      <c r="G963" s="611"/>
    </row>
    <row r="964" spans="1:13" ht="15.75" customHeight="1" outlineLevel="2">
      <c r="A964" s="613"/>
      <c r="B964" s="612"/>
      <c r="C964" s="613" t="s">
        <v>31</v>
      </c>
      <c r="D964" s="612"/>
      <c r="E964" s="613"/>
      <c r="F964" s="611"/>
      <c r="G964" s="611"/>
    </row>
    <row r="965" spans="1:13" ht="15.75" customHeight="1" outlineLevel="2">
      <c r="A965" s="613"/>
      <c r="B965" s="612"/>
      <c r="C965" s="613" t="s">
        <v>32</v>
      </c>
      <c r="D965" s="612" t="s">
        <v>33</v>
      </c>
      <c r="E965" s="613">
        <v>0.1</v>
      </c>
      <c r="F965" s="611">
        <f>worker</f>
        <v>107800.00000000001</v>
      </c>
      <c r="G965" s="611">
        <f>F965*E965</f>
        <v>10780.000000000002</v>
      </c>
    </row>
    <row r="966" spans="1:13" ht="15.75" customHeight="1" outlineLevel="2">
      <c r="A966" s="613"/>
      <c r="B966" s="612"/>
      <c r="C966" s="613" t="s">
        <v>36</v>
      </c>
      <c r="D966" s="612" t="s">
        <v>33</v>
      </c>
      <c r="E966" s="613">
        <v>0.01</v>
      </c>
      <c r="F966" s="611">
        <f>supervisor</f>
        <v>119350.00000000001</v>
      </c>
      <c r="G966" s="611">
        <f>F966*E966</f>
        <v>1193.5000000000002</v>
      </c>
    </row>
    <row r="967" spans="1:13" ht="15.75" customHeight="1" outlineLevel="2">
      <c r="A967" s="613"/>
      <c r="B967" s="612"/>
      <c r="C967" s="613" t="s">
        <v>113</v>
      </c>
      <c r="D967" s="612" t="s">
        <v>33</v>
      </c>
      <c r="E967" s="613">
        <v>0.05</v>
      </c>
      <c r="F967" s="611">
        <f>operator</f>
        <v>191914.80000000002</v>
      </c>
      <c r="G967" s="611">
        <f>F967*E967</f>
        <v>9595.7400000000016</v>
      </c>
    </row>
    <row r="968" spans="1:13" ht="15.75" customHeight="1" outlineLevel="2">
      <c r="A968" s="613"/>
      <c r="B968" s="612"/>
      <c r="C968" s="613" t="s">
        <v>799</v>
      </c>
      <c r="D968" s="612" t="s">
        <v>33</v>
      </c>
      <c r="E968" s="613">
        <v>0.03</v>
      </c>
      <c r="F968" s="611">
        <f>electrical_technician</f>
        <v>366666.66666666669</v>
      </c>
      <c r="G968" s="611">
        <f>F968*E968</f>
        <v>11000</v>
      </c>
    </row>
    <row r="969" spans="1:13" ht="15.75" customHeight="1" outlineLevel="2">
      <c r="A969" s="613"/>
      <c r="B969" s="612"/>
      <c r="C969" s="613" t="s">
        <v>800</v>
      </c>
      <c r="D969" s="612" t="s">
        <v>33</v>
      </c>
      <c r="E969" s="613">
        <v>0.1</v>
      </c>
      <c r="F969" s="611">
        <f>surveyor</f>
        <v>330000</v>
      </c>
      <c r="G969" s="611">
        <f>F969*E969</f>
        <v>33000</v>
      </c>
    </row>
    <row r="970" spans="1:13" ht="15.75" customHeight="1" outlineLevel="2">
      <c r="A970" s="613"/>
      <c r="B970" s="612"/>
      <c r="C970" s="613"/>
      <c r="D970" s="612"/>
      <c r="E970" s="613"/>
      <c r="F970" s="611"/>
      <c r="G970" s="611">
        <f>SUM(G950:G967)</f>
        <v>663776.09446104988</v>
      </c>
    </row>
    <row r="971" spans="1:13" ht="15.75" customHeight="1" outlineLevel="1">
      <c r="A971" s="613" t="s">
        <v>2074</v>
      </c>
      <c r="B971" s="612">
        <f>B948+1</f>
        <v>43</v>
      </c>
      <c r="C971" s="613" t="s">
        <v>1639</v>
      </c>
      <c r="D971" s="612" t="s">
        <v>3</v>
      </c>
      <c r="E971" s="613"/>
      <c r="F971" s="611"/>
      <c r="G971" s="604">
        <f>G993</f>
        <v>647028.24984102894</v>
      </c>
      <c r="I971" s="633" t="s">
        <v>190</v>
      </c>
      <c r="K971" s="633" t="s">
        <v>191</v>
      </c>
    </row>
    <row r="972" spans="1:13" ht="15.75" hidden="1" customHeight="1" outlineLevel="2">
      <c r="A972" s="613"/>
      <c r="B972" s="612"/>
      <c r="C972" s="613" t="s">
        <v>20</v>
      </c>
      <c r="D972" s="612"/>
      <c r="E972" s="613"/>
      <c r="F972" s="611"/>
      <c r="G972" s="611"/>
    </row>
    <row r="973" spans="1:13" ht="15.75" hidden="1" customHeight="1" outlineLevel="2">
      <c r="A973" s="613"/>
      <c r="B973" s="612"/>
      <c r="C973" s="613" t="s">
        <v>810</v>
      </c>
      <c r="D973" s="612" t="s">
        <v>40</v>
      </c>
      <c r="E973" s="613">
        <f>3.14*0.2*0.2*1.05</f>
        <v>0.13188000000000002</v>
      </c>
      <c r="F973" s="611">
        <f>K_175</f>
        <v>1057576.2423809525</v>
      </c>
      <c r="G973" s="611">
        <f>F973*E973</f>
        <v>139473.15484520004</v>
      </c>
    </row>
    <row r="974" spans="1:13" ht="15.75" hidden="1" customHeight="1" outlineLevel="2">
      <c r="A974" s="613"/>
      <c r="B974" s="612"/>
      <c r="C974" s="613" t="s">
        <v>795</v>
      </c>
      <c r="D974" s="612" t="s">
        <v>1</v>
      </c>
      <c r="E974" s="613">
        <f>((10*1*M977*1.05)+(3.14*0.4*M976*(1/0.125))*1.05)</f>
        <v>17.429596800000002</v>
      </c>
      <c r="F974" s="611">
        <f>ahs_besi_ulir_kg</f>
        <v>19621.178500000002</v>
      </c>
      <c r="G974" s="611">
        <f>F974*E974</f>
        <v>341989.22999582888</v>
      </c>
      <c r="K974" s="633" t="s">
        <v>1295</v>
      </c>
      <c r="L974" s="633" t="s">
        <v>1296</v>
      </c>
      <c r="M974" s="633" t="s">
        <v>1297</v>
      </c>
    </row>
    <row r="975" spans="1:13" ht="15.75" hidden="1" customHeight="1" outlineLevel="2">
      <c r="A975" s="613"/>
      <c r="B975" s="612"/>
      <c r="C975" s="613" t="s">
        <v>796</v>
      </c>
      <c r="D975" s="612" t="s">
        <v>210</v>
      </c>
      <c r="E975" s="613">
        <v>1</v>
      </c>
      <c r="F975" s="611">
        <v>37800</v>
      </c>
      <c r="G975" s="611">
        <f>F975*E975</f>
        <v>37800</v>
      </c>
      <c r="K975" s="633">
        <v>8</v>
      </c>
      <c r="L975" s="633">
        <v>0.50270000000000004</v>
      </c>
      <c r="M975" s="633">
        <v>0.39500000000000002</v>
      </c>
    </row>
    <row r="976" spans="1:13" ht="15.75" hidden="1" customHeight="1" outlineLevel="2">
      <c r="A976" s="613"/>
      <c r="B976" s="612"/>
      <c r="C976" s="613" t="s">
        <v>797</v>
      </c>
      <c r="D976" s="612" t="s">
        <v>798</v>
      </c>
      <c r="E976" s="613">
        <v>0.5</v>
      </c>
      <c r="F976" s="611">
        <f>bbm</f>
        <v>12100.000000000002</v>
      </c>
      <c r="G976" s="611">
        <f>F976*E976</f>
        <v>6050.0000000000009</v>
      </c>
      <c r="K976" s="633">
        <v>10</v>
      </c>
      <c r="L976" s="633">
        <v>0.78539999999999999</v>
      </c>
      <c r="M976" s="633">
        <v>0.61699999999999999</v>
      </c>
    </row>
    <row r="977" spans="1:13" ht="15.75" hidden="1" customHeight="1" outlineLevel="2">
      <c r="A977" s="613"/>
      <c r="B977" s="612"/>
      <c r="C977" s="613"/>
      <c r="D977" s="612"/>
      <c r="E977" s="613"/>
      <c r="F977" s="611"/>
      <c r="G977" s="611"/>
      <c r="K977" s="633">
        <v>13</v>
      </c>
      <c r="L977" s="633">
        <v>1.327</v>
      </c>
      <c r="M977" s="633">
        <v>1.04</v>
      </c>
    </row>
    <row r="978" spans="1:13" ht="15.75" hidden="1" customHeight="1" outlineLevel="2">
      <c r="A978" s="613"/>
      <c r="B978" s="612"/>
      <c r="C978" s="613" t="s">
        <v>157</v>
      </c>
      <c r="D978" s="612"/>
      <c r="E978" s="613"/>
      <c r="F978" s="611"/>
      <c r="G978" s="611"/>
      <c r="K978" s="633">
        <v>16</v>
      </c>
      <c r="L978" s="633">
        <v>2.0110000000000001</v>
      </c>
      <c r="M978" s="633">
        <v>1.58</v>
      </c>
    </row>
    <row r="979" spans="1:13" ht="15.75" hidden="1" customHeight="1" outlineLevel="2">
      <c r="A979" s="613"/>
      <c r="B979" s="612"/>
      <c r="C979" s="613" t="s">
        <v>803</v>
      </c>
      <c r="D979" s="612" t="s">
        <v>72</v>
      </c>
      <c r="E979" s="613">
        <v>0.15</v>
      </c>
      <c r="F979" s="611">
        <f>bored_pile_machine_day/8</f>
        <v>138187.5</v>
      </c>
      <c r="G979" s="611">
        <f>F979*E979</f>
        <v>20728.125</v>
      </c>
      <c r="K979" s="633">
        <v>19</v>
      </c>
      <c r="L979" s="633">
        <v>2.835</v>
      </c>
      <c r="M979" s="633">
        <v>2.23</v>
      </c>
    </row>
    <row r="980" spans="1:13" ht="15.75" hidden="1" customHeight="1" outlineLevel="2">
      <c r="A980" s="613"/>
      <c r="B980" s="612"/>
      <c r="C980" s="613" t="s">
        <v>804</v>
      </c>
      <c r="D980" s="612" t="s">
        <v>72</v>
      </c>
      <c r="E980" s="613">
        <v>0.15</v>
      </c>
      <c r="F980" s="611">
        <f>pipe_tremi</f>
        <v>35640</v>
      </c>
      <c r="G980" s="611">
        <f>F980*E980</f>
        <v>5346</v>
      </c>
      <c r="K980" s="633">
        <v>22</v>
      </c>
      <c r="L980" s="633">
        <v>3.8010000000000002</v>
      </c>
      <c r="M980" s="633">
        <v>2.96</v>
      </c>
    </row>
    <row r="981" spans="1:13" ht="15.75" hidden="1" customHeight="1" outlineLevel="2">
      <c r="A981" s="613"/>
      <c r="B981" s="612"/>
      <c r="C981" s="613" t="s">
        <v>805</v>
      </c>
      <c r="D981" s="612" t="s">
        <v>72</v>
      </c>
      <c r="E981" s="613">
        <v>0.15</v>
      </c>
      <c r="F981" s="611">
        <f>theodolit</f>
        <v>220000.00000000003</v>
      </c>
      <c r="G981" s="611">
        <f>F981*E981</f>
        <v>33000</v>
      </c>
      <c r="K981" s="633">
        <v>25</v>
      </c>
      <c r="L981" s="633">
        <v>4.9089999999999998</v>
      </c>
      <c r="M981" s="633">
        <v>3.85</v>
      </c>
    </row>
    <row r="982" spans="1:13" ht="15.75" hidden="1" customHeight="1" outlineLevel="2">
      <c r="A982" s="613"/>
      <c r="B982" s="612"/>
      <c r="C982" s="613" t="s">
        <v>806</v>
      </c>
      <c r="D982" s="612" t="s">
        <v>72</v>
      </c>
      <c r="E982" s="613">
        <v>0.15</v>
      </c>
      <c r="F982" s="611">
        <f>supporting_equip_welder_cutting</f>
        <v>7150.0000000000009</v>
      </c>
      <c r="G982" s="611">
        <f>F982*E982</f>
        <v>1072.5</v>
      </c>
      <c r="K982" s="633">
        <v>29</v>
      </c>
      <c r="L982" s="633">
        <v>60625</v>
      </c>
      <c r="M982" s="633">
        <v>5.18</v>
      </c>
    </row>
    <row r="983" spans="1:13" ht="15.75" hidden="1" customHeight="1" outlineLevel="2">
      <c r="A983" s="613"/>
      <c r="B983" s="612"/>
      <c r="C983" s="613"/>
      <c r="D983" s="612"/>
      <c r="E983" s="613"/>
      <c r="F983" s="611"/>
      <c r="G983" s="611"/>
      <c r="K983" s="633">
        <v>32</v>
      </c>
      <c r="L983" s="633">
        <v>8.0419999999999998</v>
      </c>
      <c r="M983" s="633">
        <v>6.31</v>
      </c>
    </row>
    <row r="984" spans="1:13" ht="15.75" hidden="1" customHeight="1" outlineLevel="2">
      <c r="A984" s="613"/>
      <c r="B984" s="612"/>
      <c r="C984" s="613" t="s">
        <v>807</v>
      </c>
      <c r="D984" s="612"/>
      <c r="E984" s="613"/>
      <c r="F984" s="611"/>
      <c r="G984" s="611"/>
    </row>
    <row r="985" spans="1:13" ht="15.75" hidden="1" customHeight="1" outlineLevel="2">
      <c r="A985" s="613"/>
      <c r="B985" s="612"/>
      <c r="C985" s="613" t="s">
        <v>808</v>
      </c>
      <c r="D985" s="612" t="s">
        <v>210</v>
      </c>
      <c r="E985" s="613">
        <v>0.04</v>
      </c>
      <c r="F985" s="611">
        <v>1000000</v>
      </c>
      <c r="G985" s="611">
        <f>F985*E985</f>
        <v>40000</v>
      </c>
    </row>
    <row r="986" spans="1:13" ht="15.75" hidden="1" customHeight="1" outlineLevel="2">
      <c r="A986" s="613"/>
      <c r="B986" s="612"/>
      <c r="C986" s="613"/>
      <c r="D986" s="612"/>
      <c r="E986" s="613"/>
      <c r="F986" s="611"/>
      <c r="G986" s="611"/>
    </row>
    <row r="987" spans="1:13" ht="15.75" hidden="1" customHeight="1" outlineLevel="2">
      <c r="A987" s="613"/>
      <c r="B987" s="612"/>
      <c r="C987" s="613" t="s">
        <v>31</v>
      </c>
      <c r="D987" s="612"/>
      <c r="E987" s="613"/>
      <c r="F987" s="611"/>
      <c r="G987" s="611"/>
    </row>
    <row r="988" spans="1:13" ht="15.75" hidden="1" customHeight="1" outlineLevel="2">
      <c r="A988" s="613"/>
      <c r="B988" s="612"/>
      <c r="C988" s="613" t="s">
        <v>32</v>
      </c>
      <c r="D988" s="612" t="s">
        <v>33</v>
      </c>
      <c r="E988" s="613">
        <v>0.1</v>
      </c>
      <c r="F988" s="611">
        <f>worker</f>
        <v>107800.00000000001</v>
      </c>
      <c r="G988" s="611">
        <f>F988*E988</f>
        <v>10780.000000000002</v>
      </c>
    </row>
    <row r="989" spans="1:13" ht="15.75" hidden="1" customHeight="1" outlineLevel="2">
      <c r="A989" s="613"/>
      <c r="B989" s="612"/>
      <c r="C989" s="613" t="s">
        <v>36</v>
      </c>
      <c r="D989" s="612" t="s">
        <v>33</v>
      </c>
      <c r="E989" s="613">
        <v>0.01</v>
      </c>
      <c r="F989" s="611">
        <f>supervisor</f>
        <v>119350.00000000001</v>
      </c>
      <c r="G989" s="611">
        <f>F989*E989</f>
        <v>1193.5000000000002</v>
      </c>
    </row>
    <row r="990" spans="1:13" ht="15.75" hidden="1" customHeight="1" outlineLevel="2">
      <c r="A990" s="613"/>
      <c r="B990" s="612"/>
      <c r="C990" s="613" t="s">
        <v>113</v>
      </c>
      <c r="D990" s="612" t="s">
        <v>33</v>
      </c>
      <c r="E990" s="613">
        <v>0.05</v>
      </c>
      <c r="F990" s="611">
        <f>operator</f>
        <v>191914.80000000002</v>
      </c>
      <c r="G990" s="611">
        <f>F990*E990</f>
        <v>9595.7400000000016</v>
      </c>
    </row>
    <row r="991" spans="1:13" ht="15.75" hidden="1" customHeight="1" outlineLevel="2">
      <c r="A991" s="613"/>
      <c r="B991" s="612"/>
      <c r="C991" s="613" t="s">
        <v>799</v>
      </c>
      <c r="D991" s="612" t="s">
        <v>33</v>
      </c>
      <c r="E991" s="613">
        <v>0.03</v>
      </c>
      <c r="F991" s="611">
        <f>electrical_technician</f>
        <v>366666.66666666669</v>
      </c>
      <c r="G991" s="611">
        <f>F991*E991</f>
        <v>11000</v>
      </c>
    </row>
    <row r="992" spans="1:13" ht="15.75" hidden="1" customHeight="1" outlineLevel="2">
      <c r="A992" s="613"/>
      <c r="B992" s="612"/>
      <c r="C992" s="613" t="s">
        <v>800</v>
      </c>
      <c r="D992" s="612" t="s">
        <v>33</v>
      </c>
      <c r="E992" s="613">
        <v>0.1</v>
      </c>
      <c r="F992" s="611">
        <f>surveyor</f>
        <v>330000</v>
      </c>
      <c r="G992" s="611">
        <f>F992*E992</f>
        <v>33000</v>
      </c>
    </row>
    <row r="993" spans="1:9" ht="15.75" hidden="1" customHeight="1" outlineLevel="2">
      <c r="A993" s="613"/>
      <c r="B993" s="612"/>
      <c r="C993" s="613"/>
      <c r="D993" s="612"/>
      <c r="E993" s="613"/>
      <c r="F993" s="611"/>
      <c r="G993" s="611">
        <f>SUM(G973:G990)</f>
        <v>647028.24984102894</v>
      </c>
    </row>
    <row r="994" spans="1:9" ht="15.75" customHeight="1" outlineLevel="1" collapsed="1">
      <c r="A994" s="613" t="s">
        <v>2074</v>
      </c>
      <c r="B994" s="612">
        <f>B948+1</f>
        <v>43</v>
      </c>
      <c r="C994" s="613" t="s">
        <v>1640</v>
      </c>
      <c r="D994" s="612" t="s">
        <v>3</v>
      </c>
      <c r="E994" s="613"/>
      <c r="F994" s="611"/>
      <c r="G994" s="604"/>
      <c r="I994" s="633" t="s">
        <v>124</v>
      </c>
    </row>
    <row r="995" spans="1:9" ht="15.75" hidden="1" customHeight="1" outlineLevel="2">
      <c r="A995" s="613"/>
      <c r="B995" s="612"/>
      <c r="C995" s="613"/>
      <c r="D995" s="612"/>
      <c r="E995" s="613"/>
      <c r="F995" s="611"/>
      <c r="G995" s="611"/>
    </row>
    <row r="996" spans="1:9" ht="15.75" hidden="1" customHeight="1" outlineLevel="2">
      <c r="A996" s="613"/>
      <c r="B996" s="612"/>
      <c r="C996" s="613" t="s">
        <v>20</v>
      </c>
      <c r="D996" s="612"/>
      <c r="E996" s="613"/>
      <c r="F996" s="611"/>
      <c r="G996" s="611"/>
    </row>
    <row r="997" spans="1:9" ht="15.75" hidden="1" customHeight="1" outlineLevel="2">
      <c r="A997" s="613"/>
      <c r="B997" s="612"/>
      <c r="C997" s="613" t="s">
        <v>198</v>
      </c>
      <c r="D997" s="612" t="s">
        <v>3</v>
      </c>
      <c r="E997" s="613">
        <v>1.03</v>
      </c>
      <c r="F997" s="611">
        <f>'[54]Basic price '!E158</f>
        <v>79000</v>
      </c>
      <c r="G997" s="611">
        <f>F997*E997</f>
        <v>81370</v>
      </c>
    </row>
    <row r="998" spans="1:9" ht="15.75" hidden="1" customHeight="1" outlineLevel="2">
      <c r="A998" s="613"/>
      <c r="B998" s="612"/>
      <c r="C998" s="613"/>
      <c r="D998" s="612"/>
      <c r="E998" s="613"/>
      <c r="F998" s="611"/>
      <c r="G998" s="611"/>
    </row>
    <row r="999" spans="1:9" ht="15.75" hidden="1" customHeight="1" outlineLevel="2">
      <c r="A999" s="613"/>
      <c r="B999" s="612"/>
      <c r="C999" s="613" t="s">
        <v>157</v>
      </c>
      <c r="D999" s="612"/>
      <c r="E999" s="613"/>
      <c r="F999" s="611"/>
      <c r="G999" s="611"/>
    </row>
    <row r="1000" spans="1:9" ht="15.75" hidden="1" customHeight="1" outlineLevel="2">
      <c r="A1000" s="613"/>
      <c r="B1000" s="612"/>
      <c r="C1000" s="613" t="s">
        <v>195</v>
      </c>
      <c r="D1000" s="612" t="s">
        <v>65</v>
      </c>
      <c r="E1000" s="613">
        <v>1.8506463878326995E-2</v>
      </c>
      <c r="F1000" s="611">
        <f>'[54]Basic price '!E246</f>
        <v>200000</v>
      </c>
      <c r="G1000" s="611">
        <f>F1000*E1000</f>
        <v>3701.2927756653989</v>
      </c>
    </row>
    <row r="1001" spans="1:9" ht="15.75" hidden="1" customHeight="1" outlineLevel="2">
      <c r="A1001" s="613"/>
      <c r="B1001" s="612"/>
      <c r="C1001" s="613" t="s">
        <v>196</v>
      </c>
      <c r="D1001" s="612" t="s">
        <v>65</v>
      </c>
      <c r="E1001" s="613">
        <v>1.8506463878326995E-2</v>
      </c>
      <c r="F1001" s="611">
        <f>'[54]Basic price '!E237*8</f>
        <v>600000</v>
      </c>
      <c r="G1001" s="611">
        <f>F1001*E1001</f>
        <v>11103.878326996197</v>
      </c>
    </row>
    <row r="1002" spans="1:9" ht="15.75" hidden="1" customHeight="1" outlineLevel="2">
      <c r="A1002" s="613"/>
      <c r="B1002" s="612"/>
      <c r="C1002" s="613" t="s">
        <v>197</v>
      </c>
      <c r="D1002" s="612" t="s">
        <v>2</v>
      </c>
      <c r="E1002" s="613">
        <v>0.25</v>
      </c>
      <c r="F1002" s="611">
        <f>'[54]Basic price '!E243</f>
        <v>98500</v>
      </c>
      <c r="G1002" s="611">
        <f>F1002*E1002</f>
        <v>24625</v>
      </c>
    </row>
    <row r="1003" spans="1:9" ht="15.75" hidden="1" customHeight="1" outlineLevel="2">
      <c r="A1003" s="613"/>
      <c r="B1003" s="612"/>
      <c r="C1003" s="613"/>
      <c r="D1003" s="612"/>
      <c r="E1003" s="613"/>
      <c r="F1003" s="611"/>
      <c r="G1003" s="611"/>
    </row>
    <row r="1004" spans="1:9" ht="15.75" hidden="1" customHeight="1" outlineLevel="2">
      <c r="A1004" s="613"/>
      <c r="B1004" s="612"/>
      <c r="C1004" s="613" t="s">
        <v>31</v>
      </c>
      <c r="D1004" s="612"/>
      <c r="E1004" s="613"/>
      <c r="F1004" s="611"/>
      <c r="G1004" s="611"/>
    </row>
    <row r="1005" spans="1:9" ht="15.75" hidden="1" customHeight="1" outlineLevel="2">
      <c r="A1005" s="613"/>
      <c r="B1005" s="612"/>
      <c r="C1005" s="613" t="s">
        <v>32</v>
      </c>
      <c r="D1005" s="612" t="s">
        <v>33</v>
      </c>
      <c r="E1005" s="613">
        <v>0.14852661596958175</v>
      </c>
      <c r="F1005" s="611">
        <f>'[54]Basic price '!E211</f>
        <v>102920</v>
      </c>
      <c r="G1005" s="611">
        <f>F1005*E1005</f>
        <v>15286.359315589354</v>
      </c>
    </row>
    <row r="1006" spans="1:9" ht="15.75" hidden="1" customHeight="1" outlineLevel="2">
      <c r="A1006" s="613"/>
      <c r="B1006" s="612"/>
      <c r="C1006" s="613" t="s">
        <v>36</v>
      </c>
      <c r="D1006" s="612" t="s">
        <v>33</v>
      </c>
      <c r="E1006" s="613">
        <v>1.1882129277566541E-2</v>
      </c>
      <c r="F1006" s="611">
        <f>'[54]Basic price '!E213</f>
        <v>157901</v>
      </c>
      <c r="G1006" s="611">
        <f>F1006*E1006</f>
        <v>1876.2000950570343</v>
      </c>
    </row>
    <row r="1007" spans="1:9" ht="15.75" hidden="1" customHeight="1" outlineLevel="2">
      <c r="A1007" s="613"/>
      <c r="B1007" s="612"/>
      <c r="C1007" s="613" t="s">
        <v>145</v>
      </c>
      <c r="D1007" s="612" t="s">
        <v>33</v>
      </c>
      <c r="E1007" s="613">
        <v>2.312209026128266E-2</v>
      </c>
      <c r="F1007" s="611">
        <f>'[54]Basic price '!E217</f>
        <v>121230</v>
      </c>
      <c r="G1007" s="611">
        <f>F1007*E1007</f>
        <v>2803.0910023752967</v>
      </c>
    </row>
    <row r="1008" spans="1:9" ht="15.75" hidden="1" customHeight="1" outlineLevel="2">
      <c r="A1008" s="613"/>
      <c r="B1008" s="612"/>
      <c r="C1008" s="613"/>
      <c r="D1008" s="612"/>
      <c r="E1008" s="613"/>
      <c r="F1008" s="611"/>
      <c r="G1008" s="611">
        <f>SUM(G997:G1007)</f>
        <v>140765.82151568326</v>
      </c>
    </row>
    <row r="1009" spans="1:9" ht="15.75" hidden="1" customHeight="1" outlineLevel="2">
      <c r="A1009" s="613"/>
      <c r="B1009" s="612"/>
      <c r="C1009" s="613"/>
      <c r="D1009" s="612"/>
      <c r="E1009" s="613"/>
      <c r="F1009" s="611"/>
      <c r="G1009" s="611"/>
    </row>
    <row r="1010" spans="1:9" ht="15.75" customHeight="1" outlineLevel="1" collapsed="1">
      <c r="A1010" s="613" t="s">
        <v>2074</v>
      </c>
      <c r="B1010" s="612">
        <f>B994+1</f>
        <v>44</v>
      </c>
      <c r="C1010" s="613" t="s">
        <v>1641</v>
      </c>
      <c r="D1010" s="612" t="s">
        <v>3</v>
      </c>
      <c r="E1010" s="613"/>
      <c r="F1010" s="611"/>
      <c r="G1010" s="604"/>
      <c r="I1010" s="633" t="s">
        <v>199</v>
      </c>
    </row>
    <row r="1011" spans="1:9" ht="15.75" hidden="1" customHeight="1" outlineLevel="2">
      <c r="A1011" s="613"/>
      <c r="B1011" s="612"/>
      <c r="C1011" s="613"/>
      <c r="D1011" s="612"/>
      <c r="E1011" s="613"/>
      <c r="F1011" s="611"/>
      <c r="G1011" s="611"/>
    </row>
    <row r="1012" spans="1:9" ht="15.75" hidden="1" customHeight="1" outlineLevel="2">
      <c r="A1012" s="613"/>
      <c r="B1012" s="612"/>
      <c r="C1012" s="613" t="s">
        <v>20</v>
      </c>
      <c r="D1012" s="612"/>
      <c r="E1012" s="613"/>
      <c r="F1012" s="611"/>
      <c r="G1012" s="611"/>
    </row>
    <row r="1013" spans="1:9" ht="15.75" hidden="1" customHeight="1" outlineLevel="2">
      <c r="A1013" s="613"/>
      <c r="B1013" s="612"/>
      <c r="C1013" s="613" t="s">
        <v>200</v>
      </c>
      <c r="D1013" s="612" t="s">
        <v>194</v>
      </c>
      <c r="E1013" s="613">
        <v>1.03</v>
      </c>
      <c r="F1013" s="611">
        <f>'[54]Basic price '!E155</f>
        <v>1290000</v>
      </c>
      <c r="G1013" s="611">
        <f>F1013*E1013</f>
        <v>1328700</v>
      </c>
    </row>
    <row r="1014" spans="1:9" ht="15.75" hidden="1" customHeight="1" outlineLevel="2">
      <c r="A1014" s="613"/>
      <c r="B1014" s="612"/>
      <c r="C1014" s="613"/>
      <c r="D1014" s="612"/>
      <c r="E1014" s="613"/>
      <c r="F1014" s="611"/>
      <c r="G1014" s="611"/>
    </row>
    <row r="1015" spans="1:9" ht="15.75" hidden="1" customHeight="1" outlineLevel="2">
      <c r="A1015" s="613"/>
      <c r="B1015" s="612"/>
      <c r="C1015" s="613" t="s">
        <v>31</v>
      </c>
      <c r="D1015" s="612"/>
      <c r="E1015" s="613"/>
      <c r="F1015" s="611"/>
      <c r="G1015" s="611"/>
    </row>
    <row r="1016" spans="1:9" ht="15.75" hidden="1" customHeight="1" outlineLevel="2">
      <c r="A1016" s="613"/>
      <c r="B1016" s="612"/>
      <c r="C1016" s="613" t="s">
        <v>32</v>
      </c>
      <c r="D1016" s="612" t="s">
        <v>33</v>
      </c>
      <c r="E1016" s="613">
        <v>0.2</v>
      </c>
      <c r="F1016" s="611">
        <f>'[54]Basic price '!E211</f>
        <v>102920</v>
      </c>
      <c r="G1016" s="611">
        <f>F1016*E1016</f>
        <v>20584</v>
      </c>
    </row>
    <row r="1017" spans="1:9" ht="15.75" hidden="1" customHeight="1" outlineLevel="2">
      <c r="A1017" s="613"/>
      <c r="B1017" s="612"/>
      <c r="C1017" s="613" t="s">
        <v>36</v>
      </c>
      <c r="D1017" s="612" t="s">
        <v>33</v>
      </c>
      <c r="E1017" s="613">
        <v>0.02</v>
      </c>
      <c r="F1017" s="611">
        <f>'[54]Basic price '!E213</f>
        <v>157901</v>
      </c>
      <c r="G1017" s="611">
        <f>F1017*E1017</f>
        <v>3158.02</v>
      </c>
    </row>
    <row r="1018" spans="1:9" ht="15.75" hidden="1" customHeight="1" outlineLevel="2">
      <c r="A1018" s="613"/>
      <c r="B1018" s="612"/>
      <c r="C1018" s="613" t="s">
        <v>34</v>
      </c>
      <c r="D1018" s="612" t="s">
        <v>33</v>
      </c>
      <c r="E1018" s="613">
        <v>2.5000000000000001E-2</v>
      </c>
      <c r="F1018" s="611">
        <f>'[54]Basic price '!E217</f>
        <v>121230</v>
      </c>
      <c r="G1018" s="611">
        <f>F1018*E1018</f>
        <v>3030.75</v>
      </c>
    </row>
    <row r="1019" spans="1:9" ht="15.75" hidden="1" customHeight="1" outlineLevel="2">
      <c r="A1019" s="613"/>
      <c r="B1019" s="612"/>
      <c r="C1019" s="613"/>
      <c r="D1019" s="612"/>
      <c r="E1019" s="613"/>
      <c r="F1019" s="611"/>
      <c r="G1019" s="611"/>
    </row>
    <row r="1020" spans="1:9" ht="15.75" hidden="1" customHeight="1" outlineLevel="2">
      <c r="A1020" s="613"/>
      <c r="B1020" s="612"/>
      <c r="C1020" s="613" t="s">
        <v>157</v>
      </c>
      <c r="D1020" s="612"/>
      <c r="E1020" s="613"/>
      <c r="F1020" s="611"/>
      <c r="G1020" s="611"/>
    </row>
    <row r="1021" spans="1:9" ht="15.75" hidden="1" customHeight="1" outlineLevel="2">
      <c r="A1021" s="613"/>
      <c r="B1021" s="612"/>
      <c r="C1021" s="613" t="s">
        <v>195</v>
      </c>
      <c r="D1021" s="612" t="s">
        <v>65</v>
      </c>
      <c r="E1021" s="613">
        <v>2.5000000000000001E-2</v>
      </c>
      <c r="F1021" s="611">
        <f>'[54]Basic price '!E246</f>
        <v>200000</v>
      </c>
      <c r="G1021" s="611">
        <f>F1021*E1021</f>
        <v>5000</v>
      </c>
    </row>
    <row r="1022" spans="1:9" ht="15.75" hidden="1" customHeight="1" outlineLevel="2">
      <c r="A1022" s="613"/>
      <c r="B1022" s="612"/>
      <c r="C1022" s="613" t="s">
        <v>196</v>
      </c>
      <c r="D1022" s="612" t="s">
        <v>65</v>
      </c>
      <c r="E1022" s="613">
        <v>2.5000000000000001E-2</v>
      </c>
      <c r="F1022" s="611">
        <f>'[54]Basic price '!E237*8</f>
        <v>600000</v>
      </c>
      <c r="G1022" s="611">
        <f>F1022*E1022</f>
        <v>15000</v>
      </c>
    </row>
    <row r="1023" spans="1:9" ht="15.75" hidden="1" customHeight="1" outlineLevel="2">
      <c r="A1023" s="613"/>
      <c r="B1023" s="612"/>
      <c r="C1023" s="613" t="s">
        <v>197</v>
      </c>
      <c r="D1023" s="612" t="s">
        <v>141</v>
      </c>
      <c r="E1023" s="613">
        <v>0.25</v>
      </c>
      <c r="F1023" s="611">
        <f>'[54]Basic price '!E243</f>
        <v>98500</v>
      </c>
      <c r="G1023" s="611">
        <f>F1023*E1023</f>
        <v>24625</v>
      </c>
    </row>
    <row r="1024" spans="1:9" ht="15.75" hidden="1" customHeight="1" outlineLevel="2">
      <c r="A1024" s="613"/>
      <c r="B1024" s="612"/>
      <c r="C1024" s="613"/>
      <c r="D1024" s="612"/>
      <c r="E1024" s="613"/>
      <c r="F1024" s="611"/>
      <c r="G1024" s="611">
        <f>SUM(G1013:G1023)</f>
        <v>1400097.77</v>
      </c>
    </row>
    <row r="1025" spans="1:9" ht="15.75" hidden="1" customHeight="1" outlineLevel="2">
      <c r="A1025" s="613"/>
      <c r="B1025" s="612"/>
      <c r="C1025" s="613"/>
      <c r="D1025" s="612"/>
      <c r="E1025" s="613"/>
      <c r="F1025" s="611"/>
      <c r="G1025" s="611"/>
    </row>
    <row r="1026" spans="1:9" ht="15.75" customHeight="1" outlineLevel="1" collapsed="1">
      <c r="A1026" s="613" t="s">
        <v>2074</v>
      </c>
      <c r="B1026" s="612">
        <f>B1010+1</f>
        <v>45</v>
      </c>
      <c r="C1026" s="613" t="s">
        <v>1642</v>
      </c>
      <c r="D1026" s="612" t="s">
        <v>3</v>
      </c>
      <c r="E1026" s="613"/>
      <c r="F1026" s="611"/>
      <c r="G1026" s="604">
        <f>G1038</f>
        <v>119127.54</v>
      </c>
    </row>
    <row r="1027" spans="1:9" ht="15.75" hidden="1" customHeight="1" outlineLevel="2">
      <c r="A1027" s="613"/>
      <c r="B1027" s="612"/>
      <c r="C1027" s="613" t="s">
        <v>93</v>
      </c>
      <c r="D1027" s="612"/>
      <c r="E1027" s="613"/>
      <c r="F1027" s="611"/>
      <c r="G1027" s="611"/>
    </row>
    <row r="1028" spans="1:9" ht="15.75" hidden="1" customHeight="1" outlineLevel="2">
      <c r="A1028" s="613"/>
      <c r="B1028" s="612"/>
      <c r="C1028" s="613" t="s">
        <v>201</v>
      </c>
      <c r="D1028" s="612" t="s">
        <v>3</v>
      </c>
      <c r="E1028" s="613">
        <v>1.2</v>
      </c>
      <c r="F1028" s="611">
        <f>dolken_dia10cm_L.4m/4</f>
        <v>15235.000000000002</v>
      </c>
      <c r="G1028" s="611">
        <f>F1028*E1028</f>
        <v>18282</v>
      </c>
      <c r="I1028" s="633" t="s">
        <v>124</v>
      </c>
    </row>
    <row r="1029" spans="1:9" ht="15.75" hidden="1" customHeight="1" outlineLevel="2">
      <c r="A1029" s="613"/>
      <c r="B1029" s="612"/>
      <c r="C1029" s="613"/>
      <c r="D1029" s="612"/>
      <c r="E1029" s="613"/>
      <c r="F1029" s="611"/>
      <c r="G1029" s="611"/>
    </row>
    <row r="1030" spans="1:9" ht="15.75" hidden="1" customHeight="1" outlineLevel="2">
      <c r="A1030" s="613"/>
      <c r="B1030" s="612"/>
      <c r="C1030" s="613" t="s">
        <v>114</v>
      </c>
      <c r="D1030" s="612"/>
      <c r="E1030" s="613"/>
      <c r="F1030" s="611"/>
      <c r="G1030" s="611"/>
    </row>
    <row r="1031" spans="1:9" ht="15.75" hidden="1" customHeight="1" outlineLevel="2">
      <c r="A1031" s="613"/>
      <c r="B1031" s="612"/>
      <c r="C1031" s="613" t="s">
        <v>202</v>
      </c>
      <c r="D1031" s="612" t="s">
        <v>65</v>
      </c>
      <c r="E1031" s="613">
        <v>0.05</v>
      </c>
      <c r="F1031" s="611">
        <f>pile_driver_hammer_hour*5</f>
        <v>726000</v>
      </c>
      <c r="G1031" s="611">
        <f>F1031*E1031</f>
        <v>36300</v>
      </c>
    </row>
    <row r="1032" spans="1:9" ht="15.75" hidden="1" customHeight="1" outlineLevel="2">
      <c r="A1032" s="613"/>
      <c r="B1032" s="612"/>
      <c r="C1032" s="613" t="s">
        <v>203</v>
      </c>
      <c r="D1032" s="612" t="s">
        <v>65</v>
      </c>
      <c r="E1032" s="613">
        <v>0.05</v>
      </c>
      <c r="F1032" s="611">
        <f>tripod</f>
        <v>220000.00000000003</v>
      </c>
      <c r="G1032" s="611">
        <f>F1032*E1032</f>
        <v>11000.000000000002</v>
      </c>
    </row>
    <row r="1033" spans="1:9" ht="15.75" hidden="1" customHeight="1" outlineLevel="2">
      <c r="A1033" s="613"/>
      <c r="B1033" s="612"/>
      <c r="C1033" s="613"/>
      <c r="D1033" s="612"/>
      <c r="E1033" s="613"/>
      <c r="F1033" s="611"/>
      <c r="G1033" s="611"/>
    </row>
    <row r="1034" spans="1:9" ht="15.75" hidden="1" customHeight="1" outlineLevel="2">
      <c r="A1034" s="613"/>
      <c r="B1034" s="612"/>
      <c r="C1034" s="613" t="s">
        <v>31</v>
      </c>
      <c r="D1034" s="612"/>
      <c r="E1034" s="613"/>
      <c r="F1034" s="611"/>
      <c r="G1034" s="611"/>
    </row>
    <row r="1035" spans="1:9" ht="15.75" hidden="1" customHeight="1" outlineLevel="2">
      <c r="A1035" s="613"/>
      <c r="B1035" s="612"/>
      <c r="C1035" s="613" t="s">
        <v>32</v>
      </c>
      <c r="D1035" s="612" t="s">
        <v>33</v>
      </c>
      <c r="E1035" s="613">
        <v>0.4</v>
      </c>
      <c r="F1035" s="611">
        <f>'[54]Basic price '!E211</f>
        <v>102920</v>
      </c>
      <c r="G1035" s="611">
        <f>F1035*E1035</f>
        <v>41168</v>
      </c>
    </row>
    <row r="1036" spans="1:9" ht="15.75" hidden="1" customHeight="1" outlineLevel="2">
      <c r="A1036" s="613"/>
      <c r="B1036" s="612"/>
      <c r="C1036" s="613" t="s">
        <v>36</v>
      </c>
      <c r="D1036" s="612" t="s">
        <v>33</v>
      </c>
      <c r="E1036" s="613">
        <v>0.04</v>
      </c>
      <c r="F1036" s="611">
        <f>'[54]Basic price '!E213</f>
        <v>157901</v>
      </c>
      <c r="G1036" s="611">
        <f>F1036*E1036</f>
        <v>6316.04</v>
      </c>
    </row>
    <row r="1037" spans="1:9" ht="15.75" hidden="1" customHeight="1" outlineLevel="2">
      <c r="A1037" s="613"/>
      <c r="B1037" s="612"/>
      <c r="C1037" s="613" t="s">
        <v>34</v>
      </c>
      <c r="D1037" s="612" t="s">
        <v>33</v>
      </c>
      <c r="E1037" s="613">
        <v>0.05</v>
      </c>
      <c r="F1037" s="611">
        <f>'[54]Basic price '!E217</f>
        <v>121230</v>
      </c>
      <c r="G1037" s="611">
        <f>F1037*E1037</f>
        <v>6061.5</v>
      </c>
    </row>
    <row r="1038" spans="1:9" ht="15.75" hidden="1" customHeight="1" outlineLevel="2">
      <c r="A1038" s="613"/>
      <c r="B1038" s="612"/>
      <c r="C1038" s="613"/>
      <c r="D1038" s="612"/>
      <c r="E1038" s="613"/>
      <c r="F1038" s="611"/>
      <c r="G1038" s="611">
        <f>SUM(G1028:G1037)</f>
        <v>119127.54</v>
      </c>
    </row>
    <row r="1039" spans="1:9" ht="15.75" customHeight="1" outlineLevel="1" collapsed="1">
      <c r="A1039" s="613" t="s">
        <v>2074</v>
      </c>
      <c r="B1039" s="612">
        <f>1+B1026</f>
        <v>46</v>
      </c>
      <c r="C1039" s="613" t="s">
        <v>1643</v>
      </c>
      <c r="D1039" s="612" t="s">
        <v>180</v>
      </c>
      <c r="E1039" s="613"/>
      <c r="F1039" s="611"/>
      <c r="G1039" s="604"/>
    </row>
    <row r="1040" spans="1:9" ht="15.75" hidden="1" customHeight="1" outlineLevel="2">
      <c r="A1040" s="613"/>
      <c r="B1040" s="612"/>
      <c r="C1040" s="613" t="s">
        <v>78</v>
      </c>
      <c r="D1040" s="612"/>
      <c r="E1040" s="613"/>
      <c r="F1040" s="611"/>
      <c r="G1040" s="611"/>
    </row>
    <row r="1041" spans="1:7" ht="15.75" hidden="1" customHeight="1" outlineLevel="2">
      <c r="A1041" s="613"/>
      <c r="B1041" s="612"/>
      <c r="C1041" s="613" t="s">
        <v>205</v>
      </c>
      <c r="D1041" s="612" t="s">
        <v>33</v>
      </c>
      <c r="E1041" s="613">
        <v>1</v>
      </c>
      <c r="F1041" s="611"/>
      <c r="G1041" s="611"/>
    </row>
    <row r="1042" spans="1:7" ht="15.75" hidden="1" customHeight="1" outlineLevel="2">
      <c r="A1042" s="613"/>
      <c r="B1042" s="612"/>
      <c r="C1042" s="613" t="s">
        <v>79</v>
      </c>
      <c r="D1042" s="612" t="s">
        <v>33</v>
      </c>
      <c r="E1042" s="613">
        <v>5</v>
      </c>
      <c r="F1042" s="611"/>
      <c r="G1042" s="611"/>
    </row>
    <row r="1043" spans="1:7" ht="15.75" hidden="1" customHeight="1" outlineLevel="2">
      <c r="A1043" s="613"/>
      <c r="B1043" s="612"/>
      <c r="C1043" s="613" t="s">
        <v>206</v>
      </c>
      <c r="D1043" s="612" t="s">
        <v>33</v>
      </c>
      <c r="E1043" s="613">
        <v>1</v>
      </c>
      <c r="F1043" s="611"/>
      <c r="G1043" s="611"/>
    </row>
    <row r="1044" spans="1:7" ht="15.75" hidden="1" customHeight="1" outlineLevel="2">
      <c r="A1044" s="613"/>
      <c r="B1044" s="612"/>
      <c r="C1044" s="613" t="s">
        <v>80</v>
      </c>
      <c r="D1044" s="612" t="s">
        <v>33</v>
      </c>
      <c r="E1044" s="613">
        <v>1</v>
      </c>
      <c r="F1044" s="611"/>
      <c r="G1044" s="611"/>
    </row>
    <row r="1045" spans="1:7" ht="15.75" hidden="1" customHeight="1" outlineLevel="2">
      <c r="A1045" s="613"/>
      <c r="B1045" s="612"/>
      <c r="C1045" s="613"/>
      <c r="D1045" s="612"/>
      <c r="E1045" s="613"/>
      <c r="F1045" s="611"/>
      <c r="G1045" s="611"/>
    </row>
    <row r="1046" spans="1:7" ht="15.75" hidden="1" customHeight="1" outlineLevel="2">
      <c r="A1046" s="613"/>
      <c r="B1046" s="612"/>
      <c r="C1046" s="613" t="s">
        <v>63</v>
      </c>
      <c r="D1046" s="612"/>
      <c r="E1046" s="613"/>
      <c r="F1046" s="611"/>
      <c r="G1046" s="611"/>
    </row>
    <row r="1047" spans="1:7" ht="15.75" hidden="1" customHeight="1" outlineLevel="2">
      <c r="A1047" s="613"/>
      <c r="B1047" s="612"/>
      <c r="C1047" s="613" t="s">
        <v>207</v>
      </c>
      <c r="D1047" s="612" t="s">
        <v>65</v>
      </c>
      <c r="E1047" s="613">
        <v>0.2</v>
      </c>
      <c r="F1047" s="611"/>
      <c r="G1047" s="611"/>
    </row>
    <row r="1048" spans="1:7" ht="15.75" hidden="1" customHeight="1" outlineLevel="2">
      <c r="A1048" s="613"/>
      <c r="B1048" s="612"/>
      <c r="C1048" s="613" t="s">
        <v>208</v>
      </c>
      <c r="D1048" s="612" t="s">
        <v>65</v>
      </c>
      <c r="E1048" s="613">
        <v>0.15</v>
      </c>
      <c r="F1048" s="611"/>
      <c r="G1048" s="611"/>
    </row>
    <row r="1049" spans="1:7" ht="15.75" hidden="1" customHeight="1" outlineLevel="2">
      <c r="A1049" s="613"/>
      <c r="B1049" s="612"/>
      <c r="C1049" s="613"/>
      <c r="D1049" s="612"/>
      <c r="E1049" s="613"/>
      <c r="F1049" s="611"/>
      <c r="G1049" s="611"/>
    </row>
    <row r="1050" spans="1:7" ht="15.75" hidden="1" customHeight="1" outlineLevel="2">
      <c r="A1050" s="613"/>
      <c r="B1050" s="612"/>
      <c r="C1050" s="613" t="s">
        <v>209</v>
      </c>
      <c r="D1050" s="612" t="s">
        <v>210</v>
      </c>
      <c r="E1050" s="613">
        <v>0.05</v>
      </c>
      <c r="F1050" s="611"/>
      <c r="G1050" s="611"/>
    </row>
    <row r="1051" spans="1:7" ht="15.75" hidden="1" customHeight="1" outlineLevel="2">
      <c r="A1051" s="613"/>
      <c r="B1051" s="612"/>
      <c r="C1051" s="613"/>
      <c r="D1051" s="612"/>
      <c r="E1051" s="613"/>
      <c r="F1051" s="611"/>
      <c r="G1051" s="611"/>
    </row>
    <row r="1052" spans="1:7" ht="15.75" hidden="1" customHeight="1" outlineLevel="2">
      <c r="A1052" s="613"/>
      <c r="B1052" s="612"/>
      <c r="C1052" s="613" t="s">
        <v>211</v>
      </c>
      <c r="D1052" s="612"/>
      <c r="E1052" s="613"/>
      <c r="F1052" s="611"/>
      <c r="G1052" s="611"/>
    </row>
    <row r="1053" spans="1:7" ht="15.75" hidden="1" customHeight="1" outlineLevel="2">
      <c r="A1053" s="613"/>
      <c r="B1053" s="612"/>
      <c r="C1053" s="613" t="s">
        <v>212</v>
      </c>
      <c r="D1053" s="612" t="s">
        <v>57</v>
      </c>
      <c r="E1053" s="613">
        <f>15/3</f>
        <v>5</v>
      </c>
      <c r="F1053" s="611"/>
      <c r="G1053" s="611"/>
    </row>
    <row r="1054" spans="1:7" ht="15.75" hidden="1" customHeight="1" outlineLevel="2">
      <c r="A1054" s="613"/>
      <c r="B1054" s="612"/>
      <c r="C1054" s="613" t="s">
        <v>213</v>
      </c>
      <c r="D1054" s="612" t="s">
        <v>210</v>
      </c>
      <c r="E1054" s="613">
        <v>1</v>
      </c>
      <c r="F1054" s="611"/>
      <c r="G1054" s="611"/>
    </row>
    <row r="1055" spans="1:7" ht="16.5" customHeight="1" outlineLevel="1" collapsed="1">
      <c r="A1055" s="613" t="s">
        <v>2074</v>
      </c>
      <c r="B1055" s="612">
        <f>1+B1039</f>
        <v>47</v>
      </c>
      <c r="C1055" s="613" t="s">
        <v>1644</v>
      </c>
      <c r="D1055" s="612" t="s">
        <v>52</v>
      </c>
      <c r="E1055" s="613"/>
      <c r="F1055" s="611"/>
      <c r="G1055" s="604">
        <f>SUM(G1057:G1064)</f>
        <v>54535.91</v>
      </c>
    </row>
    <row r="1056" spans="1:7" ht="15.75" customHeight="1" outlineLevel="2">
      <c r="A1056" s="613"/>
      <c r="B1056" s="612"/>
      <c r="C1056" s="613" t="s">
        <v>78</v>
      </c>
      <c r="D1056" s="612"/>
      <c r="E1056" s="613"/>
      <c r="F1056" s="611"/>
      <c r="G1056" s="611"/>
    </row>
    <row r="1057" spans="1:7" ht="15.75" customHeight="1" outlineLevel="2">
      <c r="A1057" s="613"/>
      <c r="B1057" s="612"/>
      <c r="C1057" s="613" t="s">
        <v>174</v>
      </c>
      <c r="D1057" s="612" t="s">
        <v>33</v>
      </c>
      <c r="E1057" s="613">
        <v>0.03</v>
      </c>
      <c r="F1057" s="611">
        <f>steel_worker</f>
        <v>119350.00000000001</v>
      </c>
      <c r="G1057" s="611">
        <f>E1057*F1057</f>
        <v>3580.5000000000005</v>
      </c>
    </row>
    <row r="1058" spans="1:7" ht="15.75" customHeight="1" outlineLevel="2">
      <c r="A1058" s="613"/>
      <c r="B1058" s="612"/>
      <c r="C1058" s="613" t="s">
        <v>32</v>
      </c>
      <c r="D1058" s="612" t="s">
        <v>33</v>
      </c>
      <c r="E1058" s="613">
        <v>0.02</v>
      </c>
      <c r="F1058" s="611">
        <f>worker</f>
        <v>107800.00000000001</v>
      </c>
      <c r="G1058" s="611">
        <f>E1058*F1058</f>
        <v>2156.0000000000005</v>
      </c>
    </row>
    <row r="1059" spans="1:7" ht="15.75" customHeight="1" outlineLevel="2">
      <c r="A1059" s="613"/>
      <c r="B1059" s="612"/>
      <c r="C1059" s="613" t="s">
        <v>36</v>
      </c>
      <c r="D1059" s="612" t="s">
        <v>33</v>
      </c>
      <c r="E1059" s="613">
        <v>2E-3</v>
      </c>
      <c r="F1059" s="611">
        <f>supervisor_Asli</f>
        <v>155155</v>
      </c>
      <c r="G1059" s="611">
        <f>E1059*F1059</f>
        <v>310.31</v>
      </c>
    </row>
    <row r="1060" spans="1:7" ht="15.75" customHeight="1" outlineLevel="2">
      <c r="A1060" s="613"/>
      <c r="B1060" s="612"/>
      <c r="C1060" s="613" t="s">
        <v>175</v>
      </c>
      <c r="D1060" s="612" t="s">
        <v>33</v>
      </c>
      <c r="E1060" s="613">
        <v>3.0000000000000001E-3</v>
      </c>
      <c r="F1060" s="611">
        <f>steel_worker_chief</f>
        <v>107800.00000000001</v>
      </c>
      <c r="G1060" s="611">
        <f>E1060*F1060</f>
        <v>323.40000000000003</v>
      </c>
    </row>
    <row r="1061" spans="1:7" ht="15.75" customHeight="1" outlineLevel="2">
      <c r="A1061" s="613"/>
      <c r="B1061" s="612"/>
      <c r="C1061" s="613"/>
      <c r="D1061" s="612"/>
      <c r="E1061" s="613"/>
      <c r="F1061" s="611"/>
      <c r="G1061" s="611"/>
    </row>
    <row r="1062" spans="1:7" ht="15.75" customHeight="1" outlineLevel="2">
      <c r="A1062" s="613"/>
      <c r="B1062" s="612"/>
      <c r="C1062" s="613" t="s">
        <v>93</v>
      </c>
      <c r="D1062" s="612"/>
      <c r="E1062" s="613"/>
      <c r="F1062" s="611"/>
      <c r="G1062" s="611"/>
    </row>
    <row r="1063" spans="1:7" ht="15.75" customHeight="1" outlineLevel="2">
      <c r="A1063" s="613"/>
      <c r="B1063" s="612"/>
      <c r="C1063" s="613" t="s">
        <v>1433</v>
      </c>
      <c r="D1063" s="612" t="s">
        <v>1</v>
      </c>
      <c r="E1063" s="613">
        <v>0.2</v>
      </c>
      <c r="F1063" s="611">
        <f>besi_ulir</f>
        <v>16428.5</v>
      </c>
      <c r="G1063" s="611">
        <f>E1063*F1063</f>
        <v>3285.7000000000003</v>
      </c>
    </row>
    <row r="1064" spans="1:7" ht="15.75" customHeight="1" outlineLevel="2">
      <c r="A1064" s="613"/>
      <c r="B1064" s="612"/>
      <c r="C1064" s="613" t="s">
        <v>1434</v>
      </c>
      <c r="D1064" s="612" t="s">
        <v>1</v>
      </c>
      <c r="E1064" s="613">
        <v>2.04</v>
      </c>
      <c r="F1064" s="611">
        <f>Galvanis_bolts_and_nuts</f>
        <v>22000</v>
      </c>
      <c r="G1064" s="611">
        <f>E1064*F1064</f>
        <v>44880</v>
      </c>
    </row>
    <row r="1065" spans="1:7" ht="15.75" customHeight="1" outlineLevel="2">
      <c r="A1065" s="613"/>
      <c r="B1065" s="612"/>
      <c r="C1065" s="613"/>
      <c r="D1065" s="612"/>
      <c r="E1065" s="613"/>
      <c r="F1065" s="611"/>
      <c r="G1065" s="611"/>
    </row>
    <row r="1066" spans="1:7" ht="15.75" customHeight="1" outlineLevel="1">
      <c r="A1066" s="613" t="s">
        <v>2074</v>
      </c>
      <c r="B1066" s="612">
        <f>1+B1055</f>
        <v>48</v>
      </c>
      <c r="C1066" s="613" t="s">
        <v>1645</v>
      </c>
      <c r="D1066" s="612" t="s">
        <v>52</v>
      </c>
      <c r="E1066" s="613"/>
      <c r="F1066" s="611"/>
      <c r="G1066" s="604">
        <f>G1079</f>
        <v>32329.439999999999</v>
      </c>
    </row>
    <row r="1067" spans="1:7" ht="15.75" hidden="1" customHeight="1" outlineLevel="2">
      <c r="A1067" s="613"/>
      <c r="B1067" s="612"/>
      <c r="C1067" s="613" t="s">
        <v>78</v>
      </c>
      <c r="D1067" s="612"/>
      <c r="E1067" s="613"/>
      <c r="F1067" s="611"/>
      <c r="G1067" s="611"/>
    </row>
    <row r="1068" spans="1:7" ht="15.75" hidden="1" customHeight="1" outlineLevel="2">
      <c r="A1068" s="613"/>
      <c r="B1068" s="612"/>
      <c r="C1068" s="613" t="s">
        <v>174</v>
      </c>
      <c r="D1068" s="612" t="s">
        <v>33</v>
      </c>
      <c r="E1068" s="613">
        <v>0.03</v>
      </c>
      <c r="F1068" s="611">
        <f>steel_worker</f>
        <v>119350.00000000001</v>
      </c>
      <c r="G1068" s="611">
        <f t="shared" ref="G1068:G1075" si="4">E1068*F1068</f>
        <v>3580.5000000000005</v>
      </c>
    </row>
    <row r="1069" spans="1:7" ht="15.75" hidden="1" customHeight="1" outlineLevel="2">
      <c r="A1069" s="613"/>
      <c r="B1069" s="612"/>
      <c r="C1069" s="613" t="s">
        <v>32</v>
      </c>
      <c r="D1069" s="612" t="s">
        <v>33</v>
      </c>
      <c r="E1069" s="613">
        <v>0.02</v>
      </c>
      <c r="F1069" s="611">
        <f>worker</f>
        <v>107800.00000000001</v>
      </c>
      <c r="G1069" s="611">
        <f t="shared" si="4"/>
        <v>2156.0000000000005</v>
      </c>
    </row>
    <row r="1070" spans="1:7" ht="15.75" hidden="1" customHeight="1" outlineLevel="2">
      <c r="A1070" s="613"/>
      <c r="B1070" s="612"/>
      <c r="C1070" s="613" t="s">
        <v>36</v>
      </c>
      <c r="D1070" s="612" t="s">
        <v>33</v>
      </c>
      <c r="E1070" s="613">
        <v>2E-3</v>
      </c>
      <c r="F1070" s="611">
        <f>supervisor_Asli</f>
        <v>155155</v>
      </c>
      <c r="G1070" s="611">
        <f t="shared" si="4"/>
        <v>310.31</v>
      </c>
    </row>
    <row r="1071" spans="1:7" ht="15.75" hidden="1" customHeight="1" outlineLevel="2">
      <c r="A1071" s="613"/>
      <c r="B1071" s="612"/>
      <c r="C1071" s="613" t="s">
        <v>175</v>
      </c>
      <c r="D1071" s="612" t="s">
        <v>33</v>
      </c>
      <c r="E1071" s="613">
        <v>3.0000000000000001E-3</v>
      </c>
      <c r="F1071" s="611">
        <f>steel_worker_chief</f>
        <v>107800.00000000001</v>
      </c>
      <c r="G1071" s="611">
        <f t="shared" si="4"/>
        <v>323.40000000000003</v>
      </c>
    </row>
    <row r="1072" spans="1:7" ht="15.75" hidden="1" customHeight="1" outlineLevel="2">
      <c r="A1072" s="613"/>
      <c r="B1072" s="612"/>
      <c r="C1072" s="613"/>
      <c r="D1072" s="612"/>
      <c r="E1072" s="613"/>
      <c r="F1072" s="611"/>
      <c r="G1072" s="611">
        <f t="shared" si="4"/>
        <v>0</v>
      </c>
    </row>
    <row r="1073" spans="1:11" ht="15.75" hidden="1" customHeight="1" outlineLevel="2">
      <c r="A1073" s="613"/>
      <c r="B1073" s="612"/>
      <c r="C1073" s="613" t="s">
        <v>93</v>
      </c>
      <c r="D1073" s="612"/>
      <c r="E1073" s="613"/>
      <c r="F1073" s="611"/>
      <c r="G1073" s="611">
        <f t="shared" si="4"/>
        <v>0</v>
      </c>
    </row>
    <row r="1074" spans="1:11" ht="15.75" hidden="1" customHeight="1" outlineLevel="2">
      <c r="A1074" s="613"/>
      <c r="B1074" s="612"/>
      <c r="C1074" s="613" t="s">
        <v>1435</v>
      </c>
      <c r="D1074" s="612" t="s">
        <v>1</v>
      </c>
      <c r="E1074" s="613">
        <v>1.05</v>
      </c>
      <c r="F1074" s="611">
        <f>Profil_IWF</f>
        <v>22000</v>
      </c>
      <c r="G1074" s="611">
        <f t="shared" si="4"/>
        <v>23100</v>
      </c>
    </row>
    <row r="1075" spans="1:11" ht="15.75" hidden="1" customHeight="1" outlineLevel="2">
      <c r="A1075" s="613"/>
      <c r="B1075" s="612"/>
      <c r="C1075" s="613" t="s">
        <v>1436</v>
      </c>
      <c r="D1075" s="612" t="s">
        <v>1</v>
      </c>
      <c r="E1075" s="613">
        <v>2.1999999999999999E-2</v>
      </c>
      <c r="F1075" s="611">
        <f>las_wire</f>
        <v>18590</v>
      </c>
      <c r="G1075" s="611">
        <f t="shared" si="4"/>
        <v>408.97999999999996</v>
      </c>
    </row>
    <row r="1076" spans="1:11" ht="15.75" hidden="1" customHeight="1" outlineLevel="2">
      <c r="A1076" s="613"/>
      <c r="B1076" s="612"/>
      <c r="C1076" s="613"/>
      <c r="D1076" s="612"/>
      <c r="E1076" s="613"/>
      <c r="F1076" s="611"/>
      <c r="G1076" s="611"/>
    </row>
    <row r="1077" spans="1:11" ht="15.75" hidden="1" customHeight="1" outlineLevel="2">
      <c r="A1077" s="613"/>
      <c r="B1077" s="612"/>
      <c r="C1077" s="613" t="s">
        <v>63</v>
      </c>
      <c r="D1077" s="612"/>
      <c r="E1077" s="613"/>
      <c r="F1077" s="611"/>
      <c r="G1077" s="611"/>
    </row>
    <row r="1078" spans="1:11" ht="15.75" hidden="1" customHeight="1" outlineLevel="2">
      <c r="A1078" s="613"/>
      <c r="B1078" s="612"/>
      <c r="C1078" s="613" t="s">
        <v>1437</v>
      </c>
      <c r="D1078" s="612" t="s">
        <v>72</v>
      </c>
      <c r="E1078" s="613">
        <v>2.1999999999999999E-2</v>
      </c>
      <c r="F1078" s="611">
        <f>welding_machine_day/8</f>
        <v>111375.00000000001</v>
      </c>
      <c r="G1078" s="611">
        <f>E1078*F1078</f>
        <v>2450.25</v>
      </c>
    </row>
    <row r="1079" spans="1:11" ht="15.75" customHeight="1" outlineLevel="1" collapsed="1">
      <c r="A1079" s="613" t="s">
        <v>2074</v>
      </c>
      <c r="B1079" s="592">
        <f>1+B1066</f>
        <v>49</v>
      </c>
      <c r="C1079" s="613" t="s">
        <v>4280</v>
      </c>
      <c r="D1079" s="612"/>
      <c r="E1079" s="613"/>
      <c r="F1079" s="611"/>
      <c r="G1079" s="604">
        <f>SUM(G1068:G1078)</f>
        <v>32329.439999999999</v>
      </c>
    </row>
    <row r="1080" spans="1:11" ht="15.75" hidden="1" customHeight="1" outlineLevel="2">
      <c r="A1080" s="613"/>
      <c r="B1080" s="612">
        <v>1</v>
      </c>
      <c r="C1080" s="613" t="s">
        <v>2092</v>
      </c>
      <c r="D1080" s="612" t="s">
        <v>779</v>
      </c>
      <c r="E1080" s="613">
        <f>24*0.03</f>
        <v>0.72</v>
      </c>
      <c r="F1080" s="611">
        <v>800000</v>
      </c>
      <c r="G1080" s="611">
        <f>E1080*F1080</f>
        <v>576000</v>
      </c>
    </row>
    <row r="1081" spans="1:11" ht="15.75" hidden="1" customHeight="1" outlineLevel="2">
      <c r="A1081" s="613"/>
      <c r="B1081" s="612">
        <v>2</v>
      </c>
      <c r="C1081" s="613" t="s">
        <v>4281</v>
      </c>
      <c r="D1081" s="612" t="s">
        <v>194</v>
      </c>
      <c r="E1081" s="613"/>
      <c r="F1081" s="611"/>
      <c r="G1081" s="611">
        <f>SUM(G1083:G1088)</f>
        <v>52230.612500000003</v>
      </c>
    </row>
    <row r="1082" spans="1:11" ht="15.75" hidden="1" customHeight="1" outlineLevel="2">
      <c r="A1082" s="613"/>
      <c r="B1082" s="612"/>
      <c r="C1082" s="613" t="s">
        <v>31</v>
      </c>
      <c r="D1082" s="612"/>
      <c r="E1082" s="613"/>
      <c r="F1082" s="611"/>
      <c r="G1082" s="611">
        <f t="shared" ref="G1082:G1088" si="5">E1082*F1082</f>
        <v>0</v>
      </c>
      <c r="J1082" s="633" t="s">
        <v>1944</v>
      </c>
      <c r="K1082" s="633" t="s">
        <v>1213</v>
      </c>
    </row>
    <row r="1083" spans="1:11" ht="15.75" hidden="1" customHeight="1" outlineLevel="2">
      <c r="A1083" s="613"/>
      <c r="B1083" s="612"/>
      <c r="C1083" s="613" t="s">
        <v>32</v>
      </c>
      <c r="D1083" s="612" t="s">
        <v>33</v>
      </c>
      <c r="E1083" s="613">
        <f>J1083*K1083</f>
        <v>0.125</v>
      </c>
      <c r="F1083" s="611">
        <f>worker</f>
        <v>107800.00000000001</v>
      </c>
      <c r="G1083" s="611">
        <f t="shared" si="5"/>
        <v>13475.000000000002</v>
      </c>
      <c r="J1083" s="633">
        <v>2</v>
      </c>
      <c r="K1083" s="633">
        <f>0.5/8</f>
        <v>6.25E-2</v>
      </c>
    </row>
    <row r="1084" spans="1:11" ht="15.75" hidden="1" customHeight="1" outlineLevel="2">
      <c r="A1084" s="613"/>
      <c r="B1084" s="612"/>
      <c r="C1084" s="613" t="s">
        <v>113</v>
      </c>
      <c r="D1084" s="612" t="s">
        <v>33</v>
      </c>
      <c r="E1084" s="613">
        <f>J1084*K1084</f>
        <v>6.25E-2</v>
      </c>
      <c r="F1084" s="611">
        <f>operator</f>
        <v>191914.80000000002</v>
      </c>
      <c r="G1084" s="611">
        <f t="shared" si="5"/>
        <v>11994.675000000001</v>
      </c>
      <c r="J1084" s="633">
        <v>1</v>
      </c>
      <c r="K1084" s="633">
        <f>0.5/8</f>
        <v>6.25E-2</v>
      </c>
    </row>
    <row r="1085" spans="1:11" ht="15.75" hidden="1" customHeight="1" outlineLevel="2">
      <c r="A1085" s="613"/>
      <c r="B1085" s="612"/>
      <c r="C1085" s="613" t="s">
        <v>36</v>
      </c>
      <c r="D1085" s="612" t="s">
        <v>33</v>
      </c>
      <c r="E1085" s="613">
        <f>J1085*K1085</f>
        <v>3.125E-2</v>
      </c>
      <c r="F1085" s="611">
        <f>supervisor</f>
        <v>119350.00000000001</v>
      </c>
      <c r="G1085" s="611">
        <f t="shared" si="5"/>
        <v>3729.6875000000005</v>
      </c>
      <c r="J1085" s="633">
        <v>1</v>
      </c>
      <c r="K1085" s="633">
        <f>0.25/8</f>
        <v>3.125E-2</v>
      </c>
    </row>
    <row r="1086" spans="1:11" ht="15.75" hidden="1" customHeight="1" outlineLevel="2">
      <c r="A1086" s="613"/>
      <c r="B1086" s="612"/>
      <c r="C1086" s="613"/>
      <c r="D1086" s="612"/>
      <c r="E1086" s="613"/>
      <c r="F1086" s="611"/>
      <c r="G1086" s="611">
        <f t="shared" si="5"/>
        <v>0</v>
      </c>
    </row>
    <row r="1087" spans="1:11" ht="15.75" hidden="1" customHeight="1" outlineLevel="2">
      <c r="A1087" s="613"/>
      <c r="B1087" s="612"/>
      <c r="C1087" s="613" t="s">
        <v>157</v>
      </c>
      <c r="D1087" s="612"/>
      <c r="E1087" s="613"/>
      <c r="F1087" s="611"/>
      <c r="G1087" s="611">
        <f t="shared" si="5"/>
        <v>0</v>
      </c>
    </row>
    <row r="1088" spans="1:11" ht="15.75" hidden="1" customHeight="1" outlineLevel="2">
      <c r="A1088" s="613"/>
      <c r="B1088" s="612"/>
      <c r="C1088" s="613" t="s">
        <v>803</v>
      </c>
      <c r="D1088" s="612" t="s">
        <v>72</v>
      </c>
      <c r="E1088" s="613">
        <f>J1088*K1088</f>
        <v>0.16666666666666666</v>
      </c>
      <c r="F1088" s="611">
        <f>bored_pile_machine_day/8</f>
        <v>138187.5</v>
      </c>
      <c r="G1088" s="611">
        <f t="shared" si="5"/>
        <v>23031.25</v>
      </c>
      <c r="J1088" s="633">
        <v>1</v>
      </c>
      <c r="K1088" s="633">
        <f>10/60</f>
        <v>0.16666666666666666</v>
      </c>
    </row>
    <row r="1089" spans="1:11" ht="15.75" hidden="1" customHeight="1" outlineLevel="2">
      <c r="A1089" s="613"/>
      <c r="B1089" s="612"/>
      <c r="C1089" s="613"/>
      <c r="D1089" s="612"/>
      <c r="E1089" s="613"/>
      <c r="F1089" s="611"/>
      <c r="G1089" s="611"/>
    </row>
    <row r="1090" spans="1:11" ht="15.75" hidden="1" customHeight="1" outlineLevel="2">
      <c r="A1090" s="613"/>
      <c r="B1090" s="612">
        <v>3</v>
      </c>
      <c r="C1090" s="613" t="s">
        <v>4325</v>
      </c>
      <c r="D1090" s="612"/>
      <c r="E1090" s="613"/>
      <c r="F1090" s="611"/>
      <c r="G1090" s="611">
        <f>SUM(G1092:G1098)</f>
        <v>360467.1875</v>
      </c>
    </row>
    <row r="1091" spans="1:11" ht="15.75" hidden="1" customHeight="1" outlineLevel="2">
      <c r="A1091" s="613"/>
      <c r="B1091" s="612"/>
      <c r="C1091" s="613" t="s">
        <v>93</v>
      </c>
      <c r="D1091" s="612"/>
      <c r="E1091" s="613"/>
      <c r="F1091" s="611"/>
      <c r="G1091" s="611"/>
    </row>
    <row r="1092" spans="1:11" ht="15.75" hidden="1" customHeight="1" outlineLevel="2">
      <c r="A1092" s="613"/>
      <c r="B1092" s="612"/>
      <c r="C1092" s="613" t="s">
        <v>796</v>
      </c>
      <c r="D1092" s="612" t="s">
        <v>3</v>
      </c>
      <c r="E1092" s="613">
        <v>4</v>
      </c>
      <c r="F1092" s="611">
        <v>75000</v>
      </c>
      <c r="G1092" s="611">
        <f>F1092*E1092</f>
        <v>300000</v>
      </c>
    </row>
    <row r="1093" spans="1:11" ht="15.75" hidden="1" customHeight="1" outlineLevel="2">
      <c r="A1093" s="613"/>
      <c r="B1093" s="612"/>
      <c r="C1093" s="613"/>
      <c r="D1093" s="612"/>
      <c r="E1093" s="613"/>
      <c r="F1093" s="611"/>
      <c r="G1093" s="611"/>
    </row>
    <row r="1094" spans="1:11" ht="15.75" hidden="1" customHeight="1" outlineLevel="2">
      <c r="A1094" s="613"/>
      <c r="B1094" s="612"/>
      <c r="C1094" s="613" t="s">
        <v>31</v>
      </c>
      <c r="D1094" s="612"/>
      <c r="E1094" s="613"/>
      <c r="F1094" s="611" t="s">
        <v>4327</v>
      </c>
      <c r="G1094" s="611"/>
      <c r="J1094" s="633" t="s">
        <v>1944</v>
      </c>
      <c r="K1094" s="633" t="s">
        <v>1213</v>
      </c>
    </row>
    <row r="1095" spans="1:11" ht="15.75" hidden="1" customHeight="1" outlineLevel="2">
      <c r="A1095" s="613"/>
      <c r="B1095" s="612"/>
      <c r="C1095" s="613" t="s">
        <v>32</v>
      </c>
      <c r="D1095" s="612" t="s">
        <v>33</v>
      </c>
      <c r="E1095" s="613">
        <f>K1095</f>
        <v>6.25E-2</v>
      </c>
      <c r="F1095" s="611">
        <f>worker</f>
        <v>107800.00000000001</v>
      </c>
      <c r="G1095" s="611">
        <f>F1095*E1095</f>
        <v>6737.5000000000009</v>
      </c>
      <c r="J1095" s="633">
        <v>2</v>
      </c>
      <c r="K1095" s="633">
        <f>0.5/8</f>
        <v>6.25E-2</v>
      </c>
    </row>
    <row r="1096" spans="1:11" ht="15.75" hidden="1" customHeight="1" outlineLevel="2">
      <c r="A1096" s="613"/>
      <c r="B1096" s="612"/>
      <c r="C1096" s="613" t="s">
        <v>36</v>
      </c>
      <c r="D1096" s="612" t="s">
        <v>33</v>
      </c>
      <c r="E1096" s="613">
        <f>K1096</f>
        <v>3.125E-2</v>
      </c>
      <c r="F1096" s="611">
        <f>supervisor</f>
        <v>119350.00000000001</v>
      </c>
      <c r="G1096" s="611">
        <f>F1096*E1096</f>
        <v>3729.6875000000005</v>
      </c>
      <c r="J1096" s="633">
        <v>1</v>
      </c>
      <c r="K1096" s="633">
        <f>0.25/8</f>
        <v>3.125E-2</v>
      </c>
    </row>
    <row r="1097" spans="1:11" ht="15.75" hidden="1" customHeight="1" outlineLevel="2">
      <c r="A1097" s="613"/>
      <c r="B1097" s="612"/>
      <c r="C1097" s="613"/>
      <c r="D1097" s="612"/>
      <c r="E1097" s="613"/>
      <c r="F1097" s="611"/>
      <c r="G1097" s="611"/>
    </row>
    <row r="1098" spans="1:11" ht="15.75" hidden="1" customHeight="1" outlineLevel="2">
      <c r="A1098" s="613"/>
      <c r="B1098" s="612"/>
      <c r="C1098" s="613" t="s">
        <v>4326</v>
      </c>
      <c r="D1098" s="612" t="s">
        <v>74</v>
      </c>
      <c r="E1098" s="613">
        <v>1</v>
      </c>
      <c r="F1098" s="611">
        <v>50000</v>
      </c>
      <c r="G1098" s="611">
        <f>E1098*F1098</f>
        <v>50000</v>
      </c>
    </row>
    <row r="1099" spans="1:11" ht="15.75" hidden="1" customHeight="1" outlineLevel="2">
      <c r="A1099" s="613"/>
      <c r="B1099" s="612"/>
      <c r="C1099" s="613"/>
      <c r="D1099" s="612"/>
      <c r="E1099" s="613"/>
      <c r="F1099" s="611"/>
      <c r="G1099" s="611"/>
    </row>
    <row r="1100" spans="1:11" ht="15.75" hidden="1" customHeight="1" outlineLevel="2">
      <c r="A1100" s="613"/>
      <c r="B1100" s="612">
        <v>4</v>
      </c>
      <c r="C1100" s="613" t="s">
        <v>2093</v>
      </c>
      <c r="D1100" s="612" t="s">
        <v>2098</v>
      </c>
      <c r="E1100" s="613"/>
      <c r="F1100" s="611"/>
      <c r="G1100" s="611">
        <f>SUM(G1102:G1107)</f>
        <v>83084.375000000015</v>
      </c>
    </row>
    <row r="1101" spans="1:11" ht="15.75" hidden="1" customHeight="1" outlineLevel="2">
      <c r="A1101" s="613"/>
      <c r="B1101" s="612"/>
      <c r="C1101" s="613" t="s">
        <v>31</v>
      </c>
      <c r="D1101" s="612"/>
      <c r="E1101" s="613"/>
      <c r="F1101" s="611"/>
      <c r="G1101" s="611">
        <f t="shared" ref="G1101:G1108" si="6">E1101*F1101</f>
        <v>0</v>
      </c>
      <c r="J1101" s="633" t="s">
        <v>1944</v>
      </c>
      <c r="K1101" s="633" t="s">
        <v>1213</v>
      </c>
    </row>
    <row r="1102" spans="1:11" ht="15.75" hidden="1" customHeight="1" outlineLevel="2">
      <c r="A1102" s="613"/>
      <c r="B1102" s="612"/>
      <c r="C1102" s="613" t="s">
        <v>32</v>
      </c>
      <c r="D1102" s="612" t="s">
        <v>33</v>
      </c>
      <c r="E1102" s="613">
        <f>J1102*K1102</f>
        <v>0.25</v>
      </c>
      <c r="F1102" s="611">
        <f>worker</f>
        <v>107800.00000000001</v>
      </c>
      <c r="G1102" s="611">
        <f t="shared" si="6"/>
        <v>26950.000000000004</v>
      </c>
      <c r="J1102" s="633">
        <v>2</v>
      </c>
      <c r="K1102" s="633">
        <f>1/8</f>
        <v>0.125</v>
      </c>
    </row>
    <row r="1103" spans="1:11" ht="15.75" hidden="1" customHeight="1" outlineLevel="2">
      <c r="A1103" s="613"/>
      <c r="B1103" s="612"/>
      <c r="C1103" s="613" t="s">
        <v>1067</v>
      </c>
      <c r="D1103" s="612" t="s">
        <v>33</v>
      </c>
      <c r="E1103" s="613">
        <f>J1103*K1103</f>
        <v>6.25E-2</v>
      </c>
      <c r="F1103" s="611">
        <f>Foreman</f>
        <v>119350.00000000001</v>
      </c>
      <c r="G1103" s="611">
        <f t="shared" si="6"/>
        <v>7459.3750000000009</v>
      </c>
      <c r="J1103" s="633">
        <v>1</v>
      </c>
      <c r="K1103" s="633">
        <f>0.5/8</f>
        <v>6.25E-2</v>
      </c>
    </row>
    <row r="1104" spans="1:11" ht="15.75" hidden="1" customHeight="1" outlineLevel="2">
      <c r="A1104" s="613"/>
      <c r="B1104" s="612"/>
      <c r="C1104" s="613"/>
      <c r="D1104" s="612"/>
      <c r="E1104" s="613"/>
      <c r="F1104" s="611"/>
      <c r="G1104" s="611">
        <f t="shared" si="6"/>
        <v>0</v>
      </c>
    </row>
    <row r="1105" spans="1:16" ht="15.75" hidden="1" customHeight="1" outlineLevel="2">
      <c r="A1105" s="613"/>
      <c r="B1105" s="612"/>
      <c r="C1105" s="613" t="s">
        <v>157</v>
      </c>
      <c r="D1105" s="612"/>
      <c r="E1105" s="613"/>
      <c r="F1105" s="611"/>
      <c r="G1105" s="611">
        <f t="shared" si="6"/>
        <v>0</v>
      </c>
    </row>
    <row r="1106" spans="1:16" ht="15.75" hidden="1" customHeight="1" outlineLevel="2">
      <c r="A1106" s="613"/>
      <c r="B1106" s="612"/>
      <c r="C1106" s="613" t="s">
        <v>2094</v>
      </c>
      <c r="D1106" s="612" t="s">
        <v>224</v>
      </c>
      <c r="E1106" s="613">
        <f>J1106*K1106</f>
        <v>0.125</v>
      </c>
      <c r="F1106" s="611">
        <f>hammer</f>
        <v>229900.00000000003</v>
      </c>
      <c r="G1106" s="611">
        <f t="shared" si="6"/>
        <v>28737.500000000004</v>
      </c>
      <c r="J1106" s="633">
        <v>1</v>
      </c>
      <c r="K1106" s="633">
        <f>1/8</f>
        <v>0.125</v>
      </c>
    </row>
    <row r="1107" spans="1:16" ht="15.75" hidden="1" customHeight="1" outlineLevel="2">
      <c r="A1107" s="613"/>
      <c r="B1107" s="612"/>
      <c r="C1107" s="613" t="s">
        <v>2095</v>
      </c>
      <c r="D1107" s="612" t="s">
        <v>224</v>
      </c>
      <c r="E1107" s="613">
        <f>J1107*K1107</f>
        <v>0.125</v>
      </c>
      <c r="F1107" s="611">
        <f>steel_saw</f>
        <v>159500</v>
      </c>
      <c r="G1107" s="611">
        <f t="shared" si="6"/>
        <v>19937.5</v>
      </c>
      <c r="J1107" s="633">
        <v>1</v>
      </c>
      <c r="K1107" s="633">
        <f>1/8</f>
        <v>0.125</v>
      </c>
    </row>
    <row r="1108" spans="1:16" ht="15.75" hidden="1" customHeight="1" outlineLevel="2">
      <c r="A1108" s="613"/>
      <c r="B1108" s="612"/>
      <c r="C1108" s="613"/>
      <c r="D1108" s="612"/>
      <c r="E1108" s="613"/>
      <c r="F1108" s="611"/>
      <c r="G1108" s="611">
        <f t="shared" si="6"/>
        <v>0</v>
      </c>
    </row>
    <row r="1109" spans="1:16" ht="15.75" hidden="1" customHeight="1" outlineLevel="2">
      <c r="A1109" s="613"/>
      <c r="B1109" s="612">
        <v>5</v>
      </c>
      <c r="C1109" s="613" t="s">
        <v>4282</v>
      </c>
      <c r="D1109" s="612"/>
      <c r="E1109" s="613"/>
      <c r="F1109" s="611"/>
      <c r="G1109" s="611">
        <f>SUM(G1110:G1112)</f>
        <v>868459.71051305009</v>
      </c>
    </row>
    <row r="1110" spans="1:16" ht="15.75" hidden="1" customHeight="1" outlineLevel="2">
      <c r="A1110" s="613"/>
      <c r="B1110" s="612"/>
      <c r="C1110" s="613" t="s">
        <v>2096</v>
      </c>
      <c r="D1110" s="612" t="s">
        <v>40</v>
      </c>
      <c r="E1110" s="613">
        <f>3.14*0.2*0.2*1.1</f>
        <v>0.13816000000000003</v>
      </c>
      <c r="F1110" s="611">
        <f>K_225</f>
        <v>1115864.6138095236</v>
      </c>
      <c r="G1110" s="611">
        <f>E1110*F1110</f>
        <v>154167.85504392383</v>
      </c>
    </row>
    <row r="1111" spans="1:16" ht="15.75" hidden="1" customHeight="1" outlineLevel="2">
      <c r="A1111" s="613"/>
      <c r="B1111" s="612"/>
      <c r="C1111" s="613" t="s">
        <v>795</v>
      </c>
      <c r="D1111" s="612" t="s">
        <v>1</v>
      </c>
      <c r="E1111" s="613">
        <f>((16*1*L860*1.05)+(3.14*0.4*L858*(1/0.2))*1.1)</f>
        <v>30.806236000000006</v>
      </c>
      <c r="F1111" s="611">
        <f>ahs_besi_ulir_kg</f>
        <v>19621.178500000002</v>
      </c>
      <c r="G1111" s="611">
        <f>E1111*F1111</f>
        <v>604454.65546912618</v>
      </c>
    </row>
    <row r="1112" spans="1:16" ht="15.75" hidden="1" customHeight="1" outlineLevel="2">
      <c r="A1112" s="613"/>
      <c r="B1112" s="612"/>
      <c r="C1112" s="613" t="s">
        <v>2097</v>
      </c>
      <c r="D1112" s="612" t="s">
        <v>40</v>
      </c>
      <c r="E1112" s="613">
        <f>E1110</f>
        <v>0.13816000000000003</v>
      </c>
      <c r="F1112" s="611">
        <f>lansir_k_225</f>
        <v>795000</v>
      </c>
      <c r="G1112" s="611">
        <f>E1112*F1112</f>
        <v>109837.20000000003</v>
      </c>
    </row>
    <row r="1113" spans="1:16" ht="15.75" hidden="1" customHeight="1" outlineLevel="2">
      <c r="A1113" s="613"/>
      <c r="B1113" s="612"/>
      <c r="C1113" s="613"/>
      <c r="D1113" s="612"/>
      <c r="E1113" s="613"/>
      <c r="F1113" s="611"/>
      <c r="G1113" s="611"/>
    </row>
    <row r="1114" spans="1:16" ht="15.75" customHeight="1" outlineLevel="1" collapsed="1">
      <c r="A1114" s="613" t="s">
        <v>2074</v>
      </c>
      <c r="B1114" s="592">
        <f>B1079+1</f>
        <v>50</v>
      </c>
      <c r="C1114" s="613" t="s">
        <v>2104</v>
      </c>
      <c r="D1114" s="612" t="s">
        <v>194</v>
      </c>
      <c r="E1114" s="613"/>
      <c r="F1114" s="611"/>
      <c r="G1114" s="604">
        <f>SUM(G1116:G1120)</f>
        <v>791683.75000000012</v>
      </c>
      <c r="M1114" s="633" t="s">
        <v>2099</v>
      </c>
      <c r="O1114" s="633" t="s">
        <v>2100</v>
      </c>
    </row>
    <row r="1115" spans="1:16" ht="15.75" hidden="1" customHeight="1" outlineLevel="2">
      <c r="A1115" s="613"/>
      <c r="B1115" s="612"/>
      <c r="C1115" s="613" t="s">
        <v>1052</v>
      </c>
      <c r="D1115" s="612"/>
      <c r="E1115" s="613"/>
      <c r="F1115" s="611"/>
      <c r="G1115" s="611"/>
      <c r="M1115" s="633">
        <v>1</v>
      </c>
      <c r="O1115" s="633">
        <v>8</v>
      </c>
      <c r="P1115" s="633" t="s">
        <v>2101</v>
      </c>
    </row>
    <row r="1116" spans="1:16" ht="15.75" hidden="1" customHeight="1" outlineLevel="2">
      <c r="A1116" s="613"/>
      <c r="B1116" s="612"/>
      <c r="C1116" s="613" t="s">
        <v>32</v>
      </c>
      <c r="D1116" s="612" t="s">
        <v>33</v>
      </c>
      <c r="E1116" s="613">
        <f>L1116</f>
        <v>0.25</v>
      </c>
      <c r="F1116" s="611">
        <f>worker</f>
        <v>107800.00000000001</v>
      </c>
      <c r="G1116" s="611">
        <f>E1116*F1116</f>
        <v>26950.000000000004</v>
      </c>
      <c r="J1116" s="633">
        <f>10/80</f>
        <v>0.125</v>
      </c>
      <c r="K1116" s="633">
        <f>2</f>
        <v>2</v>
      </c>
      <c r="L1116" s="633">
        <f>J1116*K1116</f>
        <v>0.25</v>
      </c>
      <c r="M1116" s="633">
        <v>1</v>
      </c>
      <c r="N1116" s="633" t="s">
        <v>3</v>
      </c>
      <c r="O1116" s="633">
        <v>100</v>
      </c>
      <c r="P1116" s="633" t="s">
        <v>2101</v>
      </c>
    </row>
    <row r="1117" spans="1:16" ht="15.75" hidden="1" customHeight="1" outlineLevel="2">
      <c r="A1117" s="613"/>
      <c r="B1117" s="612"/>
      <c r="C1117" s="613" t="s">
        <v>1067</v>
      </c>
      <c r="D1117" s="612" t="s">
        <v>33</v>
      </c>
      <c r="E1117" s="613">
        <f>L1117</f>
        <v>2.5000000000000001E-2</v>
      </c>
      <c r="F1117" s="611">
        <f>Foreman</f>
        <v>119350.00000000001</v>
      </c>
      <c r="G1117" s="611">
        <f>E1117*F1117</f>
        <v>2983.7500000000005</v>
      </c>
      <c r="J1117" s="633">
        <f>1/80</f>
        <v>1.2500000000000001E-2</v>
      </c>
      <c r="K1117" s="633">
        <v>2</v>
      </c>
      <c r="L1117" s="633">
        <f>J1117*K1117</f>
        <v>2.5000000000000001E-2</v>
      </c>
      <c r="M1117" s="633">
        <f>M1115*M1116</f>
        <v>1</v>
      </c>
      <c r="O1117" s="633">
        <f>O1116/O1115</f>
        <v>12.5</v>
      </c>
    </row>
    <row r="1118" spans="1:16" ht="15.75" hidden="1" customHeight="1" outlineLevel="2">
      <c r="A1118" s="613"/>
      <c r="B1118" s="612"/>
      <c r="C1118" s="613"/>
      <c r="D1118" s="612"/>
      <c r="E1118" s="613"/>
      <c r="F1118" s="611"/>
      <c r="G1118" s="611">
        <f>E1118*F1118</f>
        <v>0</v>
      </c>
    </row>
    <row r="1119" spans="1:16" ht="15.75" hidden="1" customHeight="1" outlineLevel="2">
      <c r="A1119" s="613"/>
      <c r="B1119" s="612"/>
      <c r="C1119" s="613" t="s">
        <v>93</v>
      </c>
      <c r="D1119" s="612"/>
      <c r="E1119" s="613"/>
      <c r="F1119" s="611"/>
      <c r="G1119" s="611">
        <f>E1119*F1119</f>
        <v>0</v>
      </c>
    </row>
    <row r="1120" spans="1:16" ht="15.75" hidden="1" customHeight="1" outlineLevel="2">
      <c r="A1120" s="613"/>
      <c r="B1120" s="612"/>
      <c r="C1120" s="613" t="s">
        <v>2102</v>
      </c>
      <c r="D1120" s="612" t="s">
        <v>2103</v>
      </c>
      <c r="E1120" s="613">
        <f>O1117</f>
        <v>12.5</v>
      </c>
      <c r="F1120" s="611">
        <f>dolken_dia10cm_L.4m</f>
        <v>60940.000000000007</v>
      </c>
      <c r="G1120" s="611">
        <f>E1120*F1120</f>
        <v>761750.00000000012</v>
      </c>
    </row>
    <row r="1121" spans="1:9" ht="15.75" customHeight="1" outlineLevel="1" collapsed="1">
      <c r="A1121" s="613"/>
      <c r="B1121" s="612"/>
      <c r="C1121" s="613"/>
      <c r="D1121" s="612"/>
      <c r="E1121" s="613"/>
      <c r="F1121" s="611"/>
      <c r="G1121" s="611"/>
    </row>
    <row r="1122" spans="1:9" ht="15.75" customHeight="1" outlineLevel="1" thickBot="1">
      <c r="A1122" s="608"/>
      <c r="B1122" s="607"/>
      <c r="C1122" s="608"/>
      <c r="D1122" s="607"/>
      <c r="E1122" s="608"/>
      <c r="F1122" s="606"/>
      <c r="G1122" s="606"/>
    </row>
    <row r="1123" spans="1:9" ht="15.75" customHeight="1" thickBot="1">
      <c r="A1123" s="1213" t="s">
        <v>1418</v>
      </c>
      <c r="B1123" s="1214"/>
      <c r="C1123" s="1214"/>
      <c r="D1123" s="1214"/>
      <c r="E1123" s="1214"/>
      <c r="F1123" s="1214"/>
      <c r="G1123" s="1215"/>
    </row>
    <row r="1124" spans="1:9" ht="15.75" customHeight="1" outlineLevel="1" collapsed="1">
      <c r="A1124" s="616" t="s">
        <v>2074</v>
      </c>
      <c r="B1124" s="615">
        <f>1</f>
        <v>1</v>
      </c>
      <c r="C1124" s="616" t="s">
        <v>1646</v>
      </c>
      <c r="D1124" s="615" t="s">
        <v>4</v>
      </c>
      <c r="E1124" s="616"/>
      <c r="F1124" s="614"/>
      <c r="G1124" s="605">
        <f>G1128</f>
        <v>4932.6200000000008</v>
      </c>
    </row>
    <row r="1125" spans="1:9" ht="15.75" hidden="1" customHeight="1" outlineLevel="2">
      <c r="A1125" s="613"/>
      <c r="B1125" s="612"/>
      <c r="C1125" s="613" t="s">
        <v>214</v>
      </c>
      <c r="D1125" s="612"/>
      <c r="E1125" s="613"/>
      <c r="F1125" s="611"/>
      <c r="G1125" s="611"/>
    </row>
    <row r="1126" spans="1:9" ht="15.75" hidden="1" customHeight="1" outlineLevel="2">
      <c r="A1126" s="613"/>
      <c r="B1126" s="612"/>
      <c r="C1126" s="613" t="s">
        <v>32</v>
      </c>
      <c r="D1126" s="612" t="s">
        <v>33</v>
      </c>
      <c r="E1126" s="613">
        <v>0.04</v>
      </c>
      <c r="F1126" s="611">
        <f>worker</f>
        <v>107800.00000000001</v>
      </c>
      <c r="G1126" s="611">
        <f>F1126*E1126</f>
        <v>4312.0000000000009</v>
      </c>
      <c r="I1126" s="633" t="s">
        <v>215</v>
      </c>
    </row>
    <row r="1127" spans="1:9" ht="15.75" hidden="1" customHeight="1" outlineLevel="2">
      <c r="A1127" s="613"/>
      <c r="B1127" s="612"/>
      <c r="C1127" s="613" t="s">
        <v>1216</v>
      </c>
      <c r="D1127" s="612" t="s">
        <v>33</v>
      </c>
      <c r="E1127" s="613">
        <v>4.0000000000000001E-3</v>
      </c>
      <c r="F1127" s="611">
        <f>supervisor_Asli</f>
        <v>155155</v>
      </c>
      <c r="G1127" s="611">
        <f>F1127*E1127</f>
        <v>620.62</v>
      </c>
    </row>
    <row r="1128" spans="1:9" ht="15.75" hidden="1" customHeight="1" outlineLevel="2">
      <c r="A1128" s="613"/>
      <c r="B1128" s="612"/>
      <c r="C1128" s="613"/>
      <c r="D1128" s="612"/>
      <c r="E1128" s="613"/>
      <c r="F1128" s="611"/>
      <c r="G1128" s="611">
        <f>SUM(G1126:G1127)</f>
        <v>4932.6200000000008</v>
      </c>
    </row>
    <row r="1129" spans="1:9" ht="15.75" customHeight="1" outlineLevel="1" collapsed="1">
      <c r="A1129" s="613" t="s">
        <v>2074</v>
      </c>
      <c r="B1129" s="612">
        <f>B1124+1</f>
        <v>2</v>
      </c>
      <c r="C1129" s="613" t="s">
        <v>1647</v>
      </c>
      <c r="D1129" s="612" t="s">
        <v>40</v>
      </c>
      <c r="E1129" s="613"/>
      <c r="F1129" s="611"/>
      <c r="G1129" s="605">
        <f>G1136</f>
        <v>86141.000000000015</v>
      </c>
    </row>
    <row r="1130" spans="1:9" ht="15.75" hidden="1" customHeight="1" outlineLevel="2">
      <c r="A1130" s="613"/>
      <c r="B1130" s="612"/>
      <c r="C1130" s="613" t="s">
        <v>214</v>
      </c>
      <c r="D1130" s="612"/>
      <c r="E1130" s="613"/>
      <c r="F1130" s="611"/>
      <c r="G1130" s="611"/>
    </row>
    <row r="1131" spans="1:9" ht="15.75" hidden="1" customHeight="1" outlineLevel="2">
      <c r="A1131" s="613"/>
      <c r="B1131" s="612"/>
      <c r="C1131" s="613" t="s">
        <v>32</v>
      </c>
      <c r="D1131" s="612" t="s">
        <v>33</v>
      </c>
      <c r="E1131" s="613">
        <v>0.6</v>
      </c>
      <c r="F1131" s="611">
        <f>worker</f>
        <v>107800.00000000001</v>
      </c>
      <c r="G1131" s="611">
        <f>F1131*E1131</f>
        <v>64680.000000000007</v>
      </c>
      <c r="I1131" s="633" t="s">
        <v>215</v>
      </c>
    </row>
    <row r="1132" spans="1:9" ht="15.75" hidden="1" customHeight="1" outlineLevel="2">
      <c r="A1132" s="613"/>
      <c r="B1132" s="612"/>
      <c r="C1132" s="613" t="s">
        <v>36</v>
      </c>
      <c r="D1132" s="612" t="s">
        <v>33</v>
      </c>
      <c r="E1132" s="613">
        <v>0.06</v>
      </c>
      <c r="F1132" s="611">
        <f>supervisor</f>
        <v>119350.00000000001</v>
      </c>
      <c r="G1132" s="611">
        <f>F1132*E1132</f>
        <v>7161.0000000000009</v>
      </c>
    </row>
    <row r="1133" spans="1:9" ht="15.75" hidden="1" customHeight="1" outlineLevel="2">
      <c r="A1133" s="613"/>
      <c r="B1133" s="612"/>
      <c r="C1133" s="613"/>
      <c r="D1133" s="612"/>
      <c r="E1133" s="613"/>
      <c r="F1133" s="611"/>
      <c r="G1133" s="611"/>
    </row>
    <row r="1134" spans="1:9" ht="15.75" hidden="1" customHeight="1" outlineLevel="2">
      <c r="A1134" s="613"/>
      <c r="B1134" s="612"/>
      <c r="C1134" s="613" t="s">
        <v>216</v>
      </c>
      <c r="D1134" s="612"/>
      <c r="E1134" s="613"/>
      <c r="F1134" s="611"/>
      <c r="G1134" s="611"/>
    </row>
    <row r="1135" spans="1:9" ht="15.75" hidden="1" customHeight="1" outlineLevel="2">
      <c r="A1135" s="613"/>
      <c r="B1135" s="612"/>
      <c r="C1135" s="613" t="s">
        <v>217</v>
      </c>
      <c r="D1135" s="612" t="s">
        <v>65</v>
      </c>
      <c r="E1135" s="613">
        <v>0.05</v>
      </c>
      <c r="F1135" s="611">
        <f>jack_hammer</f>
        <v>286000</v>
      </c>
      <c r="G1135" s="611">
        <f>F1135*E1135</f>
        <v>14300</v>
      </c>
    </row>
    <row r="1136" spans="1:9" ht="15.75" hidden="1" customHeight="1" outlineLevel="2">
      <c r="A1136" s="613"/>
      <c r="B1136" s="612"/>
      <c r="C1136" s="613"/>
      <c r="D1136" s="612"/>
      <c r="E1136" s="613"/>
      <c r="F1136" s="611"/>
      <c r="G1136" s="611">
        <f>SUM(G1131:G1135)</f>
        <v>86141.000000000015</v>
      </c>
    </row>
    <row r="1137" spans="1:9" ht="15.75" hidden="1" customHeight="1" outlineLevel="2">
      <c r="A1137" s="613"/>
      <c r="B1137" s="612"/>
      <c r="C1137" s="613"/>
      <c r="D1137" s="612"/>
      <c r="E1137" s="613"/>
      <c r="F1137" s="611"/>
      <c r="G1137" s="611"/>
    </row>
    <row r="1138" spans="1:9" ht="15.75" customHeight="1" outlineLevel="1" collapsed="1">
      <c r="A1138" s="613" t="s">
        <v>2074</v>
      </c>
      <c r="B1138" s="612">
        <f>B1129+1</f>
        <v>3</v>
      </c>
      <c r="C1138" s="613" t="s">
        <v>1648</v>
      </c>
      <c r="D1138" s="612" t="s">
        <v>40</v>
      </c>
      <c r="E1138" s="613"/>
      <c r="F1138" s="611"/>
      <c r="G1138" s="605">
        <f>G1147</f>
        <v>759837.54000000015</v>
      </c>
      <c r="I1138" s="633" t="s">
        <v>218</v>
      </c>
    </row>
    <row r="1139" spans="1:9" ht="15.75" hidden="1" customHeight="1" outlineLevel="2">
      <c r="A1139" s="613"/>
      <c r="B1139" s="612"/>
      <c r="C1139" s="613" t="s">
        <v>214</v>
      </c>
      <c r="D1139" s="612"/>
      <c r="E1139" s="613"/>
      <c r="F1139" s="611"/>
      <c r="G1139" s="611"/>
    </row>
    <row r="1140" spans="1:9" ht="15.75" hidden="1" customHeight="1" outlineLevel="2">
      <c r="A1140" s="613"/>
      <c r="B1140" s="612"/>
      <c r="C1140" s="613" t="s">
        <v>32</v>
      </c>
      <c r="D1140" s="612" t="s">
        <v>33</v>
      </c>
      <c r="E1140" s="613">
        <v>6.6669999999999998</v>
      </c>
      <c r="F1140" s="611">
        <f>worker</f>
        <v>107800.00000000001</v>
      </c>
      <c r="G1140" s="611">
        <f>F1140*E1140</f>
        <v>718702.60000000009</v>
      </c>
    </row>
    <row r="1141" spans="1:9" ht="15.75" hidden="1" customHeight="1" outlineLevel="2">
      <c r="A1141" s="613"/>
      <c r="B1141" s="612"/>
      <c r="C1141" s="613" t="s">
        <v>36</v>
      </c>
      <c r="D1141" s="612" t="s">
        <v>33</v>
      </c>
      <c r="E1141" s="613">
        <v>0.33300000000000002</v>
      </c>
      <c r="F1141" s="611">
        <f>supervisor</f>
        <v>119350.00000000001</v>
      </c>
      <c r="G1141" s="611">
        <f>F1141*E1141</f>
        <v>39743.55000000001</v>
      </c>
    </row>
    <row r="1142" spans="1:9" ht="15.75" hidden="1" customHeight="1" outlineLevel="2">
      <c r="A1142" s="613"/>
      <c r="B1142" s="612"/>
      <c r="C1142" s="613"/>
      <c r="D1142" s="612"/>
      <c r="E1142" s="613"/>
      <c r="F1142" s="611"/>
      <c r="G1142" s="611"/>
    </row>
    <row r="1143" spans="1:9" ht="15.75" hidden="1" customHeight="1" outlineLevel="2">
      <c r="A1143" s="613"/>
      <c r="B1143" s="612"/>
      <c r="C1143" s="613" t="s">
        <v>866</v>
      </c>
      <c r="D1143" s="612" t="s">
        <v>2</v>
      </c>
      <c r="E1143" s="613"/>
      <c r="F1143" s="611"/>
      <c r="G1143" s="611"/>
    </row>
    <row r="1144" spans="1:9" ht="15.75" hidden="1" customHeight="1" outlineLevel="2">
      <c r="A1144" s="613"/>
      <c r="B1144" s="612"/>
      <c r="C1144" s="613" t="s">
        <v>219</v>
      </c>
      <c r="D1144" s="612" t="s">
        <v>2</v>
      </c>
      <c r="E1144" s="613">
        <v>2E-3</v>
      </c>
      <c r="F1144" s="611">
        <f>hammer</f>
        <v>229900.00000000003</v>
      </c>
      <c r="G1144" s="611">
        <f>E1144*F1144</f>
        <v>459.80000000000007</v>
      </c>
    </row>
    <row r="1145" spans="1:9" ht="15.75" hidden="1" customHeight="1" outlineLevel="2">
      <c r="A1145" s="613"/>
      <c r="B1145" s="612"/>
      <c r="C1145" s="613" t="s">
        <v>220</v>
      </c>
      <c r="D1145" s="612" t="s">
        <v>2</v>
      </c>
      <c r="E1145" s="613">
        <v>3.0000000000000001E-3</v>
      </c>
      <c r="F1145" s="611">
        <f>Pahat_besi_beton_ujung_lancip</f>
        <v>165000</v>
      </c>
      <c r="G1145" s="611">
        <f>E1145*F1145</f>
        <v>495</v>
      </c>
    </row>
    <row r="1146" spans="1:9" ht="15.75" hidden="1" customHeight="1" outlineLevel="2">
      <c r="A1146" s="613"/>
      <c r="B1146" s="612"/>
      <c r="C1146" s="613" t="s">
        <v>221</v>
      </c>
      <c r="D1146" s="612" t="s">
        <v>2</v>
      </c>
      <c r="E1146" s="613">
        <v>7.0000000000000001E-3</v>
      </c>
      <c r="F1146" s="611">
        <f>linggis_ulir_dia_1.4in_1in</f>
        <v>62370.000000000007</v>
      </c>
      <c r="G1146" s="611">
        <f>E1146*F1146</f>
        <v>436.59000000000003</v>
      </c>
    </row>
    <row r="1147" spans="1:9" ht="15.75" hidden="1" customHeight="1" outlineLevel="2">
      <c r="A1147" s="613"/>
      <c r="B1147" s="612"/>
      <c r="C1147" s="613"/>
      <c r="D1147" s="612"/>
      <c r="E1147" s="613"/>
      <c r="F1147" s="611"/>
      <c r="G1147" s="611">
        <f>SUM(G1140:G1146)</f>
        <v>759837.54000000015</v>
      </c>
    </row>
    <row r="1148" spans="1:9" ht="15.75" hidden="1" customHeight="1" outlineLevel="2">
      <c r="A1148" s="613"/>
      <c r="B1148" s="612"/>
      <c r="C1148" s="613"/>
      <c r="D1148" s="612"/>
      <c r="E1148" s="613"/>
      <c r="F1148" s="611"/>
      <c r="G1148" s="611"/>
      <c r="I1148" s="633" t="s">
        <v>222</v>
      </c>
    </row>
    <row r="1149" spans="1:9" ht="15.75" customHeight="1" outlineLevel="1" collapsed="1">
      <c r="A1149" s="613" t="s">
        <v>2074</v>
      </c>
      <c r="B1149" s="612">
        <f>B1138+1</f>
        <v>4</v>
      </c>
      <c r="C1149" s="613" t="s">
        <v>1649</v>
      </c>
      <c r="D1149" s="612" t="s">
        <v>40</v>
      </c>
      <c r="E1149" s="613"/>
      <c r="F1149" s="611"/>
      <c r="G1149" s="605">
        <f>G1156</f>
        <v>29667.000000000004</v>
      </c>
      <c r="I1149" s="633" t="s">
        <v>218</v>
      </c>
    </row>
    <row r="1150" spans="1:9" ht="15.75" hidden="1" customHeight="1" outlineLevel="2">
      <c r="A1150" s="613"/>
      <c r="B1150" s="612"/>
      <c r="C1150" s="613" t="s">
        <v>78</v>
      </c>
      <c r="D1150" s="612"/>
      <c r="E1150" s="613"/>
      <c r="F1150" s="611"/>
      <c r="G1150" s="611"/>
    </row>
    <row r="1151" spans="1:9" ht="15.75" hidden="1" customHeight="1" outlineLevel="2">
      <c r="A1151" s="613"/>
      <c r="B1151" s="612"/>
      <c r="C1151" s="613" t="s">
        <v>32</v>
      </c>
      <c r="D1151" s="612" t="s">
        <v>33</v>
      </c>
      <c r="E1151" s="613">
        <v>0.2</v>
      </c>
      <c r="F1151" s="611">
        <f>worker</f>
        <v>107800.00000000001</v>
      </c>
      <c r="G1151" s="611">
        <f>E1151*F1151</f>
        <v>21560.000000000004</v>
      </c>
    </row>
    <row r="1152" spans="1:9" ht="15.75" hidden="1" customHeight="1" outlineLevel="2">
      <c r="A1152" s="613"/>
      <c r="B1152" s="612"/>
      <c r="C1152" s="613" t="s">
        <v>36</v>
      </c>
      <c r="D1152" s="612" t="s">
        <v>33</v>
      </c>
      <c r="E1152" s="613">
        <v>0.02</v>
      </c>
      <c r="F1152" s="611">
        <f>supervisor</f>
        <v>119350.00000000001</v>
      </c>
      <c r="G1152" s="611">
        <f>E1152*F1152</f>
        <v>2387.0000000000005</v>
      </c>
    </row>
    <row r="1153" spans="1:13" ht="15.75" hidden="1" customHeight="1" outlineLevel="2">
      <c r="A1153" s="613"/>
      <c r="B1153" s="612"/>
      <c r="C1153" s="613"/>
      <c r="D1153" s="612"/>
      <c r="E1153" s="613"/>
      <c r="F1153" s="611"/>
      <c r="G1153" s="611"/>
    </row>
    <row r="1154" spans="1:13" ht="15.75" hidden="1" customHeight="1" outlineLevel="2">
      <c r="A1154" s="613"/>
      <c r="B1154" s="612"/>
      <c r="C1154" s="613" t="s">
        <v>63</v>
      </c>
      <c r="D1154" s="612"/>
      <c r="E1154" s="613"/>
      <c r="F1154" s="611"/>
      <c r="G1154" s="611"/>
    </row>
    <row r="1155" spans="1:13" ht="15.75" hidden="1" customHeight="1" outlineLevel="2">
      <c r="A1155" s="613"/>
      <c r="B1155" s="612"/>
      <c r="C1155" s="613" t="s">
        <v>223</v>
      </c>
      <c r="D1155" s="612" t="s">
        <v>224</v>
      </c>
      <c r="E1155" s="613">
        <v>0.02</v>
      </c>
      <c r="F1155" s="611">
        <f>jack_hammer</f>
        <v>286000</v>
      </c>
      <c r="G1155" s="611">
        <f>E1155*F1155</f>
        <v>5720</v>
      </c>
    </row>
    <row r="1156" spans="1:13" ht="15.75" hidden="1" customHeight="1" outlineLevel="2">
      <c r="A1156" s="613"/>
      <c r="B1156" s="612"/>
      <c r="C1156" s="613"/>
      <c r="D1156" s="612"/>
      <c r="E1156" s="613"/>
      <c r="F1156" s="611"/>
      <c r="G1156" s="611">
        <f>SUM(G1151:G1155)</f>
        <v>29667.000000000004</v>
      </c>
    </row>
    <row r="1157" spans="1:13" ht="15.75" customHeight="1" outlineLevel="1" collapsed="1">
      <c r="A1157" s="613" t="s">
        <v>2074</v>
      </c>
      <c r="B1157" s="612">
        <f>B1149+1</f>
        <v>5</v>
      </c>
      <c r="C1157" s="613" t="s">
        <v>1650</v>
      </c>
      <c r="D1157" s="612" t="s">
        <v>40</v>
      </c>
      <c r="E1157" s="613"/>
      <c r="F1157" s="611"/>
      <c r="G1157" s="605">
        <f>G1161</f>
        <v>1540738.4300000002</v>
      </c>
    </row>
    <row r="1158" spans="1:13" ht="15.75" hidden="1" customHeight="1" outlineLevel="2">
      <c r="A1158" s="613"/>
      <c r="B1158" s="612"/>
      <c r="C1158" s="613" t="s">
        <v>214</v>
      </c>
      <c r="D1158" s="612"/>
      <c r="E1158" s="613"/>
      <c r="F1158" s="611"/>
      <c r="G1158" s="611"/>
    </row>
    <row r="1159" spans="1:13" ht="15.75" hidden="1" customHeight="1" outlineLevel="2">
      <c r="A1159" s="613"/>
      <c r="B1159" s="612"/>
      <c r="C1159" s="613" t="s">
        <v>32</v>
      </c>
      <c r="D1159" s="612" t="s">
        <v>33</v>
      </c>
      <c r="E1159" s="613">
        <v>13.334</v>
      </c>
      <c r="F1159" s="611">
        <f>worker</f>
        <v>107800.00000000001</v>
      </c>
      <c r="G1159" s="611">
        <f>F1159*E1159</f>
        <v>1437405.2000000002</v>
      </c>
    </row>
    <row r="1160" spans="1:13" ht="15.75" hidden="1" customHeight="1" outlineLevel="2">
      <c r="A1160" s="613"/>
      <c r="B1160" s="612"/>
      <c r="C1160" s="613" t="s">
        <v>36</v>
      </c>
      <c r="D1160" s="612" t="s">
        <v>33</v>
      </c>
      <c r="E1160" s="613">
        <v>0.66600000000000004</v>
      </c>
      <c r="F1160" s="611">
        <f>supervisor_Asli</f>
        <v>155155</v>
      </c>
      <c r="G1160" s="611">
        <f>F1160*E1160</f>
        <v>103333.23000000001</v>
      </c>
    </row>
    <row r="1161" spans="1:13" ht="15.75" hidden="1" customHeight="1" outlineLevel="2">
      <c r="A1161" s="613"/>
      <c r="B1161" s="612"/>
      <c r="C1161" s="613"/>
      <c r="D1161" s="612"/>
      <c r="E1161" s="613"/>
      <c r="F1161" s="611"/>
      <c r="G1161" s="611">
        <f>SUM(G1159:G1160)</f>
        <v>1540738.4300000002</v>
      </c>
    </row>
    <row r="1162" spans="1:13" ht="15.75" hidden="1" customHeight="1" outlineLevel="2">
      <c r="A1162" s="613"/>
      <c r="B1162" s="612"/>
      <c r="C1162" s="613"/>
      <c r="D1162" s="612"/>
      <c r="E1162" s="613"/>
      <c r="F1162" s="611"/>
      <c r="G1162" s="611"/>
    </row>
    <row r="1163" spans="1:13" ht="15.75" customHeight="1" outlineLevel="1" collapsed="1">
      <c r="A1163" s="613" t="s">
        <v>2074</v>
      </c>
      <c r="B1163" s="612">
        <f>B1157+1</f>
        <v>6</v>
      </c>
      <c r="C1163" s="613" t="s">
        <v>1651</v>
      </c>
      <c r="D1163" s="612" t="s">
        <v>40</v>
      </c>
      <c r="E1163" s="613"/>
      <c r="F1163" s="611"/>
      <c r="G1163" s="605">
        <f>G1174</f>
        <v>145046</v>
      </c>
    </row>
    <row r="1164" spans="1:13" ht="15.75" hidden="1" customHeight="1" outlineLevel="2">
      <c r="A1164" s="613"/>
      <c r="B1164" s="612"/>
      <c r="C1164" s="613" t="s">
        <v>31</v>
      </c>
      <c r="D1164" s="612"/>
      <c r="E1164" s="613"/>
      <c r="F1164" s="611"/>
      <c r="G1164" s="611"/>
      <c r="J1164" s="633" t="s">
        <v>1215</v>
      </c>
      <c r="L1164" s="633" t="s">
        <v>1213</v>
      </c>
    </row>
    <row r="1165" spans="1:13" ht="15.75" hidden="1" customHeight="1" outlineLevel="2">
      <c r="A1165" s="613"/>
      <c r="B1165" s="612"/>
      <c r="C1165" s="613" t="s">
        <v>32</v>
      </c>
      <c r="D1165" s="612" t="s">
        <v>33</v>
      </c>
      <c r="E1165" s="613">
        <v>0.6</v>
      </c>
      <c r="F1165" s="611">
        <f>worker</f>
        <v>107800.00000000001</v>
      </c>
      <c r="G1165" s="611">
        <f>F1165*E1165</f>
        <v>64680.000000000007</v>
      </c>
      <c r="J1165" s="633">
        <v>5</v>
      </c>
      <c r="K1165" s="633" t="s">
        <v>922</v>
      </c>
      <c r="L1165" s="633">
        <v>0.5</v>
      </c>
      <c r="M1165" s="633" t="s">
        <v>939</v>
      </c>
    </row>
    <row r="1166" spans="1:13" ht="15.75" hidden="1" customHeight="1" outlineLevel="2">
      <c r="A1166" s="613"/>
      <c r="B1166" s="612"/>
      <c r="C1166" s="613" t="s">
        <v>36</v>
      </c>
      <c r="D1166" s="612" t="s">
        <v>33</v>
      </c>
      <c r="E1166" s="613">
        <v>0.06</v>
      </c>
      <c r="F1166" s="611">
        <f>supervisor</f>
        <v>119350.00000000001</v>
      </c>
      <c r="G1166" s="611">
        <f>F1166*E1166</f>
        <v>7161.0000000000009</v>
      </c>
      <c r="J1166" s="633">
        <v>1</v>
      </c>
      <c r="K1166" s="633" t="s">
        <v>922</v>
      </c>
      <c r="L1166" s="633">
        <v>0.5</v>
      </c>
      <c r="M1166" s="633" t="s">
        <v>939</v>
      </c>
    </row>
    <row r="1167" spans="1:13" ht="15.75" hidden="1" customHeight="1" outlineLevel="2">
      <c r="A1167" s="613"/>
      <c r="B1167" s="612"/>
      <c r="C1167" s="613"/>
      <c r="D1167" s="612"/>
      <c r="E1167" s="613"/>
      <c r="F1167" s="611"/>
      <c r="G1167" s="611"/>
    </row>
    <row r="1168" spans="1:13" ht="15.75" hidden="1" customHeight="1" outlineLevel="2">
      <c r="A1168" s="613"/>
      <c r="B1168" s="612"/>
      <c r="C1168" s="613"/>
      <c r="D1168" s="612"/>
      <c r="E1168" s="613"/>
      <c r="F1168" s="611"/>
      <c r="G1168" s="611"/>
    </row>
    <row r="1169" spans="1:13" ht="15.75" hidden="1" customHeight="1" outlineLevel="2">
      <c r="A1169" s="613"/>
      <c r="B1169" s="612"/>
      <c r="C1169" s="613" t="s">
        <v>216</v>
      </c>
      <c r="D1169" s="612"/>
      <c r="E1169" s="613"/>
      <c r="F1169" s="611"/>
      <c r="G1169" s="611"/>
      <c r="J1169" s="633" t="s">
        <v>1214</v>
      </c>
      <c r="L1169" s="633" t="s">
        <v>1213</v>
      </c>
    </row>
    <row r="1170" spans="1:13" ht="15.75" hidden="1" customHeight="1" outlineLevel="2">
      <c r="A1170" s="613"/>
      <c r="B1170" s="612"/>
      <c r="C1170" s="613" t="s">
        <v>217</v>
      </c>
      <c r="D1170" s="612" t="s">
        <v>65</v>
      </c>
      <c r="E1170" s="613">
        <v>0.16</v>
      </c>
      <c r="F1170" s="611">
        <f>jack_hammer</f>
        <v>286000</v>
      </c>
      <c r="G1170" s="611">
        <f>F1170*E1170</f>
        <v>45760</v>
      </c>
      <c r="J1170" s="633">
        <v>1</v>
      </c>
      <c r="K1170" s="633" t="s">
        <v>2</v>
      </c>
      <c r="L1170" s="633">
        <v>0.5</v>
      </c>
      <c r="M1170" s="633" t="s">
        <v>939</v>
      </c>
    </row>
    <row r="1171" spans="1:13" ht="15.75" hidden="1" customHeight="1" outlineLevel="2">
      <c r="A1171" s="613"/>
      <c r="B1171" s="612"/>
      <c r="C1171" s="613" t="s">
        <v>1212</v>
      </c>
      <c r="D1171" s="612" t="s">
        <v>226</v>
      </c>
      <c r="E1171" s="613">
        <v>0.05</v>
      </c>
      <c r="F1171" s="611">
        <f>hammer</f>
        <v>229900.00000000003</v>
      </c>
      <c r="G1171" s="611">
        <f>F1171*E1171</f>
        <v>11495.000000000002</v>
      </c>
      <c r="J1171" s="633">
        <v>2</v>
      </c>
      <c r="K1171" s="633" t="s">
        <v>2</v>
      </c>
      <c r="L1171" s="633">
        <v>0.5</v>
      </c>
      <c r="M1171" s="633" t="s">
        <v>939</v>
      </c>
    </row>
    <row r="1172" spans="1:13" ht="15.75" hidden="1" customHeight="1" outlineLevel="2">
      <c r="A1172" s="613"/>
      <c r="B1172" s="612"/>
      <c r="C1172" s="613" t="s">
        <v>1211</v>
      </c>
      <c r="D1172" s="612" t="s">
        <v>226</v>
      </c>
      <c r="E1172" s="613">
        <v>0.1</v>
      </c>
      <c r="F1172" s="611">
        <f>steel_saw</f>
        <v>159500</v>
      </c>
      <c r="G1172" s="611">
        <f>F1172*E1172</f>
        <v>15950</v>
      </c>
      <c r="J1172" s="633">
        <v>1</v>
      </c>
      <c r="K1172" s="633" t="s">
        <v>2</v>
      </c>
      <c r="L1172" s="633">
        <v>0.5</v>
      </c>
      <c r="M1172" s="633" t="s">
        <v>939</v>
      </c>
    </row>
    <row r="1173" spans="1:13" ht="15.75" hidden="1" customHeight="1" outlineLevel="2">
      <c r="A1173" s="613"/>
      <c r="B1173" s="612"/>
      <c r="C1173" s="613" t="s">
        <v>1210</v>
      </c>
      <c r="D1173" s="612" t="s">
        <v>226</v>
      </c>
      <c r="E1173" s="613">
        <v>0.2</v>
      </c>
      <c r="F1173" s="611">
        <f>steel_chisel</f>
        <v>204600.00000000003</v>
      </c>
      <c r="G1173" s="611">
        <f>F1173*E1173</f>
        <v>40920.000000000007</v>
      </c>
      <c r="J1173" s="633">
        <v>2</v>
      </c>
      <c r="K1173" s="633" t="s">
        <v>2</v>
      </c>
      <c r="L1173" s="633">
        <v>0.5</v>
      </c>
      <c r="M1173" s="633" t="s">
        <v>939</v>
      </c>
    </row>
    <row r="1174" spans="1:13" ht="15.75" hidden="1" customHeight="1" outlineLevel="2">
      <c r="A1174" s="613"/>
      <c r="B1174" s="612"/>
      <c r="C1174" s="613"/>
      <c r="D1174" s="612"/>
      <c r="E1174" s="613"/>
      <c r="F1174" s="611"/>
      <c r="G1174" s="611">
        <f>SUM(G1165:G1172)</f>
        <v>145046</v>
      </c>
    </row>
    <row r="1175" spans="1:13" ht="15.75" hidden="1" customHeight="1" outlineLevel="2">
      <c r="A1175" s="613"/>
      <c r="B1175" s="612"/>
      <c r="C1175" s="613"/>
      <c r="D1175" s="612"/>
      <c r="E1175" s="613"/>
      <c r="F1175" s="611"/>
      <c r="G1175" s="611"/>
    </row>
    <row r="1176" spans="1:13" ht="15.75" customHeight="1" outlineLevel="1" collapsed="1">
      <c r="A1176" s="613" t="s">
        <v>2074</v>
      </c>
      <c r="B1176" s="612">
        <f>B1163+1</f>
        <v>7</v>
      </c>
      <c r="C1176" s="613" t="s">
        <v>1652</v>
      </c>
      <c r="D1176" s="612" t="s">
        <v>40</v>
      </c>
      <c r="E1176" s="613"/>
      <c r="F1176" s="611"/>
      <c r="G1176" s="605">
        <f>G1194</f>
        <v>2431573.66</v>
      </c>
      <c r="I1176" s="633" t="s">
        <v>1195</v>
      </c>
    </row>
    <row r="1177" spans="1:13" ht="15.75" hidden="1" customHeight="1" outlineLevel="2">
      <c r="A1177" s="613"/>
      <c r="B1177" s="612"/>
      <c r="C1177" s="613" t="s">
        <v>78</v>
      </c>
      <c r="D1177" s="612"/>
      <c r="E1177" s="613"/>
      <c r="F1177" s="611"/>
      <c r="G1177" s="611"/>
    </row>
    <row r="1178" spans="1:13" ht="15.75" hidden="1" customHeight="1" outlineLevel="2">
      <c r="A1178" s="613"/>
      <c r="B1178" s="612"/>
      <c r="C1178" s="613" t="s">
        <v>32</v>
      </c>
      <c r="D1178" s="612" t="s">
        <v>33</v>
      </c>
      <c r="E1178" s="613">
        <v>0.09</v>
      </c>
      <c r="F1178" s="611">
        <f>worker</f>
        <v>107800.00000000001</v>
      </c>
      <c r="G1178" s="611">
        <f>E1178*F1178</f>
        <v>9702.0000000000018</v>
      </c>
    </row>
    <row r="1179" spans="1:13" ht="15.75" hidden="1" customHeight="1" outlineLevel="2">
      <c r="A1179" s="613"/>
      <c r="B1179" s="612"/>
      <c r="C1179" s="613" t="s">
        <v>36</v>
      </c>
      <c r="D1179" s="612" t="s">
        <v>33</v>
      </c>
      <c r="E1179" s="613">
        <v>4.4999999999999998E-2</v>
      </c>
      <c r="F1179" s="611">
        <f>supervisor</f>
        <v>119350.00000000001</v>
      </c>
      <c r="G1179" s="611">
        <f>E1179*F1179</f>
        <v>5370.7500000000009</v>
      </c>
    </row>
    <row r="1180" spans="1:13" ht="15.75" hidden="1" customHeight="1" outlineLevel="2">
      <c r="A1180" s="613"/>
      <c r="B1180" s="612"/>
      <c r="C1180" s="613" t="s">
        <v>113</v>
      </c>
      <c r="D1180" s="612" t="s">
        <v>33</v>
      </c>
      <c r="E1180" s="613">
        <v>0.2</v>
      </c>
      <c r="F1180" s="611">
        <f>operator</f>
        <v>191914.80000000002</v>
      </c>
      <c r="G1180" s="611">
        <f>E1180*F1180</f>
        <v>38382.960000000006</v>
      </c>
    </row>
    <row r="1181" spans="1:13" ht="15.75" hidden="1" customHeight="1" outlineLevel="2">
      <c r="A1181" s="613"/>
      <c r="B1181" s="612"/>
      <c r="C1181" s="613"/>
      <c r="D1181" s="612"/>
      <c r="E1181" s="613"/>
      <c r="F1181" s="611"/>
      <c r="G1181" s="611"/>
    </row>
    <row r="1182" spans="1:13" ht="15.75" hidden="1" customHeight="1" outlineLevel="2">
      <c r="A1182" s="613"/>
      <c r="B1182" s="612"/>
      <c r="C1182" s="613" t="s">
        <v>63</v>
      </c>
      <c r="D1182" s="612"/>
      <c r="E1182" s="613"/>
      <c r="F1182" s="611"/>
      <c r="G1182" s="611"/>
    </row>
    <row r="1183" spans="1:13" ht="15.75" hidden="1" customHeight="1" outlineLevel="2">
      <c r="A1183" s="613"/>
      <c r="B1183" s="612"/>
      <c r="C1183" s="613" t="s">
        <v>1209</v>
      </c>
      <c r="D1183" s="612" t="s">
        <v>72</v>
      </c>
      <c r="E1183" s="613">
        <v>0.25</v>
      </c>
      <c r="F1183" s="611">
        <f>excavator_0.8m3</f>
        <v>704803</v>
      </c>
      <c r="G1183" s="611">
        <f>E1183*F1183</f>
        <v>176200.75</v>
      </c>
    </row>
    <row r="1184" spans="1:13" ht="15.75" hidden="1" customHeight="1" outlineLevel="2">
      <c r="A1184" s="613"/>
      <c r="B1184" s="612"/>
      <c r="C1184" s="613" t="s">
        <v>227</v>
      </c>
      <c r="D1184" s="612"/>
      <c r="E1184" s="613"/>
      <c r="F1184" s="611"/>
      <c r="G1184" s="611"/>
    </row>
    <row r="1185" spans="1:9" ht="15.75" hidden="1" customHeight="1" outlineLevel="2">
      <c r="A1185" s="613"/>
      <c r="B1185" s="612"/>
      <c r="C1185" s="613" t="s">
        <v>228</v>
      </c>
      <c r="D1185" s="612" t="s">
        <v>65</v>
      </c>
      <c r="E1185" s="613">
        <f>4/8</f>
        <v>0.5</v>
      </c>
      <c r="F1185" s="611">
        <f>main_frame_scaffolding_1.9m</f>
        <v>4287694.4000000004</v>
      </c>
      <c r="G1185" s="611">
        <f t="shared" ref="G1185:G1190" si="7">E1185*F1185</f>
        <v>2143847.2000000002</v>
      </c>
    </row>
    <row r="1186" spans="1:9" ht="15.75" hidden="1" customHeight="1" outlineLevel="2">
      <c r="A1186" s="613"/>
      <c r="B1186" s="612"/>
      <c r="C1186" s="613" t="s">
        <v>229</v>
      </c>
      <c r="D1186" s="612" t="s">
        <v>65</v>
      </c>
      <c r="E1186" s="613">
        <f>4/8</f>
        <v>0.5</v>
      </c>
      <c r="F1186" s="611">
        <f>horizontal_frame_scaf</f>
        <v>9350</v>
      </c>
      <c r="G1186" s="611">
        <f t="shared" si="7"/>
        <v>4675</v>
      </c>
    </row>
    <row r="1187" spans="1:9" ht="15.75" hidden="1" customHeight="1" outlineLevel="2">
      <c r="A1187" s="613"/>
      <c r="B1187" s="612"/>
      <c r="C1187" s="613" t="s">
        <v>230</v>
      </c>
      <c r="D1187" s="612" t="s">
        <v>65</v>
      </c>
      <c r="E1187" s="613">
        <f>4/8</f>
        <v>0.5</v>
      </c>
      <c r="F1187" s="611">
        <f>cross_brace</f>
        <v>7150.0000000000009</v>
      </c>
      <c r="G1187" s="611">
        <f t="shared" si="7"/>
        <v>3575.0000000000005</v>
      </c>
    </row>
    <row r="1188" spans="1:9" ht="15.75" hidden="1" customHeight="1" outlineLevel="2">
      <c r="A1188" s="613"/>
      <c r="B1188" s="612"/>
      <c r="C1188" s="613" t="s">
        <v>231</v>
      </c>
      <c r="D1188" s="612" t="s">
        <v>65</v>
      </c>
      <c r="E1188" s="613">
        <f>4/8</f>
        <v>0.5</v>
      </c>
      <c r="F1188" s="611">
        <f>jack_base_scafollding</f>
        <v>14300.000000000002</v>
      </c>
      <c r="G1188" s="611">
        <f t="shared" si="7"/>
        <v>7150.0000000000009</v>
      </c>
    </row>
    <row r="1189" spans="1:9" ht="15.75" hidden="1" customHeight="1" outlineLevel="2">
      <c r="A1189" s="613"/>
      <c r="B1189" s="612"/>
      <c r="C1189" s="613" t="s">
        <v>1207</v>
      </c>
      <c r="D1189" s="612" t="s">
        <v>65</v>
      </c>
      <c r="E1189" s="613">
        <v>0.2</v>
      </c>
      <c r="F1189" s="611">
        <f>sling</f>
        <v>50000</v>
      </c>
      <c r="G1189" s="611">
        <f t="shared" si="7"/>
        <v>10000</v>
      </c>
    </row>
    <row r="1190" spans="1:9" ht="15.75" hidden="1" customHeight="1" outlineLevel="2">
      <c r="A1190" s="613"/>
      <c r="B1190" s="612"/>
      <c r="C1190" s="613" t="s">
        <v>232</v>
      </c>
      <c r="D1190" s="612" t="s">
        <v>141</v>
      </c>
      <c r="E1190" s="613">
        <v>0.2</v>
      </c>
      <c r="F1190" s="611">
        <f>anchor_bolt_36mm</f>
        <v>133100</v>
      </c>
      <c r="G1190" s="611">
        <f t="shared" si="7"/>
        <v>26620</v>
      </c>
    </row>
    <row r="1191" spans="1:9" ht="15.75" hidden="1" customHeight="1" outlineLevel="2">
      <c r="A1191" s="613"/>
      <c r="B1191" s="612"/>
      <c r="C1191" s="613"/>
      <c r="D1191" s="612"/>
      <c r="E1191" s="613"/>
      <c r="F1191" s="611"/>
      <c r="G1191" s="611"/>
    </row>
    <row r="1192" spans="1:9" ht="15.75" hidden="1" customHeight="1" outlineLevel="2">
      <c r="A1192" s="613"/>
      <c r="B1192" s="612"/>
      <c r="C1192" s="613" t="s">
        <v>93</v>
      </c>
      <c r="D1192" s="612"/>
      <c r="E1192" s="613"/>
      <c r="F1192" s="611"/>
      <c r="G1192" s="611"/>
    </row>
    <row r="1193" spans="1:9" ht="15.75" hidden="1" customHeight="1" outlineLevel="2">
      <c r="A1193" s="613"/>
      <c r="B1193" s="612"/>
      <c r="C1193" s="613" t="s">
        <v>1208</v>
      </c>
      <c r="D1193" s="612" t="s">
        <v>57</v>
      </c>
      <c r="E1193" s="613">
        <v>0.5</v>
      </c>
      <c r="F1193" s="611">
        <f>bbm</f>
        <v>12100.000000000002</v>
      </c>
      <c r="G1193" s="611">
        <f>E1193*F1193</f>
        <v>6050.0000000000009</v>
      </c>
    </row>
    <row r="1194" spans="1:9" ht="15.75" hidden="1" customHeight="1" outlineLevel="2">
      <c r="A1194" s="613"/>
      <c r="B1194" s="612"/>
      <c r="C1194" s="613"/>
      <c r="D1194" s="612"/>
      <c r="E1194" s="613"/>
      <c r="F1194" s="611"/>
      <c r="G1194" s="611">
        <f>SUM(G1178:G1193)</f>
        <v>2431573.66</v>
      </c>
    </row>
    <row r="1195" spans="1:9" ht="15.75" customHeight="1" outlineLevel="1" collapsed="1">
      <c r="A1195" s="613" t="s">
        <v>2074</v>
      </c>
      <c r="B1195" s="612">
        <f>B1176+1</f>
        <v>8</v>
      </c>
      <c r="C1195" s="613" t="s">
        <v>1653</v>
      </c>
      <c r="D1195" s="612" t="s">
        <v>40</v>
      </c>
      <c r="E1195" s="613"/>
      <c r="F1195" s="611"/>
      <c r="G1195" s="605">
        <f>G1207</f>
        <v>760024.74416000012</v>
      </c>
      <c r="I1195" s="633" t="s">
        <v>103</v>
      </c>
    </row>
    <row r="1196" spans="1:9" ht="15.75" hidden="1" customHeight="1" outlineLevel="2">
      <c r="A1196" s="613"/>
      <c r="B1196" s="612"/>
      <c r="C1196" s="613" t="s">
        <v>1052</v>
      </c>
      <c r="D1196" s="612"/>
      <c r="E1196" s="613"/>
      <c r="F1196" s="611"/>
      <c r="G1196" s="611"/>
    </row>
    <row r="1197" spans="1:9" ht="15.75" hidden="1" customHeight="1" outlineLevel="2">
      <c r="A1197" s="613"/>
      <c r="B1197" s="612"/>
      <c r="C1197" s="613" t="s">
        <v>32</v>
      </c>
      <c r="D1197" s="612" t="s">
        <v>33</v>
      </c>
      <c r="E1197" s="613">
        <v>0.12</v>
      </c>
      <c r="F1197" s="611">
        <f>worker</f>
        <v>107800.00000000001</v>
      </c>
      <c r="G1197" s="611">
        <f>E1197*F1197</f>
        <v>12936.000000000002</v>
      </c>
    </row>
    <row r="1198" spans="1:9" ht="15.75" hidden="1" customHeight="1" outlineLevel="2">
      <c r="A1198" s="613"/>
      <c r="B1198" s="612"/>
      <c r="C1198" s="613" t="s">
        <v>36</v>
      </c>
      <c r="D1198" s="612" t="s">
        <v>33</v>
      </c>
      <c r="E1198" s="613">
        <f>0.012+0.0012</f>
        <v>1.32E-2</v>
      </c>
      <c r="F1198" s="611">
        <f>supervisor</f>
        <v>119350.00000000001</v>
      </c>
      <c r="G1198" s="611">
        <f>E1198*F1198</f>
        <v>1575.42</v>
      </c>
    </row>
    <row r="1199" spans="1:9" ht="15.75" hidden="1" customHeight="1" outlineLevel="2">
      <c r="A1199" s="613"/>
      <c r="B1199" s="612"/>
      <c r="C1199" s="613" t="s">
        <v>113</v>
      </c>
      <c r="D1199" s="612" t="s">
        <v>33</v>
      </c>
      <c r="E1199" s="613">
        <v>2.4E-2</v>
      </c>
      <c r="F1199" s="611">
        <f>operator</f>
        <v>191914.80000000002</v>
      </c>
      <c r="G1199" s="611">
        <f>E1199*F1199</f>
        <v>4605.9552000000003</v>
      </c>
    </row>
    <row r="1200" spans="1:9" ht="15.75" hidden="1" customHeight="1" outlineLevel="2">
      <c r="A1200" s="613"/>
      <c r="B1200" s="612"/>
      <c r="C1200" s="613"/>
      <c r="D1200" s="612"/>
      <c r="E1200" s="613"/>
      <c r="F1200" s="611"/>
      <c r="G1200" s="611"/>
    </row>
    <row r="1201" spans="1:7" ht="15.75" hidden="1" customHeight="1" outlineLevel="2">
      <c r="A1201" s="613"/>
      <c r="B1201" s="612"/>
      <c r="C1201" s="613" t="s">
        <v>63</v>
      </c>
      <c r="D1201" s="612"/>
      <c r="E1201" s="613"/>
      <c r="F1201" s="611"/>
      <c r="G1201" s="611"/>
    </row>
    <row r="1202" spans="1:7" ht="15.75" hidden="1" customHeight="1" outlineLevel="2">
      <c r="A1202" s="613"/>
      <c r="B1202" s="612"/>
      <c r="C1202" s="613" t="s">
        <v>1141</v>
      </c>
      <c r="D1202" s="612" t="s">
        <v>72</v>
      </c>
      <c r="E1202" s="613">
        <f>0.048*8</f>
        <v>0.38400000000000001</v>
      </c>
      <c r="F1202" s="611">
        <f>excavator_0.8m3</f>
        <v>704803</v>
      </c>
      <c r="G1202" s="611">
        <f>E1202*F1202</f>
        <v>270644.35200000001</v>
      </c>
    </row>
    <row r="1203" spans="1:7" ht="15.75" hidden="1" customHeight="1" outlineLevel="2">
      <c r="A1203" s="613"/>
      <c r="B1203" s="612"/>
      <c r="C1203" s="613" t="s">
        <v>105</v>
      </c>
      <c r="D1203" s="612" t="s">
        <v>72</v>
      </c>
      <c r="E1203" s="613">
        <f>0.048*8</f>
        <v>0.38400000000000001</v>
      </c>
      <c r="F1203" s="611">
        <f>dump_truck_5m3</f>
        <v>1161622.4400000002</v>
      </c>
      <c r="G1203" s="611">
        <f>E1203*F1203</f>
        <v>446063.0169600001</v>
      </c>
    </row>
    <row r="1204" spans="1:7" ht="15.75" hidden="1" customHeight="1" outlineLevel="2">
      <c r="A1204" s="613"/>
      <c r="B1204" s="612"/>
      <c r="C1204" s="613"/>
      <c r="D1204" s="612"/>
      <c r="E1204" s="613"/>
      <c r="F1204" s="611"/>
      <c r="G1204" s="611"/>
    </row>
    <row r="1205" spans="1:7" ht="15.75" hidden="1" customHeight="1" outlineLevel="2">
      <c r="A1205" s="613"/>
      <c r="B1205" s="612"/>
      <c r="C1205" s="613" t="s">
        <v>93</v>
      </c>
      <c r="D1205" s="612"/>
      <c r="E1205" s="613"/>
      <c r="F1205" s="611"/>
      <c r="G1205" s="611"/>
    </row>
    <row r="1206" spans="1:7" ht="15.75" hidden="1" customHeight="1" outlineLevel="2">
      <c r="A1206" s="613"/>
      <c r="B1206" s="612"/>
      <c r="C1206" s="613" t="s">
        <v>1197</v>
      </c>
      <c r="D1206" s="612" t="s">
        <v>57</v>
      </c>
      <c r="E1206" s="613">
        <v>2</v>
      </c>
      <c r="F1206" s="611">
        <f>bbm</f>
        <v>12100.000000000002</v>
      </c>
      <c r="G1206" s="611">
        <f>E1206*F1206</f>
        <v>24200.000000000004</v>
      </c>
    </row>
    <row r="1207" spans="1:7" ht="15.75" hidden="1" customHeight="1" outlineLevel="2">
      <c r="A1207" s="613"/>
      <c r="B1207" s="612"/>
      <c r="C1207" s="613"/>
      <c r="D1207" s="612"/>
      <c r="E1207" s="613"/>
      <c r="F1207" s="611"/>
      <c r="G1207" s="611">
        <f>SUM(G1197:G1206)</f>
        <v>760024.74416000012</v>
      </c>
    </row>
    <row r="1208" spans="1:7" ht="15.75" customHeight="1" outlineLevel="1" collapsed="1">
      <c r="A1208" s="613" t="s">
        <v>2074</v>
      </c>
      <c r="B1208" s="612">
        <f>B1195+1</f>
        <v>9</v>
      </c>
      <c r="C1208" s="613" t="s">
        <v>1654</v>
      </c>
      <c r="D1208" s="612" t="s">
        <v>180</v>
      </c>
      <c r="E1208" s="613"/>
      <c r="F1208" s="611"/>
      <c r="G1208" s="605">
        <f>G1228</f>
        <v>5354490.8000000007</v>
      </c>
    </row>
    <row r="1209" spans="1:7" ht="15.75" hidden="1" customHeight="1" outlineLevel="2">
      <c r="A1209" s="613"/>
      <c r="B1209" s="612"/>
      <c r="C1209" s="613" t="s">
        <v>78</v>
      </c>
      <c r="D1209" s="612"/>
      <c r="E1209" s="613"/>
      <c r="F1209" s="611"/>
      <c r="G1209" s="611"/>
    </row>
    <row r="1210" spans="1:7" ht="15.75" hidden="1" customHeight="1" outlineLevel="2">
      <c r="A1210" s="613"/>
      <c r="B1210" s="612"/>
      <c r="C1210" s="613" t="s">
        <v>233</v>
      </c>
      <c r="D1210" s="612" t="s">
        <v>33</v>
      </c>
      <c r="E1210" s="613">
        <v>5</v>
      </c>
      <c r="F1210" s="611">
        <f>steel_worker</f>
        <v>119350.00000000001</v>
      </c>
      <c r="G1210" s="611">
        <f t="shared" ref="G1210:G1227" si="8">E1210*F1210</f>
        <v>596750.00000000012</v>
      </c>
    </row>
    <row r="1211" spans="1:7" ht="15.75" hidden="1" customHeight="1" outlineLevel="2">
      <c r="A1211" s="613"/>
      <c r="B1211" s="612"/>
      <c r="C1211" s="613" t="s">
        <v>32</v>
      </c>
      <c r="D1211" s="612" t="s">
        <v>33</v>
      </c>
      <c r="E1211" s="613">
        <v>10</v>
      </c>
      <c r="F1211" s="611">
        <f>steel_worker_chief</f>
        <v>107800.00000000001</v>
      </c>
      <c r="G1211" s="611">
        <f t="shared" si="8"/>
        <v>1078000.0000000002</v>
      </c>
    </row>
    <row r="1212" spans="1:7" ht="15.75" hidden="1" customHeight="1" outlineLevel="2">
      <c r="A1212" s="613"/>
      <c r="B1212" s="612"/>
      <c r="C1212" s="613" t="s">
        <v>36</v>
      </c>
      <c r="D1212" s="612" t="s">
        <v>33</v>
      </c>
      <c r="E1212" s="613">
        <v>1</v>
      </c>
      <c r="F1212" s="611">
        <f>supervisor</f>
        <v>119350.00000000001</v>
      </c>
      <c r="G1212" s="611">
        <f t="shared" si="8"/>
        <v>119350.00000000001</v>
      </c>
    </row>
    <row r="1213" spans="1:7" ht="15.75" hidden="1" customHeight="1" outlineLevel="2">
      <c r="A1213" s="613"/>
      <c r="B1213" s="612"/>
      <c r="C1213" s="613" t="s">
        <v>187</v>
      </c>
      <c r="D1213" s="612" t="s">
        <v>33</v>
      </c>
      <c r="E1213" s="613">
        <v>0.5</v>
      </c>
      <c r="F1213" s="611">
        <f>welder</f>
        <v>127600.00000000001</v>
      </c>
      <c r="G1213" s="611">
        <f t="shared" si="8"/>
        <v>63800.000000000007</v>
      </c>
    </row>
    <row r="1214" spans="1:7" ht="15.75" hidden="1" customHeight="1" outlineLevel="2">
      <c r="A1214" s="613"/>
      <c r="B1214" s="612"/>
      <c r="C1214" s="613"/>
      <c r="D1214" s="612"/>
      <c r="E1214" s="613"/>
      <c r="F1214" s="611"/>
      <c r="G1214" s="611">
        <f t="shared" si="8"/>
        <v>0</v>
      </c>
    </row>
    <row r="1215" spans="1:7" ht="15.75" hidden="1" customHeight="1" outlineLevel="2">
      <c r="A1215" s="613"/>
      <c r="B1215" s="612"/>
      <c r="C1215" s="613" t="s">
        <v>63</v>
      </c>
      <c r="D1215" s="612"/>
      <c r="E1215" s="613"/>
      <c r="F1215" s="611"/>
      <c r="G1215" s="611">
        <f t="shared" si="8"/>
        <v>0</v>
      </c>
    </row>
    <row r="1216" spans="1:7" ht="15.75" hidden="1" customHeight="1" outlineLevel="2">
      <c r="A1216" s="613"/>
      <c r="B1216" s="612"/>
      <c r="C1216" s="613" t="s">
        <v>227</v>
      </c>
      <c r="D1216" s="612"/>
      <c r="E1216" s="613"/>
      <c r="F1216" s="611"/>
      <c r="G1216" s="611">
        <f t="shared" si="8"/>
        <v>0</v>
      </c>
    </row>
    <row r="1217" spans="1:7" ht="15.75" hidden="1" customHeight="1" outlineLevel="2">
      <c r="A1217" s="613"/>
      <c r="B1217" s="612"/>
      <c r="C1217" s="613" t="s">
        <v>228</v>
      </c>
      <c r="D1217" s="612" t="s">
        <v>65</v>
      </c>
      <c r="E1217" s="613">
        <f>4/8</f>
        <v>0.5</v>
      </c>
      <c r="F1217" s="611">
        <f>main_frame_scaffolding_1.9m</f>
        <v>4287694.4000000004</v>
      </c>
      <c r="G1217" s="611">
        <f t="shared" si="8"/>
        <v>2143847.2000000002</v>
      </c>
    </row>
    <row r="1218" spans="1:7" ht="15.75" hidden="1" customHeight="1" outlineLevel="2">
      <c r="A1218" s="613"/>
      <c r="B1218" s="612"/>
      <c r="C1218" s="613" t="s">
        <v>229</v>
      </c>
      <c r="D1218" s="612" t="s">
        <v>65</v>
      </c>
      <c r="E1218" s="613">
        <f>4/8</f>
        <v>0.5</v>
      </c>
      <c r="F1218" s="611">
        <f>horizontal_frame_scaf</f>
        <v>9350</v>
      </c>
      <c r="G1218" s="611">
        <f t="shared" si="8"/>
        <v>4675</v>
      </c>
    </row>
    <row r="1219" spans="1:7" ht="15.75" hidden="1" customHeight="1" outlineLevel="2">
      <c r="A1219" s="613"/>
      <c r="B1219" s="612"/>
      <c r="C1219" s="613" t="s">
        <v>230</v>
      </c>
      <c r="D1219" s="612" t="s">
        <v>65</v>
      </c>
      <c r="E1219" s="613">
        <f>4/8</f>
        <v>0.5</v>
      </c>
      <c r="F1219" s="611">
        <f>cross_brace</f>
        <v>7150.0000000000009</v>
      </c>
      <c r="G1219" s="611">
        <f t="shared" si="8"/>
        <v>3575.0000000000005</v>
      </c>
    </row>
    <row r="1220" spans="1:7" ht="15.75" hidden="1" customHeight="1" outlineLevel="2">
      <c r="A1220" s="613"/>
      <c r="B1220" s="612"/>
      <c r="C1220" s="613" t="s">
        <v>231</v>
      </c>
      <c r="D1220" s="612" t="s">
        <v>65</v>
      </c>
      <c r="E1220" s="613">
        <f>4/8</f>
        <v>0.5</v>
      </c>
      <c r="F1220" s="611">
        <f>jack_base_scafollding</f>
        <v>14300.000000000002</v>
      </c>
      <c r="G1220" s="611">
        <f t="shared" si="8"/>
        <v>7150.0000000000009</v>
      </c>
    </row>
    <row r="1221" spans="1:7" ht="15.75" hidden="1" customHeight="1" outlineLevel="2">
      <c r="A1221" s="613"/>
      <c r="B1221" s="612"/>
      <c r="C1221" s="613" t="s">
        <v>1207</v>
      </c>
      <c r="D1221" s="612" t="s">
        <v>65</v>
      </c>
      <c r="E1221" s="613">
        <v>0.2</v>
      </c>
      <c r="F1221" s="611">
        <f>sling</f>
        <v>50000</v>
      </c>
      <c r="G1221" s="611">
        <f t="shared" si="8"/>
        <v>10000</v>
      </c>
    </row>
    <row r="1222" spans="1:7" ht="15.75" hidden="1" customHeight="1" outlineLevel="2">
      <c r="A1222" s="613"/>
      <c r="B1222" s="612"/>
      <c r="C1222" s="613" t="s">
        <v>232</v>
      </c>
      <c r="D1222" s="612" t="s">
        <v>141</v>
      </c>
      <c r="E1222" s="613">
        <v>0.2</v>
      </c>
      <c r="F1222" s="611">
        <f>anchor_bolt_36mm</f>
        <v>133100</v>
      </c>
      <c r="G1222" s="611">
        <f t="shared" si="8"/>
        <v>26620</v>
      </c>
    </row>
    <row r="1223" spans="1:7" ht="15.75" hidden="1" customHeight="1" outlineLevel="2">
      <c r="A1223" s="613"/>
      <c r="B1223" s="612"/>
      <c r="C1223" s="613" t="s">
        <v>234</v>
      </c>
      <c r="D1223" s="612" t="s">
        <v>65</v>
      </c>
      <c r="E1223" s="613">
        <v>0.25</v>
      </c>
      <c r="F1223" s="611">
        <f>welding_machine_day</f>
        <v>891000.00000000012</v>
      </c>
      <c r="G1223" s="611">
        <f t="shared" si="8"/>
        <v>222750.00000000003</v>
      </c>
    </row>
    <row r="1224" spans="1:7" ht="15.75" hidden="1" customHeight="1" outlineLevel="2">
      <c r="A1224" s="613"/>
      <c r="B1224" s="612"/>
      <c r="C1224" s="613" t="s">
        <v>235</v>
      </c>
      <c r="D1224" s="612" t="s">
        <v>65</v>
      </c>
      <c r="E1224" s="613">
        <v>0.25</v>
      </c>
      <c r="F1224" s="611">
        <f>genset_5kVA</f>
        <v>4287694.4000000004</v>
      </c>
      <c r="G1224" s="611">
        <f t="shared" si="8"/>
        <v>1071923.6000000001</v>
      </c>
    </row>
    <row r="1225" spans="1:7" ht="15.75" hidden="1" customHeight="1" outlineLevel="2">
      <c r="A1225" s="613"/>
      <c r="B1225" s="612"/>
      <c r="C1225" s="613" t="s">
        <v>236</v>
      </c>
      <c r="D1225" s="612"/>
      <c r="E1225" s="613"/>
      <c r="F1225" s="611"/>
      <c r="G1225" s="611">
        <f t="shared" si="8"/>
        <v>0</v>
      </c>
    </row>
    <row r="1226" spans="1:7" ht="15.75" hidden="1" customHeight="1" outlineLevel="2">
      <c r="A1226" s="613"/>
      <c r="B1226" s="612"/>
      <c r="C1226" s="613" t="s">
        <v>237</v>
      </c>
      <c r="D1226" s="612"/>
      <c r="E1226" s="613"/>
      <c r="F1226" s="611"/>
      <c r="G1226" s="611">
        <f t="shared" si="8"/>
        <v>0</v>
      </c>
    </row>
    <row r="1227" spans="1:7" ht="15.75" hidden="1" customHeight="1" outlineLevel="2">
      <c r="A1227" s="613"/>
      <c r="B1227" s="612"/>
      <c r="C1227" s="613" t="s">
        <v>238</v>
      </c>
      <c r="D1227" s="612" t="s">
        <v>57</v>
      </c>
      <c r="E1227" s="613">
        <v>0.5</v>
      </c>
      <c r="F1227" s="611">
        <f>bbm</f>
        <v>12100.000000000002</v>
      </c>
      <c r="G1227" s="611">
        <f t="shared" si="8"/>
        <v>6050.0000000000009</v>
      </c>
    </row>
    <row r="1228" spans="1:7" ht="15.75" hidden="1" customHeight="1" outlineLevel="2">
      <c r="A1228" s="613"/>
      <c r="B1228" s="612"/>
      <c r="C1228" s="613"/>
      <c r="D1228" s="612"/>
      <c r="E1228" s="613"/>
      <c r="F1228" s="611"/>
      <c r="G1228" s="611">
        <f>SUM(G1210:G1227)</f>
        <v>5354490.8000000007</v>
      </c>
    </row>
    <row r="1229" spans="1:7" ht="15.75" customHeight="1" outlineLevel="1" collapsed="1">
      <c r="A1229" s="613" t="s">
        <v>2074</v>
      </c>
      <c r="B1229" s="612">
        <f>B1208+1</f>
        <v>10</v>
      </c>
      <c r="C1229" s="613" t="s">
        <v>1655</v>
      </c>
      <c r="D1229" s="612" t="s">
        <v>3</v>
      </c>
      <c r="E1229" s="613"/>
      <c r="F1229" s="611"/>
      <c r="G1229" s="611"/>
    </row>
    <row r="1230" spans="1:7" ht="15.75" hidden="1" customHeight="1" outlineLevel="2">
      <c r="A1230" s="613"/>
      <c r="B1230" s="612"/>
      <c r="C1230" s="613" t="s">
        <v>78</v>
      </c>
      <c r="D1230" s="612"/>
      <c r="E1230" s="613"/>
      <c r="F1230" s="611"/>
      <c r="G1230" s="611"/>
    </row>
    <row r="1231" spans="1:7" ht="15.75" hidden="1" customHeight="1" outlineLevel="2">
      <c r="A1231" s="613"/>
      <c r="B1231" s="612"/>
      <c r="C1231" s="613" t="s">
        <v>79</v>
      </c>
      <c r="D1231" s="612" t="s">
        <v>33</v>
      </c>
      <c r="E1231" s="613">
        <v>0.05</v>
      </c>
      <c r="F1231" s="611"/>
      <c r="G1231" s="611"/>
    </row>
    <row r="1232" spans="1:7" ht="15.75" hidden="1" customHeight="1" outlineLevel="2">
      <c r="A1232" s="613"/>
      <c r="B1232" s="612"/>
      <c r="C1232" s="613" t="s">
        <v>206</v>
      </c>
      <c r="D1232" s="612" t="s">
        <v>33</v>
      </c>
      <c r="E1232" s="613">
        <v>0.02</v>
      </c>
      <c r="F1232" s="611"/>
      <c r="G1232" s="611"/>
    </row>
    <row r="1233" spans="1:7" ht="15.75" hidden="1" customHeight="1" outlineLevel="2">
      <c r="A1233" s="613"/>
      <c r="B1233" s="612"/>
      <c r="C1233" s="613" t="s">
        <v>80</v>
      </c>
      <c r="D1233" s="612" t="s">
        <v>33</v>
      </c>
      <c r="E1233" s="613">
        <v>2E-3</v>
      </c>
      <c r="F1233" s="611"/>
      <c r="G1233" s="611"/>
    </row>
    <row r="1234" spans="1:7" ht="15.75" hidden="1" customHeight="1" outlineLevel="2">
      <c r="A1234" s="613"/>
      <c r="B1234" s="612"/>
      <c r="C1234" s="613"/>
      <c r="D1234" s="612"/>
      <c r="E1234" s="613"/>
      <c r="F1234" s="611"/>
      <c r="G1234" s="611"/>
    </row>
    <row r="1235" spans="1:7" ht="15.75" hidden="1" customHeight="1" outlineLevel="2">
      <c r="A1235" s="613"/>
      <c r="B1235" s="612"/>
      <c r="C1235" s="613" t="s">
        <v>63</v>
      </c>
      <c r="D1235" s="612"/>
      <c r="E1235" s="613"/>
      <c r="F1235" s="611"/>
      <c r="G1235" s="611"/>
    </row>
    <row r="1236" spans="1:7" ht="15.75" hidden="1" customHeight="1" outlineLevel="2">
      <c r="A1236" s="613"/>
      <c r="B1236" s="612"/>
      <c r="C1236" s="613" t="s">
        <v>239</v>
      </c>
      <c r="D1236" s="612" t="s">
        <v>65</v>
      </c>
      <c r="E1236" s="613">
        <v>0.1</v>
      </c>
      <c r="F1236" s="611"/>
      <c r="G1236" s="611"/>
    </row>
    <row r="1237" spans="1:7" ht="15.75" hidden="1" customHeight="1" outlineLevel="2">
      <c r="A1237" s="613"/>
      <c r="B1237" s="612"/>
      <c r="C1237" s="613" t="s">
        <v>1206</v>
      </c>
      <c r="D1237" s="612" t="s">
        <v>65</v>
      </c>
      <c r="E1237" s="613">
        <v>1.4999999999999999E-2</v>
      </c>
      <c r="F1237" s="611"/>
      <c r="G1237" s="611"/>
    </row>
    <row r="1238" spans="1:7" ht="15.75" hidden="1" customHeight="1" outlineLevel="2">
      <c r="A1238" s="613"/>
      <c r="B1238" s="612"/>
      <c r="C1238" s="613"/>
      <c r="D1238" s="612"/>
      <c r="E1238" s="613"/>
      <c r="F1238" s="611"/>
      <c r="G1238" s="611"/>
    </row>
    <row r="1239" spans="1:7" ht="15.75" customHeight="1" outlineLevel="1" collapsed="1">
      <c r="A1239" s="613" t="s">
        <v>2074</v>
      </c>
      <c r="B1239" s="612">
        <f>B1229+1</f>
        <v>11</v>
      </c>
      <c r="C1239" s="613" t="s">
        <v>1656</v>
      </c>
      <c r="D1239" s="612" t="s">
        <v>180</v>
      </c>
      <c r="E1239" s="613"/>
      <c r="F1239" s="611"/>
      <c r="G1239" s="611"/>
    </row>
    <row r="1240" spans="1:7" ht="15.75" hidden="1" customHeight="1" outlineLevel="2">
      <c r="A1240" s="613"/>
      <c r="B1240" s="612"/>
      <c r="C1240" s="613" t="s">
        <v>78</v>
      </c>
      <c r="D1240" s="612"/>
      <c r="E1240" s="613"/>
      <c r="F1240" s="611"/>
      <c r="G1240" s="611"/>
    </row>
    <row r="1241" spans="1:7" ht="15.75" hidden="1" customHeight="1" outlineLevel="2">
      <c r="A1241" s="613"/>
      <c r="B1241" s="612"/>
      <c r="C1241" s="613" t="s">
        <v>79</v>
      </c>
      <c r="D1241" s="612" t="s">
        <v>33</v>
      </c>
      <c r="E1241" s="613">
        <v>0.5</v>
      </c>
      <c r="F1241" s="611"/>
      <c r="G1241" s="611"/>
    </row>
    <row r="1242" spans="1:7" ht="15.75" hidden="1" customHeight="1" outlineLevel="2">
      <c r="A1242" s="613"/>
      <c r="B1242" s="612"/>
      <c r="C1242" s="613" t="s">
        <v>206</v>
      </c>
      <c r="D1242" s="612" t="s">
        <v>33</v>
      </c>
      <c r="E1242" s="613">
        <v>0.2</v>
      </c>
      <c r="F1242" s="611"/>
      <c r="G1242" s="611"/>
    </row>
    <row r="1243" spans="1:7" ht="15.75" hidden="1" customHeight="1" outlineLevel="2">
      <c r="A1243" s="613"/>
      <c r="B1243" s="612"/>
      <c r="C1243" s="613" t="s">
        <v>80</v>
      </c>
      <c r="D1243" s="612" t="s">
        <v>33</v>
      </c>
      <c r="E1243" s="613">
        <v>0.02</v>
      </c>
      <c r="F1243" s="611"/>
      <c r="G1243" s="611"/>
    </row>
    <row r="1244" spans="1:7" ht="15.75" hidden="1" customHeight="1" outlineLevel="2">
      <c r="A1244" s="613"/>
      <c r="B1244" s="612"/>
      <c r="C1244" s="613"/>
      <c r="D1244" s="612"/>
      <c r="E1244" s="613"/>
      <c r="F1244" s="611"/>
      <c r="G1244" s="611"/>
    </row>
    <row r="1245" spans="1:7" ht="15.75" hidden="1" customHeight="1" outlineLevel="2">
      <c r="A1245" s="613"/>
      <c r="B1245" s="612"/>
      <c r="C1245" s="613" t="s">
        <v>63</v>
      </c>
      <c r="D1245" s="612"/>
      <c r="E1245" s="613"/>
      <c r="F1245" s="611"/>
      <c r="G1245" s="611"/>
    </row>
    <row r="1246" spans="1:7" ht="15.75" hidden="1" customHeight="1" outlineLevel="2">
      <c r="A1246" s="613"/>
      <c r="B1246" s="612"/>
      <c r="C1246" s="613" t="s">
        <v>239</v>
      </c>
      <c r="D1246" s="612" t="s">
        <v>65</v>
      </c>
      <c r="E1246" s="613">
        <v>0.2</v>
      </c>
      <c r="F1246" s="611"/>
      <c r="G1246" s="611"/>
    </row>
    <row r="1247" spans="1:7" ht="15.75" hidden="1" customHeight="1" outlineLevel="2">
      <c r="A1247" s="613"/>
      <c r="B1247" s="612"/>
      <c r="C1247" s="613" t="s">
        <v>240</v>
      </c>
      <c r="D1247" s="612" t="s">
        <v>65</v>
      </c>
      <c r="E1247" s="613">
        <v>0.15</v>
      </c>
      <c r="F1247" s="611"/>
      <c r="G1247" s="611"/>
    </row>
    <row r="1248" spans="1:7" ht="15.75" hidden="1" customHeight="1" outlineLevel="2">
      <c r="A1248" s="613"/>
      <c r="B1248" s="612"/>
      <c r="C1248" s="613"/>
      <c r="D1248" s="612"/>
      <c r="E1248" s="613"/>
      <c r="F1248" s="611"/>
      <c r="G1248" s="611"/>
    </row>
    <row r="1249" spans="1:7" ht="15.75" customHeight="1" outlineLevel="1" collapsed="1">
      <c r="A1249" s="613" t="s">
        <v>2074</v>
      </c>
      <c r="B1249" s="612">
        <f>1+B1239</f>
        <v>12</v>
      </c>
      <c r="C1249" s="613" t="s">
        <v>1657</v>
      </c>
      <c r="D1249" s="612" t="s">
        <v>673</v>
      </c>
      <c r="E1249" s="613"/>
      <c r="F1249" s="611"/>
      <c r="G1249" s="611"/>
    </row>
    <row r="1250" spans="1:7" ht="15.75" customHeight="1" outlineLevel="2">
      <c r="A1250" s="613"/>
      <c r="B1250" s="612"/>
      <c r="C1250" s="613" t="s">
        <v>78</v>
      </c>
      <c r="D1250" s="612"/>
      <c r="E1250" s="613"/>
      <c r="F1250" s="611"/>
      <c r="G1250" s="611"/>
    </row>
    <row r="1251" spans="1:7" ht="15.75" customHeight="1" outlineLevel="2">
      <c r="A1251" s="613"/>
      <c r="B1251" s="612"/>
      <c r="C1251" s="613" t="s">
        <v>233</v>
      </c>
      <c r="D1251" s="612" t="s">
        <v>33</v>
      </c>
      <c r="E1251" s="613">
        <v>1</v>
      </c>
      <c r="F1251" s="611">
        <f>steel_worker</f>
        <v>119350.00000000001</v>
      </c>
      <c r="G1251" s="611">
        <f t="shared" ref="G1251:G1261" si="9">E1251*F1251</f>
        <v>119350.00000000001</v>
      </c>
    </row>
    <row r="1252" spans="1:7" ht="15.75" customHeight="1" outlineLevel="2">
      <c r="A1252" s="613"/>
      <c r="B1252" s="612"/>
      <c r="C1252" s="613" t="s">
        <v>32</v>
      </c>
      <c r="D1252" s="612" t="s">
        <v>33</v>
      </c>
      <c r="E1252" s="613">
        <v>2</v>
      </c>
      <c r="F1252" s="611">
        <f>worker</f>
        <v>107800.00000000001</v>
      </c>
      <c r="G1252" s="611">
        <f t="shared" si="9"/>
        <v>215600.00000000003</v>
      </c>
    </row>
    <row r="1253" spans="1:7" ht="15.75" customHeight="1" outlineLevel="2">
      <c r="A1253" s="613"/>
      <c r="B1253" s="612"/>
      <c r="C1253" s="613" t="s">
        <v>36</v>
      </c>
      <c r="D1253" s="612" t="s">
        <v>33</v>
      </c>
      <c r="E1253" s="613">
        <v>0.5</v>
      </c>
      <c r="F1253" s="611">
        <f>supervisor</f>
        <v>119350.00000000001</v>
      </c>
      <c r="G1253" s="611">
        <f t="shared" si="9"/>
        <v>59675.000000000007</v>
      </c>
    </row>
    <row r="1254" spans="1:7" ht="15.75" customHeight="1" outlineLevel="2">
      <c r="A1254" s="613"/>
      <c r="B1254" s="612"/>
      <c r="C1254" s="613" t="s">
        <v>187</v>
      </c>
      <c r="D1254" s="612" t="s">
        <v>33</v>
      </c>
      <c r="E1254" s="613">
        <v>0.25</v>
      </c>
      <c r="F1254" s="611">
        <f>welder</f>
        <v>127600.00000000001</v>
      </c>
      <c r="G1254" s="611">
        <f t="shared" si="9"/>
        <v>31900.000000000004</v>
      </c>
    </row>
    <row r="1255" spans="1:7" ht="15.75" customHeight="1" outlineLevel="2">
      <c r="A1255" s="613"/>
      <c r="B1255" s="612"/>
      <c r="C1255" s="613"/>
      <c r="D1255" s="612"/>
      <c r="E1255" s="613"/>
      <c r="F1255" s="611"/>
      <c r="G1255" s="611">
        <f t="shared" si="9"/>
        <v>0</v>
      </c>
    </row>
    <row r="1256" spans="1:7" ht="15.75" customHeight="1" outlineLevel="2">
      <c r="A1256" s="613"/>
      <c r="B1256" s="612"/>
      <c r="C1256" s="613" t="s">
        <v>63</v>
      </c>
      <c r="D1256" s="612"/>
      <c r="E1256" s="613"/>
      <c r="F1256" s="611"/>
      <c r="G1256" s="611">
        <f t="shared" si="9"/>
        <v>0</v>
      </c>
    </row>
    <row r="1257" spans="1:7" ht="15.75" customHeight="1" outlineLevel="2">
      <c r="A1257" s="613"/>
      <c r="B1257" s="612"/>
      <c r="C1257" s="613" t="s">
        <v>234</v>
      </c>
      <c r="D1257" s="612" t="s">
        <v>65</v>
      </c>
      <c r="E1257" s="613">
        <v>0.05</v>
      </c>
      <c r="F1257" s="611">
        <f>welding_machine_day</f>
        <v>891000.00000000012</v>
      </c>
      <c r="G1257" s="611">
        <f t="shared" si="9"/>
        <v>44550.000000000007</v>
      </c>
    </row>
    <row r="1258" spans="1:7" ht="15.75" customHeight="1" outlineLevel="2">
      <c r="A1258" s="613"/>
      <c r="B1258" s="612"/>
      <c r="C1258" s="613" t="s">
        <v>235</v>
      </c>
      <c r="D1258" s="612" t="s">
        <v>65</v>
      </c>
      <c r="E1258" s="613">
        <v>0.05</v>
      </c>
      <c r="F1258" s="611">
        <f>genset_5kVA</f>
        <v>4287694.4000000004</v>
      </c>
      <c r="G1258" s="611">
        <f t="shared" si="9"/>
        <v>214384.72000000003</v>
      </c>
    </row>
    <row r="1259" spans="1:7" ht="15.75" customHeight="1" outlineLevel="2">
      <c r="A1259" s="613"/>
      <c r="B1259" s="612"/>
      <c r="C1259" s="613" t="s">
        <v>236</v>
      </c>
      <c r="D1259" s="612"/>
      <c r="E1259" s="613"/>
      <c r="F1259" s="611"/>
      <c r="G1259" s="611">
        <f t="shared" si="9"/>
        <v>0</v>
      </c>
    </row>
    <row r="1260" spans="1:7" ht="15.75" customHeight="1" outlineLevel="2">
      <c r="A1260" s="613"/>
      <c r="B1260" s="612"/>
      <c r="C1260" s="613" t="s">
        <v>237</v>
      </c>
      <c r="D1260" s="612"/>
      <c r="E1260" s="613"/>
      <c r="F1260" s="611"/>
      <c r="G1260" s="611">
        <f t="shared" si="9"/>
        <v>0</v>
      </c>
    </row>
    <row r="1261" spans="1:7" ht="15.75" customHeight="1" outlineLevel="2">
      <c r="A1261" s="613"/>
      <c r="B1261" s="612"/>
      <c r="C1261" s="613" t="s">
        <v>238</v>
      </c>
      <c r="D1261" s="612" t="s">
        <v>57</v>
      </c>
      <c r="E1261" s="613">
        <v>0.5</v>
      </c>
      <c r="F1261" s="611">
        <f>bbm</f>
        <v>12100.000000000002</v>
      </c>
      <c r="G1261" s="611">
        <f t="shared" si="9"/>
        <v>6050.0000000000009</v>
      </c>
    </row>
    <row r="1262" spans="1:7" ht="15.75" customHeight="1" outlineLevel="2">
      <c r="A1262" s="613"/>
      <c r="B1262" s="612"/>
      <c r="C1262" s="613"/>
      <c r="D1262" s="612"/>
      <c r="E1262" s="613"/>
      <c r="F1262" s="611"/>
      <c r="G1262" s="790">
        <f>SUM(G1251:G1261)</f>
        <v>691509.72000000009</v>
      </c>
    </row>
    <row r="1263" spans="1:7" ht="15.75" customHeight="1" outlineLevel="1">
      <c r="A1263" s="613" t="s">
        <v>2074</v>
      </c>
      <c r="B1263" s="612">
        <f>1+B1249</f>
        <v>13</v>
      </c>
      <c r="C1263" s="613" t="s">
        <v>1670</v>
      </c>
      <c r="D1263" s="612" t="s">
        <v>3</v>
      </c>
      <c r="E1263" s="613"/>
      <c r="F1263" s="611"/>
      <c r="G1263" s="611"/>
    </row>
    <row r="1264" spans="1:7" ht="15.75" hidden="1" customHeight="1" outlineLevel="2">
      <c r="A1264" s="613"/>
      <c r="B1264" s="612"/>
      <c r="C1264" s="613" t="s">
        <v>78</v>
      </c>
      <c r="D1264" s="612"/>
      <c r="E1264" s="613"/>
      <c r="F1264" s="611"/>
      <c r="G1264" s="611"/>
    </row>
    <row r="1265" spans="1:13" ht="15.75" hidden="1" customHeight="1" outlineLevel="2">
      <c r="A1265" s="613"/>
      <c r="B1265" s="612"/>
      <c r="C1265" s="613" t="s">
        <v>32</v>
      </c>
      <c r="D1265" s="612" t="s">
        <v>33</v>
      </c>
      <c r="E1265" s="613">
        <v>0.2</v>
      </c>
      <c r="F1265" s="611"/>
      <c r="G1265" s="611"/>
    </row>
    <row r="1266" spans="1:13" ht="15.75" hidden="1" customHeight="1" outlineLevel="2">
      <c r="A1266" s="613"/>
      <c r="B1266" s="612"/>
      <c r="C1266" s="613" t="s">
        <v>36</v>
      </c>
      <c r="D1266" s="612" t="s">
        <v>33</v>
      </c>
      <c r="E1266" s="613">
        <v>0.08</v>
      </c>
      <c r="F1266" s="611"/>
      <c r="G1266" s="611"/>
    </row>
    <row r="1267" spans="1:13" ht="15.75" hidden="1" customHeight="1" outlineLevel="2">
      <c r="A1267" s="613"/>
      <c r="B1267" s="612"/>
      <c r="C1267" s="613"/>
      <c r="D1267" s="612"/>
      <c r="E1267" s="613"/>
      <c r="F1267" s="611"/>
      <c r="G1267" s="611"/>
    </row>
    <row r="1268" spans="1:13" ht="15.75" hidden="1" customHeight="1" outlineLevel="2">
      <c r="A1268" s="613"/>
      <c r="B1268" s="612"/>
      <c r="C1268" s="613" t="s">
        <v>236</v>
      </c>
      <c r="D1268" s="612"/>
      <c r="E1268" s="613"/>
      <c r="F1268" s="611"/>
      <c r="G1268" s="611"/>
    </row>
    <row r="1269" spans="1:13" ht="15.75" hidden="1" customHeight="1" outlineLevel="2">
      <c r="A1269" s="613"/>
      <c r="B1269" s="612"/>
      <c r="C1269" s="613" t="s">
        <v>237</v>
      </c>
      <c r="D1269" s="612"/>
      <c r="E1269" s="613"/>
      <c r="F1269" s="611"/>
      <c r="G1269" s="611"/>
    </row>
    <row r="1270" spans="1:13" ht="15.75" hidden="1" customHeight="1" outlineLevel="2">
      <c r="A1270" s="613"/>
      <c r="B1270" s="612"/>
      <c r="C1270" s="613" t="s">
        <v>241</v>
      </c>
      <c r="D1270" s="612" t="s">
        <v>2</v>
      </c>
      <c r="E1270" s="613">
        <f>1/200</f>
        <v>5.0000000000000001E-3</v>
      </c>
      <c r="F1270" s="611"/>
      <c r="G1270" s="611"/>
    </row>
    <row r="1271" spans="1:13" ht="15.75" hidden="1" customHeight="1" outlineLevel="2">
      <c r="A1271" s="613"/>
      <c r="B1271" s="612"/>
      <c r="C1271" s="613"/>
      <c r="D1271" s="612"/>
      <c r="E1271" s="613"/>
      <c r="F1271" s="611"/>
      <c r="G1271" s="611"/>
    </row>
    <row r="1272" spans="1:13" ht="15.75" customHeight="1" outlineLevel="1" collapsed="1">
      <c r="A1272" s="613" t="s">
        <v>2074</v>
      </c>
      <c r="B1272" s="612">
        <f>1+B1263</f>
        <v>14</v>
      </c>
      <c r="C1272" s="613" t="s">
        <v>1658</v>
      </c>
      <c r="D1272" s="612" t="s">
        <v>3</v>
      </c>
      <c r="E1272" s="613"/>
      <c r="F1272" s="611"/>
      <c r="G1272" s="611"/>
    </row>
    <row r="1273" spans="1:13" ht="15.75" hidden="1" customHeight="1" outlineLevel="2">
      <c r="A1273" s="613"/>
      <c r="B1273" s="612"/>
      <c r="C1273" s="613" t="s">
        <v>63</v>
      </c>
      <c r="D1273" s="612"/>
      <c r="E1273" s="613"/>
      <c r="F1273" s="611"/>
      <c r="G1273" s="611"/>
    </row>
    <row r="1274" spans="1:13" ht="15.75" hidden="1" customHeight="1" outlineLevel="2">
      <c r="A1274" s="613"/>
      <c r="B1274" s="612"/>
      <c r="C1274" s="613" t="s">
        <v>926</v>
      </c>
      <c r="D1274" s="612" t="s">
        <v>98</v>
      </c>
      <c r="E1274" s="613">
        <v>0.125</v>
      </c>
      <c r="F1274" s="611">
        <v>2576000</v>
      </c>
      <c r="G1274" s="611">
        <f>E1274*F1274</f>
        <v>322000</v>
      </c>
    </row>
    <row r="1275" spans="1:13" ht="15.75" hidden="1" customHeight="1" outlineLevel="2">
      <c r="A1275" s="613"/>
      <c r="B1275" s="612"/>
      <c r="C1275" s="613" t="s">
        <v>1072</v>
      </c>
      <c r="D1275" s="612" t="s">
        <v>98</v>
      </c>
      <c r="E1275" s="613">
        <v>6.25E-2</v>
      </c>
      <c r="F1275" s="611">
        <f>forklift*8</f>
        <v>1925000.0000000002</v>
      </c>
      <c r="G1275" s="611">
        <f>E1275*F1275</f>
        <v>120312.50000000001</v>
      </c>
    </row>
    <row r="1276" spans="1:13" ht="15.75" hidden="1" customHeight="1" outlineLevel="2">
      <c r="A1276" s="613"/>
      <c r="B1276" s="612"/>
      <c r="C1276" s="613" t="s">
        <v>1071</v>
      </c>
      <c r="D1276" s="612" t="s">
        <v>98</v>
      </c>
      <c r="E1276" s="613">
        <v>0.5</v>
      </c>
      <c r="F1276" s="611">
        <f>tripod</f>
        <v>220000.00000000003</v>
      </c>
      <c r="G1276" s="611">
        <f>E1276*F1276</f>
        <v>110000.00000000001</v>
      </c>
    </row>
    <row r="1277" spans="1:13" ht="15.75" hidden="1" customHeight="1" outlineLevel="2">
      <c r="A1277" s="613"/>
      <c r="B1277" s="612"/>
      <c r="C1277" s="613" t="s">
        <v>1069</v>
      </c>
      <c r="D1277" s="612" t="s">
        <v>98</v>
      </c>
      <c r="E1277" s="613">
        <v>0.5</v>
      </c>
      <c r="F1277" s="611">
        <f>chain_block_5ton*8</f>
        <v>132602.712</v>
      </c>
      <c r="G1277" s="611">
        <f>E1277*F1277</f>
        <v>66301.356</v>
      </c>
    </row>
    <row r="1278" spans="1:13" ht="15.75" hidden="1" customHeight="1" outlineLevel="2">
      <c r="A1278" s="613"/>
      <c r="B1278" s="612"/>
      <c r="C1278" s="613"/>
      <c r="D1278" s="612"/>
      <c r="E1278" s="613"/>
      <c r="F1278" s="611"/>
      <c r="G1278" s="611"/>
    </row>
    <row r="1279" spans="1:13" ht="15.75" hidden="1" customHeight="1" outlineLevel="2">
      <c r="A1279" s="613"/>
      <c r="B1279" s="612"/>
      <c r="C1279" s="613" t="s">
        <v>92</v>
      </c>
      <c r="D1279" s="612"/>
      <c r="E1279" s="613"/>
      <c r="F1279" s="611"/>
      <c r="G1279" s="611"/>
      <c r="J1279" s="633" t="s">
        <v>1205</v>
      </c>
    </row>
    <row r="1280" spans="1:13" ht="15.75" hidden="1" customHeight="1" outlineLevel="2">
      <c r="A1280" s="613"/>
      <c r="B1280" s="612"/>
      <c r="C1280" s="613" t="s">
        <v>1204</v>
      </c>
      <c r="D1280" s="612" t="s">
        <v>921</v>
      </c>
      <c r="E1280" s="613">
        <f>J1280/L1280</f>
        <v>0.16</v>
      </c>
      <c r="F1280" s="611">
        <f>worker</f>
        <v>107800.00000000001</v>
      </c>
      <c r="G1280" s="611">
        <f>E1280*F1280</f>
        <v>17248.000000000004</v>
      </c>
      <c r="J1280" s="633">
        <v>2</v>
      </c>
      <c r="K1280" s="633" t="s">
        <v>1199</v>
      </c>
      <c r="L1280" s="633">
        <f>100/8</f>
        <v>12.5</v>
      </c>
      <c r="M1280" s="633" t="s">
        <v>1203</v>
      </c>
    </row>
    <row r="1281" spans="1:13" ht="15.75" hidden="1" customHeight="1" outlineLevel="2">
      <c r="A1281" s="613"/>
      <c r="B1281" s="612"/>
      <c r="C1281" s="613" t="s">
        <v>1202</v>
      </c>
      <c r="D1281" s="612" t="s">
        <v>921</v>
      </c>
      <c r="E1281" s="613">
        <f>J1281/L1281</f>
        <v>0.16</v>
      </c>
      <c r="F1281" s="611">
        <f>steel_worker</f>
        <v>119350.00000000001</v>
      </c>
      <c r="G1281" s="611">
        <f>E1281*F1281</f>
        <v>19096.000000000004</v>
      </c>
      <c r="J1281" s="633">
        <v>2</v>
      </c>
      <c r="K1281" s="633" t="s">
        <v>1199</v>
      </c>
      <c r="L1281" s="633">
        <f>100/8</f>
        <v>12.5</v>
      </c>
      <c r="M1281" s="633" t="s">
        <v>939</v>
      </c>
    </row>
    <row r="1282" spans="1:13" ht="15.75" hidden="1" customHeight="1" outlineLevel="2">
      <c r="A1282" s="613"/>
      <c r="B1282" s="612"/>
      <c r="C1282" s="613" t="s">
        <v>1201</v>
      </c>
      <c r="D1282" s="612" t="s">
        <v>921</v>
      </c>
      <c r="E1282" s="613">
        <f>J1282/L1282</f>
        <v>0.08</v>
      </c>
      <c r="F1282" s="611">
        <f>supervisor</f>
        <v>119350.00000000001</v>
      </c>
      <c r="G1282" s="611">
        <f>E1282*F1282</f>
        <v>9548.0000000000018</v>
      </c>
      <c r="J1282" s="633">
        <v>1</v>
      </c>
      <c r="K1282" s="633" t="s">
        <v>1199</v>
      </c>
      <c r="L1282" s="633">
        <f>100/8</f>
        <v>12.5</v>
      </c>
      <c r="M1282" s="633" t="s">
        <v>939</v>
      </c>
    </row>
    <row r="1283" spans="1:13" ht="15.75" hidden="1" customHeight="1" outlineLevel="2">
      <c r="A1283" s="613"/>
      <c r="B1283" s="612"/>
      <c r="C1283" s="613" t="s">
        <v>1200</v>
      </c>
      <c r="D1283" s="612" t="s">
        <v>921</v>
      </c>
      <c r="E1283" s="613">
        <f>J1283/L1283</f>
        <v>0.08</v>
      </c>
      <c r="F1283" s="611">
        <f>supervisor</f>
        <v>119350.00000000001</v>
      </c>
      <c r="G1283" s="611">
        <f>E1283*F1283</f>
        <v>9548.0000000000018</v>
      </c>
      <c r="J1283" s="633">
        <v>1</v>
      </c>
      <c r="K1283" s="633" t="s">
        <v>1199</v>
      </c>
      <c r="L1283" s="633">
        <f>100/8</f>
        <v>12.5</v>
      </c>
      <c r="M1283" s="633" t="s">
        <v>939</v>
      </c>
    </row>
    <row r="1284" spans="1:13" ht="15.75" hidden="1" customHeight="1" outlineLevel="2">
      <c r="A1284" s="613"/>
      <c r="B1284" s="612"/>
      <c r="C1284" s="613"/>
      <c r="D1284" s="612"/>
      <c r="E1284" s="613"/>
      <c r="F1284" s="611"/>
      <c r="G1284" s="611">
        <f>SUM(G1273:G1283)</f>
        <v>674053.85600000003</v>
      </c>
    </row>
    <row r="1285" spans="1:13" ht="15.75" customHeight="1" outlineLevel="1" collapsed="1">
      <c r="A1285" s="613" t="s">
        <v>2074</v>
      </c>
      <c r="B1285" s="612">
        <f>1+B1272</f>
        <v>15</v>
      </c>
      <c r="C1285" s="613" t="s">
        <v>1669</v>
      </c>
      <c r="D1285" s="612" t="s">
        <v>26</v>
      </c>
      <c r="E1285" s="613"/>
      <c r="F1285" s="611"/>
      <c r="G1285" s="611"/>
    </row>
    <row r="1286" spans="1:13" ht="15.75" hidden="1" customHeight="1" outlineLevel="2">
      <c r="A1286" s="613"/>
      <c r="B1286" s="612"/>
      <c r="C1286" s="613" t="s">
        <v>78</v>
      </c>
      <c r="D1286" s="612"/>
      <c r="E1286" s="613"/>
      <c r="F1286" s="611"/>
      <c r="G1286" s="611"/>
    </row>
    <row r="1287" spans="1:13" ht="15.75" hidden="1" customHeight="1" outlineLevel="2">
      <c r="A1287" s="613"/>
      <c r="B1287" s="612"/>
      <c r="C1287" s="613" t="s">
        <v>32</v>
      </c>
      <c r="D1287" s="612" t="s">
        <v>33</v>
      </c>
      <c r="E1287" s="613">
        <v>0.5</v>
      </c>
      <c r="F1287" s="611">
        <f>worker</f>
        <v>107800.00000000001</v>
      </c>
      <c r="G1287" s="611">
        <f t="shared" ref="G1287:G1295" si="10">E1287*F1287</f>
        <v>53900.000000000007</v>
      </c>
    </row>
    <row r="1288" spans="1:13" ht="15.75" hidden="1" customHeight="1" outlineLevel="2">
      <c r="A1288" s="613"/>
      <c r="B1288" s="612"/>
      <c r="C1288" s="613" t="s">
        <v>36</v>
      </c>
      <c r="D1288" s="612" t="s">
        <v>33</v>
      </c>
      <c r="E1288" s="613">
        <v>0.05</v>
      </c>
      <c r="F1288" s="611">
        <f>supervisor</f>
        <v>119350.00000000001</v>
      </c>
      <c r="G1288" s="611">
        <f t="shared" si="10"/>
        <v>5967.5000000000009</v>
      </c>
    </row>
    <row r="1289" spans="1:13" ht="15.75" hidden="1" customHeight="1" outlineLevel="2">
      <c r="A1289" s="613"/>
      <c r="B1289" s="612"/>
      <c r="C1289" s="613" t="s">
        <v>113</v>
      </c>
      <c r="D1289" s="612" t="s">
        <v>33</v>
      </c>
      <c r="E1289" s="613">
        <v>2.5000000000000001E-2</v>
      </c>
      <c r="F1289" s="611">
        <f>operator</f>
        <v>191914.80000000002</v>
      </c>
      <c r="G1289" s="611">
        <f t="shared" si="10"/>
        <v>4797.8700000000008</v>
      </c>
    </row>
    <row r="1290" spans="1:13" ht="15.75" hidden="1" customHeight="1" outlineLevel="2">
      <c r="A1290" s="613"/>
      <c r="B1290" s="612"/>
      <c r="C1290" s="613"/>
      <c r="D1290" s="612"/>
      <c r="E1290" s="613"/>
      <c r="F1290" s="611"/>
      <c r="G1290" s="611">
        <f t="shared" si="10"/>
        <v>0</v>
      </c>
    </row>
    <row r="1291" spans="1:13" ht="15.75" hidden="1" customHeight="1" outlineLevel="2">
      <c r="A1291" s="613"/>
      <c r="B1291" s="612"/>
      <c r="C1291" s="613" t="s">
        <v>63</v>
      </c>
      <c r="D1291" s="612"/>
      <c r="E1291" s="613"/>
      <c r="F1291" s="611"/>
      <c r="G1291" s="611">
        <f t="shared" si="10"/>
        <v>0</v>
      </c>
    </row>
    <row r="1292" spans="1:13" ht="15.75" hidden="1" customHeight="1" outlineLevel="2">
      <c r="A1292" s="613"/>
      <c r="B1292" s="612"/>
      <c r="C1292" s="613" t="s">
        <v>1198</v>
      </c>
      <c r="D1292" s="612" t="s">
        <v>65</v>
      </c>
      <c r="E1292" s="613">
        <v>0.02</v>
      </c>
      <c r="F1292" s="611" t="e">
        <f>mobile_crane</f>
        <v>#NAME?</v>
      </c>
      <c r="G1292" s="611" t="e">
        <f t="shared" si="10"/>
        <v>#NAME?</v>
      </c>
    </row>
    <row r="1293" spans="1:13" ht="15.75" hidden="1" customHeight="1" outlineLevel="2">
      <c r="A1293" s="613"/>
      <c r="B1293" s="612"/>
      <c r="C1293" s="613" t="s">
        <v>236</v>
      </c>
      <c r="D1293" s="612"/>
      <c r="E1293" s="613"/>
      <c r="F1293" s="611"/>
      <c r="G1293" s="611">
        <f t="shared" si="10"/>
        <v>0</v>
      </c>
    </row>
    <row r="1294" spans="1:13" ht="15.75" hidden="1" customHeight="1" outlineLevel="2">
      <c r="A1294" s="613"/>
      <c r="B1294" s="612"/>
      <c r="C1294" s="613" t="s">
        <v>237</v>
      </c>
      <c r="D1294" s="612"/>
      <c r="E1294" s="613"/>
      <c r="F1294" s="611"/>
      <c r="G1294" s="611">
        <f t="shared" si="10"/>
        <v>0</v>
      </c>
    </row>
    <row r="1295" spans="1:13" ht="15.75" hidden="1" customHeight="1" outlineLevel="2">
      <c r="A1295" s="613"/>
      <c r="B1295" s="612"/>
      <c r="C1295" s="613" t="s">
        <v>238</v>
      </c>
      <c r="D1295" s="612" t="s">
        <v>57</v>
      </c>
      <c r="E1295" s="613">
        <v>0.5</v>
      </c>
      <c r="F1295" s="611">
        <f>bbm</f>
        <v>12100.000000000002</v>
      </c>
      <c r="G1295" s="611">
        <f t="shared" si="10"/>
        <v>6050.0000000000009</v>
      </c>
    </row>
    <row r="1296" spans="1:13" ht="15.75" hidden="1" customHeight="1" outlineLevel="2">
      <c r="A1296" s="613"/>
      <c r="B1296" s="612"/>
      <c r="C1296" s="613"/>
      <c r="D1296" s="612"/>
      <c r="E1296" s="613"/>
      <c r="F1296" s="611"/>
      <c r="G1296" s="611" t="e">
        <f>SUM(G1287:G1295)</f>
        <v>#NAME?</v>
      </c>
    </row>
    <row r="1297" spans="1:7" ht="15.75" customHeight="1" outlineLevel="1" collapsed="1">
      <c r="A1297" s="613" t="s">
        <v>2074</v>
      </c>
      <c r="B1297" s="612">
        <f>1+B1285</f>
        <v>16</v>
      </c>
      <c r="C1297" s="613" t="s">
        <v>1659</v>
      </c>
      <c r="D1297" s="612" t="s">
        <v>3</v>
      </c>
      <c r="E1297" s="613"/>
      <c r="F1297" s="611"/>
      <c r="G1297" s="611"/>
    </row>
    <row r="1298" spans="1:7" ht="15.75" hidden="1" customHeight="1" outlineLevel="2">
      <c r="A1298" s="613"/>
      <c r="B1298" s="612"/>
      <c r="C1298" s="613" t="s">
        <v>1052</v>
      </c>
      <c r="D1298" s="612"/>
      <c r="E1298" s="613"/>
      <c r="F1298" s="611"/>
      <c r="G1298" s="611"/>
    </row>
    <row r="1299" spans="1:7" ht="15.75" hidden="1" customHeight="1" outlineLevel="2">
      <c r="A1299" s="613"/>
      <c r="B1299" s="612"/>
      <c r="C1299" s="613" t="s">
        <v>32</v>
      </c>
      <c r="D1299" s="612" t="s">
        <v>33</v>
      </c>
      <c r="E1299" s="613">
        <v>0.12</v>
      </c>
      <c r="F1299" s="611">
        <f>worker</f>
        <v>107800.00000000001</v>
      </c>
      <c r="G1299" s="611">
        <f>E1299*F1299</f>
        <v>12936.000000000002</v>
      </c>
    </row>
    <row r="1300" spans="1:7" ht="15.75" hidden="1" customHeight="1" outlineLevel="2">
      <c r="A1300" s="613"/>
      <c r="B1300" s="612"/>
      <c r="C1300" s="613" t="s">
        <v>36</v>
      </c>
      <c r="D1300" s="612" t="s">
        <v>33</v>
      </c>
      <c r="E1300" s="613">
        <f>0.012+0.0012</f>
        <v>1.32E-2</v>
      </c>
      <c r="F1300" s="611">
        <f>supervisor</f>
        <v>119350.00000000001</v>
      </c>
      <c r="G1300" s="611">
        <f>E1300*F1300</f>
        <v>1575.42</v>
      </c>
    </row>
    <row r="1301" spans="1:7" ht="15.75" hidden="1" customHeight="1" outlineLevel="2">
      <c r="A1301" s="613"/>
      <c r="B1301" s="612"/>
      <c r="C1301" s="613" t="s">
        <v>113</v>
      </c>
      <c r="D1301" s="612" t="s">
        <v>33</v>
      </c>
      <c r="E1301" s="613">
        <v>2.4E-2</v>
      </c>
      <c r="F1301" s="611">
        <f>operator</f>
        <v>191914.80000000002</v>
      </c>
      <c r="G1301" s="611">
        <f>E1301*F1301</f>
        <v>4605.9552000000003</v>
      </c>
    </row>
    <row r="1302" spans="1:7" ht="15.75" hidden="1" customHeight="1" outlineLevel="2">
      <c r="A1302" s="613"/>
      <c r="B1302" s="612"/>
      <c r="C1302" s="613"/>
      <c r="D1302" s="612"/>
      <c r="E1302" s="613"/>
      <c r="F1302" s="611"/>
      <c r="G1302" s="611"/>
    </row>
    <row r="1303" spans="1:7" ht="15.75" hidden="1" customHeight="1" outlineLevel="2">
      <c r="A1303" s="613"/>
      <c r="B1303" s="612"/>
      <c r="C1303" s="613" t="s">
        <v>63</v>
      </c>
      <c r="D1303" s="612"/>
      <c r="E1303" s="613"/>
      <c r="F1303" s="611"/>
      <c r="G1303" s="611"/>
    </row>
    <row r="1304" spans="1:7" ht="15.75" hidden="1" customHeight="1" outlineLevel="2">
      <c r="A1304" s="613"/>
      <c r="B1304" s="612"/>
      <c r="C1304" s="613" t="s">
        <v>1141</v>
      </c>
      <c r="D1304" s="612" t="s">
        <v>72</v>
      </c>
      <c r="E1304" s="613">
        <v>0.12</v>
      </c>
      <c r="F1304" s="611">
        <f>excavator_0.8m3</f>
        <v>704803</v>
      </c>
      <c r="G1304" s="611">
        <f>E1304*F1304</f>
        <v>84576.36</v>
      </c>
    </row>
    <row r="1305" spans="1:7" ht="15.75" hidden="1" customHeight="1" outlineLevel="2">
      <c r="A1305" s="613"/>
      <c r="B1305" s="612"/>
      <c r="C1305" s="613" t="s">
        <v>105</v>
      </c>
      <c r="D1305" s="612" t="s">
        <v>72</v>
      </c>
      <c r="E1305" s="613">
        <v>0.12</v>
      </c>
      <c r="F1305" s="611">
        <f>dump_truck_5m3</f>
        <v>1161622.4400000002</v>
      </c>
      <c r="G1305" s="611">
        <f>E1305*F1305</f>
        <v>139394.69280000002</v>
      </c>
    </row>
    <row r="1306" spans="1:7" ht="15.75" hidden="1" customHeight="1" outlineLevel="2">
      <c r="A1306" s="613"/>
      <c r="B1306" s="612"/>
      <c r="C1306" s="613"/>
      <c r="D1306" s="612"/>
      <c r="E1306" s="613"/>
      <c r="F1306" s="611"/>
      <c r="G1306" s="611"/>
    </row>
    <row r="1307" spans="1:7" ht="15.75" hidden="1" customHeight="1" outlineLevel="2">
      <c r="A1307" s="613"/>
      <c r="B1307" s="612"/>
      <c r="C1307" s="613" t="s">
        <v>93</v>
      </c>
      <c r="D1307" s="612"/>
      <c r="E1307" s="613"/>
      <c r="F1307" s="611"/>
      <c r="G1307" s="611"/>
    </row>
    <row r="1308" spans="1:7" ht="15.75" hidden="1" customHeight="1" outlineLevel="2">
      <c r="A1308" s="613"/>
      <c r="B1308" s="612"/>
      <c r="C1308" s="613" t="s">
        <v>1197</v>
      </c>
      <c r="D1308" s="612" t="s">
        <v>57</v>
      </c>
      <c r="E1308" s="613">
        <v>2</v>
      </c>
      <c r="F1308" s="611">
        <f>bbm</f>
        <v>12100.000000000002</v>
      </c>
      <c r="G1308" s="611">
        <f>E1308*F1308</f>
        <v>24200.000000000004</v>
      </c>
    </row>
    <row r="1309" spans="1:7" ht="15.75" hidden="1" customHeight="1" outlineLevel="2">
      <c r="A1309" s="613"/>
      <c r="B1309" s="612"/>
      <c r="C1309" s="613"/>
      <c r="D1309" s="612"/>
      <c r="E1309" s="613"/>
      <c r="F1309" s="611"/>
      <c r="G1309" s="611">
        <f>SUM(G1299:G1308)</f>
        <v>267288.42800000001</v>
      </c>
    </row>
    <row r="1310" spans="1:7" ht="15.75" customHeight="1" outlineLevel="1" collapsed="1">
      <c r="A1310" s="613" t="s">
        <v>2074</v>
      </c>
      <c r="B1310" s="612">
        <f>1+B1297</f>
        <v>17</v>
      </c>
      <c r="C1310" s="613" t="s">
        <v>1660</v>
      </c>
      <c r="D1310" s="612" t="s">
        <v>2</v>
      </c>
      <c r="E1310" s="613"/>
      <c r="F1310" s="611"/>
      <c r="G1310" s="611"/>
    </row>
    <row r="1311" spans="1:7" ht="15.75" hidden="1" customHeight="1" outlineLevel="2">
      <c r="A1311" s="613"/>
      <c r="B1311" s="612"/>
      <c r="C1311" s="613" t="s">
        <v>78</v>
      </c>
      <c r="D1311" s="612"/>
      <c r="E1311" s="613"/>
      <c r="F1311" s="611"/>
      <c r="G1311" s="611"/>
    </row>
    <row r="1312" spans="1:7" ht="15.75" hidden="1" customHeight="1" outlineLevel="2">
      <c r="A1312" s="613"/>
      <c r="B1312" s="612"/>
      <c r="C1312" s="613" t="s">
        <v>233</v>
      </c>
      <c r="D1312" s="612" t="s">
        <v>33</v>
      </c>
      <c r="E1312" s="613">
        <v>5</v>
      </c>
      <c r="F1312" s="611"/>
      <c r="G1312" s="611"/>
    </row>
    <row r="1313" spans="1:7" ht="15.75" hidden="1" customHeight="1" outlineLevel="2">
      <c r="A1313" s="613"/>
      <c r="B1313" s="612"/>
      <c r="C1313" s="613" t="s">
        <v>32</v>
      </c>
      <c r="D1313" s="612" t="s">
        <v>33</v>
      </c>
      <c r="E1313" s="613">
        <v>10</v>
      </c>
      <c r="F1313" s="611"/>
      <c r="G1313" s="611"/>
    </row>
    <row r="1314" spans="1:7" ht="15.75" hidden="1" customHeight="1" outlineLevel="2">
      <c r="A1314" s="613"/>
      <c r="B1314" s="612"/>
      <c r="C1314" s="613" t="s">
        <v>36</v>
      </c>
      <c r="D1314" s="612" t="s">
        <v>33</v>
      </c>
      <c r="E1314" s="613">
        <v>1</v>
      </c>
      <c r="F1314" s="611"/>
      <c r="G1314" s="611"/>
    </row>
    <row r="1315" spans="1:7" ht="15.75" hidden="1" customHeight="1" outlineLevel="2">
      <c r="A1315" s="613"/>
      <c r="B1315" s="612"/>
      <c r="C1315" s="613" t="s">
        <v>187</v>
      </c>
      <c r="D1315" s="612" t="s">
        <v>33</v>
      </c>
      <c r="E1315" s="613">
        <v>0.5</v>
      </c>
      <c r="F1315" s="611"/>
      <c r="G1315" s="611"/>
    </row>
    <row r="1316" spans="1:7" ht="15.75" hidden="1" customHeight="1" outlineLevel="2">
      <c r="A1316" s="613"/>
      <c r="B1316" s="612"/>
      <c r="C1316" s="613"/>
      <c r="D1316" s="612"/>
      <c r="E1316" s="613"/>
      <c r="F1316" s="611"/>
      <c r="G1316" s="611"/>
    </row>
    <row r="1317" spans="1:7" ht="15.75" hidden="1" customHeight="1" outlineLevel="2">
      <c r="A1317" s="613"/>
      <c r="B1317" s="612"/>
      <c r="C1317" s="613" t="s">
        <v>63</v>
      </c>
      <c r="D1317" s="612"/>
      <c r="E1317" s="613"/>
      <c r="F1317" s="611"/>
      <c r="G1317" s="611"/>
    </row>
    <row r="1318" spans="1:7" ht="15.75" hidden="1" customHeight="1" outlineLevel="2">
      <c r="A1318" s="613"/>
      <c r="B1318" s="612"/>
      <c r="C1318" s="613" t="s">
        <v>227</v>
      </c>
      <c r="D1318" s="612"/>
      <c r="E1318" s="613"/>
      <c r="F1318" s="611"/>
      <c r="G1318" s="611"/>
    </row>
    <row r="1319" spans="1:7" ht="15.75" hidden="1" customHeight="1" outlineLevel="2">
      <c r="A1319" s="613"/>
      <c r="B1319" s="612"/>
      <c r="C1319" s="613" t="s">
        <v>228</v>
      </c>
      <c r="D1319" s="612" t="s">
        <v>65</v>
      </c>
      <c r="E1319" s="613">
        <f>4/8</f>
        <v>0.5</v>
      </c>
      <c r="F1319" s="611"/>
      <c r="G1319" s="611"/>
    </row>
    <row r="1320" spans="1:7" ht="15.75" hidden="1" customHeight="1" outlineLevel="2">
      <c r="A1320" s="613"/>
      <c r="B1320" s="612"/>
      <c r="C1320" s="613" t="s">
        <v>229</v>
      </c>
      <c r="D1320" s="612" t="s">
        <v>65</v>
      </c>
      <c r="E1320" s="613">
        <f>4/8</f>
        <v>0.5</v>
      </c>
      <c r="F1320" s="611"/>
      <c r="G1320" s="611"/>
    </row>
    <row r="1321" spans="1:7" ht="15.75" hidden="1" customHeight="1" outlineLevel="2">
      <c r="A1321" s="613"/>
      <c r="B1321" s="612"/>
      <c r="C1321" s="613" t="s">
        <v>230</v>
      </c>
      <c r="D1321" s="612" t="s">
        <v>65</v>
      </c>
      <c r="E1321" s="613">
        <f>4/8</f>
        <v>0.5</v>
      </c>
      <c r="F1321" s="611"/>
      <c r="G1321" s="611"/>
    </row>
    <row r="1322" spans="1:7" ht="15.75" hidden="1" customHeight="1" outlineLevel="2">
      <c r="A1322" s="613"/>
      <c r="B1322" s="612"/>
      <c r="C1322" s="613" t="s">
        <v>231</v>
      </c>
      <c r="D1322" s="612" t="s">
        <v>65</v>
      </c>
      <c r="E1322" s="613">
        <f>4/8</f>
        <v>0.5</v>
      </c>
      <c r="F1322" s="611"/>
      <c r="G1322" s="611"/>
    </row>
    <row r="1323" spans="1:7" ht="15.75" hidden="1" customHeight="1" outlineLevel="2">
      <c r="A1323" s="613"/>
      <c r="B1323" s="612"/>
      <c r="C1323" s="613" t="s">
        <v>232</v>
      </c>
      <c r="D1323" s="612" t="s">
        <v>141</v>
      </c>
      <c r="E1323" s="613">
        <v>0.2</v>
      </c>
      <c r="F1323" s="611"/>
      <c r="G1323" s="611"/>
    </row>
    <row r="1324" spans="1:7" ht="15.75" hidden="1" customHeight="1" outlineLevel="2">
      <c r="A1324" s="613"/>
      <c r="B1324" s="612"/>
      <c r="C1324" s="613" t="s">
        <v>234</v>
      </c>
      <c r="D1324" s="612" t="s">
        <v>65</v>
      </c>
      <c r="E1324" s="613">
        <v>0.25</v>
      </c>
      <c r="F1324" s="611"/>
      <c r="G1324" s="611"/>
    </row>
    <row r="1325" spans="1:7" ht="15.75" hidden="1" customHeight="1" outlineLevel="2">
      <c r="A1325" s="613"/>
      <c r="B1325" s="612"/>
      <c r="C1325" s="613" t="s">
        <v>235</v>
      </c>
      <c r="D1325" s="612" t="s">
        <v>65</v>
      </c>
      <c r="E1325" s="613">
        <v>0.25</v>
      </c>
      <c r="F1325" s="611"/>
      <c r="G1325" s="611"/>
    </row>
    <row r="1326" spans="1:7" ht="15.75" hidden="1" customHeight="1" outlineLevel="2">
      <c r="A1326" s="613"/>
      <c r="B1326" s="612"/>
      <c r="C1326" s="613" t="s">
        <v>236</v>
      </c>
      <c r="D1326" s="612"/>
      <c r="E1326" s="613"/>
      <c r="F1326" s="611"/>
      <c r="G1326" s="611"/>
    </row>
    <row r="1327" spans="1:7" ht="15.75" hidden="1" customHeight="1" outlineLevel="2">
      <c r="A1327" s="613"/>
      <c r="B1327" s="612"/>
      <c r="C1327" s="613" t="s">
        <v>237</v>
      </c>
      <c r="D1327" s="612"/>
      <c r="E1327" s="613"/>
      <c r="F1327" s="611"/>
      <c r="G1327" s="611"/>
    </row>
    <row r="1328" spans="1:7" ht="15.75" hidden="1" customHeight="1" outlineLevel="2">
      <c r="A1328" s="613"/>
      <c r="B1328" s="612"/>
      <c r="C1328" s="613" t="s">
        <v>238</v>
      </c>
      <c r="D1328" s="612" t="s">
        <v>57</v>
      </c>
      <c r="E1328" s="613">
        <v>0.5</v>
      </c>
      <c r="F1328" s="611"/>
      <c r="G1328" s="611"/>
    </row>
    <row r="1329" spans="1:9" ht="15.75" hidden="1" customHeight="1" outlineLevel="2">
      <c r="A1329" s="613"/>
      <c r="B1329" s="612"/>
      <c r="C1329" s="613"/>
      <c r="D1329" s="612"/>
      <c r="E1329" s="613"/>
      <c r="F1329" s="611"/>
      <c r="G1329" s="611"/>
    </row>
    <row r="1330" spans="1:9" ht="15.75" customHeight="1" outlineLevel="1" collapsed="1">
      <c r="A1330" s="613" t="s">
        <v>2074</v>
      </c>
      <c r="B1330" s="612">
        <f>1+B1310</f>
        <v>18</v>
      </c>
      <c r="C1330" s="613" t="s">
        <v>4295</v>
      </c>
      <c r="D1330" s="612" t="s">
        <v>4</v>
      </c>
      <c r="E1330" s="613"/>
      <c r="F1330" s="611"/>
      <c r="G1330" s="611"/>
      <c r="I1330" s="633" t="s">
        <v>1196</v>
      </c>
    </row>
    <row r="1331" spans="1:9" ht="15.75" hidden="1" customHeight="1" outlineLevel="2">
      <c r="A1331" s="613"/>
      <c r="B1331" s="612"/>
      <c r="C1331" s="613" t="s">
        <v>31</v>
      </c>
      <c r="D1331" s="612"/>
      <c r="E1331" s="613"/>
      <c r="F1331" s="611"/>
      <c r="G1331" s="611"/>
    </row>
    <row r="1332" spans="1:9" ht="15.75" hidden="1" customHeight="1" outlineLevel="2">
      <c r="A1332" s="613"/>
      <c r="B1332" s="612"/>
      <c r="C1332" s="613" t="s">
        <v>45</v>
      </c>
      <c r="D1332" s="612" t="s">
        <v>33</v>
      </c>
      <c r="E1332" s="613">
        <v>0.05</v>
      </c>
      <c r="F1332" s="611"/>
      <c r="G1332" s="611"/>
    </row>
    <row r="1333" spans="1:9" ht="15.75" hidden="1" customHeight="1" outlineLevel="2">
      <c r="A1333" s="613"/>
      <c r="B1333" s="612"/>
      <c r="C1333" s="613" t="s">
        <v>32</v>
      </c>
      <c r="D1333" s="612" t="s">
        <v>33</v>
      </c>
      <c r="E1333" s="613">
        <v>0.15</v>
      </c>
      <c r="F1333" s="611"/>
      <c r="G1333" s="611"/>
    </row>
    <row r="1334" spans="1:9" ht="15.75" hidden="1" customHeight="1" outlineLevel="2">
      <c r="A1334" s="613"/>
      <c r="B1334" s="612"/>
      <c r="C1334" s="613" t="s">
        <v>36</v>
      </c>
      <c r="D1334" s="612" t="s">
        <v>33</v>
      </c>
      <c r="E1334" s="613">
        <v>8.0000000000000002E-3</v>
      </c>
      <c r="F1334" s="611"/>
      <c r="G1334" s="611"/>
    </row>
    <row r="1335" spans="1:9" ht="15.75" hidden="1" customHeight="1" outlineLevel="2">
      <c r="A1335" s="613"/>
      <c r="B1335" s="612"/>
      <c r="C1335" s="613" t="s">
        <v>61</v>
      </c>
      <c r="D1335" s="612" t="s">
        <v>33</v>
      </c>
      <c r="E1335" s="613">
        <v>5.0000000000000001E-3</v>
      </c>
      <c r="F1335" s="611"/>
      <c r="G1335" s="611"/>
    </row>
    <row r="1336" spans="1:9" ht="15.75" hidden="1" customHeight="1" outlineLevel="2">
      <c r="A1336" s="613"/>
      <c r="B1336" s="612"/>
      <c r="C1336" s="613"/>
      <c r="D1336" s="612"/>
      <c r="E1336" s="613"/>
      <c r="F1336" s="611"/>
      <c r="G1336" s="611"/>
    </row>
    <row r="1337" spans="1:9" ht="15.75" customHeight="1" outlineLevel="1" collapsed="1">
      <c r="A1337" s="613" t="s">
        <v>2074</v>
      </c>
      <c r="B1337" s="612">
        <f>1+B1330</f>
        <v>19</v>
      </c>
      <c r="C1337" s="613" t="s">
        <v>1661</v>
      </c>
      <c r="D1337" s="612" t="s">
        <v>4</v>
      </c>
      <c r="E1337" s="613"/>
      <c r="F1337" s="611"/>
      <c r="G1337" s="611"/>
    </row>
    <row r="1338" spans="1:9" ht="15.75" hidden="1" customHeight="1" outlineLevel="2">
      <c r="A1338" s="613"/>
      <c r="B1338" s="612"/>
      <c r="C1338" s="613" t="s">
        <v>31</v>
      </c>
      <c r="D1338" s="612"/>
      <c r="E1338" s="613"/>
      <c r="F1338" s="611"/>
      <c r="G1338" s="611"/>
    </row>
    <row r="1339" spans="1:9" ht="15.75" hidden="1" customHeight="1" outlineLevel="2">
      <c r="A1339" s="613"/>
      <c r="B1339" s="612"/>
      <c r="C1339" s="613" t="s">
        <v>45</v>
      </c>
      <c r="D1339" s="612" t="s">
        <v>33</v>
      </c>
      <c r="E1339" s="613">
        <v>0.75</v>
      </c>
      <c r="F1339" s="611"/>
      <c r="G1339" s="611"/>
    </row>
    <row r="1340" spans="1:9" ht="15.75" hidden="1" customHeight="1" outlineLevel="2">
      <c r="A1340" s="613"/>
      <c r="B1340" s="612"/>
      <c r="C1340" s="613" t="s">
        <v>32</v>
      </c>
      <c r="D1340" s="612" t="s">
        <v>33</v>
      </c>
      <c r="E1340" s="613">
        <v>0.15</v>
      </c>
      <c r="F1340" s="611"/>
      <c r="G1340" s="611"/>
    </row>
    <row r="1341" spans="1:9" ht="15.75" hidden="1" customHeight="1" outlineLevel="2">
      <c r="A1341" s="613"/>
      <c r="B1341" s="612"/>
      <c r="C1341" s="613" t="s">
        <v>36</v>
      </c>
      <c r="D1341" s="612" t="s">
        <v>33</v>
      </c>
      <c r="E1341" s="613">
        <v>6.0000000000000001E-3</v>
      </c>
      <c r="F1341" s="611"/>
      <c r="G1341" s="611"/>
    </row>
    <row r="1342" spans="1:9" ht="15.75" hidden="1" customHeight="1" outlineLevel="2">
      <c r="A1342" s="613"/>
      <c r="B1342" s="612"/>
      <c r="C1342" s="613" t="s">
        <v>61</v>
      </c>
      <c r="D1342" s="612" t="s">
        <v>33</v>
      </c>
      <c r="E1342" s="613">
        <v>0.08</v>
      </c>
      <c r="F1342" s="611"/>
      <c r="G1342" s="611"/>
    </row>
    <row r="1343" spans="1:9" ht="15.75" hidden="1" customHeight="1" outlineLevel="2">
      <c r="A1343" s="613"/>
      <c r="B1343" s="612"/>
      <c r="C1343" s="613"/>
      <c r="D1343" s="612"/>
      <c r="E1343" s="613"/>
      <c r="F1343" s="611"/>
      <c r="G1343" s="611"/>
    </row>
    <row r="1344" spans="1:9" ht="15.75" customHeight="1" outlineLevel="1" collapsed="1">
      <c r="A1344" s="613" t="s">
        <v>2074</v>
      </c>
      <c r="B1344" s="612">
        <f>1+B1337</f>
        <v>20</v>
      </c>
      <c r="C1344" s="613" t="s">
        <v>1662</v>
      </c>
      <c r="D1344" s="612" t="s">
        <v>3</v>
      </c>
      <c r="E1344" s="613"/>
      <c r="F1344" s="611"/>
      <c r="G1344" s="611"/>
      <c r="I1344" s="633" t="s">
        <v>1195</v>
      </c>
    </row>
    <row r="1345" spans="1:9" ht="15.75" hidden="1" customHeight="1" outlineLevel="2">
      <c r="A1345" s="613"/>
      <c r="B1345" s="612"/>
      <c r="C1345" s="613" t="s">
        <v>31</v>
      </c>
      <c r="D1345" s="612"/>
      <c r="E1345" s="613"/>
      <c r="F1345" s="611"/>
      <c r="G1345" s="611"/>
    </row>
    <row r="1346" spans="1:9" ht="15.75" hidden="1" customHeight="1" outlineLevel="2">
      <c r="A1346" s="613"/>
      <c r="B1346" s="612"/>
      <c r="C1346" s="613" t="s">
        <v>45</v>
      </c>
      <c r="D1346" s="612" t="s">
        <v>33</v>
      </c>
      <c r="E1346" s="613">
        <v>1</v>
      </c>
      <c r="F1346" s="611"/>
      <c r="G1346" s="611"/>
    </row>
    <row r="1347" spans="1:9" ht="15.75" hidden="1" customHeight="1" outlineLevel="2">
      <c r="A1347" s="613"/>
      <c r="B1347" s="612"/>
      <c r="C1347" s="613" t="s">
        <v>32</v>
      </c>
      <c r="D1347" s="612" t="s">
        <v>33</v>
      </c>
      <c r="E1347" s="613">
        <v>0.1</v>
      </c>
      <c r="F1347" s="611"/>
      <c r="G1347" s="611"/>
    </row>
    <row r="1348" spans="1:9" ht="15.75" hidden="1" customHeight="1" outlineLevel="2">
      <c r="A1348" s="613"/>
      <c r="B1348" s="612"/>
      <c r="C1348" s="613" t="s">
        <v>36</v>
      </c>
      <c r="D1348" s="612" t="s">
        <v>33</v>
      </c>
      <c r="E1348" s="613">
        <v>0.05</v>
      </c>
      <c r="F1348" s="611"/>
      <c r="G1348" s="611"/>
    </row>
    <row r="1349" spans="1:9" ht="15.75" hidden="1" customHeight="1" outlineLevel="2">
      <c r="A1349" s="613"/>
      <c r="B1349" s="612"/>
      <c r="C1349" s="613" t="s">
        <v>61</v>
      </c>
      <c r="D1349" s="612" t="s">
        <v>33</v>
      </c>
      <c r="E1349" s="613">
        <v>0.1</v>
      </c>
      <c r="F1349" s="611"/>
      <c r="G1349" s="611"/>
    </row>
    <row r="1350" spans="1:9" ht="15.75" hidden="1" customHeight="1" outlineLevel="2">
      <c r="A1350" s="613"/>
      <c r="B1350" s="612"/>
      <c r="C1350" s="613"/>
      <c r="D1350" s="612"/>
      <c r="E1350" s="613"/>
      <c r="F1350" s="611"/>
      <c r="G1350" s="611"/>
    </row>
    <row r="1351" spans="1:9" ht="15.75" customHeight="1" outlineLevel="1" collapsed="1">
      <c r="A1351" s="613" t="s">
        <v>2074</v>
      </c>
      <c r="B1351" s="612">
        <f>1+B1344</f>
        <v>21</v>
      </c>
      <c r="C1351" s="613" t="s">
        <v>1663</v>
      </c>
      <c r="D1351" s="612" t="s">
        <v>4</v>
      </c>
      <c r="E1351" s="613"/>
      <c r="F1351" s="611"/>
      <c r="G1351" s="611"/>
      <c r="I1351" s="633" t="s">
        <v>242</v>
      </c>
    </row>
    <row r="1352" spans="1:9" ht="15.75" hidden="1" customHeight="1" outlineLevel="2">
      <c r="A1352" s="613"/>
      <c r="B1352" s="612"/>
      <c r="C1352" s="613" t="s">
        <v>31</v>
      </c>
      <c r="D1352" s="612"/>
      <c r="E1352" s="613"/>
      <c r="F1352" s="611"/>
      <c r="G1352" s="611"/>
    </row>
    <row r="1353" spans="1:9" ht="15.75" hidden="1" customHeight="1" outlineLevel="2">
      <c r="A1353" s="613"/>
      <c r="B1353" s="612"/>
      <c r="C1353" s="613" t="s">
        <v>45</v>
      </c>
      <c r="D1353" s="612" t="s">
        <v>33</v>
      </c>
      <c r="E1353" s="613">
        <v>0.375</v>
      </c>
      <c r="F1353" s="611">
        <f>carpenter</f>
        <v>107800.00000000001</v>
      </c>
      <c r="G1353" s="611">
        <f>E1353*F1353</f>
        <v>40425.000000000007</v>
      </c>
    </row>
    <row r="1354" spans="1:9" ht="15.75" hidden="1" customHeight="1" outlineLevel="2">
      <c r="A1354" s="613"/>
      <c r="B1354" s="612"/>
      <c r="C1354" s="613" t="s">
        <v>32</v>
      </c>
      <c r="D1354" s="612" t="s">
        <v>33</v>
      </c>
      <c r="E1354" s="613">
        <v>7.4999999999999997E-2</v>
      </c>
      <c r="F1354" s="611">
        <f>worker</f>
        <v>107800.00000000001</v>
      </c>
      <c r="G1354" s="611">
        <f>E1354*F1354</f>
        <v>8085.0000000000009</v>
      </c>
    </row>
    <row r="1355" spans="1:9" ht="15.75" hidden="1" customHeight="1" outlineLevel="2">
      <c r="A1355" s="613"/>
      <c r="B1355" s="612"/>
      <c r="C1355" s="613" t="s">
        <v>36</v>
      </c>
      <c r="D1355" s="612" t="s">
        <v>33</v>
      </c>
      <c r="E1355" s="613">
        <v>3.0000000000000001E-3</v>
      </c>
      <c r="F1355" s="611">
        <f>supervisor</f>
        <v>119350.00000000001</v>
      </c>
      <c r="G1355" s="611">
        <f>E1355*F1355</f>
        <v>358.05000000000007</v>
      </c>
    </row>
    <row r="1356" spans="1:9" ht="15.75" hidden="1" customHeight="1" outlineLevel="2">
      <c r="A1356" s="613"/>
      <c r="B1356" s="612"/>
      <c r="C1356" s="613" t="s">
        <v>61</v>
      </c>
      <c r="D1356" s="612" t="s">
        <v>33</v>
      </c>
      <c r="E1356" s="613">
        <v>0.04</v>
      </c>
      <c r="F1356" s="611">
        <f>carpenter_chief</f>
        <v>119350.00000000001</v>
      </c>
      <c r="G1356" s="611">
        <f>E1356*F1356</f>
        <v>4774.0000000000009</v>
      </c>
    </row>
    <row r="1357" spans="1:9" ht="15.75" hidden="1" customHeight="1" outlineLevel="2">
      <c r="A1357" s="613"/>
      <c r="B1357" s="612"/>
      <c r="C1357" s="613"/>
      <c r="D1357" s="612"/>
      <c r="E1357" s="613"/>
      <c r="F1357" s="611"/>
      <c r="G1357" s="611">
        <f>SUM(G1353:G1356)</f>
        <v>53642.05000000001</v>
      </c>
    </row>
    <row r="1358" spans="1:9" ht="15.75" customHeight="1" outlineLevel="1" collapsed="1">
      <c r="A1358" s="613" t="s">
        <v>2074</v>
      </c>
      <c r="B1358" s="612">
        <f>1+B1351</f>
        <v>22</v>
      </c>
      <c r="C1358" s="613" t="s">
        <v>1664</v>
      </c>
      <c r="D1358" s="612" t="s">
        <v>4</v>
      </c>
      <c r="E1358" s="613"/>
      <c r="F1358" s="611"/>
      <c r="G1358" s="611"/>
      <c r="I1358" s="633" t="s">
        <v>1194</v>
      </c>
    </row>
    <row r="1359" spans="1:9" ht="15.75" hidden="1" customHeight="1" outlineLevel="2">
      <c r="A1359" s="613"/>
      <c r="B1359" s="612"/>
      <c r="C1359" s="613" t="s">
        <v>78</v>
      </c>
      <c r="D1359" s="612"/>
      <c r="E1359" s="613"/>
      <c r="F1359" s="611"/>
      <c r="G1359" s="611"/>
    </row>
    <row r="1360" spans="1:9" ht="15.75" hidden="1" customHeight="1" outlineLevel="2">
      <c r="A1360" s="613"/>
      <c r="B1360" s="612"/>
      <c r="C1360" s="613" t="s">
        <v>32</v>
      </c>
      <c r="D1360" s="612" t="s">
        <v>33</v>
      </c>
      <c r="E1360" s="613">
        <v>2</v>
      </c>
      <c r="F1360" s="611"/>
      <c r="G1360" s="611"/>
    </row>
    <row r="1361" spans="1:9" ht="15.75" hidden="1" customHeight="1" outlineLevel="2">
      <c r="A1361" s="613"/>
      <c r="B1361" s="612"/>
      <c r="C1361" s="613" t="s">
        <v>36</v>
      </c>
      <c r="D1361" s="612" t="s">
        <v>33</v>
      </c>
      <c r="E1361" s="613">
        <v>0.09</v>
      </c>
      <c r="F1361" s="611"/>
      <c r="G1361" s="611"/>
    </row>
    <row r="1362" spans="1:9" ht="15.75" hidden="1" customHeight="1" outlineLevel="2">
      <c r="A1362" s="613"/>
      <c r="B1362" s="612"/>
      <c r="C1362" s="613"/>
      <c r="D1362" s="612"/>
      <c r="E1362" s="613"/>
      <c r="F1362" s="611"/>
      <c r="G1362" s="611"/>
    </row>
    <row r="1363" spans="1:9" ht="15.75" customHeight="1" outlineLevel="1" collapsed="1">
      <c r="A1363" s="613" t="s">
        <v>2074</v>
      </c>
      <c r="B1363" s="612">
        <f>1+B1358</f>
        <v>23</v>
      </c>
      <c r="C1363" s="613" t="s">
        <v>1665</v>
      </c>
      <c r="D1363" s="612" t="s">
        <v>4</v>
      </c>
      <c r="E1363" s="613"/>
      <c r="F1363" s="611"/>
      <c r="G1363" s="611"/>
      <c r="I1363" s="633" t="s">
        <v>1193</v>
      </c>
    </row>
    <row r="1364" spans="1:9" ht="15.75" hidden="1" customHeight="1" outlineLevel="2">
      <c r="A1364" s="613"/>
      <c r="B1364" s="612"/>
      <c r="C1364" s="613" t="s">
        <v>78</v>
      </c>
      <c r="D1364" s="612"/>
      <c r="E1364" s="613"/>
      <c r="F1364" s="611"/>
      <c r="G1364" s="611"/>
    </row>
    <row r="1365" spans="1:9" ht="15.75" hidden="1" customHeight="1" outlineLevel="2">
      <c r="A1365" s="613"/>
      <c r="B1365" s="612"/>
      <c r="C1365" s="613" t="s">
        <v>32</v>
      </c>
      <c r="D1365" s="612" t="s">
        <v>33</v>
      </c>
      <c r="E1365" s="613">
        <v>0.1</v>
      </c>
      <c r="F1365" s="611"/>
      <c r="G1365" s="611"/>
    </row>
    <row r="1366" spans="1:9" ht="15.75" hidden="1" customHeight="1" outlineLevel="2">
      <c r="A1366" s="613"/>
      <c r="B1366" s="612"/>
      <c r="C1366" s="613" t="s">
        <v>36</v>
      </c>
      <c r="D1366" s="612" t="s">
        <v>33</v>
      </c>
      <c r="E1366" s="613">
        <v>5.0000000000000001E-3</v>
      </c>
      <c r="F1366" s="611"/>
      <c r="G1366" s="611"/>
    </row>
    <row r="1367" spans="1:9" ht="15.75" hidden="1" customHeight="1" outlineLevel="2">
      <c r="A1367" s="613"/>
      <c r="B1367" s="612"/>
      <c r="C1367" s="613" t="s">
        <v>45</v>
      </c>
      <c r="D1367" s="612" t="s">
        <v>33</v>
      </c>
      <c r="E1367" s="613">
        <v>0.25</v>
      </c>
      <c r="F1367" s="611"/>
      <c r="G1367" s="611"/>
    </row>
    <row r="1368" spans="1:9" ht="15.75" hidden="1" customHeight="1" outlineLevel="2">
      <c r="A1368" s="613"/>
      <c r="B1368" s="612"/>
      <c r="C1368" s="613" t="s">
        <v>46</v>
      </c>
      <c r="D1368" s="612" t="s">
        <v>33</v>
      </c>
      <c r="E1368" s="613">
        <v>3.0000000000000001E-3</v>
      </c>
      <c r="F1368" s="611"/>
      <c r="G1368" s="611"/>
    </row>
    <row r="1369" spans="1:9" ht="15.75" hidden="1" customHeight="1" outlineLevel="2">
      <c r="A1369" s="613"/>
      <c r="B1369" s="612"/>
      <c r="C1369" s="613"/>
      <c r="D1369" s="612"/>
      <c r="E1369" s="613"/>
      <c r="F1369" s="611"/>
      <c r="G1369" s="611"/>
    </row>
    <row r="1370" spans="1:9" ht="15.75" customHeight="1" outlineLevel="1" collapsed="1">
      <c r="A1370" s="613" t="s">
        <v>2074</v>
      </c>
      <c r="B1370" s="612">
        <f>1+B1363</f>
        <v>24</v>
      </c>
      <c r="C1370" s="613" t="s">
        <v>1666</v>
      </c>
      <c r="D1370" s="612" t="s">
        <v>4</v>
      </c>
      <c r="E1370" s="613"/>
      <c r="F1370" s="611"/>
      <c r="G1370" s="611"/>
      <c r="I1370" s="633" t="s">
        <v>1193</v>
      </c>
    </row>
    <row r="1371" spans="1:9" ht="15.75" hidden="1" customHeight="1" outlineLevel="2">
      <c r="A1371" s="613"/>
      <c r="B1371" s="612"/>
      <c r="C1371" s="613" t="s">
        <v>78</v>
      </c>
      <c r="D1371" s="612"/>
      <c r="E1371" s="613"/>
      <c r="F1371" s="611"/>
      <c r="G1371" s="611"/>
    </row>
    <row r="1372" spans="1:9" ht="15.75" hidden="1" customHeight="1" outlineLevel="2">
      <c r="A1372" s="613"/>
      <c r="B1372" s="612"/>
      <c r="C1372" s="613" t="s">
        <v>32</v>
      </c>
      <c r="D1372" s="612" t="s">
        <v>33</v>
      </c>
      <c r="E1372" s="613">
        <v>0.125</v>
      </c>
      <c r="F1372" s="611"/>
      <c r="G1372" s="611"/>
    </row>
    <row r="1373" spans="1:9" ht="15.75" hidden="1" customHeight="1" outlineLevel="2">
      <c r="A1373" s="613"/>
      <c r="B1373" s="612"/>
      <c r="C1373" s="613" t="s">
        <v>36</v>
      </c>
      <c r="D1373" s="612" t="s">
        <v>33</v>
      </c>
      <c r="E1373" s="613">
        <v>0.125</v>
      </c>
      <c r="F1373" s="611"/>
      <c r="G1373" s="611"/>
    </row>
    <row r="1374" spans="1:9" ht="15.75" hidden="1" customHeight="1" outlineLevel="2">
      <c r="A1374" s="613"/>
      <c r="B1374" s="612"/>
      <c r="C1374" s="613"/>
      <c r="D1374" s="612"/>
      <c r="E1374" s="613"/>
      <c r="F1374" s="611"/>
      <c r="G1374" s="611"/>
    </row>
    <row r="1375" spans="1:9" ht="15.75" customHeight="1" outlineLevel="1" collapsed="1">
      <c r="A1375" s="613" t="s">
        <v>2074</v>
      </c>
      <c r="B1375" s="612">
        <f>1+B1370</f>
        <v>25</v>
      </c>
      <c r="C1375" s="613" t="s">
        <v>1667</v>
      </c>
      <c r="D1375" s="612" t="s">
        <v>2</v>
      </c>
      <c r="E1375" s="613"/>
      <c r="F1375" s="611"/>
      <c r="G1375" s="611"/>
    </row>
    <row r="1376" spans="1:9" ht="15.75" hidden="1" customHeight="1" outlineLevel="2">
      <c r="A1376" s="613"/>
      <c r="B1376" s="612"/>
      <c r="C1376" s="613" t="s">
        <v>78</v>
      </c>
      <c r="D1376" s="612"/>
      <c r="E1376" s="613"/>
      <c r="F1376" s="611"/>
      <c r="G1376" s="611"/>
    </row>
    <row r="1377" spans="1:9" ht="15.75" hidden="1" customHeight="1" outlineLevel="2">
      <c r="A1377" s="613"/>
      <c r="B1377" s="612"/>
      <c r="C1377" s="613" t="s">
        <v>32</v>
      </c>
      <c r="D1377" s="612" t="s">
        <v>33</v>
      </c>
      <c r="E1377" s="613">
        <v>0.85</v>
      </c>
      <c r="F1377" s="611">
        <f>worker</f>
        <v>107800.00000000001</v>
      </c>
      <c r="G1377" s="611">
        <f>E1377*F1377</f>
        <v>91630.000000000015</v>
      </c>
    </row>
    <row r="1378" spans="1:9" ht="15.75" hidden="1" customHeight="1" outlineLevel="2">
      <c r="A1378" s="613"/>
      <c r="B1378" s="612"/>
      <c r="C1378" s="613" t="s">
        <v>36</v>
      </c>
      <c r="D1378" s="612" t="s">
        <v>33</v>
      </c>
      <c r="E1378" s="613">
        <v>0.32500000000000001</v>
      </c>
      <c r="F1378" s="611">
        <f>supervisor</f>
        <v>119350.00000000001</v>
      </c>
      <c r="G1378" s="611">
        <f>E1378*F1378</f>
        <v>38788.750000000007</v>
      </c>
    </row>
    <row r="1379" spans="1:9" ht="15.75" hidden="1" customHeight="1" outlineLevel="2">
      <c r="A1379" s="613"/>
      <c r="B1379" s="612"/>
      <c r="C1379" s="613"/>
      <c r="D1379" s="612"/>
      <c r="E1379" s="613"/>
      <c r="F1379" s="611"/>
      <c r="G1379" s="611">
        <f>SUM(G1377:G1378)</f>
        <v>130418.75000000003</v>
      </c>
    </row>
    <row r="1380" spans="1:9" ht="15.75" customHeight="1" outlineLevel="1" collapsed="1">
      <c r="A1380" s="613" t="s">
        <v>2074</v>
      </c>
      <c r="B1380" s="612">
        <f>1+B1375</f>
        <v>26</v>
      </c>
      <c r="C1380" s="613" t="s">
        <v>1668</v>
      </c>
      <c r="D1380" s="612" t="s">
        <v>2</v>
      </c>
      <c r="E1380" s="613"/>
      <c r="F1380" s="611"/>
      <c r="G1380" s="611"/>
    </row>
    <row r="1381" spans="1:9" ht="15.75" customHeight="1" outlineLevel="2">
      <c r="A1381" s="613"/>
      <c r="B1381" s="612"/>
      <c r="C1381" s="613" t="s">
        <v>78</v>
      </c>
      <c r="D1381" s="612"/>
      <c r="E1381" s="613"/>
      <c r="F1381" s="611"/>
      <c r="G1381" s="611"/>
    </row>
    <row r="1382" spans="1:9" ht="15.75" customHeight="1" outlineLevel="2">
      <c r="A1382" s="613"/>
      <c r="B1382" s="612"/>
      <c r="C1382" s="613" t="s">
        <v>32</v>
      </c>
      <c r="D1382" s="612" t="s">
        <v>33</v>
      </c>
      <c r="E1382" s="613">
        <v>0.75</v>
      </c>
      <c r="F1382" s="611">
        <f>worker</f>
        <v>107800.00000000001</v>
      </c>
      <c r="G1382" s="611">
        <f>E1382*F1382</f>
        <v>80850.000000000015</v>
      </c>
    </row>
    <row r="1383" spans="1:9" ht="15.75" customHeight="1" outlineLevel="2">
      <c r="A1383" s="613"/>
      <c r="B1383" s="612"/>
      <c r="C1383" s="613" t="s">
        <v>36</v>
      </c>
      <c r="D1383" s="612" t="s">
        <v>33</v>
      </c>
      <c r="E1383" s="613">
        <v>0.25</v>
      </c>
      <c r="F1383" s="611">
        <f>supervisor</f>
        <v>119350.00000000001</v>
      </c>
      <c r="G1383" s="611">
        <f>E1383*F1383</f>
        <v>29837.500000000004</v>
      </c>
    </row>
    <row r="1384" spans="1:9" ht="15.75" customHeight="1" outlineLevel="2" thickBot="1">
      <c r="A1384" s="608"/>
      <c r="B1384" s="607"/>
      <c r="C1384" s="608"/>
      <c r="D1384" s="607"/>
      <c r="E1384" s="608"/>
      <c r="F1384" s="606"/>
      <c r="G1384" s="606">
        <f>SUM(G1382:G1383)</f>
        <v>110687.50000000001</v>
      </c>
    </row>
    <row r="1385" spans="1:9" ht="15.75" customHeight="1" thickBot="1">
      <c r="A1385" s="1213" t="s">
        <v>1419</v>
      </c>
      <c r="B1385" s="1214"/>
      <c r="C1385" s="1214"/>
      <c r="D1385" s="1214"/>
      <c r="E1385" s="1214"/>
      <c r="F1385" s="1214"/>
      <c r="G1385" s="1215"/>
    </row>
    <row r="1386" spans="1:9" ht="15.75" customHeight="1" outlineLevel="1" collapsed="1">
      <c r="A1386" s="616" t="s">
        <v>2074</v>
      </c>
      <c r="B1386" s="615">
        <f>1</f>
        <v>1</v>
      </c>
      <c r="C1386" s="616" t="s">
        <v>1533</v>
      </c>
      <c r="D1386" s="615" t="s">
        <v>4</v>
      </c>
      <c r="E1386" s="616"/>
      <c r="F1386" s="614"/>
      <c r="G1386" s="605">
        <f>G1397</f>
        <v>57779.700000000004</v>
      </c>
      <c r="I1386" s="633" t="s">
        <v>243</v>
      </c>
    </row>
    <row r="1387" spans="1:9" ht="15.75" hidden="1" customHeight="1" outlineLevel="2">
      <c r="A1387" s="613"/>
      <c r="B1387" s="612"/>
      <c r="C1387" s="613"/>
      <c r="D1387" s="612"/>
      <c r="E1387" s="613"/>
      <c r="F1387" s="611"/>
      <c r="G1387" s="611"/>
    </row>
    <row r="1388" spans="1:9" ht="15.75" hidden="1" customHeight="1" outlineLevel="2">
      <c r="A1388" s="613"/>
      <c r="B1388" s="612"/>
      <c r="C1388" s="613" t="s">
        <v>20</v>
      </c>
      <c r="D1388" s="612"/>
      <c r="E1388" s="613"/>
      <c r="F1388" s="611"/>
      <c r="G1388" s="611"/>
    </row>
    <row r="1389" spans="1:9" ht="15.75" hidden="1" customHeight="1" outlineLevel="2">
      <c r="A1389" s="613"/>
      <c r="B1389" s="612"/>
      <c r="C1389" s="613" t="s">
        <v>244</v>
      </c>
      <c r="D1389" s="612" t="s">
        <v>5</v>
      </c>
      <c r="E1389" s="613">
        <f>1/(1.2*2.4)</f>
        <v>0.34722222222222221</v>
      </c>
      <c r="F1389" s="611">
        <f>gypsum_board_9mm</f>
        <v>106920.00000000001</v>
      </c>
      <c r="G1389" s="611">
        <f>F1389*E1389</f>
        <v>37125.000000000007</v>
      </c>
    </row>
    <row r="1390" spans="1:9" ht="15.75" hidden="1" customHeight="1" outlineLevel="2">
      <c r="A1390" s="613"/>
      <c r="B1390" s="612"/>
      <c r="C1390" s="613" t="s">
        <v>245</v>
      </c>
      <c r="D1390" s="612" t="s">
        <v>1</v>
      </c>
      <c r="E1390" s="613">
        <v>0.11</v>
      </c>
      <c r="F1390" s="611">
        <f>nail_screw</f>
        <v>29920.000000000004</v>
      </c>
      <c r="G1390" s="611">
        <f>F1390*E1390</f>
        <v>3291.2000000000003</v>
      </c>
    </row>
    <row r="1391" spans="1:9" ht="15.75" hidden="1" customHeight="1" outlineLevel="2">
      <c r="A1391" s="613"/>
      <c r="B1391" s="612"/>
      <c r="C1391" s="613"/>
      <c r="D1391" s="612"/>
      <c r="E1391" s="613"/>
      <c r="F1391" s="611"/>
      <c r="G1391" s="611"/>
    </row>
    <row r="1392" spans="1:9" ht="15.75" hidden="1" customHeight="1" outlineLevel="2">
      <c r="A1392" s="613"/>
      <c r="B1392" s="612"/>
      <c r="C1392" s="613" t="s">
        <v>31</v>
      </c>
      <c r="D1392" s="612"/>
      <c r="E1392" s="613"/>
      <c r="F1392" s="611"/>
      <c r="G1392" s="611"/>
    </row>
    <row r="1393" spans="1:9" ht="15.75" hidden="1" customHeight="1" outlineLevel="2">
      <c r="A1393" s="613"/>
      <c r="B1393" s="612"/>
      <c r="C1393" s="613" t="s">
        <v>45</v>
      </c>
      <c r="D1393" s="612" t="s">
        <v>33</v>
      </c>
      <c r="E1393" s="613">
        <v>0.05</v>
      </c>
      <c r="F1393" s="611">
        <f>carpenter</f>
        <v>107800.00000000001</v>
      </c>
      <c r="G1393" s="611">
        <f>F1393*E1393</f>
        <v>5390.0000000000009</v>
      </c>
    </row>
    <row r="1394" spans="1:9" ht="15.75" hidden="1" customHeight="1" outlineLevel="2">
      <c r="A1394" s="613"/>
      <c r="B1394" s="612"/>
      <c r="C1394" s="613" t="s">
        <v>32</v>
      </c>
      <c r="D1394" s="612" t="s">
        <v>33</v>
      </c>
      <c r="E1394" s="613">
        <v>0.1</v>
      </c>
      <c r="F1394" s="611">
        <f>worker</f>
        <v>107800.00000000001</v>
      </c>
      <c r="G1394" s="611">
        <f>F1394*E1394</f>
        <v>10780.000000000002</v>
      </c>
    </row>
    <row r="1395" spans="1:9" ht="15.75" hidden="1" customHeight="1" outlineLevel="2">
      <c r="A1395" s="613"/>
      <c r="B1395" s="612"/>
      <c r="C1395" s="613" t="s">
        <v>36</v>
      </c>
      <c r="D1395" s="612" t="s">
        <v>33</v>
      </c>
      <c r="E1395" s="613">
        <v>5.0000000000000001E-3</v>
      </c>
      <c r="F1395" s="611">
        <f>supervisor</f>
        <v>119350.00000000001</v>
      </c>
      <c r="G1395" s="611">
        <f>F1395*E1395</f>
        <v>596.75000000000011</v>
      </c>
    </row>
    <row r="1396" spans="1:9" ht="15.75" hidden="1" customHeight="1" outlineLevel="2">
      <c r="A1396" s="613"/>
      <c r="B1396" s="612"/>
      <c r="C1396" s="613" t="s">
        <v>61</v>
      </c>
      <c r="D1396" s="612" t="s">
        <v>33</v>
      </c>
      <c r="E1396" s="613">
        <v>5.0000000000000001E-3</v>
      </c>
      <c r="F1396" s="611">
        <f>carpenter_chief</f>
        <v>119350.00000000001</v>
      </c>
      <c r="G1396" s="611">
        <f>F1396*E1396</f>
        <v>596.75000000000011</v>
      </c>
    </row>
    <row r="1397" spans="1:9" ht="15.75" hidden="1" customHeight="1" outlineLevel="2">
      <c r="A1397" s="613"/>
      <c r="B1397" s="612"/>
      <c r="C1397" s="613"/>
      <c r="D1397" s="612"/>
      <c r="E1397" s="613"/>
      <c r="F1397" s="611"/>
      <c r="G1397" s="611">
        <f>SUM(G1389:G1396)</f>
        <v>57779.700000000004</v>
      </c>
    </row>
    <row r="1398" spans="1:9" ht="15.75" hidden="1" customHeight="1" outlineLevel="2">
      <c r="A1398" s="613"/>
      <c r="B1398" s="612"/>
      <c r="C1398" s="613"/>
      <c r="D1398" s="612"/>
      <c r="E1398" s="613"/>
      <c r="F1398" s="611"/>
      <c r="G1398" s="611"/>
    </row>
    <row r="1399" spans="1:9" ht="15.75" customHeight="1" outlineLevel="1" collapsed="1">
      <c r="A1399" s="613" t="s">
        <v>2074</v>
      </c>
      <c r="B1399" s="612">
        <f>1+B1386</f>
        <v>2</v>
      </c>
      <c r="C1399" s="613" t="s">
        <v>1671</v>
      </c>
      <c r="D1399" s="612" t="s">
        <v>4</v>
      </c>
      <c r="E1399" s="613"/>
      <c r="F1399" s="611"/>
      <c r="G1399" s="605" t="e">
        <f>G1410</f>
        <v>#REF!</v>
      </c>
      <c r="I1399" s="633" t="s">
        <v>243</v>
      </c>
    </row>
    <row r="1400" spans="1:9" ht="15.75" hidden="1" customHeight="1" outlineLevel="2">
      <c r="A1400" s="613"/>
      <c r="B1400" s="612"/>
      <c r="C1400" s="613"/>
      <c r="D1400" s="612"/>
      <c r="E1400" s="613"/>
      <c r="F1400" s="611"/>
      <c r="G1400" s="611"/>
    </row>
    <row r="1401" spans="1:9" ht="15.75" hidden="1" customHeight="1" outlineLevel="2">
      <c r="A1401" s="613"/>
      <c r="B1401" s="612"/>
      <c r="C1401" s="613" t="s">
        <v>20</v>
      </c>
      <c r="D1401" s="612"/>
      <c r="E1401" s="613"/>
      <c r="F1401" s="611"/>
      <c r="G1401" s="611"/>
    </row>
    <row r="1402" spans="1:9" ht="15.75" hidden="1" customHeight="1" outlineLevel="2">
      <c r="A1402" s="613"/>
      <c r="B1402" s="612"/>
      <c r="C1402" s="613" t="s">
        <v>1333</v>
      </c>
      <c r="D1402" s="612" t="s">
        <v>194</v>
      </c>
      <c r="E1402" s="613">
        <v>3.5</v>
      </c>
      <c r="F1402" s="611" t="e">
        <f>hollow_steel_40.40.2</f>
        <v>#REF!</v>
      </c>
      <c r="G1402" s="611" t="e">
        <f>F1402*E1402</f>
        <v>#REF!</v>
      </c>
    </row>
    <row r="1403" spans="1:9" ht="15.75" hidden="1" customHeight="1" outlineLevel="2">
      <c r="A1403" s="613"/>
      <c r="B1403" s="612"/>
      <c r="C1403" s="613" t="s">
        <v>1334</v>
      </c>
      <c r="D1403" s="612" t="s">
        <v>74</v>
      </c>
      <c r="E1403" s="613">
        <v>1</v>
      </c>
      <c r="F1403" s="611" t="e">
        <f>F1402</f>
        <v>#REF!</v>
      </c>
      <c r="G1403" s="611" t="e">
        <f>F1403*E1403</f>
        <v>#REF!</v>
      </c>
    </row>
    <row r="1404" spans="1:9" ht="15.75" hidden="1" customHeight="1" outlineLevel="2">
      <c r="A1404" s="613"/>
      <c r="B1404" s="612"/>
      <c r="C1404" s="613"/>
      <c r="D1404" s="612"/>
      <c r="E1404" s="613"/>
      <c r="F1404" s="611"/>
      <c r="G1404" s="611"/>
    </row>
    <row r="1405" spans="1:9" ht="15.75" hidden="1" customHeight="1" outlineLevel="2">
      <c r="A1405" s="613"/>
      <c r="B1405" s="612"/>
      <c r="C1405" s="613" t="s">
        <v>31</v>
      </c>
      <c r="D1405" s="612"/>
      <c r="E1405" s="613"/>
      <c r="F1405" s="611"/>
      <c r="G1405" s="611"/>
    </row>
    <row r="1406" spans="1:9" ht="15.75" hidden="1" customHeight="1" outlineLevel="2">
      <c r="A1406" s="613"/>
      <c r="B1406" s="612"/>
      <c r="C1406" s="613" t="s">
        <v>45</v>
      </c>
      <c r="D1406" s="612" t="s">
        <v>33</v>
      </c>
      <c r="E1406" s="613">
        <v>0.25</v>
      </c>
      <c r="F1406" s="611">
        <f>carpenter</f>
        <v>107800.00000000001</v>
      </c>
      <c r="G1406" s="611">
        <f>F1406*E1406</f>
        <v>26950.000000000004</v>
      </c>
    </row>
    <row r="1407" spans="1:9" ht="15.75" hidden="1" customHeight="1" outlineLevel="2">
      <c r="A1407" s="613"/>
      <c r="B1407" s="612"/>
      <c r="C1407" s="613" t="s">
        <v>32</v>
      </c>
      <c r="D1407" s="612" t="s">
        <v>33</v>
      </c>
      <c r="E1407" s="613">
        <v>0.25</v>
      </c>
      <c r="F1407" s="611">
        <f>worker</f>
        <v>107800.00000000001</v>
      </c>
      <c r="G1407" s="611">
        <f>F1407*E1407</f>
        <v>26950.000000000004</v>
      </c>
    </row>
    <row r="1408" spans="1:9" ht="15.75" hidden="1" customHeight="1" outlineLevel="2">
      <c r="A1408" s="613"/>
      <c r="B1408" s="612"/>
      <c r="C1408" s="613" t="s">
        <v>36</v>
      </c>
      <c r="D1408" s="612" t="s">
        <v>33</v>
      </c>
      <c r="E1408" s="613">
        <v>1.2999999999999999E-2</v>
      </c>
      <c r="F1408" s="611">
        <f>supervisor</f>
        <v>119350.00000000001</v>
      </c>
      <c r="G1408" s="611">
        <f>F1408*E1408</f>
        <v>1551.5500000000002</v>
      </c>
    </row>
    <row r="1409" spans="1:9" ht="15.75" hidden="1" customHeight="1" outlineLevel="2">
      <c r="A1409" s="613"/>
      <c r="B1409" s="612"/>
      <c r="C1409" s="613" t="s">
        <v>61</v>
      </c>
      <c r="D1409" s="612" t="s">
        <v>33</v>
      </c>
      <c r="E1409" s="613">
        <v>2.5000000000000001E-2</v>
      </c>
      <c r="F1409" s="611">
        <f>carpenter_chief</f>
        <v>119350.00000000001</v>
      </c>
      <c r="G1409" s="611">
        <f>F1409*E1409</f>
        <v>2983.7500000000005</v>
      </c>
    </row>
    <row r="1410" spans="1:9" ht="15.75" hidden="1" customHeight="1" outlineLevel="2">
      <c r="A1410" s="613"/>
      <c r="B1410" s="612"/>
      <c r="C1410" s="613"/>
      <c r="D1410" s="612"/>
      <c r="E1410" s="613"/>
      <c r="F1410" s="611"/>
      <c r="G1410" s="611" t="e">
        <f>SUM(G1402:G1409)</f>
        <v>#REF!</v>
      </c>
    </row>
    <row r="1411" spans="1:9" ht="15.75" hidden="1" customHeight="1" outlineLevel="2">
      <c r="A1411" s="613"/>
      <c r="B1411" s="612"/>
      <c r="C1411" s="613"/>
      <c r="D1411" s="612"/>
      <c r="E1411" s="613"/>
      <c r="F1411" s="611"/>
      <c r="G1411" s="611"/>
    </row>
    <row r="1412" spans="1:9" ht="15.75" customHeight="1" outlineLevel="1" collapsed="1">
      <c r="A1412" s="613" t="s">
        <v>2074</v>
      </c>
      <c r="B1412" s="612">
        <f>B1399+1</f>
        <v>3</v>
      </c>
      <c r="C1412" s="613" t="s">
        <v>1672</v>
      </c>
      <c r="D1412" s="612" t="s">
        <v>3</v>
      </c>
      <c r="E1412" s="613"/>
      <c r="F1412" s="611"/>
      <c r="G1412" s="605">
        <f>G1422</f>
        <v>61117.65</v>
      </c>
      <c r="I1412" s="633" t="s">
        <v>124</v>
      </c>
    </row>
    <row r="1413" spans="1:9" ht="15.75" hidden="1" customHeight="1" outlineLevel="2">
      <c r="A1413" s="613"/>
      <c r="B1413" s="612"/>
      <c r="C1413" s="613"/>
      <c r="D1413" s="612"/>
      <c r="E1413" s="613"/>
      <c r="F1413" s="611"/>
      <c r="G1413" s="611"/>
    </row>
    <row r="1414" spans="1:9" ht="15.75" hidden="1" customHeight="1" outlineLevel="2">
      <c r="A1414" s="613"/>
      <c r="B1414" s="612"/>
      <c r="C1414" s="613" t="s">
        <v>20</v>
      </c>
      <c r="D1414" s="612"/>
      <c r="E1414" s="613"/>
      <c r="F1414" s="611"/>
      <c r="G1414" s="611"/>
    </row>
    <row r="1415" spans="1:9" ht="15.75" hidden="1" customHeight="1" outlineLevel="2">
      <c r="A1415" s="613"/>
      <c r="B1415" s="612"/>
      <c r="C1415" s="613" t="s">
        <v>246</v>
      </c>
      <c r="D1415" s="612" t="s">
        <v>194</v>
      </c>
      <c r="E1415" s="613">
        <v>1.05</v>
      </c>
      <c r="F1415" s="611">
        <f>list_profil_gypsum</f>
        <v>43560</v>
      </c>
      <c r="G1415" s="611">
        <f>F1415*E1415</f>
        <v>45738</v>
      </c>
    </row>
    <row r="1416" spans="1:9" ht="15.75" hidden="1" customHeight="1" outlineLevel="2">
      <c r="A1416" s="613"/>
      <c r="B1416" s="612"/>
      <c r="C1416" s="613" t="s">
        <v>247</v>
      </c>
      <c r="D1416" s="612" t="s">
        <v>1</v>
      </c>
      <c r="E1416" s="613">
        <v>0.15</v>
      </c>
      <c r="F1416" s="611">
        <f>tepung_gypsum</f>
        <v>9130</v>
      </c>
      <c r="G1416" s="611">
        <f>F1416*E1416</f>
        <v>1369.5</v>
      </c>
    </row>
    <row r="1417" spans="1:9" ht="15.75" hidden="1" customHeight="1" outlineLevel="2">
      <c r="A1417" s="613"/>
      <c r="B1417" s="612"/>
      <c r="C1417" s="613"/>
      <c r="D1417" s="612"/>
      <c r="E1417" s="613"/>
      <c r="F1417" s="611"/>
      <c r="G1417" s="611"/>
    </row>
    <row r="1418" spans="1:9" ht="15.75" hidden="1" customHeight="1" outlineLevel="2">
      <c r="A1418" s="613"/>
      <c r="B1418" s="612"/>
      <c r="C1418" s="613" t="s">
        <v>31</v>
      </c>
      <c r="D1418" s="612"/>
      <c r="E1418" s="613"/>
      <c r="F1418" s="611"/>
      <c r="G1418" s="611"/>
    </row>
    <row r="1419" spans="1:9" ht="15.75" hidden="1" customHeight="1" outlineLevel="2">
      <c r="A1419" s="613"/>
      <c r="B1419" s="612"/>
      <c r="C1419" s="613" t="s">
        <v>45</v>
      </c>
      <c r="D1419" s="612" t="s">
        <v>33</v>
      </c>
      <c r="E1419" s="613">
        <v>0.06</v>
      </c>
      <c r="F1419" s="611">
        <f>carpenter</f>
        <v>107800.00000000001</v>
      </c>
      <c r="G1419" s="611">
        <f>F1419*E1419</f>
        <v>6468.0000000000009</v>
      </c>
    </row>
    <row r="1420" spans="1:9" ht="15.75" hidden="1" customHeight="1" outlineLevel="2">
      <c r="A1420" s="613"/>
      <c r="B1420" s="612"/>
      <c r="C1420" s="613" t="s">
        <v>32</v>
      </c>
      <c r="D1420" s="612" t="s">
        <v>33</v>
      </c>
      <c r="E1420" s="613">
        <v>0.06</v>
      </c>
      <c r="F1420" s="611">
        <f>worker</f>
        <v>107800.00000000001</v>
      </c>
      <c r="G1420" s="611">
        <f>F1420*E1420</f>
        <v>6468.0000000000009</v>
      </c>
    </row>
    <row r="1421" spans="1:9" ht="15.75" hidden="1" customHeight="1" outlineLevel="2">
      <c r="A1421" s="613"/>
      <c r="B1421" s="612"/>
      <c r="C1421" s="613" t="s">
        <v>36</v>
      </c>
      <c r="D1421" s="612" t="s">
        <v>33</v>
      </c>
      <c r="E1421" s="613">
        <v>8.9999999999999993E-3</v>
      </c>
      <c r="F1421" s="611">
        <f>supervisor</f>
        <v>119350.00000000001</v>
      </c>
      <c r="G1421" s="611">
        <f>F1421*E1421</f>
        <v>1074.1500000000001</v>
      </c>
    </row>
    <row r="1422" spans="1:9" ht="15.75" hidden="1" customHeight="1" outlineLevel="2">
      <c r="A1422" s="613"/>
      <c r="B1422" s="612"/>
      <c r="C1422" s="613"/>
      <c r="D1422" s="612"/>
      <c r="E1422" s="613"/>
      <c r="F1422" s="611"/>
      <c r="G1422" s="611">
        <f>SUM(G1415:G1421)</f>
        <v>61117.65</v>
      </c>
    </row>
    <row r="1423" spans="1:9" ht="15.75" hidden="1" customHeight="1" outlineLevel="2">
      <c r="A1423" s="613"/>
      <c r="B1423" s="612"/>
      <c r="C1423" s="613"/>
      <c r="D1423" s="612"/>
      <c r="E1423" s="613"/>
      <c r="F1423" s="611"/>
      <c r="G1423" s="611"/>
    </row>
    <row r="1424" spans="1:9" ht="15.75" customHeight="1" outlineLevel="1" collapsed="1">
      <c r="A1424" s="613" t="s">
        <v>2074</v>
      </c>
      <c r="B1424" s="612">
        <f>B1412+1</f>
        <v>4</v>
      </c>
      <c r="C1424" s="613" t="s">
        <v>542</v>
      </c>
      <c r="D1424" s="612" t="s">
        <v>4</v>
      </c>
      <c r="E1424" s="613"/>
      <c r="F1424" s="611"/>
      <c r="G1424" s="605">
        <f>G1437</f>
        <v>641809.40999999992</v>
      </c>
      <c r="I1424" s="633" t="s">
        <v>248</v>
      </c>
    </row>
    <row r="1425" spans="1:9" ht="15.75" hidden="1" customHeight="1" outlineLevel="2">
      <c r="A1425" s="613"/>
      <c r="B1425" s="612"/>
      <c r="C1425" s="613"/>
      <c r="D1425" s="612"/>
      <c r="E1425" s="613"/>
      <c r="F1425" s="611"/>
      <c r="G1425" s="611"/>
    </row>
    <row r="1426" spans="1:9" ht="15.75" hidden="1" customHeight="1" outlineLevel="2">
      <c r="A1426" s="613"/>
      <c r="B1426" s="612"/>
      <c r="C1426" s="613" t="s">
        <v>20</v>
      </c>
      <c r="D1426" s="612"/>
      <c r="E1426" s="613"/>
      <c r="F1426" s="611"/>
      <c r="G1426" s="611"/>
    </row>
    <row r="1427" spans="1:9" ht="15.75" hidden="1" customHeight="1" outlineLevel="2">
      <c r="A1427" s="613"/>
      <c r="B1427" s="612"/>
      <c r="C1427" s="613" t="s">
        <v>249</v>
      </c>
      <c r="D1427" s="612" t="s">
        <v>4</v>
      </c>
      <c r="E1427" s="613">
        <v>1.05</v>
      </c>
      <c r="F1427" s="611">
        <f>granite_floor_600x600</f>
        <v>536360</v>
      </c>
      <c r="G1427" s="611">
        <f>F1427*E1427</f>
        <v>563178</v>
      </c>
      <c r="I1427" s="633" t="s">
        <v>250</v>
      </c>
    </row>
    <row r="1428" spans="1:9" ht="15.75" hidden="1" customHeight="1" outlineLevel="2">
      <c r="A1428" s="613"/>
      <c r="B1428" s="612"/>
      <c r="C1428" s="613" t="s">
        <v>251</v>
      </c>
      <c r="D1428" s="612" t="s">
        <v>1</v>
      </c>
      <c r="E1428" s="613">
        <v>9.6</v>
      </c>
      <c r="F1428" s="611">
        <f>PC</f>
        <v>1348.6000000000001</v>
      </c>
      <c r="G1428" s="611">
        <f>F1428*E1428</f>
        <v>12946.560000000001</v>
      </c>
    </row>
    <row r="1429" spans="1:9" ht="15.75" hidden="1" customHeight="1" outlineLevel="2">
      <c r="A1429" s="613"/>
      <c r="B1429" s="612"/>
      <c r="C1429" s="613" t="s">
        <v>144</v>
      </c>
      <c r="D1429" s="612" t="s">
        <v>4288</v>
      </c>
      <c r="E1429" s="613">
        <v>4.4999999999999998E-2</v>
      </c>
      <c r="F1429" s="611">
        <f>sand_pasang</f>
        <v>170610</v>
      </c>
      <c r="G1429" s="611">
        <f>F1429*E1429</f>
        <v>7677.45</v>
      </c>
    </row>
    <row r="1430" spans="1:9" ht="15.75" hidden="1" customHeight="1" outlineLevel="2">
      <c r="A1430" s="613"/>
      <c r="B1430" s="612"/>
      <c r="C1430" s="613" t="s">
        <v>252</v>
      </c>
      <c r="D1430" s="612" t="s">
        <v>1</v>
      </c>
      <c r="E1430" s="613">
        <v>1.5</v>
      </c>
      <c r="F1430" s="611">
        <f>PC_Color</f>
        <v>10890</v>
      </c>
      <c r="G1430" s="611">
        <f>F1430*E1430</f>
        <v>16335</v>
      </c>
    </row>
    <row r="1431" spans="1:9" ht="15.75" hidden="1" customHeight="1" outlineLevel="2">
      <c r="A1431" s="613"/>
      <c r="B1431" s="612"/>
      <c r="C1431" s="613"/>
      <c r="D1431" s="612"/>
      <c r="E1431" s="613"/>
      <c r="F1431" s="611"/>
      <c r="G1431" s="611"/>
    </row>
    <row r="1432" spans="1:9" ht="15.75" hidden="1" customHeight="1" outlineLevel="2">
      <c r="A1432" s="613"/>
      <c r="B1432" s="612"/>
      <c r="C1432" s="613" t="s">
        <v>31</v>
      </c>
      <c r="D1432" s="612"/>
      <c r="E1432" s="613"/>
      <c r="F1432" s="611"/>
      <c r="G1432" s="611"/>
    </row>
    <row r="1433" spans="1:9" ht="15.75" hidden="1" customHeight="1" outlineLevel="2">
      <c r="A1433" s="613"/>
      <c r="B1433" s="612"/>
      <c r="C1433" s="613" t="s">
        <v>145</v>
      </c>
      <c r="D1433" s="612" t="s">
        <v>33</v>
      </c>
      <c r="E1433" s="613">
        <v>0.12</v>
      </c>
      <c r="F1433" s="611">
        <f>brick_layer</f>
        <v>107800.00000000001</v>
      </c>
      <c r="G1433" s="611">
        <f>F1433*E1433</f>
        <v>12936.000000000002</v>
      </c>
    </row>
    <row r="1434" spans="1:9" ht="15.75" hidden="1" customHeight="1" outlineLevel="2">
      <c r="A1434" s="613"/>
      <c r="B1434" s="612"/>
      <c r="C1434" s="613" t="s">
        <v>32</v>
      </c>
      <c r="D1434" s="612" t="s">
        <v>33</v>
      </c>
      <c r="E1434" s="613">
        <v>0.24</v>
      </c>
      <c r="F1434" s="611">
        <f>worker</f>
        <v>107800.00000000001</v>
      </c>
      <c r="G1434" s="611">
        <f>F1434*E1434</f>
        <v>25872.000000000004</v>
      </c>
    </row>
    <row r="1435" spans="1:9" ht="15.75" hidden="1" customHeight="1" outlineLevel="2">
      <c r="A1435" s="613"/>
      <c r="B1435" s="612"/>
      <c r="C1435" s="613" t="s">
        <v>36</v>
      </c>
      <c r="D1435" s="612" t="s">
        <v>33</v>
      </c>
      <c r="E1435" s="613">
        <f>0.012</f>
        <v>1.2E-2</v>
      </c>
      <c r="F1435" s="611">
        <f>supervisor</f>
        <v>119350.00000000001</v>
      </c>
      <c r="G1435" s="611">
        <f>F1435*E1435</f>
        <v>1432.2000000000003</v>
      </c>
    </row>
    <row r="1436" spans="1:9" ht="15.75" hidden="1" customHeight="1" outlineLevel="2">
      <c r="A1436" s="613"/>
      <c r="B1436" s="612"/>
      <c r="C1436" s="613" t="s">
        <v>159</v>
      </c>
      <c r="D1436" s="612" t="s">
        <v>33</v>
      </c>
      <c r="E1436" s="613">
        <f>0.012</f>
        <v>1.2E-2</v>
      </c>
      <c r="F1436" s="611">
        <f>brick_layer_chief</f>
        <v>119350.00000000001</v>
      </c>
      <c r="G1436" s="611">
        <f>F1436*E1436</f>
        <v>1432.2000000000003</v>
      </c>
      <c r="I1436" s="633">
        <f>SUM(G1433:G1436)</f>
        <v>41672.400000000001</v>
      </c>
    </row>
    <row r="1437" spans="1:9" ht="15.75" hidden="1" customHeight="1" outlineLevel="2">
      <c r="A1437" s="613"/>
      <c r="B1437" s="612"/>
      <c r="C1437" s="613"/>
      <c r="D1437" s="612"/>
      <c r="E1437" s="613"/>
      <c r="F1437" s="611"/>
      <c r="G1437" s="611">
        <f>SUM(G1427:G1436)</f>
        <v>641809.40999999992</v>
      </c>
    </row>
    <row r="1438" spans="1:9" ht="15.75" hidden="1" customHeight="1" outlineLevel="2">
      <c r="A1438" s="613"/>
      <c r="B1438" s="612"/>
      <c r="C1438" s="613"/>
      <c r="D1438" s="612"/>
      <c r="E1438" s="613"/>
      <c r="F1438" s="611"/>
      <c r="G1438" s="611"/>
    </row>
    <row r="1439" spans="1:9" ht="15.75" customHeight="1" outlineLevel="1" collapsed="1">
      <c r="A1439" s="613" t="s">
        <v>2074</v>
      </c>
      <c r="B1439" s="612">
        <f>B1424+1</f>
        <v>5</v>
      </c>
      <c r="C1439" s="613" t="s">
        <v>543</v>
      </c>
      <c r="D1439" s="612" t="s">
        <v>4</v>
      </c>
      <c r="E1439" s="613"/>
      <c r="F1439" s="611"/>
      <c r="G1439" s="605">
        <f>G1452</f>
        <v>367928.55</v>
      </c>
      <c r="I1439" s="633" t="s">
        <v>253</v>
      </c>
    </row>
    <row r="1440" spans="1:9" ht="15.75" hidden="1" customHeight="1" outlineLevel="2">
      <c r="A1440" s="613"/>
      <c r="B1440" s="612"/>
      <c r="C1440" s="613"/>
      <c r="D1440" s="612"/>
      <c r="E1440" s="613"/>
      <c r="F1440" s="611"/>
      <c r="G1440" s="611"/>
    </row>
    <row r="1441" spans="1:9" ht="15.75" hidden="1" customHeight="1" outlineLevel="2">
      <c r="A1441" s="613"/>
      <c r="B1441" s="612"/>
      <c r="C1441" s="613" t="s">
        <v>20</v>
      </c>
      <c r="D1441" s="612"/>
      <c r="E1441" s="613"/>
      <c r="F1441" s="611"/>
      <c r="G1441" s="611"/>
    </row>
    <row r="1442" spans="1:9" ht="15.75" hidden="1" customHeight="1" outlineLevel="2">
      <c r="A1442" s="613"/>
      <c r="B1442" s="612"/>
      <c r="C1442" s="613" t="s">
        <v>254</v>
      </c>
      <c r="D1442" s="612" t="s">
        <v>4</v>
      </c>
      <c r="E1442" s="613">
        <v>1.05</v>
      </c>
      <c r="F1442" s="611">
        <f>granite_floor_300x300</f>
        <v>271700</v>
      </c>
      <c r="G1442" s="611">
        <f>F1442*E1442</f>
        <v>285285</v>
      </c>
      <c r="I1442" s="633" t="s">
        <v>250</v>
      </c>
    </row>
    <row r="1443" spans="1:9" ht="15.75" hidden="1" customHeight="1" outlineLevel="2">
      <c r="A1443" s="613"/>
      <c r="B1443" s="612"/>
      <c r="C1443" s="613" t="s">
        <v>251</v>
      </c>
      <c r="D1443" s="612" t="s">
        <v>1</v>
      </c>
      <c r="E1443" s="613">
        <v>10</v>
      </c>
      <c r="F1443" s="611">
        <f>PC</f>
        <v>1348.6000000000001</v>
      </c>
      <c r="G1443" s="611">
        <f>F1443*E1443</f>
        <v>13486.000000000002</v>
      </c>
    </row>
    <row r="1444" spans="1:9" ht="15.75" hidden="1" customHeight="1" outlineLevel="2">
      <c r="A1444" s="613"/>
      <c r="B1444" s="612"/>
      <c r="C1444" s="613" t="s">
        <v>144</v>
      </c>
      <c r="D1444" s="612" t="s">
        <v>4288</v>
      </c>
      <c r="E1444" s="613">
        <v>4.4999999999999998E-2</v>
      </c>
      <c r="F1444" s="611">
        <f>sand_pasang</f>
        <v>170610</v>
      </c>
      <c r="G1444" s="611">
        <f>F1444*E1444</f>
        <v>7677.45</v>
      </c>
    </row>
    <row r="1445" spans="1:9" ht="15.75" hidden="1" customHeight="1" outlineLevel="2">
      <c r="A1445" s="613"/>
      <c r="B1445" s="612"/>
      <c r="C1445" s="613" t="s">
        <v>255</v>
      </c>
      <c r="D1445" s="612" t="s">
        <v>1</v>
      </c>
      <c r="E1445" s="613">
        <v>1.5</v>
      </c>
      <c r="F1445" s="611">
        <f>PC_Color</f>
        <v>10890</v>
      </c>
      <c r="G1445" s="611">
        <f>F1445*E1445</f>
        <v>16335</v>
      </c>
    </row>
    <row r="1446" spans="1:9" ht="15.75" hidden="1" customHeight="1" outlineLevel="2">
      <c r="A1446" s="613"/>
      <c r="B1446" s="612"/>
      <c r="C1446" s="613"/>
      <c r="D1446" s="612"/>
      <c r="E1446" s="613"/>
      <c r="F1446" s="611"/>
      <c r="G1446" s="611"/>
    </row>
    <row r="1447" spans="1:9" ht="15.75" hidden="1" customHeight="1" outlineLevel="2">
      <c r="A1447" s="613"/>
      <c r="B1447" s="612"/>
      <c r="C1447" s="613" t="s">
        <v>31</v>
      </c>
      <c r="D1447" s="612"/>
      <c r="E1447" s="613"/>
      <c r="F1447" s="611"/>
      <c r="G1447" s="611"/>
    </row>
    <row r="1448" spans="1:9" ht="15.75" hidden="1" customHeight="1" outlineLevel="2">
      <c r="A1448" s="613"/>
      <c r="B1448" s="612"/>
      <c r="C1448" s="613" t="s">
        <v>145</v>
      </c>
      <c r="D1448" s="612" t="s">
        <v>33</v>
      </c>
      <c r="E1448" s="613">
        <v>0.13</v>
      </c>
      <c r="F1448" s="611">
        <f>brick_layer</f>
        <v>107800.00000000001</v>
      </c>
      <c r="G1448" s="611">
        <f>F1448*E1448</f>
        <v>14014.000000000002</v>
      </c>
    </row>
    <row r="1449" spans="1:9" ht="15.75" hidden="1" customHeight="1" outlineLevel="2">
      <c r="A1449" s="613"/>
      <c r="B1449" s="612"/>
      <c r="C1449" s="613" t="s">
        <v>32</v>
      </c>
      <c r="D1449" s="612" t="s">
        <v>33</v>
      </c>
      <c r="E1449" s="613">
        <v>0.26</v>
      </c>
      <c r="F1449" s="611">
        <f>worker</f>
        <v>107800.00000000001</v>
      </c>
      <c r="G1449" s="611">
        <f>F1449*E1449</f>
        <v>28028.000000000004</v>
      </c>
    </row>
    <row r="1450" spans="1:9" ht="15.75" hidden="1" customHeight="1" outlineLevel="2">
      <c r="A1450" s="613"/>
      <c r="B1450" s="612"/>
      <c r="C1450" s="613" t="s">
        <v>36</v>
      </c>
      <c r="D1450" s="612" t="s">
        <v>33</v>
      </c>
      <c r="E1450" s="613">
        <f>0.013</f>
        <v>1.2999999999999999E-2</v>
      </c>
      <c r="F1450" s="611">
        <f>supervisor</f>
        <v>119350.00000000001</v>
      </c>
      <c r="G1450" s="611">
        <f>F1450*E1450</f>
        <v>1551.5500000000002</v>
      </c>
    </row>
    <row r="1451" spans="1:9" ht="15.75" hidden="1" customHeight="1" outlineLevel="2">
      <c r="A1451" s="613"/>
      <c r="B1451" s="612"/>
      <c r="C1451" s="613" t="s">
        <v>159</v>
      </c>
      <c r="D1451" s="612" t="s">
        <v>33</v>
      </c>
      <c r="E1451" s="613">
        <f>0.013</f>
        <v>1.2999999999999999E-2</v>
      </c>
      <c r="F1451" s="611">
        <f>brick_layer_chief</f>
        <v>119350.00000000001</v>
      </c>
      <c r="G1451" s="611">
        <f>F1451*E1451</f>
        <v>1551.5500000000002</v>
      </c>
    </row>
    <row r="1452" spans="1:9" ht="15.75" hidden="1" customHeight="1" outlineLevel="2">
      <c r="A1452" s="613"/>
      <c r="B1452" s="612"/>
      <c r="C1452" s="613"/>
      <c r="D1452" s="612"/>
      <c r="E1452" s="613"/>
      <c r="F1452" s="611"/>
      <c r="G1452" s="611">
        <f>SUM(G1442:G1451)</f>
        <v>367928.55</v>
      </c>
    </row>
    <row r="1453" spans="1:9" ht="15.75" hidden="1" customHeight="1" outlineLevel="2">
      <c r="A1453" s="613"/>
      <c r="B1453" s="612"/>
      <c r="C1453" s="613"/>
      <c r="D1453" s="612"/>
      <c r="E1453" s="613"/>
      <c r="F1453" s="611"/>
      <c r="G1453" s="611"/>
    </row>
    <row r="1454" spans="1:9" ht="15.75" customHeight="1" outlineLevel="1" collapsed="1">
      <c r="A1454" s="613" t="s">
        <v>2074</v>
      </c>
      <c r="B1454" s="612">
        <f>B1439+1</f>
        <v>6</v>
      </c>
      <c r="C1454" s="613" t="s">
        <v>544</v>
      </c>
      <c r="D1454" s="612" t="s">
        <v>4</v>
      </c>
      <c r="E1454" s="613"/>
      <c r="F1454" s="611"/>
      <c r="G1454" s="605">
        <f>G1466</f>
        <v>516737.37500000006</v>
      </c>
      <c r="I1454" s="633" t="s">
        <v>124</v>
      </c>
    </row>
    <row r="1455" spans="1:9" ht="15.75" hidden="1" customHeight="1" outlineLevel="2">
      <c r="A1455" s="613"/>
      <c r="B1455" s="612"/>
      <c r="C1455" s="613"/>
      <c r="D1455" s="612"/>
      <c r="E1455" s="613"/>
      <c r="F1455" s="611"/>
      <c r="G1455" s="611"/>
    </row>
    <row r="1456" spans="1:9" ht="15.75" hidden="1" customHeight="1" outlineLevel="2">
      <c r="A1456" s="613"/>
      <c r="B1456" s="612"/>
      <c r="C1456" s="613" t="s">
        <v>20</v>
      </c>
      <c r="D1456" s="612"/>
      <c r="E1456" s="613"/>
      <c r="F1456" s="611"/>
      <c r="G1456" s="611"/>
    </row>
    <row r="1457" spans="1:9" ht="15.75" hidden="1" customHeight="1" outlineLevel="2">
      <c r="A1457" s="613"/>
      <c r="B1457" s="612"/>
      <c r="C1457" s="613" t="s">
        <v>256</v>
      </c>
      <c r="D1457" s="612" t="s">
        <v>4290</v>
      </c>
      <c r="E1457" s="613">
        <v>1.05</v>
      </c>
      <c r="F1457" s="611">
        <f>granite_floor_300x600</f>
        <v>429550.00000000006</v>
      </c>
      <c r="G1457" s="611">
        <f>F1457*E1457</f>
        <v>451027.50000000006</v>
      </c>
    </row>
    <row r="1458" spans="1:9" ht="15.75" hidden="1" customHeight="1" outlineLevel="2">
      <c r="A1458" s="613"/>
      <c r="B1458" s="612"/>
      <c r="C1458" s="613" t="s">
        <v>251</v>
      </c>
      <c r="D1458" s="612" t="s">
        <v>1</v>
      </c>
      <c r="E1458" s="613">
        <v>10</v>
      </c>
      <c r="F1458" s="611">
        <f>PC</f>
        <v>1348.6000000000001</v>
      </c>
      <c r="G1458" s="611">
        <f>F1458*E1458</f>
        <v>13486.000000000002</v>
      </c>
    </row>
    <row r="1459" spans="1:9" ht="15.75" hidden="1" customHeight="1" outlineLevel="2">
      <c r="A1459" s="613"/>
      <c r="B1459" s="612"/>
      <c r="C1459" s="613" t="s">
        <v>144</v>
      </c>
      <c r="D1459" s="612" t="s">
        <v>4288</v>
      </c>
      <c r="E1459" s="613">
        <v>4.4999999999999998E-2</v>
      </c>
      <c r="F1459" s="611">
        <f>sand_pasang</f>
        <v>170610</v>
      </c>
      <c r="G1459" s="611">
        <f>F1459*E1459</f>
        <v>7677.45</v>
      </c>
    </row>
    <row r="1460" spans="1:9" ht="15.75" hidden="1" customHeight="1" outlineLevel="2">
      <c r="A1460" s="613"/>
      <c r="B1460" s="612"/>
      <c r="C1460" s="613"/>
      <c r="D1460" s="612"/>
      <c r="E1460" s="613"/>
      <c r="F1460" s="611"/>
      <c r="G1460" s="611"/>
    </row>
    <row r="1461" spans="1:9" ht="15.75" hidden="1" customHeight="1" outlineLevel="2">
      <c r="A1461" s="613"/>
      <c r="B1461" s="612"/>
      <c r="C1461" s="613" t="s">
        <v>31</v>
      </c>
      <c r="D1461" s="612"/>
      <c r="E1461" s="613"/>
      <c r="F1461" s="611"/>
      <c r="G1461" s="611"/>
    </row>
    <row r="1462" spans="1:9" ht="15.75" hidden="1" customHeight="1" outlineLevel="2">
      <c r="A1462" s="613"/>
      <c r="B1462" s="612"/>
      <c r="C1462" s="613" t="s">
        <v>145</v>
      </c>
      <c r="D1462" s="612" t="s">
        <v>33</v>
      </c>
      <c r="E1462" s="613">
        <v>0.125</v>
      </c>
      <c r="F1462" s="611">
        <f>brick_layer</f>
        <v>107800.00000000001</v>
      </c>
      <c r="G1462" s="611">
        <f>F1462*E1462</f>
        <v>13475.000000000002</v>
      </c>
    </row>
    <row r="1463" spans="1:9" ht="15.75" hidden="1" customHeight="1" outlineLevel="2">
      <c r="A1463" s="613"/>
      <c r="B1463" s="612"/>
      <c r="C1463" s="613" t="s">
        <v>32</v>
      </c>
      <c r="D1463" s="612" t="s">
        <v>33</v>
      </c>
      <c r="E1463" s="613">
        <v>0.26</v>
      </c>
      <c r="F1463" s="611">
        <f>worker</f>
        <v>107800.00000000001</v>
      </c>
      <c r="G1463" s="611">
        <f>F1463*E1463</f>
        <v>28028.000000000004</v>
      </c>
    </row>
    <row r="1464" spans="1:9" ht="15.75" hidden="1" customHeight="1" outlineLevel="2">
      <c r="A1464" s="613"/>
      <c r="B1464" s="612"/>
      <c r="C1464" s="613" t="s">
        <v>36</v>
      </c>
      <c r="D1464" s="612" t="s">
        <v>33</v>
      </c>
      <c r="E1464" s="613">
        <f>0.0125</f>
        <v>1.2500000000000001E-2</v>
      </c>
      <c r="F1464" s="611">
        <f>supervisor</f>
        <v>119350.00000000001</v>
      </c>
      <c r="G1464" s="611">
        <f>F1464*E1464</f>
        <v>1491.8750000000002</v>
      </c>
    </row>
    <row r="1465" spans="1:9" ht="15.75" hidden="1" customHeight="1" outlineLevel="2">
      <c r="A1465" s="613"/>
      <c r="B1465" s="612"/>
      <c r="C1465" s="613" t="s">
        <v>159</v>
      </c>
      <c r="D1465" s="612" t="s">
        <v>33</v>
      </c>
      <c r="E1465" s="613">
        <f>0.013</f>
        <v>1.2999999999999999E-2</v>
      </c>
      <c r="F1465" s="611">
        <f>brick_layer_chief</f>
        <v>119350.00000000001</v>
      </c>
      <c r="G1465" s="611">
        <f>F1465*E1465</f>
        <v>1551.5500000000002</v>
      </c>
    </row>
    <row r="1466" spans="1:9" ht="15.75" hidden="1" customHeight="1" outlineLevel="2">
      <c r="A1466" s="613"/>
      <c r="B1466" s="612"/>
      <c r="C1466" s="613"/>
      <c r="D1466" s="612"/>
      <c r="E1466" s="613"/>
      <c r="F1466" s="611"/>
      <c r="G1466" s="611">
        <f>SUM(G1457:G1465)</f>
        <v>516737.37500000006</v>
      </c>
    </row>
    <row r="1467" spans="1:9" ht="15.75" hidden="1" customHeight="1" outlineLevel="2">
      <c r="A1467" s="613"/>
      <c r="B1467" s="612"/>
      <c r="C1467" s="613"/>
      <c r="D1467" s="612"/>
      <c r="E1467" s="613"/>
      <c r="F1467" s="611"/>
      <c r="G1467" s="611"/>
    </row>
    <row r="1468" spans="1:9" ht="15.75" customHeight="1" outlineLevel="1" collapsed="1">
      <c r="A1468" s="613" t="s">
        <v>2074</v>
      </c>
      <c r="B1468" s="612">
        <f>B1454+1</f>
        <v>7</v>
      </c>
      <c r="C1468" s="613" t="s">
        <v>1673</v>
      </c>
      <c r="D1468" s="612" t="s">
        <v>4</v>
      </c>
      <c r="E1468" s="613"/>
      <c r="F1468" s="611"/>
      <c r="G1468" s="605">
        <f>G1481</f>
        <v>165698.82999999999</v>
      </c>
      <c r="I1468" s="633" t="s">
        <v>257</v>
      </c>
    </row>
    <row r="1469" spans="1:9" ht="15.75" hidden="1" customHeight="1" outlineLevel="2">
      <c r="A1469" s="613"/>
      <c r="B1469" s="612"/>
      <c r="C1469" s="613"/>
      <c r="D1469" s="612"/>
      <c r="E1469" s="613"/>
      <c r="F1469" s="611"/>
      <c r="G1469" s="611"/>
    </row>
    <row r="1470" spans="1:9" ht="15.75" hidden="1" customHeight="1" outlineLevel="2">
      <c r="A1470" s="613"/>
      <c r="B1470" s="612"/>
      <c r="C1470" s="613" t="s">
        <v>20</v>
      </c>
      <c r="D1470" s="612"/>
      <c r="E1470" s="613"/>
      <c r="F1470" s="611"/>
      <c r="G1470" s="611"/>
    </row>
    <row r="1471" spans="1:9" ht="15.75" hidden="1" customHeight="1" outlineLevel="2">
      <c r="A1471" s="613"/>
      <c r="B1471" s="612"/>
      <c r="C1471" s="613" t="s">
        <v>258</v>
      </c>
      <c r="D1471" s="612" t="s">
        <v>4</v>
      </c>
      <c r="E1471" s="613">
        <v>1</v>
      </c>
      <c r="F1471" s="611">
        <f>ceramic_non_glazed_40.40_m2</f>
        <v>87120</v>
      </c>
      <c r="G1471" s="611">
        <f>F1471*E1471</f>
        <v>87120</v>
      </c>
      <c r="I1471" s="633" t="s">
        <v>250</v>
      </c>
    </row>
    <row r="1472" spans="1:9" ht="15.75" hidden="1" customHeight="1" outlineLevel="2">
      <c r="A1472" s="613"/>
      <c r="B1472" s="612"/>
      <c r="C1472" s="613" t="s">
        <v>251</v>
      </c>
      <c r="D1472" s="612" t="s">
        <v>1</v>
      </c>
      <c r="E1472" s="613">
        <v>9.8000000000000007</v>
      </c>
      <c r="F1472" s="611">
        <f>PC</f>
        <v>1348.6000000000001</v>
      </c>
      <c r="G1472" s="611">
        <f>F1472*E1472</f>
        <v>13216.280000000002</v>
      </c>
    </row>
    <row r="1473" spans="1:9" ht="15.75" hidden="1" customHeight="1" outlineLevel="2">
      <c r="A1473" s="613"/>
      <c r="B1473" s="612"/>
      <c r="C1473" s="613" t="s">
        <v>144</v>
      </c>
      <c r="D1473" s="612" t="s">
        <v>4288</v>
      </c>
      <c r="E1473" s="613">
        <v>4.4999999999999998E-2</v>
      </c>
      <c r="F1473" s="611">
        <f>sand_pasang</f>
        <v>170610</v>
      </c>
      <c r="G1473" s="611">
        <f>F1473*E1473</f>
        <v>7677.45</v>
      </c>
    </row>
    <row r="1474" spans="1:9" ht="15.75" hidden="1" customHeight="1" outlineLevel="2">
      <c r="A1474" s="613"/>
      <c r="B1474" s="612"/>
      <c r="C1474" s="613" t="s">
        <v>259</v>
      </c>
      <c r="D1474" s="612" t="s">
        <v>1</v>
      </c>
      <c r="E1474" s="613">
        <v>1.3</v>
      </c>
      <c r="F1474" s="611">
        <f>PC_Color</f>
        <v>10890</v>
      </c>
      <c r="G1474" s="611">
        <f>F1474*E1474</f>
        <v>14157</v>
      </c>
    </row>
    <row r="1475" spans="1:9" ht="15.75" hidden="1" customHeight="1" outlineLevel="2">
      <c r="A1475" s="613"/>
      <c r="B1475" s="612"/>
      <c r="C1475" s="613"/>
      <c r="D1475" s="612"/>
      <c r="E1475" s="613"/>
      <c r="F1475" s="611"/>
      <c r="G1475" s="611"/>
    </row>
    <row r="1476" spans="1:9" ht="15.75" hidden="1" customHeight="1" outlineLevel="2">
      <c r="A1476" s="613"/>
      <c r="B1476" s="612"/>
      <c r="C1476" s="613" t="s">
        <v>31</v>
      </c>
      <c r="D1476" s="612"/>
      <c r="E1476" s="613"/>
      <c r="F1476" s="611"/>
      <c r="G1476" s="611"/>
    </row>
    <row r="1477" spans="1:9" ht="15.75" hidden="1" customHeight="1" outlineLevel="2">
      <c r="A1477" s="613"/>
      <c r="B1477" s="612"/>
      <c r="C1477" s="613" t="s">
        <v>145</v>
      </c>
      <c r="D1477" s="612" t="s">
        <v>33</v>
      </c>
      <c r="E1477" s="613">
        <v>0.125</v>
      </c>
      <c r="F1477" s="611">
        <f>brick_layer</f>
        <v>107800.00000000001</v>
      </c>
      <c r="G1477" s="611">
        <f>F1477*E1477</f>
        <v>13475.000000000002</v>
      </c>
    </row>
    <row r="1478" spans="1:9" ht="15.75" hidden="1" customHeight="1" outlineLevel="2">
      <c r="A1478" s="613"/>
      <c r="B1478" s="612"/>
      <c r="C1478" s="613" t="s">
        <v>32</v>
      </c>
      <c r="D1478" s="612" t="s">
        <v>33</v>
      </c>
      <c r="E1478" s="613">
        <v>0.25</v>
      </c>
      <c r="F1478" s="611">
        <f>worker</f>
        <v>107800.00000000001</v>
      </c>
      <c r="G1478" s="611">
        <f>F1478*E1478</f>
        <v>26950.000000000004</v>
      </c>
    </row>
    <row r="1479" spans="1:9" ht="15.75" hidden="1" customHeight="1" outlineLevel="2">
      <c r="A1479" s="613"/>
      <c r="B1479" s="612"/>
      <c r="C1479" s="613" t="s">
        <v>36</v>
      </c>
      <c r="D1479" s="612" t="s">
        <v>33</v>
      </c>
      <c r="E1479" s="613">
        <v>1.2999999999999999E-2</v>
      </c>
      <c r="F1479" s="611">
        <f>supervisor</f>
        <v>119350.00000000001</v>
      </c>
      <c r="G1479" s="611">
        <f>F1479*E1479</f>
        <v>1551.5500000000002</v>
      </c>
    </row>
    <row r="1480" spans="1:9" ht="15.75" hidden="1" customHeight="1" outlineLevel="2">
      <c r="A1480" s="613"/>
      <c r="B1480" s="612"/>
      <c r="C1480" s="613" t="s">
        <v>159</v>
      </c>
      <c r="D1480" s="612" t="s">
        <v>33</v>
      </c>
      <c r="E1480" s="613">
        <v>1.2999999999999999E-2</v>
      </c>
      <c r="F1480" s="611">
        <f>brick_layer_chief</f>
        <v>119350.00000000001</v>
      </c>
      <c r="G1480" s="611">
        <f>F1480*E1480</f>
        <v>1551.5500000000002</v>
      </c>
    </row>
    <row r="1481" spans="1:9" ht="15.75" hidden="1" customHeight="1" outlineLevel="2">
      <c r="A1481" s="613"/>
      <c r="B1481" s="612"/>
      <c r="C1481" s="613"/>
      <c r="D1481" s="612"/>
      <c r="E1481" s="613"/>
      <c r="F1481" s="611"/>
      <c r="G1481" s="611">
        <f>SUM(G1471:G1480)</f>
        <v>165698.82999999999</v>
      </c>
    </row>
    <row r="1482" spans="1:9" ht="15.75" hidden="1" customHeight="1" outlineLevel="2">
      <c r="A1482" s="613"/>
      <c r="B1482" s="612"/>
      <c r="C1482" s="613"/>
      <c r="D1482" s="612"/>
      <c r="E1482" s="613"/>
      <c r="F1482" s="611"/>
      <c r="G1482" s="611"/>
    </row>
    <row r="1483" spans="1:9" ht="15.75" customHeight="1" outlineLevel="1" collapsed="1">
      <c r="A1483" s="613" t="s">
        <v>2074</v>
      </c>
      <c r="B1483" s="612">
        <f>B1468+1</f>
        <v>8</v>
      </c>
      <c r="C1483" s="613" t="s">
        <v>541</v>
      </c>
      <c r="D1483" s="612" t="s">
        <v>4</v>
      </c>
      <c r="E1483" s="613"/>
      <c r="F1483" s="611"/>
      <c r="G1483" s="605">
        <f>G1496</f>
        <v>487800.83000000013</v>
      </c>
      <c r="I1483" s="633" t="s">
        <v>260</v>
      </c>
    </row>
    <row r="1484" spans="1:9" ht="15.75" hidden="1" customHeight="1" outlineLevel="2">
      <c r="A1484" s="613"/>
      <c r="B1484" s="612"/>
      <c r="C1484" s="613"/>
      <c r="D1484" s="612"/>
      <c r="E1484" s="613"/>
      <c r="F1484" s="611"/>
      <c r="G1484" s="611"/>
    </row>
    <row r="1485" spans="1:9" ht="15.75" hidden="1" customHeight="1" outlineLevel="2">
      <c r="A1485" s="613"/>
      <c r="B1485" s="612"/>
      <c r="C1485" s="613" t="s">
        <v>20</v>
      </c>
      <c r="D1485" s="612"/>
      <c r="E1485" s="613"/>
      <c r="F1485" s="611"/>
      <c r="G1485" s="611"/>
    </row>
    <row r="1486" spans="1:9" ht="15.75" hidden="1" customHeight="1" outlineLevel="2">
      <c r="A1486" s="613"/>
      <c r="B1486" s="612"/>
      <c r="C1486" s="613" t="s">
        <v>261</v>
      </c>
      <c r="D1486" s="612" t="s">
        <v>4</v>
      </c>
      <c r="E1486" s="613">
        <v>1.1000000000000001</v>
      </c>
      <c r="F1486" s="611">
        <f>granite_wall_400x400</f>
        <v>372020.00000000006</v>
      </c>
      <c r="G1486" s="611">
        <f>F1486*E1486</f>
        <v>409222.00000000012</v>
      </c>
      <c r="I1486" s="633" t="s">
        <v>250</v>
      </c>
    </row>
    <row r="1487" spans="1:9" ht="15.75" hidden="1" customHeight="1" outlineLevel="2">
      <c r="A1487" s="613"/>
      <c r="B1487" s="612"/>
      <c r="C1487" s="613" t="s">
        <v>251</v>
      </c>
      <c r="D1487" s="612" t="s">
        <v>1</v>
      </c>
      <c r="E1487" s="613">
        <v>9.8000000000000007</v>
      </c>
      <c r="F1487" s="611">
        <f>PC</f>
        <v>1348.6000000000001</v>
      </c>
      <c r="G1487" s="611">
        <f>F1487*E1487</f>
        <v>13216.280000000002</v>
      </c>
    </row>
    <row r="1488" spans="1:9" ht="15.75" hidden="1" customHeight="1" outlineLevel="2">
      <c r="A1488" s="613"/>
      <c r="B1488" s="612"/>
      <c r="C1488" s="613" t="s">
        <v>259</v>
      </c>
      <c r="D1488" s="612" t="s">
        <v>1</v>
      </c>
      <c r="E1488" s="613">
        <v>1.3</v>
      </c>
      <c r="F1488" s="611">
        <f>PC_Color</f>
        <v>10890</v>
      </c>
      <c r="G1488" s="611">
        <f>F1488*E1488</f>
        <v>14157</v>
      </c>
    </row>
    <row r="1489" spans="1:9" ht="15.75" hidden="1" customHeight="1" outlineLevel="2">
      <c r="A1489" s="613"/>
      <c r="B1489" s="612"/>
      <c r="C1489" s="613" t="s">
        <v>144</v>
      </c>
      <c r="D1489" s="612" t="s">
        <v>4288</v>
      </c>
      <c r="E1489" s="613">
        <v>4.4999999999999998E-2</v>
      </c>
      <c r="F1489" s="611">
        <f>sand_pasang</f>
        <v>170610</v>
      </c>
      <c r="G1489" s="611">
        <f>F1489*E1489</f>
        <v>7677.45</v>
      </c>
    </row>
    <row r="1490" spans="1:9" ht="15.75" hidden="1" customHeight="1" outlineLevel="2">
      <c r="A1490" s="613"/>
      <c r="B1490" s="612"/>
      <c r="C1490" s="613"/>
      <c r="D1490" s="612"/>
      <c r="E1490" s="613"/>
      <c r="F1490" s="611"/>
      <c r="G1490" s="611"/>
    </row>
    <row r="1491" spans="1:9" ht="15.75" hidden="1" customHeight="1" outlineLevel="2">
      <c r="A1491" s="613"/>
      <c r="B1491" s="612"/>
      <c r="C1491" s="613" t="s">
        <v>31</v>
      </c>
      <c r="D1491" s="612"/>
      <c r="E1491" s="613"/>
      <c r="F1491" s="611"/>
      <c r="G1491" s="611"/>
    </row>
    <row r="1492" spans="1:9" ht="15.75" hidden="1" customHeight="1" outlineLevel="2">
      <c r="A1492" s="613"/>
      <c r="B1492" s="612"/>
      <c r="C1492" s="613" t="s">
        <v>145</v>
      </c>
      <c r="D1492" s="612" t="s">
        <v>33</v>
      </c>
      <c r="E1492" s="613">
        <v>0.125</v>
      </c>
      <c r="F1492" s="611">
        <f>brick_layer</f>
        <v>107800.00000000001</v>
      </c>
      <c r="G1492" s="611">
        <f>F1492*E1492</f>
        <v>13475.000000000002</v>
      </c>
    </row>
    <row r="1493" spans="1:9" ht="15.75" hidden="1" customHeight="1" outlineLevel="2">
      <c r="A1493" s="613"/>
      <c r="B1493" s="612"/>
      <c r="C1493" s="613" t="s">
        <v>32</v>
      </c>
      <c r="D1493" s="612" t="s">
        <v>33</v>
      </c>
      <c r="E1493" s="613">
        <v>0.25</v>
      </c>
      <c r="F1493" s="611">
        <f>worker</f>
        <v>107800.00000000001</v>
      </c>
      <c r="G1493" s="611">
        <f>F1493*E1493</f>
        <v>26950.000000000004</v>
      </c>
    </row>
    <row r="1494" spans="1:9" ht="15.75" hidden="1" customHeight="1" outlineLevel="2">
      <c r="A1494" s="613"/>
      <c r="B1494" s="612"/>
      <c r="C1494" s="613" t="s">
        <v>36</v>
      </c>
      <c r="D1494" s="612" t="s">
        <v>33</v>
      </c>
      <c r="E1494" s="613">
        <v>1.2999999999999999E-2</v>
      </c>
      <c r="F1494" s="611">
        <f>supervisor</f>
        <v>119350.00000000001</v>
      </c>
      <c r="G1494" s="611">
        <f>F1494*E1494</f>
        <v>1551.5500000000002</v>
      </c>
    </row>
    <row r="1495" spans="1:9" ht="15.75" hidden="1" customHeight="1" outlineLevel="2">
      <c r="A1495" s="613"/>
      <c r="B1495" s="612"/>
      <c r="C1495" s="613" t="s">
        <v>159</v>
      </c>
      <c r="D1495" s="612" t="s">
        <v>33</v>
      </c>
      <c r="E1495" s="613">
        <v>1.2999999999999999E-2</v>
      </c>
      <c r="F1495" s="611">
        <f>brick_layer_chief</f>
        <v>119350.00000000001</v>
      </c>
      <c r="G1495" s="611">
        <f>F1495*E1495</f>
        <v>1551.5500000000002</v>
      </c>
    </row>
    <row r="1496" spans="1:9" ht="15.75" hidden="1" customHeight="1" outlineLevel="2">
      <c r="A1496" s="613"/>
      <c r="B1496" s="612"/>
      <c r="C1496" s="613"/>
      <c r="D1496" s="612"/>
      <c r="E1496" s="613"/>
      <c r="F1496" s="611"/>
      <c r="G1496" s="611">
        <f>SUM(G1486:G1495)</f>
        <v>487800.83000000013</v>
      </c>
    </row>
    <row r="1497" spans="1:9" ht="15.75" hidden="1" customHeight="1" outlineLevel="2">
      <c r="A1497" s="613"/>
      <c r="B1497" s="612"/>
      <c r="C1497" s="613"/>
      <c r="D1497" s="612"/>
      <c r="E1497" s="613"/>
      <c r="F1497" s="611"/>
      <c r="G1497" s="611"/>
    </row>
    <row r="1498" spans="1:9" ht="15.75" customHeight="1" outlineLevel="1" collapsed="1">
      <c r="A1498" s="613" t="s">
        <v>2074</v>
      </c>
      <c r="B1498" s="612">
        <f>B1483+1</f>
        <v>9</v>
      </c>
      <c r="C1498" s="613" t="s">
        <v>1674</v>
      </c>
      <c r="D1498" s="612" t="s">
        <v>3</v>
      </c>
      <c r="E1498" s="613"/>
      <c r="F1498" s="611"/>
      <c r="G1498" s="605">
        <f>G1511</f>
        <v>115879.80066666668</v>
      </c>
      <c r="I1498" s="633" t="s">
        <v>262</v>
      </c>
    </row>
    <row r="1499" spans="1:9" ht="15.75" hidden="1" customHeight="1" outlineLevel="2">
      <c r="A1499" s="613"/>
      <c r="B1499" s="612"/>
      <c r="C1499" s="613"/>
      <c r="D1499" s="612"/>
      <c r="E1499" s="613"/>
      <c r="F1499" s="611"/>
      <c r="G1499" s="611"/>
    </row>
    <row r="1500" spans="1:9" ht="15.75" hidden="1" customHeight="1" outlineLevel="2">
      <c r="A1500" s="613"/>
      <c r="B1500" s="612"/>
      <c r="C1500" s="613" t="s">
        <v>20</v>
      </c>
      <c r="D1500" s="612"/>
      <c r="E1500" s="613"/>
      <c r="F1500" s="611"/>
      <c r="G1500" s="611"/>
    </row>
    <row r="1501" spans="1:9" ht="15.75" hidden="1" customHeight="1" outlineLevel="2">
      <c r="A1501" s="613"/>
      <c r="B1501" s="612"/>
      <c r="C1501" s="613" t="s">
        <v>263</v>
      </c>
      <c r="D1501" s="612" t="s">
        <v>3</v>
      </c>
      <c r="E1501" s="613">
        <f>1/0.3</f>
        <v>3.3333333333333335</v>
      </c>
      <c r="F1501" s="611">
        <f>granite_plint_tiles_100x300</f>
        <v>27500.000000000004</v>
      </c>
      <c r="G1501" s="611">
        <f>F1501*E1501</f>
        <v>91666.666666666686</v>
      </c>
    </row>
    <row r="1502" spans="1:9" ht="15.75" hidden="1" customHeight="1" outlineLevel="2">
      <c r="A1502" s="613"/>
      <c r="B1502" s="612"/>
      <c r="C1502" s="613" t="s">
        <v>251</v>
      </c>
      <c r="D1502" s="612" t="s">
        <v>1</v>
      </c>
      <c r="E1502" s="613">
        <v>1.1399999999999999</v>
      </c>
      <c r="F1502" s="611">
        <f>PC</f>
        <v>1348.6000000000001</v>
      </c>
      <c r="G1502" s="611">
        <f>F1502*E1502</f>
        <v>1537.404</v>
      </c>
    </row>
    <row r="1503" spans="1:9" ht="15.75" hidden="1" customHeight="1" outlineLevel="2">
      <c r="A1503" s="613"/>
      <c r="B1503" s="612"/>
      <c r="C1503" s="613" t="s">
        <v>144</v>
      </c>
      <c r="D1503" s="612" t="s">
        <v>4288</v>
      </c>
      <c r="E1503" s="613">
        <v>3.0000000000000001E-3</v>
      </c>
      <c r="F1503" s="611">
        <f>sand_pasang</f>
        <v>170610</v>
      </c>
      <c r="G1503" s="611">
        <f>F1503*E1503</f>
        <v>511.83</v>
      </c>
    </row>
    <row r="1504" spans="1:9" ht="15.75" hidden="1" customHeight="1" outlineLevel="2">
      <c r="A1504" s="613"/>
      <c r="B1504" s="612"/>
      <c r="C1504" s="613" t="s">
        <v>255</v>
      </c>
      <c r="D1504" s="612" t="s">
        <v>1</v>
      </c>
      <c r="E1504" s="613">
        <v>0.1</v>
      </c>
      <c r="F1504" s="611">
        <f>PC_Color</f>
        <v>10890</v>
      </c>
      <c r="G1504" s="611">
        <f>F1504*E1504</f>
        <v>1089</v>
      </c>
    </row>
    <row r="1505" spans="1:9" ht="15.75" hidden="1" customHeight="1" outlineLevel="2">
      <c r="A1505" s="613"/>
      <c r="B1505" s="612"/>
      <c r="C1505" s="613"/>
      <c r="D1505" s="612"/>
      <c r="E1505" s="613"/>
      <c r="F1505" s="611"/>
      <c r="G1505" s="611"/>
    </row>
    <row r="1506" spans="1:9" ht="15.75" hidden="1" customHeight="1" outlineLevel="2">
      <c r="A1506" s="613"/>
      <c r="B1506" s="612"/>
      <c r="C1506" s="613" t="s">
        <v>31</v>
      </c>
      <c r="D1506" s="612"/>
      <c r="E1506" s="613"/>
      <c r="F1506" s="611"/>
      <c r="G1506" s="611"/>
    </row>
    <row r="1507" spans="1:9" ht="15.75" hidden="1" customHeight="1" outlineLevel="2">
      <c r="A1507" s="613"/>
      <c r="B1507" s="612"/>
      <c r="C1507" s="613" t="s">
        <v>145</v>
      </c>
      <c r="D1507" s="612" t="s">
        <v>33</v>
      </c>
      <c r="E1507" s="613">
        <v>0.09</v>
      </c>
      <c r="F1507" s="611">
        <f>brick_layer</f>
        <v>107800.00000000001</v>
      </c>
      <c r="G1507" s="611">
        <f>F1507*E1507</f>
        <v>9702.0000000000018</v>
      </c>
    </row>
    <row r="1508" spans="1:9" ht="15.75" hidden="1" customHeight="1" outlineLevel="2">
      <c r="A1508" s="613"/>
      <c r="B1508" s="612"/>
      <c r="C1508" s="613" t="s">
        <v>32</v>
      </c>
      <c r="D1508" s="612" t="s">
        <v>33</v>
      </c>
      <c r="E1508" s="613">
        <v>0.09</v>
      </c>
      <c r="F1508" s="611">
        <f>worker</f>
        <v>107800.00000000001</v>
      </c>
      <c r="G1508" s="611">
        <f>F1508*E1508</f>
        <v>9702.0000000000018</v>
      </c>
    </row>
    <row r="1509" spans="1:9" ht="15.75" hidden="1" customHeight="1" outlineLevel="2">
      <c r="A1509" s="613"/>
      <c r="B1509" s="612"/>
      <c r="C1509" s="613" t="s">
        <v>36</v>
      </c>
      <c r="D1509" s="612" t="s">
        <v>33</v>
      </c>
      <c r="E1509" s="613">
        <f>0.005</f>
        <v>5.0000000000000001E-3</v>
      </c>
      <c r="F1509" s="611">
        <f>supervisor</f>
        <v>119350.00000000001</v>
      </c>
      <c r="G1509" s="611">
        <f>F1509*E1509</f>
        <v>596.75000000000011</v>
      </c>
    </row>
    <row r="1510" spans="1:9" ht="15.75" hidden="1" customHeight="1" outlineLevel="2">
      <c r="A1510" s="613"/>
      <c r="B1510" s="612"/>
      <c r="C1510" s="613" t="s">
        <v>264</v>
      </c>
      <c r="D1510" s="612" t="s">
        <v>33</v>
      </c>
      <c r="E1510" s="613">
        <v>8.9999999999999993E-3</v>
      </c>
      <c r="F1510" s="611">
        <f>brick_layer_chief</f>
        <v>119350.00000000001</v>
      </c>
      <c r="G1510" s="611">
        <f>F1510*E1510</f>
        <v>1074.1500000000001</v>
      </c>
    </row>
    <row r="1511" spans="1:9" ht="15.75" hidden="1" customHeight="1" outlineLevel="2">
      <c r="A1511" s="613"/>
      <c r="B1511" s="612"/>
      <c r="C1511" s="613"/>
      <c r="D1511" s="612"/>
      <c r="E1511" s="613"/>
      <c r="F1511" s="611"/>
      <c r="G1511" s="611">
        <f>SUM(G1501:G1510)</f>
        <v>115879.80066666668</v>
      </c>
    </row>
    <row r="1512" spans="1:9" ht="15.75" hidden="1" customHeight="1" outlineLevel="2">
      <c r="A1512" s="613"/>
      <c r="B1512" s="612"/>
      <c r="C1512" s="613"/>
      <c r="D1512" s="612"/>
      <c r="E1512" s="613"/>
      <c r="F1512" s="611"/>
      <c r="G1512" s="611"/>
    </row>
    <row r="1513" spans="1:9" ht="15.75" customHeight="1" outlineLevel="1" collapsed="1">
      <c r="A1513" s="613" t="s">
        <v>2074</v>
      </c>
      <c r="B1513" s="612">
        <f>B1498+1</f>
        <v>10</v>
      </c>
      <c r="C1513" s="613" t="s">
        <v>1675</v>
      </c>
      <c r="D1513" s="612" t="s">
        <v>3</v>
      </c>
      <c r="E1513" s="613"/>
      <c r="F1513" s="611"/>
      <c r="G1513" s="605">
        <f>G1526</f>
        <v>104238.13400000001</v>
      </c>
      <c r="I1513" s="633" t="s">
        <v>265</v>
      </c>
    </row>
    <row r="1514" spans="1:9" ht="15.75" hidden="1" customHeight="1" outlineLevel="2">
      <c r="A1514" s="613"/>
      <c r="B1514" s="612"/>
      <c r="C1514" s="613"/>
      <c r="D1514" s="612"/>
      <c r="E1514" s="613"/>
      <c r="F1514" s="611"/>
      <c r="G1514" s="611"/>
    </row>
    <row r="1515" spans="1:9" ht="15.75" hidden="1" customHeight="1" outlineLevel="2">
      <c r="A1515" s="613"/>
      <c r="B1515" s="612"/>
      <c r="C1515" s="613" t="s">
        <v>20</v>
      </c>
      <c r="D1515" s="612"/>
      <c r="E1515" s="613"/>
      <c r="F1515" s="611"/>
      <c r="G1515" s="611"/>
    </row>
    <row r="1516" spans="1:9" ht="15.75" hidden="1" customHeight="1" outlineLevel="2">
      <c r="A1516" s="613"/>
      <c r="B1516" s="612"/>
      <c r="C1516" s="613" t="s">
        <v>266</v>
      </c>
      <c r="D1516" s="612" t="s">
        <v>4</v>
      </c>
      <c r="E1516" s="613">
        <f>1/0.4</f>
        <v>2.5</v>
      </c>
      <c r="F1516" s="611">
        <f>granite_plint_tiles_100x400</f>
        <v>32010.000000000004</v>
      </c>
      <c r="G1516" s="611">
        <f t="shared" ref="G1516:G1525" si="11">F1516*E1516</f>
        <v>80025.000000000015</v>
      </c>
    </row>
    <row r="1517" spans="1:9" ht="15.75" hidden="1" customHeight="1" outlineLevel="2">
      <c r="A1517" s="613"/>
      <c r="B1517" s="612"/>
      <c r="C1517" s="613" t="s">
        <v>251</v>
      </c>
      <c r="D1517" s="612" t="s">
        <v>1</v>
      </c>
      <c r="E1517" s="613">
        <v>1.1399999999999999</v>
      </c>
      <c r="F1517" s="611">
        <f>PC</f>
        <v>1348.6000000000001</v>
      </c>
      <c r="G1517" s="611">
        <f t="shared" si="11"/>
        <v>1537.404</v>
      </c>
    </row>
    <row r="1518" spans="1:9" ht="15.75" hidden="1" customHeight="1" outlineLevel="2">
      <c r="A1518" s="613"/>
      <c r="B1518" s="612"/>
      <c r="C1518" s="613" t="s">
        <v>144</v>
      </c>
      <c r="D1518" s="612" t="s">
        <v>4288</v>
      </c>
      <c r="E1518" s="613">
        <v>3.0000000000000001E-3</v>
      </c>
      <c r="F1518" s="611">
        <f>sand_pasang</f>
        <v>170610</v>
      </c>
      <c r="G1518" s="611">
        <f t="shared" si="11"/>
        <v>511.83</v>
      </c>
    </row>
    <row r="1519" spans="1:9" ht="15.75" hidden="1" customHeight="1" outlineLevel="2">
      <c r="A1519" s="613"/>
      <c r="B1519" s="612"/>
      <c r="C1519" s="613" t="s">
        <v>255</v>
      </c>
      <c r="D1519" s="612" t="s">
        <v>1</v>
      </c>
      <c r="E1519" s="613">
        <v>0.1</v>
      </c>
      <c r="F1519" s="611">
        <f>PC_Color</f>
        <v>10890</v>
      </c>
      <c r="G1519" s="611">
        <f t="shared" si="11"/>
        <v>1089</v>
      </c>
    </row>
    <row r="1520" spans="1:9" ht="15.75" hidden="1" customHeight="1" outlineLevel="2">
      <c r="A1520" s="613"/>
      <c r="B1520" s="612"/>
      <c r="C1520" s="613"/>
      <c r="D1520" s="612"/>
      <c r="E1520" s="613"/>
      <c r="F1520" s="611"/>
      <c r="G1520" s="611">
        <f t="shared" si="11"/>
        <v>0</v>
      </c>
    </row>
    <row r="1521" spans="1:9" ht="16.5" hidden="1" customHeight="1" outlineLevel="2">
      <c r="A1521" s="613"/>
      <c r="B1521" s="612"/>
      <c r="C1521" s="613" t="s">
        <v>31</v>
      </c>
      <c r="D1521" s="612"/>
      <c r="E1521" s="613"/>
      <c r="F1521" s="611"/>
      <c r="G1521" s="611">
        <f t="shared" si="11"/>
        <v>0</v>
      </c>
    </row>
    <row r="1522" spans="1:9" ht="15.75" hidden="1" customHeight="1" outlineLevel="2">
      <c r="A1522" s="613"/>
      <c r="B1522" s="612"/>
      <c r="C1522" s="613" t="s">
        <v>145</v>
      </c>
      <c r="D1522" s="612" t="s">
        <v>33</v>
      </c>
      <c r="E1522" s="613">
        <v>0.09</v>
      </c>
      <c r="F1522" s="611">
        <f>brick_layer</f>
        <v>107800.00000000001</v>
      </c>
      <c r="G1522" s="611">
        <f t="shared" si="11"/>
        <v>9702.0000000000018</v>
      </c>
    </row>
    <row r="1523" spans="1:9" ht="15.75" hidden="1" customHeight="1" outlineLevel="2">
      <c r="A1523" s="613"/>
      <c r="B1523" s="612"/>
      <c r="C1523" s="613" t="s">
        <v>32</v>
      </c>
      <c r="D1523" s="612" t="s">
        <v>33</v>
      </c>
      <c r="E1523" s="613">
        <v>0.09</v>
      </c>
      <c r="F1523" s="611">
        <f>worker</f>
        <v>107800.00000000001</v>
      </c>
      <c r="G1523" s="611">
        <f t="shared" si="11"/>
        <v>9702.0000000000018</v>
      </c>
    </row>
    <row r="1524" spans="1:9" ht="15.75" hidden="1" customHeight="1" outlineLevel="2">
      <c r="A1524" s="613"/>
      <c r="B1524" s="612"/>
      <c r="C1524" s="613" t="s">
        <v>36</v>
      </c>
      <c r="D1524" s="612" t="s">
        <v>33</v>
      </c>
      <c r="E1524" s="613">
        <f>0.009</f>
        <v>8.9999999999999993E-3</v>
      </c>
      <c r="F1524" s="611">
        <f>supervisor</f>
        <v>119350.00000000001</v>
      </c>
      <c r="G1524" s="611">
        <f t="shared" si="11"/>
        <v>1074.1500000000001</v>
      </c>
    </row>
    <row r="1525" spans="1:9" ht="15.75" hidden="1" customHeight="1" outlineLevel="2">
      <c r="A1525" s="613"/>
      <c r="B1525" s="612"/>
      <c r="C1525" s="613" t="s">
        <v>159</v>
      </c>
      <c r="D1525" s="612" t="s">
        <v>33</v>
      </c>
      <c r="E1525" s="613">
        <v>5.0000000000000001E-3</v>
      </c>
      <c r="F1525" s="611">
        <f>brick_layer_chief</f>
        <v>119350.00000000001</v>
      </c>
      <c r="G1525" s="611">
        <f t="shared" si="11"/>
        <v>596.75000000000011</v>
      </c>
    </row>
    <row r="1526" spans="1:9" ht="15.75" hidden="1" customHeight="1" outlineLevel="2">
      <c r="A1526" s="613"/>
      <c r="B1526" s="612"/>
      <c r="C1526" s="613"/>
      <c r="D1526" s="612"/>
      <c r="E1526" s="613"/>
      <c r="F1526" s="611"/>
      <c r="G1526" s="611">
        <f>SUM(G1516:G1525)</f>
        <v>104238.13400000001</v>
      </c>
    </row>
    <row r="1527" spans="1:9" ht="15.75" hidden="1" customHeight="1" outlineLevel="2">
      <c r="A1527" s="613"/>
      <c r="B1527" s="612"/>
      <c r="C1527" s="613"/>
      <c r="D1527" s="612"/>
      <c r="E1527" s="613"/>
      <c r="F1527" s="611"/>
      <c r="G1527" s="611"/>
    </row>
    <row r="1528" spans="1:9" ht="15.75" customHeight="1" outlineLevel="1" collapsed="1">
      <c r="A1528" s="613" t="s">
        <v>2074</v>
      </c>
      <c r="B1528" s="612">
        <f>B1513+1</f>
        <v>11</v>
      </c>
      <c r="C1528" s="613" t="s">
        <v>1677</v>
      </c>
      <c r="D1528" s="612" t="s">
        <v>4</v>
      </c>
      <c r="E1528" s="613"/>
      <c r="F1528" s="611"/>
      <c r="G1528" s="605">
        <f>SUM(G1530:G1539)</f>
        <v>265037.19</v>
      </c>
      <c r="I1528" s="633" t="s">
        <v>909</v>
      </c>
    </row>
    <row r="1529" spans="1:9" ht="15.75" hidden="1" customHeight="1" outlineLevel="2">
      <c r="A1529" s="613"/>
      <c r="B1529" s="612"/>
      <c r="C1529" s="613" t="s">
        <v>20</v>
      </c>
      <c r="D1529" s="612"/>
      <c r="E1529" s="613"/>
      <c r="F1529" s="611"/>
      <c r="G1529" s="611"/>
    </row>
    <row r="1530" spans="1:9" ht="15.75" hidden="1" customHeight="1" outlineLevel="2">
      <c r="A1530" s="613"/>
      <c r="B1530" s="612"/>
      <c r="C1530" s="613" t="s">
        <v>908</v>
      </c>
      <c r="D1530" s="612" t="s">
        <v>4</v>
      </c>
      <c r="E1530" s="613">
        <v>1.2</v>
      </c>
      <c r="F1530" s="611">
        <f>ceramic_20.20.m2_platinum</f>
        <v>86790</v>
      </c>
      <c r="G1530" s="611">
        <f>F1530*E1530</f>
        <v>104148</v>
      </c>
      <c r="I1530" s="633" t="s">
        <v>250</v>
      </c>
    </row>
    <row r="1531" spans="1:9" ht="15.75" hidden="1" customHeight="1" outlineLevel="2">
      <c r="A1531" s="613"/>
      <c r="B1531" s="612"/>
      <c r="C1531" s="613" t="s">
        <v>251</v>
      </c>
      <c r="D1531" s="612" t="s">
        <v>1</v>
      </c>
      <c r="E1531" s="613">
        <v>10.4</v>
      </c>
      <c r="F1531" s="611">
        <f>PC</f>
        <v>1348.6000000000001</v>
      </c>
      <c r="G1531" s="611">
        <f>F1531*E1531</f>
        <v>14025.440000000002</v>
      </c>
    </row>
    <row r="1532" spans="1:9" ht="15.75" hidden="1" customHeight="1" outlineLevel="2">
      <c r="A1532" s="613"/>
      <c r="B1532" s="612"/>
      <c r="C1532" s="613" t="s">
        <v>144</v>
      </c>
      <c r="D1532" s="612" t="s">
        <v>4288</v>
      </c>
      <c r="E1532" s="613">
        <v>4.4999999999999998E-2</v>
      </c>
      <c r="F1532" s="611">
        <f>sand_pasang</f>
        <v>170610</v>
      </c>
      <c r="G1532" s="611">
        <f>F1532*E1532</f>
        <v>7677.45</v>
      </c>
    </row>
    <row r="1533" spans="1:9" ht="15.75" hidden="1" customHeight="1" outlineLevel="2">
      <c r="A1533" s="613"/>
      <c r="B1533" s="612"/>
      <c r="C1533" s="613" t="s">
        <v>252</v>
      </c>
      <c r="D1533" s="612" t="s">
        <v>1</v>
      </c>
      <c r="E1533" s="613">
        <v>1.62</v>
      </c>
      <c r="F1533" s="611">
        <f>PC_Color</f>
        <v>10890</v>
      </c>
      <c r="G1533" s="611">
        <f>F1533*E1533</f>
        <v>17641.800000000003</v>
      </c>
    </row>
    <row r="1534" spans="1:9" ht="15.75" hidden="1" customHeight="1" outlineLevel="2">
      <c r="A1534" s="613"/>
      <c r="B1534" s="612"/>
      <c r="C1534" s="613"/>
      <c r="D1534" s="612"/>
      <c r="E1534" s="613"/>
      <c r="F1534" s="611"/>
      <c r="G1534" s="611"/>
    </row>
    <row r="1535" spans="1:9" ht="15.75" hidden="1" customHeight="1" outlineLevel="2">
      <c r="A1535" s="613"/>
      <c r="B1535" s="612"/>
      <c r="C1535" s="613" t="s">
        <v>31</v>
      </c>
      <c r="D1535" s="612"/>
      <c r="E1535" s="613"/>
      <c r="F1535" s="611"/>
      <c r="G1535" s="611"/>
    </row>
    <row r="1536" spans="1:9" ht="15.75" hidden="1" customHeight="1" outlineLevel="2">
      <c r="A1536" s="613"/>
      <c r="B1536" s="612"/>
      <c r="C1536" s="613" t="s">
        <v>145</v>
      </c>
      <c r="D1536" s="612" t="s">
        <v>33</v>
      </c>
      <c r="E1536" s="613">
        <v>0.35</v>
      </c>
      <c r="F1536" s="611">
        <f>brick_layer</f>
        <v>107800.00000000001</v>
      </c>
      <c r="G1536" s="611">
        <f>F1536*E1536</f>
        <v>37730</v>
      </c>
    </row>
    <row r="1537" spans="1:9" ht="15.75" hidden="1" customHeight="1" outlineLevel="2">
      <c r="A1537" s="613"/>
      <c r="B1537" s="612"/>
      <c r="C1537" s="613" t="s">
        <v>32</v>
      </c>
      <c r="D1537" s="612" t="s">
        <v>33</v>
      </c>
      <c r="E1537" s="613">
        <v>0.7</v>
      </c>
      <c r="F1537" s="611">
        <f>worker</f>
        <v>107800.00000000001</v>
      </c>
      <c r="G1537" s="611">
        <f>F1537*E1537</f>
        <v>75460</v>
      </c>
    </row>
    <row r="1538" spans="1:9" ht="15.75" hidden="1" customHeight="1" outlineLevel="2">
      <c r="A1538" s="613"/>
      <c r="B1538" s="612"/>
      <c r="C1538" s="613" t="s">
        <v>36</v>
      </c>
      <c r="D1538" s="612" t="s">
        <v>33</v>
      </c>
      <c r="E1538" s="613">
        <v>3.5000000000000003E-2</v>
      </c>
      <c r="F1538" s="611">
        <f>supervisor</f>
        <v>119350.00000000001</v>
      </c>
      <c r="G1538" s="611">
        <f>F1538*E1538</f>
        <v>4177.2500000000009</v>
      </c>
    </row>
    <row r="1539" spans="1:9" ht="15.75" hidden="1" customHeight="1" outlineLevel="2">
      <c r="A1539" s="613"/>
      <c r="B1539" s="612"/>
      <c r="C1539" s="613" t="s">
        <v>159</v>
      </c>
      <c r="D1539" s="612" t="s">
        <v>33</v>
      </c>
      <c r="E1539" s="613">
        <v>3.5000000000000003E-2</v>
      </c>
      <c r="F1539" s="611">
        <f>brick_layer_chief</f>
        <v>119350.00000000001</v>
      </c>
      <c r="G1539" s="611">
        <f>F1539*E1539</f>
        <v>4177.2500000000009</v>
      </c>
      <c r="I1539" s="633">
        <f>SUM(G1536:G1539)</f>
        <v>121544.5</v>
      </c>
    </row>
    <row r="1540" spans="1:9" ht="15.75" hidden="1" customHeight="1" outlineLevel="2">
      <c r="A1540" s="613"/>
      <c r="B1540" s="612"/>
      <c r="C1540" s="613"/>
      <c r="D1540" s="612"/>
      <c r="E1540" s="613"/>
      <c r="F1540" s="611"/>
      <c r="G1540" s="611"/>
    </row>
    <row r="1541" spans="1:9" ht="15.75" customHeight="1" outlineLevel="1" collapsed="1">
      <c r="A1541" s="613" t="s">
        <v>2074</v>
      </c>
      <c r="B1541" s="612">
        <f>B1528+1</f>
        <v>12</v>
      </c>
      <c r="C1541" s="613" t="s">
        <v>1749</v>
      </c>
      <c r="D1541" s="612" t="s">
        <v>4</v>
      </c>
      <c r="E1541" s="613"/>
      <c r="F1541" s="611"/>
      <c r="G1541" s="605">
        <f>SUM(G1543:G1552)</f>
        <v>259758.95</v>
      </c>
      <c r="I1541" s="633" t="s">
        <v>909</v>
      </c>
    </row>
    <row r="1542" spans="1:9" ht="15.75" hidden="1" customHeight="1" outlineLevel="2">
      <c r="A1542" s="613"/>
      <c r="B1542" s="612"/>
      <c r="C1542" s="613" t="s">
        <v>20</v>
      </c>
      <c r="D1542" s="612"/>
      <c r="E1542" s="613"/>
      <c r="F1542" s="611"/>
      <c r="G1542" s="611"/>
    </row>
    <row r="1543" spans="1:9" ht="15.75" hidden="1" customHeight="1" outlineLevel="2">
      <c r="A1543" s="613"/>
      <c r="B1543" s="612"/>
      <c r="C1543" s="613" t="s">
        <v>1750</v>
      </c>
      <c r="D1543" s="612" t="s">
        <v>4</v>
      </c>
      <c r="E1543" s="613">
        <v>1.2</v>
      </c>
      <c r="F1543" s="611">
        <f>ceramic_30.30.m2</f>
        <v>83930</v>
      </c>
      <c r="G1543" s="611">
        <f>F1543*E1543</f>
        <v>100716</v>
      </c>
      <c r="I1543" s="633" t="s">
        <v>250</v>
      </c>
    </row>
    <row r="1544" spans="1:9" ht="15.75" hidden="1" customHeight="1" outlineLevel="2">
      <c r="A1544" s="613"/>
      <c r="B1544" s="612"/>
      <c r="C1544" s="613" t="s">
        <v>251</v>
      </c>
      <c r="D1544" s="612" t="s">
        <v>1</v>
      </c>
      <c r="E1544" s="613">
        <v>10</v>
      </c>
      <c r="F1544" s="611">
        <f>PC</f>
        <v>1348.6000000000001</v>
      </c>
      <c r="G1544" s="611">
        <f>F1544*E1544</f>
        <v>13486.000000000002</v>
      </c>
    </row>
    <row r="1545" spans="1:9" ht="15.75" hidden="1" customHeight="1" outlineLevel="2">
      <c r="A1545" s="613"/>
      <c r="B1545" s="612"/>
      <c r="C1545" s="613" t="s">
        <v>144</v>
      </c>
      <c r="D1545" s="612" t="s">
        <v>4288</v>
      </c>
      <c r="E1545" s="613">
        <v>4.4999999999999998E-2</v>
      </c>
      <c r="F1545" s="611">
        <f>sand_pasang</f>
        <v>170610</v>
      </c>
      <c r="G1545" s="611">
        <f>F1545*E1545</f>
        <v>7677.45</v>
      </c>
    </row>
    <row r="1546" spans="1:9" ht="15.75" hidden="1" customHeight="1" outlineLevel="2">
      <c r="A1546" s="613"/>
      <c r="B1546" s="612"/>
      <c r="C1546" s="613" t="s">
        <v>252</v>
      </c>
      <c r="D1546" s="612" t="s">
        <v>1</v>
      </c>
      <c r="E1546" s="613">
        <v>1.5</v>
      </c>
      <c r="F1546" s="611">
        <f>PC_Color</f>
        <v>10890</v>
      </c>
      <c r="G1546" s="611">
        <f>F1546*E1546</f>
        <v>16335</v>
      </c>
    </row>
    <row r="1547" spans="1:9" ht="15.75" hidden="1" customHeight="1" outlineLevel="2">
      <c r="A1547" s="613"/>
      <c r="B1547" s="612"/>
      <c r="C1547" s="613"/>
      <c r="D1547" s="612"/>
      <c r="E1547" s="613"/>
      <c r="F1547" s="611"/>
      <c r="G1547" s="611"/>
    </row>
    <row r="1548" spans="1:9" ht="15.75" hidden="1" customHeight="1" outlineLevel="2">
      <c r="A1548" s="613"/>
      <c r="B1548" s="612"/>
      <c r="C1548" s="613" t="s">
        <v>31</v>
      </c>
      <c r="D1548" s="612"/>
      <c r="E1548" s="613"/>
      <c r="F1548" s="611"/>
      <c r="G1548" s="611"/>
    </row>
    <row r="1549" spans="1:9" ht="15.75" hidden="1" customHeight="1" outlineLevel="2">
      <c r="A1549" s="613"/>
      <c r="B1549" s="612"/>
      <c r="C1549" s="613" t="s">
        <v>145</v>
      </c>
      <c r="D1549" s="612" t="s">
        <v>33</v>
      </c>
      <c r="E1549" s="613">
        <v>0.35</v>
      </c>
      <c r="F1549" s="611">
        <f>brick_layer</f>
        <v>107800.00000000001</v>
      </c>
      <c r="G1549" s="611">
        <f>F1549*E1549</f>
        <v>37730</v>
      </c>
    </row>
    <row r="1550" spans="1:9" ht="15.75" hidden="1" customHeight="1" outlineLevel="2">
      <c r="A1550" s="613"/>
      <c r="B1550" s="612"/>
      <c r="C1550" s="613" t="s">
        <v>32</v>
      </c>
      <c r="D1550" s="612" t="s">
        <v>33</v>
      </c>
      <c r="E1550" s="613">
        <v>0.7</v>
      </c>
      <c r="F1550" s="611">
        <f>worker</f>
        <v>107800.00000000001</v>
      </c>
      <c r="G1550" s="611">
        <f>F1550*E1550</f>
        <v>75460</v>
      </c>
    </row>
    <row r="1551" spans="1:9" ht="15.75" hidden="1" customHeight="1" outlineLevel="2">
      <c r="A1551" s="613"/>
      <c r="B1551" s="612"/>
      <c r="C1551" s="613" t="s">
        <v>36</v>
      </c>
      <c r="D1551" s="612" t="s">
        <v>33</v>
      </c>
      <c r="E1551" s="613">
        <v>3.5000000000000003E-2</v>
      </c>
      <c r="F1551" s="611">
        <f>supervisor</f>
        <v>119350.00000000001</v>
      </c>
      <c r="G1551" s="611">
        <f>F1551*E1551</f>
        <v>4177.2500000000009</v>
      </c>
    </row>
    <row r="1552" spans="1:9" ht="15.75" hidden="1" customHeight="1" outlineLevel="2">
      <c r="A1552" s="613"/>
      <c r="B1552" s="612"/>
      <c r="C1552" s="613" t="s">
        <v>159</v>
      </c>
      <c r="D1552" s="612" t="s">
        <v>33</v>
      </c>
      <c r="E1552" s="613">
        <v>3.5000000000000003E-2</v>
      </c>
      <c r="F1552" s="611">
        <f>brick_layer_chief</f>
        <v>119350.00000000001</v>
      </c>
      <c r="G1552" s="611">
        <f>F1552*E1552</f>
        <v>4177.2500000000009</v>
      </c>
      <c r="I1552" s="633">
        <f>SUM(G1549:G1552)</f>
        <v>121544.5</v>
      </c>
    </row>
    <row r="1553" spans="1:9" ht="15.75" hidden="1" customHeight="1" outlineLevel="2">
      <c r="A1553" s="613"/>
      <c r="B1553" s="612"/>
      <c r="C1553" s="613"/>
      <c r="D1553" s="612"/>
      <c r="E1553" s="613"/>
      <c r="F1553" s="611"/>
      <c r="G1553" s="611"/>
    </row>
    <row r="1554" spans="1:9" ht="15.75" customHeight="1" outlineLevel="1" collapsed="1">
      <c r="A1554" s="613" t="s">
        <v>2074</v>
      </c>
      <c r="B1554" s="612">
        <f>B1541+1</f>
        <v>13</v>
      </c>
      <c r="C1554" s="613" t="s">
        <v>1676</v>
      </c>
      <c r="D1554" s="612" t="s">
        <v>4</v>
      </c>
      <c r="E1554" s="613"/>
      <c r="F1554" s="611"/>
      <c r="G1554" s="605">
        <f>G1566</f>
        <v>215603.41000000006</v>
      </c>
      <c r="I1554" s="633" t="s">
        <v>909</v>
      </c>
    </row>
    <row r="1555" spans="1:9" ht="15.75" hidden="1" customHeight="1" outlineLevel="2">
      <c r="A1555" s="613"/>
      <c r="B1555" s="612"/>
      <c r="C1555" s="613" t="s">
        <v>20</v>
      </c>
      <c r="D1555" s="612"/>
      <c r="E1555" s="613"/>
      <c r="F1555" s="611"/>
      <c r="G1555" s="611"/>
    </row>
    <row r="1556" spans="1:9" ht="15.75" hidden="1" customHeight="1" outlineLevel="2">
      <c r="A1556" s="613"/>
      <c r="B1556" s="612"/>
      <c r="C1556" s="613" t="s">
        <v>907</v>
      </c>
      <c r="D1556" s="612" t="s">
        <v>4</v>
      </c>
      <c r="E1556" s="613">
        <v>1.1000000000000001</v>
      </c>
      <c r="F1556" s="611">
        <f>ceramic_60.60.m2_platinum</f>
        <v>124520.00000000001</v>
      </c>
      <c r="G1556" s="611">
        <f>F1556*E1556</f>
        <v>136972.00000000003</v>
      </c>
      <c r="I1556" s="633" t="s">
        <v>250</v>
      </c>
    </row>
    <row r="1557" spans="1:9" ht="15.75" hidden="1" customHeight="1" outlineLevel="2">
      <c r="A1557" s="613"/>
      <c r="B1557" s="612"/>
      <c r="C1557" s="613" t="s">
        <v>251</v>
      </c>
      <c r="D1557" s="612" t="s">
        <v>1</v>
      </c>
      <c r="E1557" s="613">
        <v>9.6</v>
      </c>
      <c r="F1557" s="611">
        <f>PC</f>
        <v>1348.6000000000001</v>
      </c>
      <c r="G1557" s="611">
        <f>F1557*E1557</f>
        <v>12946.560000000001</v>
      </c>
    </row>
    <row r="1558" spans="1:9" ht="15.75" hidden="1" customHeight="1" outlineLevel="2">
      <c r="A1558" s="613"/>
      <c r="B1558" s="612"/>
      <c r="C1558" s="613" t="s">
        <v>144</v>
      </c>
      <c r="D1558" s="612" t="s">
        <v>4288</v>
      </c>
      <c r="E1558" s="613">
        <v>4.4999999999999998E-2</v>
      </c>
      <c r="F1558" s="611">
        <f>sand_pasang</f>
        <v>170610</v>
      </c>
      <c r="G1558" s="611">
        <f>F1558*E1558</f>
        <v>7677.45</v>
      </c>
    </row>
    <row r="1559" spans="1:9" ht="15.75" hidden="1" customHeight="1" outlineLevel="2">
      <c r="A1559" s="613"/>
      <c r="B1559" s="612"/>
      <c r="C1559" s="613" t="s">
        <v>252</v>
      </c>
      <c r="D1559" s="612" t="s">
        <v>1</v>
      </c>
      <c r="E1559" s="613">
        <v>1.5</v>
      </c>
      <c r="F1559" s="611">
        <f>PC_Color</f>
        <v>10890</v>
      </c>
      <c r="G1559" s="611">
        <f>F1559*E1559</f>
        <v>16335</v>
      </c>
    </row>
    <row r="1560" spans="1:9" ht="15.75" hidden="1" customHeight="1" outlineLevel="2">
      <c r="A1560" s="613"/>
      <c r="B1560" s="612"/>
      <c r="C1560" s="613"/>
      <c r="D1560" s="612"/>
      <c r="E1560" s="613"/>
      <c r="F1560" s="611"/>
      <c r="G1560" s="611"/>
    </row>
    <row r="1561" spans="1:9" ht="15.75" hidden="1" customHeight="1" outlineLevel="2">
      <c r="A1561" s="613"/>
      <c r="B1561" s="612"/>
      <c r="C1561" s="613" t="s">
        <v>31</v>
      </c>
      <c r="D1561" s="612"/>
      <c r="E1561" s="613"/>
      <c r="F1561" s="611"/>
      <c r="G1561" s="611"/>
    </row>
    <row r="1562" spans="1:9" ht="15.75" hidden="1" customHeight="1" outlineLevel="2">
      <c r="A1562" s="613"/>
      <c r="B1562" s="612"/>
      <c r="C1562" s="613" t="s">
        <v>145</v>
      </c>
      <c r="D1562" s="612" t="s">
        <v>33</v>
      </c>
      <c r="E1562" s="613">
        <v>0.12</v>
      </c>
      <c r="F1562" s="611">
        <f>brick_layer</f>
        <v>107800.00000000001</v>
      </c>
      <c r="G1562" s="611">
        <f>F1562*E1562</f>
        <v>12936.000000000002</v>
      </c>
    </row>
    <row r="1563" spans="1:9" ht="15.75" hidden="1" customHeight="1" outlineLevel="2">
      <c r="A1563" s="613"/>
      <c r="B1563" s="612"/>
      <c r="C1563" s="613" t="s">
        <v>32</v>
      </c>
      <c r="D1563" s="612" t="s">
        <v>33</v>
      </c>
      <c r="E1563" s="613">
        <v>0.24</v>
      </c>
      <c r="F1563" s="611">
        <f>worker</f>
        <v>107800.00000000001</v>
      </c>
      <c r="G1563" s="611">
        <f>F1563*E1563</f>
        <v>25872.000000000004</v>
      </c>
    </row>
    <row r="1564" spans="1:9" ht="15.75" hidden="1" customHeight="1" outlineLevel="2">
      <c r="A1564" s="613"/>
      <c r="B1564" s="612"/>
      <c r="C1564" s="613" t="s">
        <v>36</v>
      </c>
      <c r="D1564" s="612" t="s">
        <v>33</v>
      </c>
      <c r="E1564" s="613">
        <f>0.012</f>
        <v>1.2E-2</v>
      </c>
      <c r="F1564" s="611">
        <f>supervisor</f>
        <v>119350.00000000001</v>
      </c>
      <c r="G1564" s="611">
        <f>F1564*E1564</f>
        <v>1432.2000000000003</v>
      </c>
    </row>
    <row r="1565" spans="1:9" ht="15.75" hidden="1" customHeight="1" outlineLevel="2">
      <c r="A1565" s="613"/>
      <c r="B1565" s="612"/>
      <c r="C1565" s="613" t="s">
        <v>159</v>
      </c>
      <c r="D1565" s="612" t="s">
        <v>33</v>
      </c>
      <c r="E1565" s="613">
        <f>0.012</f>
        <v>1.2E-2</v>
      </c>
      <c r="F1565" s="611">
        <f>brick_layer_chief</f>
        <v>119350.00000000001</v>
      </c>
      <c r="G1565" s="611">
        <f>F1565*E1565</f>
        <v>1432.2000000000003</v>
      </c>
      <c r="I1565" s="633">
        <f>SUM(G1562:G1565)</f>
        <v>41672.400000000001</v>
      </c>
    </row>
    <row r="1566" spans="1:9" ht="15.75" hidden="1" customHeight="1" outlineLevel="2">
      <c r="A1566" s="613"/>
      <c r="B1566" s="612"/>
      <c r="C1566" s="613"/>
      <c r="D1566" s="612"/>
      <c r="E1566" s="613"/>
      <c r="F1566" s="611"/>
      <c r="G1566" s="611">
        <f>SUM(G1556:G1565)</f>
        <v>215603.41000000006</v>
      </c>
    </row>
    <row r="1567" spans="1:9" ht="15.75" hidden="1" customHeight="1" outlineLevel="2">
      <c r="A1567" s="613"/>
      <c r="B1567" s="612"/>
      <c r="C1567" s="613"/>
      <c r="D1567" s="612"/>
      <c r="E1567" s="613"/>
      <c r="F1567" s="611"/>
      <c r="G1567" s="611"/>
    </row>
    <row r="1568" spans="1:9" ht="15.75" customHeight="1" outlineLevel="1" collapsed="1">
      <c r="A1568" s="613" t="s">
        <v>2074</v>
      </c>
      <c r="B1568" s="612">
        <f>B1554+1</f>
        <v>14</v>
      </c>
      <c r="C1568" s="613" t="s">
        <v>1747</v>
      </c>
      <c r="D1568" s="612" t="s">
        <v>4</v>
      </c>
      <c r="E1568" s="613"/>
      <c r="F1568" s="611"/>
      <c r="G1568" s="605" t="e">
        <f>SUM(G1570:G1579)</f>
        <v>#VALUE!</v>
      </c>
      <c r="I1568" s="633" t="s">
        <v>909</v>
      </c>
    </row>
    <row r="1569" spans="1:9" ht="15.75" hidden="1" customHeight="1" outlineLevel="2">
      <c r="A1569" s="613"/>
      <c r="B1569" s="612"/>
      <c r="C1569" s="613" t="s">
        <v>20</v>
      </c>
      <c r="D1569" s="612"/>
      <c r="E1569" s="613"/>
      <c r="F1569" s="611"/>
      <c r="G1569" s="611"/>
    </row>
    <row r="1570" spans="1:9" ht="15.75" hidden="1" customHeight="1" outlineLevel="2">
      <c r="A1570" s="613"/>
      <c r="B1570" s="612"/>
      <c r="C1570" s="613" t="s">
        <v>1748</v>
      </c>
      <c r="D1570" s="612" t="s">
        <v>4</v>
      </c>
      <c r="E1570" s="613">
        <v>1.2</v>
      </c>
      <c r="F1570" s="611" t="s">
        <v>721</v>
      </c>
      <c r="G1570" s="611" t="e">
        <f>F1570*E1570</f>
        <v>#VALUE!</v>
      </c>
      <c r="I1570" s="633" t="s">
        <v>250</v>
      </c>
    </row>
    <row r="1571" spans="1:9" ht="15.75" hidden="1" customHeight="1" outlineLevel="2">
      <c r="A1571" s="613"/>
      <c r="B1571" s="612"/>
      <c r="C1571" s="613" t="s">
        <v>251</v>
      </c>
      <c r="D1571" s="612" t="s">
        <v>1</v>
      </c>
      <c r="E1571" s="613">
        <v>9.3000000000000007</v>
      </c>
      <c r="F1571" s="611">
        <f>PC</f>
        <v>1348.6000000000001</v>
      </c>
      <c r="G1571" s="611">
        <f>F1571*E1571</f>
        <v>12541.980000000001</v>
      </c>
    </row>
    <row r="1572" spans="1:9" ht="15.75" hidden="1" customHeight="1" outlineLevel="2">
      <c r="A1572" s="613"/>
      <c r="B1572" s="612"/>
      <c r="C1572" s="613" t="s">
        <v>144</v>
      </c>
      <c r="D1572" s="612" t="s">
        <v>4288</v>
      </c>
      <c r="E1572" s="613">
        <v>1.7999999999999999E-2</v>
      </c>
      <c r="F1572" s="611">
        <f>sand_pasang</f>
        <v>170610</v>
      </c>
      <c r="G1572" s="611">
        <f>F1572*E1572</f>
        <v>3070.9799999999996</v>
      </c>
    </row>
    <row r="1573" spans="1:9" ht="15.75" hidden="1" customHeight="1" outlineLevel="2">
      <c r="A1573" s="613"/>
      <c r="B1573" s="612"/>
      <c r="C1573" s="613" t="s">
        <v>252</v>
      </c>
      <c r="D1573" s="612" t="s">
        <v>1</v>
      </c>
      <c r="E1573" s="613">
        <v>1.94</v>
      </c>
      <c r="F1573" s="611">
        <f>PC_Color</f>
        <v>10890</v>
      </c>
      <c r="G1573" s="611">
        <f>F1573*E1573</f>
        <v>21126.6</v>
      </c>
    </row>
    <row r="1574" spans="1:9" ht="15.75" hidden="1" customHeight="1" outlineLevel="2">
      <c r="A1574" s="613"/>
      <c r="B1574" s="612"/>
      <c r="C1574" s="613"/>
      <c r="D1574" s="612"/>
      <c r="E1574" s="613"/>
      <c r="F1574" s="611"/>
      <c r="G1574" s="611"/>
    </row>
    <row r="1575" spans="1:9" ht="15.75" hidden="1" customHeight="1" outlineLevel="2">
      <c r="A1575" s="613"/>
      <c r="B1575" s="612"/>
      <c r="C1575" s="613" t="s">
        <v>31</v>
      </c>
      <c r="D1575" s="612"/>
      <c r="E1575" s="613"/>
      <c r="F1575" s="611"/>
      <c r="G1575" s="611"/>
    </row>
    <row r="1576" spans="1:9" ht="15.75" hidden="1" customHeight="1" outlineLevel="2">
      <c r="A1576" s="613"/>
      <c r="B1576" s="612"/>
      <c r="C1576" s="613" t="s">
        <v>145</v>
      </c>
      <c r="D1576" s="612" t="s">
        <v>33</v>
      </c>
      <c r="E1576" s="613">
        <v>0.45</v>
      </c>
      <c r="F1576" s="611">
        <f>brick_layer</f>
        <v>107800.00000000001</v>
      </c>
      <c r="G1576" s="611">
        <f>F1576*E1576</f>
        <v>48510.000000000007</v>
      </c>
    </row>
    <row r="1577" spans="1:9" ht="15.75" hidden="1" customHeight="1" outlineLevel="2">
      <c r="A1577" s="613"/>
      <c r="B1577" s="612"/>
      <c r="C1577" s="613" t="s">
        <v>32</v>
      </c>
      <c r="D1577" s="612" t="s">
        <v>33</v>
      </c>
      <c r="E1577" s="613">
        <v>0.9</v>
      </c>
      <c r="F1577" s="611">
        <f>worker</f>
        <v>107800.00000000001</v>
      </c>
      <c r="G1577" s="611">
        <f>F1577*E1577</f>
        <v>97020.000000000015</v>
      </c>
    </row>
    <row r="1578" spans="1:9" ht="15.75" hidden="1" customHeight="1" outlineLevel="2">
      <c r="A1578" s="613"/>
      <c r="B1578" s="612"/>
      <c r="C1578" s="613" t="s">
        <v>36</v>
      </c>
      <c r="D1578" s="612" t="s">
        <v>33</v>
      </c>
      <c r="E1578" s="613">
        <v>4.4999999999999998E-2</v>
      </c>
      <c r="F1578" s="611">
        <f>supervisor</f>
        <v>119350.00000000001</v>
      </c>
      <c r="G1578" s="611">
        <f>F1578*E1578</f>
        <v>5370.7500000000009</v>
      </c>
    </row>
    <row r="1579" spans="1:9" ht="15.75" hidden="1" customHeight="1" outlineLevel="2">
      <c r="A1579" s="613"/>
      <c r="B1579" s="612"/>
      <c r="C1579" s="613" t="s">
        <v>159</v>
      </c>
      <c r="D1579" s="612" t="s">
        <v>33</v>
      </c>
      <c r="E1579" s="613">
        <v>4.4999999999999998E-2</v>
      </c>
      <c r="F1579" s="611">
        <f>brick_layer_chief</f>
        <v>119350.00000000001</v>
      </c>
      <c r="G1579" s="611">
        <f>F1579*E1579</f>
        <v>5370.7500000000009</v>
      </c>
      <c r="I1579" s="633">
        <f>SUM(G1576:G1579)</f>
        <v>156271.50000000003</v>
      </c>
    </row>
    <row r="1580" spans="1:9" ht="15.75" customHeight="1" outlineLevel="1" collapsed="1">
      <c r="A1580" s="613" t="s">
        <v>2074</v>
      </c>
      <c r="B1580" s="612">
        <f>B1568+1</f>
        <v>15</v>
      </c>
      <c r="C1580" s="613" t="s">
        <v>1746</v>
      </c>
      <c r="D1580" s="612" t="s">
        <v>4</v>
      </c>
      <c r="E1580" s="613"/>
      <c r="F1580" s="611"/>
      <c r="G1580" s="605">
        <f>SUM(G1582:G1591)</f>
        <v>297159.06</v>
      </c>
      <c r="I1580" s="633" t="s">
        <v>909</v>
      </c>
    </row>
    <row r="1581" spans="1:9" ht="15.75" hidden="1" customHeight="1" outlineLevel="2">
      <c r="A1581" s="613"/>
      <c r="B1581" s="612"/>
      <c r="C1581" s="613" t="s">
        <v>20</v>
      </c>
      <c r="D1581" s="612"/>
      <c r="E1581" s="613"/>
      <c r="F1581" s="611"/>
      <c r="G1581" s="611"/>
    </row>
    <row r="1582" spans="1:9" ht="15.75" hidden="1" customHeight="1" outlineLevel="2">
      <c r="A1582" s="613"/>
      <c r="B1582" s="612"/>
      <c r="C1582" s="613" t="s">
        <v>908</v>
      </c>
      <c r="D1582" s="612" t="s">
        <v>4</v>
      </c>
      <c r="E1582" s="613">
        <v>1.2</v>
      </c>
      <c r="F1582" s="611">
        <f>ceramic_20.20.m2_platinum</f>
        <v>86790</v>
      </c>
      <c r="G1582" s="611">
        <f>F1582*E1582</f>
        <v>104148</v>
      </c>
      <c r="I1582" s="633" t="s">
        <v>250</v>
      </c>
    </row>
    <row r="1583" spans="1:9" ht="15.75" hidden="1" customHeight="1" outlineLevel="2">
      <c r="A1583" s="613"/>
      <c r="B1583" s="612"/>
      <c r="C1583" s="613" t="s">
        <v>251</v>
      </c>
      <c r="D1583" s="612" t="s">
        <v>1</v>
      </c>
      <c r="E1583" s="613">
        <v>9.3000000000000007</v>
      </c>
      <c r="F1583" s="611">
        <f>PC</f>
        <v>1348.6000000000001</v>
      </c>
      <c r="G1583" s="611">
        <f>F1583*E1583</f>
        <v>12541.980000000001</v>
      </c>
    </row>
    <row r="1584" spans="1:9" ht="15.75" hidden="1" customHeight="1" outlineLevel="2">
      <c r="A1584" s="613"/>
      <c r="B1584" s="612"/>
      <c r="C1584" s="613" t="s">
        <v>144</v>
      </c>
      <c r="D1584" s="612" t="s">
        <v>4288</v>
      </c>
      <c r="E1584" s="613">
        <v>1.7999999999999999E-2</v>
      </c>
      <c r="F1584" s="611">
        <f>sand_pasang</f>
        <v>170610</v>
      </c>
      <c r="G1584" s="611">
        <f>F1584*E1584</f>
        <v>3070.9799999999996</v>
      </c>
    </row>
    <row r="1585" spans="1:10" ht="15.75" hidden="1" customHeight="1" outlineLevel="2">
      <c r="A1585" s="613"/>
      <c r="B1585" s="612"/>
      <c r="C1585" s="613" t="s">
        <v>252</v>
      </c>
      <c r="D1585" s="612" t="s">
        <v>1</v>
      </c>
      <c r="E1585" s="613">
        <v>1.94</v>
      </c>
      <c r="F1585" s="611">
        <f>PC_Color</f>
        <v>10890</v>
      </c>
      <c r="G1585" s="611">
        <f>F1585*E1585</f>
        <v>21126.6</v>
      </c>
    </row>
    <row r="1586" spans="1:10" ht="15.75" hidden="1" customHeight="1" outlineLevel="2">
      <c r="A1586" s="613"/>
      <c r="B1586" s="612"/>
      <c r="C1586" s="613"/>
      <c r="D1586" s="612"/>
      <c r="E1586" s="613"/>
      <c r="F1586" s="611"/>
      <c r="G1586" s="611"/>
    </row>
    <row r="1587" spans="1:10" ht="15.75" hidden="1" customHeight="1" outlineLevel="2">
      <c r="A1587" s="613"/>
      <c r="B1587" s="612"/>
      <c r="C1587" s="613" t="s">
        <v>31</v>
      </c>
      <c r="D1587" s="612"/>
      <c r="E1587" s="613"/>
      <c r="F1587" s="611"/>
      <c r="G1587" s="611"/>
    </row>
    <row r="1588" spans="1:10" ht="15.75" hidden="1" customHeight="1" outlineLevel="2">
      <c r="A1588" s="613"/>
      <c r="B1588" s="612"/>
      <c r="C1588" s="613" t="s">
        <v>145</v>
      </c>
      <c r="D1588" s="612" t="s">
        <v>33</v>
      </c>
      <c r="E1588" s="613">
        <v>0.45</v>
      </c>
      <c r="F1588" s="611">
        <f>brick_layer</f>
        <v>107800.00000000001</v>
      </c>
      <c r="G1588" s="611">
        <f>F1588*E1588</f>
        <v>48510.000000000007</v>
      </c>
    </row>
    <row r="1589" spans="1:10" ht="15.75" hidden="1" customHeight="1" outlineLevel="2">
      <c r="A1589" s="613"/>
      <c r="B1589" s="612"/>
      <c r="C1589" s="613" t="s">
        <v>32</v>
      </c>
      <c r="D1589" s="612" t="s">
        <v>33</v>
      </c>
      <c r="E1589" s="613">
        <v>0.9</v>
      </c>
      <c r="F1589" s="611">
        <f>worker</f>
        <v>107800.00000000001</v>
      </c>
      <c r="G1589" s="611">
        <f>F1589*E1589</f>
        <v>97020.000000000015</v>
      </c>
    </row>
    <row r="1590" spans="1:10" ht="15.75" hidden="1" customHeight="1" outlineLevel="2">
      <c r="A1590" s="613"/>
      <c r="B1590" s="612"/>
      <c r="C1590" s="613" t="s">
        <v>36</v>
      </c>
      <c r="D1590" s="612" t="s">
        <v>33</v>
      </c>
      <c r="E1590" s="613">
        <v>4.4999999999999998E-2</v>
      </c>
      <c r="F1590" s="611">
        <f>supervisor</f>
        <v>119350.00000000001</v>
      </c>
      <c r="G1590" s="611">
        <f>F1590*E1590</f>
        <v>5370.7500000000009</v>
      </c>
    </row>
    <row r="1591" spans="1:10" ht="15.75" hidden="1" customHeight="1" outlineLevel="2">
      <c r="A1591" s="613"/>
      <c r="B1591" s="612"/>
      <c r="C1591" s="613" t="s">
        <v>159</v>
      </c>
      <c r="D1591" s="612" t="s">
        <v>33</v>
      </c>
      <c r="E1591" s="613">
        <v>4.4999999999999998E-2</v>
      </c>
      <c r="F1591" s="611">
        <f>brick_layer_chief</f>
        <v>119350.00000000001</v>
      </c>
      <c r="G1591" s="611">
        <f>F1591*E1591</f>
        <v>5370.7500000000009</v>
      </c>
      <c r="I1591" s="633">
        <f>SUM(G1588:G1591)</f>
        <v>156271.50000000003</v>
      </c>
    </row>
    <row r="1592" spans="1:10" ht="15.75" hidden="1" customHeight="1" outlineLevel="2">
      <c r="A1592" s="613"/>
      <c r="B1592" s="612"/>
      <c r="C1592" s="613"/>
      <c r="D1592" s="612"/>
      <c r="E1592" s="613"/>
      <c r="F1592" s="611"/>
      <c r="G1592" s="611"/>
    </row>
    <row r="1593" spans="1:10" ht="15.75" customHeight="1" outlineLevel="1" collapsed="1">
      <c r="A1593" s="613" t="s">
        <v>2074</v>
      </c>
      <c r="B1593" s="612">
        <f>B1580+1</f>
        <v>16</v>
      </c>
      <c r="C1593" s="613" t="s">
        <v>1724</v>
      </c>
      <c r="D1593" s="612" t="s">
        <v>3</v>
      </c>
      <c r="E1593" s="613"/>
      <c r="F1593" s="611"/>
      <c r="G1593" s="605">
        <f>SUM(G1596:G1605)</f>
        <v>106713.13400000001</v>
      </c>
      <c r="I1593" s="633" t="s">
        <v>262</v>
      </c>
      <c r="J1593" s="633" t="s">
        <v>911</v>
      </c>
    </row>
    <row r="1594" spans="1:10" ht="15.75" hidden="1" customHeight="1" outlineLevel="2">
      <c r="A1594" s="613"/>
      <c r="B1594" s="612"/>
      <c r="C1594" s="613"/>
      <c r="D1594" s="612"/>
      <c r="E1594" s="613"/>
      <c r="F1594" s="611"/>
      <c r="G1594" s="611"/>
    </row>
    <row r="1595" spans="1:10" ht="15.75" hidden="1" customHeight="1" outlineLevel="2">
      <c r="A1595" s="613"/>
      <c r="B1595" s="612"/>
      <c r="C1595" s="613" t="s">
        <v>20</v>
      </c>
      <c r="D1595" s="612"/>
      <c r="E1595" s="613"/>
      <c r="F1595" s="611"/>
      <c r="G1595" s="611"/>
    </row>
    <row r="1596" spans="1:10" ht="15.75" hidden="1" customHeight="1" outlineLevel="2">
      <c r="A1596" s="613"/>
      <c r="B1596" s="612"/>
      <c r="C1596" s="613" t="s">
        <v>910</v>
      </c>
      <c r="D1596" s="612" t="s">
        <v>4</v>
      </c>
      <c r="E1596" s="613">
        <f>1/0.6</f>
        <v>1.6666666666666667</v>
      </c>
      <c r="F1596" s="611">
        <f>ceramic_plint_10.60</f>
        <v>49500.000000000007</v>
      </c>
      <c r="G1596" s="611">
        <f>F1596*E1596</f>
        <v>82500.000000000015</v>
      </c>
    </row>
    <row r="1597" spans="1:10" ht="15.75" hidden="1" customHeight="1" outlineLevel="2">
      <c r="A1597" s="613"/>
      <c r="B1597" s="612"/>
      <c r="C1597" s="613" t="s">
        <v>251</v>
      </c>
      <c r="D1597" s="612" t="s">
        <v>1</v>
      </c>
      <c r="E1597" s="613">
        <v>1.1399999999999999</v>
      </c>
      <c r="F1597" s="611">
        <f>PC</f>
        <v>1348.6000000000001</v>
      </c>
      <c r="G1597" s="611">
        <f>F1597*E1597</f>
        <v>1537.404</v>
      </c>
    </row>
    <row r="1598" spans="1:10" ht="15.75" hidden="1" customHeight="1" outlineLevel="2">
      <c r="A1598" s="613"/>
      <c r="B1598" s="612"/>
      <c r="C1598" s="613" t="s">
        <v>144</v>
      </c>
      <c r="D1598" s="612" t="s">
        <v>4288</v>
      </c>
      <c r="E1598" s="613">
        <v>3.0000000000000001E-3</v>
      </c>
      <c r="F1598" s="611">
        <f>sand_pasang</f>
        <v>170610</v>
      </c>
      <c r="G1598" s="611">
        <f>F1598*E1598</f>
        <v>511.83</v>
      </c>
    </row>
    <row r="1599" spans="1:10" ht="15.75" hidden="1" customHeight="1" outlineLevel="2">
      <c r="A1599" s="613"/>
      <c r="B1599" s="612"/>
      <c r="C1599" s="613" t="s">
        <v>255</v>
      </c>
      <c r="D1599" s="612" t="s">
        <v>1</v>
      </c>
      <c r="E1599" s="613">
        <v>0.1</v>
      </c>
      <c r="F1599" s="611">
        <f>PC_Color</f>
        <v>10890</v>
      </c>
      <c r="G1599" s="611">
        <f>F1599*E1599</f>
        <v>1089</v>
      </c>
    </row>
    <row r="1600" spans="1:10" ht="15.75" hidden="1" customHeight="1" outlineLevel="2">
      <c r="A1600" s="613"/>
      <c r="B1600" s="612"/>
      <c r="C1600" s="613"/>
      <c r="D1600" s="612"/>
      <c r="E1600" s="613"/>
      <c r="F1600" s="611"/>
      <c r="G1600" s="611"/>
    </row>
    <row r="1601" spans="1:9" ht="15.75" hidden="1" customHeight="1" outlineLevel="2">
      <c r="A1601" s="613"/>
      <c r="B1601" s="612"/>
      <c r="C1601" s="613" t="s">
        <v>31</v>
      </c>
      <c r="D1601" s="612"/>
      <c r="E1601" s="613"/>
      <c r="F1601" s="611"/>
      <c r="G1601" s="611"/>
    </row>
    <row r="1602" spans="1:9" ht="15.75" hidden="1" customHeight="1" outlineLevel="2">
      <c r="A1602" s="613"/>
      <c r="B1602" s="612"/>
      <c r="C1602" s="613" t="s">
        <v>145</v>
      </c>
      <c r="D1602" s="612" t="s">
        <v>33</v>
      </c>
      <c r="E1602" s="613">
        <v>0.09</v>
      </c>
      <c r="F1602" s="611">
        <f>brick_layer</f>
        <v>107800.00000000001</v>
      </c>
      <c r="G1602" s="611">
        <f>F1602*E1602</f>
        <v>9702.0000000000018</v>
      </c>
    </row>
    <row r="1603" spans="1:9" ht="15.75" hidden="1" customHeight="1" outlineLevel="2">
      <c r="A1603" s="613"/>
      <c r="B1603" s="612"/>
      <c r="C1603" s="613" t="s">
        <v>32</v>
      </c>
      <c r="D1603" s="612" t="s">
        <v>33</v>
      </c>
      <c r="E1603" s="613">
        <v>0.09</v>
      </c>
      <c r="F1603" s="611">
        <f>worker</f>
        <v>107800.00000000001</v>
      </c>
      <c r="G1603" s="611">
        <f>F1603*E1603</f>
        <v>9702.0000000000018</v>
      </c>
    </row>
    <row r="1604" spans="1:9" ht="15.75" hidden="1" customHeight="1" outlineLevel="2">
      <c r="A1604" s="613"/>
      <c r="B1604" s="612"/>
      <c r="C1604" s="613" t="s">
        <v>36</v>
      </c>
      <c r="D1604" s="612" t="s">
        <v>33</v>
      </c>
      <c r="E1604" s="613">
        <f>0.005</f>
        <v>5.0000000000000001E-3</v>
      </c>
      <c r="F1604" s="611">
        <f>supervisor</f>
        <v>119350.00000000001</v>
      </c>
      <c r="G1604" s="611">
        <f>F1604*E1604</f>
        <v>596.75000000000011</v>
      </c>
    </row>
    <row r="1605" spans="1:9" ht="15.75" hidden="1" customHeight="1" outlineLevel="2">
      <c r="A1605" s="613"/>
      <c r="B1605" s="612"/>
      <c r="C1605" s="613" t="s">
        <v>264</v>
      </c>
      <c r="D1605" s="612" t="s">
        <v>33</v>
      </c>
      <c r="E1605" s="613">
        <v>8.9999999999999993E-3</v>
      </c>
      <c r="F1605" s="611">
        <f>brick_layer_chief</f>
        <v>119350.00000000001</v>
      </c>
      <c r="G1605" s="611">
        <f>F1605*E1605</f>
        <v>1074.1500000000001</v>
      </c>
    </row>
    <row r="1606" spans="1:9" ht="15.75" hidden="1" customHeight="1" outlineLevel="2">
      <c r="A1606" s="613"/>
      <c r="B1606" s="612"/>
      <c r="C1606" s="613"/>
      <c r="D1606" s="612"/>
      <c r="E1606" s="613"/>
      <c r="F1606" s="611"/>
      <c r="G1606" s="611"/>
    </row>
    <row r="1607" spans="1:9" ht="15.75" customHeight="1" outlineLevel="1" collapsed="1">
      <c r="A1607" s="613" t="s">
        <v>2074</v>
      </c>
      <c r="B1607" s="612">
        <f>B1593+1</f>
        <v>17</v>
      </c>
      <c r="C1607" s="613" t="s">
        <v>1678</v>
      </c>
      <c r="D1607" s="612" t="s">
        <v>4</v>
      </c>
      <c r="E1607" s="613"/>
      <c r="F1607" s="611"/>
      <c r="G1607" s="605">
        <f>G1619</f>
        <v>253985.49</v>
      </c>
      <c r="I1607" s="633" t="s">
        <v>909</v>
      </c>
    </row>
    <row r="1608" spans="1:9" ht="15.75" hidden="1" customHeight="1" outlineLevel="2">
      <c r="A1608" s="613"/>
      <c r="B1608" s="612"/>
      <c r="C1608" s="613" t="s">
        <v>20</v>
      </c>
      <c r="D1608" s="612"/>
      <c r="E1608" s="613"/>
      <c r="F1608" s="611"/>
      <c r="G1608" s="611"/>
    </row>
    <row r="1609" spans="1:9" ht="15.75" hidden="1" customHeight="1" outlineLevel="2">
      <c r="A1609" s="613"/>
      <c r="B1609" s="612"/>
      <c r="C1609" s="613" t="s">
        <v>1573</v>
      </c>
      <c r="D1609" s="612" t="s">
        <v>4</v>
      </c>
      <c r="E1609" s="613">
        <v>1.2</v>
      </c>
      <c r="F1609" s="611">
        <f>glazed_ceramic_20.25</f>
        <v>139700</v>
      </c>
      <c r="G1609" s="611">
        <f>F1609*E1609</f>
        <v>167640</v>
      </c>
      <c r="I1609" s="633" t="s">
        <v>250</v>
      </c>
    </row>
    <row r="1610" spans="1:9" ht="15.75" hidden="1" customHeight="1" outlineLevel="2">
      <c r="A1610" s="613"/>
      <c r="B1610" s="612"/>
      <c r="C1610" s="613" t="s">
        <v>251</v>
      </c>
      <c r="D1610" s="612" t="s">
        <v>1</v>
      </c>
      <c r="E1610" s="613">
        <v>10.4</v>
      </c>
      <c r="F1610" s="611">
        <f>PC</f>
        <v>1348.6000000000001</v>
      </c>
      <c r="G1610" s="611">
        <f>F1610*E1610</f>
        <v>14025.440000000002</v>
      </c>
    </row>
    <row r="1611" spans="1:9" ht="15.75" hidden="1" customHeight="1" outlineLevel="2">
      <c r="A1611" s="613"/>
      <c r="B1611" s="612"/>
      <c r="C1611" s="613" t="s">
        <v>144</v>
      </c>
      <c r="D1611" s="612" t="s">
        <v>4288</v>
      </c>
      <c r="E1611" s="613">
        <v>4.4999999999999998E-2</v>
      </c>
      <c r="F1611" s="611">
        <f>sand_pasang</f>
        <v>170610</v>
      </c>
      <c r="G1611" s="611">
        <f>F1611*E1611</f>
        <v>7677.45</v>
      </c>
    </row>
    <row r="1612" spans="1:9" ht="15.75" hidden="1" customHeight="1" outlineLevel="2">
      <c r="A1612" s="613"/>
      <c r="B1612" s="612"/>
      <c r="C1612" s="613" t="s">
        <v>252</v>
      </c>
      <c r="D1612" s="612" t="s">
        <v>1</v>
      </c>
      <c r="E1612" s="613">
        <v>1.62</v>
      </c>
      <c r="F1612" s="611">
        <f>PC_Color</f>
        <v>10890</v>
      </c>
      <c r="G1612" s="611">
        <f>F1612*E1612</f>
        <v>17641.800000000003</v>
      </c>
    </row>
    <row r="1613" spans="1:9" ht="15.75" hidden="1" customHeight="1" outlineLevel="2">
      <c r="A1613" s="613"/>
      <c r="B1613" s="612"/>
      <c r="C1613" s="613"/>
      <c r="D1613" s="612"/>
      <c r="E1613" s="613"/>
      <c r="F1613" s="611"/>
      <c r="G1613" s="611"/>
    </row>
    <row r="1614" spans="1:9" ht="15.75" hidden="1" customHeight="1" outlineLevel="2">
      <c r="A1614" s="613"/>
      <c r="B1614" s="612"/>
      <c r="C1614" s="613" t="s">
        <v>31</v>
      </c>
      <c r="D1614" s="612"/>
      <c r="E1614" s="613"/>
      <c r="F1614" s="611"/>
      <c r="G1614" s="611"/>
    </row>
    <row r="1615" spans="1:9" ht="15.75" hidden="1" customHeight="1" outlineLevel="2">
      <c r="A1615" s="613"/>
      <c r="B1615" s="612"/>
      <c r="C1615" s="613" t="s">
        <v>145</v>
      </c>
      <c r="D1615" s="612" t="s">
        <v>33</v>
      </c>
      <c r="E1615" s="613">
        <v>0.13500000000000001</v>
      </c>
      <c r="F1615" s="611">
        <f>brick_layer</f>
        <v>107800.00000000001</v>
      </c>
      <c r="G1615" s="611">
        <f>F1615*E1615</f>
        <v>14553.000000000004</v>
      </c>
    </row>
    <row r="1616" spans="1:9" ht="15.75" hidden="1" customHeight="1" outlineLevel="2">
      <c r="A1616" s="613"/>
      <c r="B1616" s="612"/>
      <c r="C1616" s="613" t="s">
        <v>32</v>
      </c>
      <c r="D1616" s="612" t="s">
        <v>33</v>
      </c>
      <c r="E1616" s="613">
        <v>0.27</v>
      </c>
      <c r="F1616" s="611">
        <f>worker</f>
        <v>107800.00000000001</v>
      </c>
      <c r="G1616" s="611">
        <f>F1616*E1616</f>
        <v>29106.000000000007</v>
      </c>
    </row>
    <row r="1617" spans="1:10" ht="15.75" hidden="1" customHeight="1" outlineLevel="2">
      <c r="A1617" s="613"/>
      <c r="B1617" s="612"/>
      <c r="C1617" s="613" t="s">
        <v>36</v>
      </c>
      <c r="D1617" s="612" t="s">
        <v>33</v>
      </c>
      <c r="E1617" s="613">
        <v>1.4E-2</v>
      </c>
      <c r="F1617" s="611">
        <f>supervisor</f>
        <v>119350.00000000001</v>
      </c>
      <c r="G1617" s="611">
        <f>F1617*E1617</f>
        <v>1670.9000000000003</v>
      </c>
    </row>
    <row r="1618" spans="1:10" ht="15.75" hidden="1" customHeight="1" outlineLevel="2">
      <c r="A1618" s="613"/>
      <c r="B1618" s="612"/>
      <c r="C1618" s="613" t="s">
        <v>159</v>
      </c>
      <c r="D1618" s="612" t="s">
        <v>33</v>
      </c>
      <c r="E1618" s="613">
        <v>1.4E-2</v>
      </c>
      <c r="F1618" s="611">
        <f>brick_layer_chief</f>
        <v>119350.00000000001</v>
      </c>
      <c r="G1618" s="611">
        <f>F1618*E1618</f>
        <v>1670.9000000000003</v>
      </c>
      <c r="I1618" s="633">
        <f>SUM(G1615:G1618)</f>
        <v>47000.800000000017</v>
      </c>
    </row>
    <row r="1619" spans="1:10" ht="15.75" hidden="1" customHeight="1" outlineLevel="2">
      <c r="A1619" s="613"/>
      <c r="B1619" s="612"/>
      <c r="C1619" s="613"/>
      <c r="D1619" s="612"/>
      <c r="E1619" s="613"/>
      <c r="F1619" s="611"/>
      <c r="G1619" s="611">
        <f>SUM(G1609:G1618)</f>
        <v>253985.49</v>
      </c>
    </row>
    <row r="1620" spans="1:10" ht="15.75" hidden="1" customHeight="1" outlineLevel="2">
      <c r="A1620" s="613"/>
      <c r="B1620" s="612"/>
      <c r="C1620" s="613"/>
      <c r="D1620" s="612"/>
      <c r="E1620" s="613"/>
      <c r="F1620" s="611"/>
      <c r="G1620" s="611"/>
    </row>
    <row r="1621" spans="1:10" ht="15.75" customHeight="1" outlineLevel="1" collapsed="1">
      <c r="A1621" s="613" t="s">
        <v>2074</v>
      </c>
      <c r="B1621" s="612">
        <f>B1607+1</f>
        <v>18</v>
      </c>
      <c r="C1621" s="613" t="s">
        <v>1679</v>
      </c>
      <c r="D1621" s="612" t="s">
        <v>3</v>
      </c>
      <c r="E1621" s="613"/>
      <c r="F1621" s="611"/>
      <c r="G1621" s="605">
        <f>G1634</f>
        <v>106713.13400000001</v>
      </c>
      <c r="I1621" s="633" t="s">
        <v>262</v>
      </c>
      <c r="J1621" s="633" t="s">
        <v>911</v>
      </c>
    </row>
    <row r="1622" spans="1:10" ht="15.75" hidden="1" customHeight="1" outlineLevel="2">
      <c r="A1622" s="613"/>
      <c r="B1622" s="612"/>
      <c r="C1622" s="613"/>
      <c r="D1622" s="612"/>
      <c r="E1622" s="613"/>
      <c r="F1622" s="611"/>
      <c r="G1622" s="611"/>
    </row>
    <row r="1623" spans="1:10" ht="15.75" hidden="1" customHeight="1" outlineLevel="2">
      <c r="A1623" s="613"/>
      <c r="B1623" s="612"/>
      <c r="C1623" s="613" t="s">
        <v>20</v>
      </c>
      <c r="D1623" s="612"/>
      <c r="E1623" s="613"/>
      <c r="F1623" s="611"/>
      <c r="G1623" s="611"/>
    </row>
    <row r="1624" spans="1:10" ht="15.75" hidden="1" customHeight="1" outlineLevel="2">
      <c r="A1624" s="613"/>
      <c r="B1624" s="612"/>
      <c r="C1624" s="613" t="s">
        <v>910</v>
      </c>
      <c r="D1624" s="612" t="s">
        <v>4</v>
      </c>
      <c r="E1624" s="613">
        <f>1/0.6</f>
        <v>1.6666666666666667</v>
      </c>
      <c r="F1624" s="611">
        <f>ceramic_plint_10.60</f>
        <v>49500.000000000007</v>
      </c>
      <c r="G1624" s="611">
        <f>F1624*E1624</f>
        <v>82500.000000000015</v>
      </c>
    </row>
    <row r="1625" spans="1:10" ht="15.75" hidden="1" customHeight="1" outlineLevel="2">
      <c r="A1625" s="613"/>
      <c r="B1625" s="612"/>
      <c r="C1625" s="613" t="s">
        <v>251</v>
      </c>
      <c r="D1625" s="612" t="s">
        <v>1</v>
      </c>
      <c r="E1625" s="613">
        <v>1.1399999999999999</v>
      </c>
      <c r="F1625" s="611">
        <f>PC</f>
        <v>1348.6000000000001</v>
      </c>
      <c r="G1625" s="611">
        <f>F1625*E1625</f>
        <v>1537.404</v>
      </c>
    </row>
    <row r="1626" spans="1:10" ht="15.75" hidden="1" customHeight="1" outlineLevel="2">
      <c r="A1626" s="613"/>
      <c r="B1626" s="612"/>
      <c r="C1626" s="613" t="s">
        <v>144</v>
      </c>
      <c r="D1626" s="612" t="s">
        <v>4288</v>
      </c>
      <c r="E1626" s="613">
        <v>3.0000000000000001E-3</v>
      </c>
      <c r="F1626" s="611">
        <f>sand_pasang</f>
        <v>170610</v>
      </c>
      <c r="G1626" s="611">
        <f>F1626*E1626</f>
        <v>511.83</v>
      </c>
    </row>
    <row r="1627" spans="1:10" ht="15.75" hidden="1" customHeight="1" outlineLevel="2">
      <c r="A1627" s="613"/>
      <c r="B1627" s="612"/>
      <c r="C1627" s="613" t="s">
        <v>255</v>
      </c>
      <c r="D1627" s="612" t="s">
        <v>1</v>
      </c>
      <c r="E1627" s="613">
        <v>0.1</v>
      </c>
      <c r="F1627" s="611">
        <f>PC_Color</f>
        <v>10890</v>
      </c>
      <c r="G1627" s="611">
        <f>F1627*E1627</f>
        <v>1089</v>
      </c>
    </row>
    <row r="1628" spans="1:10" ht="15.75" hidden="1" customHeight="1" outlineLevel="2">
      <c r="A1628" s="613"/>
      <c r="B1628" s="612"/>
      <c r="C1628" s="613"/>
      <c r="D1628" s="612"/>
      <c r="E1628" s="613"/>
      <c r="F1628" s="611"/>
      <c r="G1628" s="611"/>
    </row>
    <row r="1629" spans="1:10" ht="15.75" hidden="1" customHeight="1" outlineLevel="2">
      <c r="A1629" s="613"/>
      <c r="B1629" s="612"/>
      <c r="C1629" s="613" t="s">
        <v>31</v>
      </c>
      <c r="D1629" s="612"/>
      <c r="E1629" s="613"/>
      <c r="F1629" s="611"/>
      <c r="G1629" s="611"/>
    </row>
    <row r="1630" spans="1:10" ht="15.75" hidden="1" customHeight="1" outlineLevel="2">
      <c r="A1630" s="613"/>
      <c r="B1630" s="612"/>
      <c r="C1630" s="613" t="s">
        <v>145</v>
      </c>
      <c r="D1630" s="612" t="s">
        <v>33</v>
      </c>
      <c r="E1630" s="613">
        <v>0.09</v>
      </c>
      <c r="F1630" s="611">
        <f>brick_layer</f>
        <v>107800.00000000001</v>
      </c>
      <c r="G1630" s="611">
        <f>F1630*E1630</f>
        <v>9702.0000000000018</v>
      </c>
    </row>
    <row r="1631" spans="1:10" ht="15.75" hidden="1" customHeight="1" outlineLevel="2">
      <c r="A1631" s="613"/>
      <c r="B1631" s="612"/>
      <c r="C1631" s="613" t="s">
        <v>32</v>
      </c>
      <c r="D1631" s="612" t="s">
        <v>33</v>
      </c>
      <c r="E1631" s="613">
        <v>0.09</v>
      </c>
      <c r="F1631" s="611">
        <f>worker</f>
        <v>107800.00000000001</v>
      </c>
      <c r="G1631" s="611">
        <f>F1631*E1631</f>
        <v>9702.0000000000018</v>
      </c>
    </row>
    <row r="1632" spans="1:10" ht="15.75" hidden="1" customHeight="1" outlineLevel="2">
      <c r="A1632" s="613"/>
      <c r="B1632" s="612"/>
      <c r="C1632" s="613" t="s">
        <v>36</v>
      </c>
      <c r="D1632" s="612" t="s">
        <v>33</v>
      </c>
      <c r="E1632" s="613">
        <f>0.005</f>
        <v>5.0000000000000001E-3</v>
      </c>
      <c r="F1632" s="611">
        <f>supervisor</f>
        <v>119350.00000000001</v>
      </c>
      <c r="G1632" s="611">
        <f>F1632*E1632</f>
        <v>596.75000000000011</v>
      </c>
    </row>
    <row r="1633" spans="1:9" ht="15.75" hidden="1" customHeight="1" outlineLevel="2">
      <c r="A1633" s="613"/>
      <c r="B1633" s="612"/>
      <c r="C1633" s="613" t="s">
        <v>264</v>
      </c>
      <c r="D1633" s="612" t="s">
        <v>33</v>
      </c>
      <c r="E1633" s="613">
        <v>8.9999999999999993E-3</v>
      </c>
      <c r="F1633" s="611">
        <f>brick_layer_chief</f>
        <v>119350.00000000001</v>
      </c>
      <c r="G1633" s="611">
        <f>F1633*E1633</f>
        <v>1074.1500000000001</v>
      </c>
    </row>
    <row r="1634" spans="1:9" ht="15.75" hidden="1" customHeight="1" outlineLevel="2">
      <c r="A1634" s="613"/>
      <c r="B1634" s="612"/>
      <c r="C1634" s="613"/>
      <c r="D1634" s="612"/>
      <c r="E1634" s="613"/>
      <c r="F1634" s="611"/>
      <c r="G1634" s="611">
        <f>SUM(G1624:G1633)</f>
        <v>106713.13400000001</v>
      </c>
    </row>
    <row r="1635" spans="1:9" ht="15.75" hidden="1" customHeight="1" outlineLevel="2">
      <c r="A1635" s="613"/>
      <c r="B1635" s="612"/>
      <c r="C1635" s="613"/>
      <c r="D1635" s="612"/>
      <c r="E1635" s="613"/>
      <c r="F1635" s="611"/>
      <c r="G1635" s="611"/>
    </row>
    <row r="1636" spans="1:9" ht="15.75" customHeight="1" outlineLevel="1" collapsed="1">
      <c r="A1636" s="613" t="s">
        <v>2074</v>
      </c>
      <c r="B1636" s="612">
        <f>B1621+1</f>
        <v>19</v>
      </c>
      <c r="C1636" s="613" t="s">
        <v>545</v>
      </c>
      <c r="D1636" s="612" t="s">
        <v>3</v>
      </c>
      <c r="E1636" s="613"/>
      <c r="F1636" s="611"/>
      <c r="G1636" s="605">
        <f>G1648</f>
        <v>44758.494000000006</v>
      </c>
      <c r="I1636" s="633" t="s">
        <v>267</v>
      </c>
    </row>
    <row r="1637" spans="1:9" ht="15.75" hidden="1" customHeight="1" outlineLevel="2">
      <c r="A1637" s="613"/>
      <c r="B1637" s="612"/>
      <c r="C1637" s="613"/>
      <c r="D1637" s="612"/>
      <c r="E1637" s="613"/>
      <c r="F1637" s="611"/>
      <c r="G1637" s="611"/>
    </row>
    <row r="1638" spans="1:9" ht="15.75" hidden="1" customHeight="1" outlineLevel="2">
      <c r="A1638" s="613"/>
      <c r="B1638" s="612"/>
      <c r="C1638" s="613" t="s">
        <v>20</v>
      </c>
      <c r="D1638" s="612"/>
      <c r="E1638" s="613"/>
      <c r="F1638" s="611"/>
      <c r="G1638" s="611"/>
    </row>
    <row r="1639" spans="1:9" ht="15.75" hidden="1" customHeight="1" outlineLevel="2">
      <c r="A1639" s="613"/>
      <c r="B1639" s="612"/>
      <c r="C1639" s="613" t="s">
        <v>268</v>
      </c>
      <c r="D1639" s="612" t="s">
        <v>4</v>
      </c>
      <c r="E1639" s="613">
        <v>1</v>
      </c>
      <c r="F1639" s="611">
        <f>stepnosing_100x400</f>
        <v>21499.5</v>
      </c>
      <c r="G1639" s="611">
        <f>F1639*E1639</f>
        <v>21499.5</v>
      </c>
    </row>
    <row r="1640" spans="1:9" ht="15.75" hidden="1" customHeight="1" outlineLevel="2">
      <c r="A1640" s="613"/>
      <c r="B1640" s="612"/>
      <c r="C1640" s="613" t="s">
        <v>251</v>
      </c>
      <c r="D1640" s="612" t="s">
        <v>1</v>
      </c>
      <c r="E1640" s="613">
        <v>1.24</v>
      </c>
      <c r="F1640" s="611">
        <f>PC</f>
        <v>1348.6000000000001</v>
      </c>
      <c r="G1640" s="611">
        <f>F1640*E1640</f>
        <v>1672.2640000000001</v>
      </c>
    </row>
    <row r="1641" spans="1:9" ht="15.75" hidden="1" customHeight="1" outlineLevel="2">
      <c r="A1641" s="613"/>
      <c r="B1641" s="612"/>
      <c r="C1641" s="613" t="s">
        <v>144</v>
      </c>
      <c r="D1641" s="612" t="s">
        <v>4288</v>
      </c>
      <c r="E1641" s="613">
        <v>3.0000000000000001E-3</v>
      </c>
      <c r="F1641" s="611">
        <f>sand_pasang</f>
        <v>170610</v>
      </c>
      <c r="G1641" s="611">
        <f>F1641*E1641</f>
        <v>511.83</v>
      </c>
    </row>
    <row r="1642" spans="1:9" ht="15.75" hidden="1" customHeight="1" outlineLevel="2">
      <c r="A1642" s="613"/>
      <c r="B1642" s="612"/>
      <c r="C1642" s="613"/>
      <c r="D1642" s="612"/>
      <c r="E1642" s="613"/>
      <c r="F1642" s="611"/>
      <c r="G1642" s="611"/>
    </row>
    <row r="1643" spans="1:9" ht="15.75" hidden="1" customHeight="1" outlineLevel="2">
      <c r="A1643" s="613"/>
      <c r="B1643" s="612"/>
      <c r="C1643" s="613" t="s">
        <v>31</v>
      </c>
      <c r="D1643" s="612"/>
      <c r="E1643" s="613"/>
      <c r="F1643" s="611"/>
      <c r="G1643" s="611"/>
    </row>
    <row r="1644" spans="1:9" ht="15.75" hidden="1" customHeight="1" outlineLevel="2">
      <c r="A1644" s="613"/>
      <c r="B1644" s="612"/>
      <c r="C1644" s="613" t="s">
        <v>145</v>
      </c>
      <c r="D1644" s="612" t="s">
        <v>33</v>
      </c>
      <c r="E1644" s="613">
        <v>0.09</v>
      </c>
      <c r="F1644" s="611">
        <f>brick_layer</f>
        <v>107800.00000000001</v>
      </c>
      <c r="G1644" s="611">
        <f>F1644*E1644</f>
        <v>9702.0000000000018</v>
      </c>
    </row>
    <row r="1645" spans="1:9" ht="15.75" hidden="1" customHeight="1" outlineLevel="2">
      <c r="A1645" s="613"/>
      <c r="B1645" s="612"/>
      <c r="C1645" s="613" t="s">
        <v>32</v>
      </c>
      <c r="D1645" s="612" t="s">
        <v>33</v>
      </c>
      <c r="E1645" s="613">
        <v>0.09</v>
      </c>
      <c r="F1645" s="611">
        <f>worker</f>
        <v>107800.00000000001</v>
      </c>
      <c r="G1645" s="611">
        <f>F1645*E1645</f>
        <v>9702.0000000000018</v>
      </c>
    </row>
    <row r="1646" spans="1:9" ht="15.75" hidden="1" customHeight="1" outlineLevel="2">
      <c r="A1646" s="613"/>
      <c r="B1646" s="612"/>
      <c r="C1646" s="613" t="s">
        <v>36</v>
      </c>
      <c r="D1646" s="612" t="s">
        <v>33</v>
      </c>
      <c r="E1646" s="613">
        <f>0.009</f>
        <v>8.9999999999999993E-3</v>
      </c>
      <c r="F1646" s="611">
        <f>supervisor</f>
        <v>119350.00000000001</v>
      </c>
      <c r="G1646" s="611">
        <f>F1646*E1646</f>
        <v>1074.1500000000001</v>
      </c>
    </row>
    <row r="1647" spans="1:9" ht="15.75" hidden="1" customHeight="1" outlineLevel="2">
      <c r="A1647" s="613"/>
      <c r="B1647" s="612"/>
      <c r="C1647" s="613" t="s">
        <v>159</v>
      </c>
      <c r="D1647" s="612" t="s">
        <v>33</v>
      </c>
      <c r="E1647" s="613">
        <v>5.0000000000000001E-3</v>
      </c>
      <c r="F1647" s="611">
        <f>brick_layer_chief</f>
        <v>119350.00000000001</v>
      </c>
      <c r="G1647" s="611">
        <f>F1647*E1647</f>
        <v>596.75000000000011</v>
      </c>
    </row>
    <row r="1648" spans="1:9" ht="15.75" hidden="1" customHeight="1" outlineLevel="2">
      <c r="A1648" s="613"/>
      <c r="B1648" s="612"/>
      <c r="C1648" s="613"/>
      <c r="D1648" s="612"/>
      <c r="E1648" s="613"/>
      <c r="F1648" s="611"/>
      <c r="G1648" s="611">
        <f>SUM(G1639:G1647)</f>
        <v>44758.494000000006</v>
      </c>
    </row>
    <row r="1649" spans="1:9" ht="15.75" hidden="1" customHeight="1" outlineLevel="2">
      <c r="A1649" s="613"/>
      <c r="B1649" s="612"/>
      <c r="C1649" s="613"/>
      <c r="D1649" s="612"/>
      <c r="E1649" s="613"/>
      <c r="F1649" s="611"/>
      <c r="G1649" s="611"/>
    </row>
    <row r="1650" spans="1:9" ht="15.75" customHeight="1" outlineLevel="1" collapsed="1">
      <c r="A1650" s="613" t="s">
        <v>2074</v>
      </c>
      <c r="B1650" s="612">
        <f>B1636+1</f>
        <v>20</v>
      </c>
      <c r="C1650" s="613" t="s">
        <v>1680</v>
      </c>
      <c r="D1650" s="612" t="s">
        <v>4</v>
      </c>
      <c r="E1650" s="613"/>
      <c r="F1650" s="611"/>
      <c r="G1650" s="605">
        <f>G1661</f>
        <v>179428.62100000001</v>
      </c>
      <c r="I1650" s="633" t="s">
        <v>242</v>
      </c>
    </row>
    <row r="1651" spans="1:9" ht="15.75" hidden="1" customHeight="1" outlineLevel="2">
      <c r="A1651" s="613"/>
      <c r="B1651" s="612"/>
      <c r="C1651" s="613"/>
      <c r="D1651" s="612"/>
      <c r="E1651" s="613"/>
      <c r="F1651" s="611"/>
      <c r="G1651" s="611"/>
    </row>
    <row r="1652" spans="1:9" ht="15.75" hidden="1" customHeight="1" outlineLevel="2">
      <c r="A1652" s="613"/>
      <c r="B1652" s="612"/>
      <c r="C1652" s="613" t="s">
        <v>20</v>
      </c>
      <c r="D1652" s="612"/>
      <c r="E1652" s="613"/>
      <c r="F1652" s="611"/>
      <c r="G1652" s="611"/>
    </row>
    <row r="1653" spans="1:9" ht="15.75" hidden="1" customHeight="1" outlineLevel="2">
      <c r="A1653" s="613"/>
      <c r="B1653" s="612"/>
      <c r="C1653" s="613" t="s">
        <v>269</v>
      </c>
      <c r="D1653" s="612" t="s">
        <v>5</v>
      </c>
      <c r="E1653" s="613">
        <v>1.05</v>
      </c>
      <c r="F1653" s="611">
        <f>'[54]Basic price '!E103*0.78*0.41</f>
        <v>68085.42</v>
      </c>
      <c r="G1653" s="611">
        <f>F1653*E1653</f>
        <v>71489.691000000006</v>
      </c>
    </row>
    <row r="1654" spans="1:9" ht="15.75" hidden="1" customHeight="1" outlineLevel="2">
      <c r="A1654" s="613"/>
      <c r="B1654" s="612"/>
      <c r="C1654" s="613" t="s">
        <v>270</v>
      </c>
      <c r="D1654" s="612" t="s">
        <v>1</v>
      </c>
      <c r="E1654" s="613">
        <v>0.02</v>
      </c>
      <c r="F1654" s="611">
        <f>nail_drat</f>
        <v>22000</v>
      </c>
      <c r="G1654" s="611">
        <f>F1654*E1654</f>
        <v>440</v>
      </c>
    </row>
    <row r="1655" spans="1:9" ht="15.75" hidden="1" customHeight="1" outlineLevel="2">
      <c r="A1655" s="613"/>
      <c r="B1655" s="612"/>
      <c r="C1655" s="613"/>
      <c r="D1655" s="612"/>
      <c r="E1655" s="613"/>
      <c r="F1655" s="611"/>
      <c r="G1655" s="611"/>
    </row>
    <row r="1656" spans="1:9" ht="15.75" hidden="1" customHeight="1" outlineLevel="2">
      <c r="A1656" s="613"/>
      <c r="B1656" s="612"/>
      <c r="C1656" s="613" t="s">
        <v>31</v>
      </c>
      <c r="D1656" s="612"/>
      <c r="E1656" s="613"/>
      <c r="F1656" s="611"/>
      <c r="G1656" s="611"/>
    </row>
    <row r="1657" spans="1:9" ht="15.75" hidden="1" customHeight="1" outlineLevel="2">
      <c r="A1657" s="613"/>
      <c r="B1657" s="612"/>
      <c r="C1657" s="613" t="s">
        <v>45</v>
      </c>
      <c r="D1657" s="612" t="s">
        <v>33</v>
      </c>
      <c r="E1657" s="613">
        <v>0.75</v>
      </c>
      <c r="F1657" s="611">
        <f>carpenter</f>
        <v>107800.00000000001</v>
      </c>
      <c r="G1657" s="611">
        <f>F1657*E1657</f>
        <v>80850.000000000015</v>
      </c>
    </row>
    <row r="1658" spans="1:9" ht="15.75" hidden="1" customHeight="1" outlineLevel="2">
      <c r="A1658" s="613"/>
      <c r="B1658" s="612"/>
      <c r="C1658" s="613" t="s">
        <v>32</v>
      </c>
      <c r="D1658" s="612" t="s">
        <v>33</v>
      </c>
      <c r="E1658" s="613">
        <v>0.15</v>
      </c>
      <c r="F1658" s="611">
        <f>worker</f>
        <v>107800.00000000001</v>
      </c>
      <c r="G1658" s="611">
        <f>F1658*E1658</f>
        <v>16170.000000000002</v>
      </c>
    </row>
    <row r="1659" spans="1:9" ht="15.75" hidden="1" customHeight="1" outlineLevel="2">
      <c r="A1659" s="613"/>
      <c r="B1659" s="612"/>
      <c r="C1659" s="613" t="s">
        <v>36</v>
      </c>
      <c r="D1659" s="612" t="s">
        <v>33</v>
      </c>
      <c r="E1659" s="613">
        <v>6.0000000000000001E-3</v>
      </c>
      <c r="F1659" s="611">
        <f>supervisor_Asli</f>
        <v>155155</v>
      </c>
      <c r="G1659" s="611">
        <f>F1659*E1659</f>
        <v>930.93000000000006</v>
      </c>
    </row>
    <row r="1660" spans="1:9" ht="15.75" hidden="1" customHeight="1" outlineLevel="2">
      <c r="A1660" s="613"/>
      <c r="B1660" s="612"/>
      <c r="C1660" s="613" t="s">
        <v>61</v>
      </c>
      <c r="D1660" s="612" t="s">
        <v>33</v>
      </c>
      <c r="E1660" s="613">
        <v>0.08</v>
      </c>
      <c r="F1660" s="611">
        <f>carpenter_chief</f>
        <v>119350.00000000001</v>
      </c>
      <c r="G1660" s="611">
        <f>F1660*E1660</f>
        <v>9548.0000000000018</v>
      </c>
    </row>
    <row r="1661" spans="1:9" ht="15.75" hidden="1" customHeight="1" outlineLevel="2">
      <c r="A1661" s="613"/>
      <c r="B1661" s="612"/>
      <c r="C1661" s="613"/>
      <c r="D1661" s="612"/>
      <c r="E1661" s="613"/>
      <c r="F1661" s="611"/>
      <c r="G1661" s="611">
        <f>SUM(G1653:G1660)</f>
        <v>179428.62100000001</v>
      </c>
    </row>
    <row r="1662" spans="1:9" ht="15.75" hidden="1" customHeight="1" outlineLevel="2">
      <c r="A1662" s="613"/>
      <c r="B1662" s="612"/>
      <c r="C1662" s="613"/>
      <c r="D1662" s="612"/>
      <c r="E1662" s="613"/>
      <c r="F1662" s="611"/>
      <c r="G1662" s="611"/>
    </row>
    <row r="1663" spans="1:9" ht="15.75" customHeight="1" outlineLevel="1" collapsed="1">
      <c r="A1663" s="613" t="s">
        <v>2074</v>
      </c>
      <c r="B1663" s="612">
        <f>B1650+1</f>
        <v>21</v>
      </c>
      <c r="C1663" s="613" t="s">
        <v>1681</v>
      </c>
      <c r="D1663" s="612" t="s">
        <v>4</v>
      </c>
      <c r="E1663" s="613"/>
      <c r="F1663" s="611"/>
      <c r="G1663" s="605">
        <f>SUM(G1665:G1672)</f>
        <v>275199.09999999998</v>
      </c>
      <c r="I1663" s="633" t="s">
        <v>242</v>
      </c>
    </row>
    <row r="1664" spans="1:9" ht="15.75" hidden="1" customHeight="1" outlineLevel="2">
      <c r="A1664" s="613"/>
      <c r="B1664" s="612"/>
      <c r="C1664" s="613" t="s">
        <v>20</v>
      </c>
      <c r="D1664" s="612"/>
      <c r="E1664" s="613"/>
      <c r="F1664" s="611"/>
      <c r="G1664" s="611"/>
    </row>
    <row r="1665" spans="1:9" ht="15.75" hidden="1" customHeight="1" outlineLevel="2">
      <c r="A1665" s="613"/>
      <c r="B1665" s="612"/>
      <c r="C1665" s="613" t="s">
        <v>888</v>
      </c>
      <c r="D1665" s="612" t="s">
        <v>5</v>
      </c>
      <c r="E1665" s="613">
        <v>1.05</v>
      </c>
      <c r="F1665" s="611">
        <f>roofing_Onduline_sheet</f>
        <v>159500</v>
      </c>
      <c r="G1665" s="611">
        <f>F1665*E1665</f>
        <v>167475</v>
      </c>
    </row>
    <row r="1666" spans="1:9" ht="15.75" hidden="1" customHeight="1" outlineLevel="2">
      <c r="A1666" s="613"/>
      <c r="B1666" s="612"/>
      <c r="C1666" s="613" t="s">
        <v>271</v>
      </c>
      <c r="D1666" s="612" t="s">
        <v>1</v>
      </c>
      <c r="E1666" s="613">
        <v>0.02</v>
      </c>
      <c r="F1666" s="611">
        <f>nail_drat</f>
        <v>22000</v>
      </c>
      <c r="G1666" s="611">
        <f>F1666*E1666</f>
        <v>440</v>
      </c>
    </row>
    <row r="1667" spans="1:9" ht="15.75" hidden="1" customHeight="1" outlineLevel="2">
      <c r="A1667" s="613"/>
      <c r="B1667" s="612"/>
      <c r="C1667" s="613"/>
      <c r="D1667" s="612"/>
      <c r="E1667" s="613"/>
      <c r="F1667" s="611"/>
      <c r="G1667" s="611"/>
    </row>
    <row r="1668" spans="1:9" ht="15.75" hidden="1" customHeight="1" outlineLevel="2">
      <c r="A1668" s="613"/>
      <c r="B1668" s="612"/>
      <c r="C1668" s="613" t="s">
        <v>31</v>
      </c>
      <c r="D1668" s="612"/>
      <c r="E1668" s="613"/>
      <c r="F1668" s="611"/>
      <c r="G1668" s="611"/>
    </row>
    <row r="1669" spans="1:9" ht="15.75" hidden="1" customHeight="1" outlineLevel="2">
      <c r="A1669" s="613"/>
      <c r="B1669" s="612"/>
      <c r="C1669" s="613" t="s">
        <v>45</v>
      </c>
      <c r="D1669" s="612" t="s">
        <v>33</v>
      </c>
      <c r="E1669" s="613">
        <v>0.75</v>
      </c>
      <c r="F1669" s="611">
        <f>carpenter</f>
        <v>107800.00000000001</v>
      </c>
      <c r="G1669" s="611">
        <f>F1669*E1669</f>
        <v>80850.000000000015</v>
      </c>
    </row>
    <row r="1670" spans="1:9" ht="15.75" hidden="1" customHeight="1" outlineLevel="2">
      <c r="A1670" s="613"/>
      <c r="B1670" s="612"/>
      <c r="C1670" s="613" t="s">
        <v>32</v>
      </c>
      <c r="D1670" s="612" t="s">
        <v>33</v>
      </c>
      <c r="E1670" s="613">
        <v>0.15</v>
      </c>
      <c r="F1670" s="611">
        <f>worker</f>
        <v>107800.00000000001</v>
      </c>
      <c r="G1670" s="611">
        <f>F1670*E1670</f>
        <v>16170.000000000002</v>
      </c>
    </row>
    <row r="1671" spans="1:9" ht="15.75" hidden="1" customHeight="1" outlineLevel="2">
      <c r="A1671" s="613"/>
      <c r="B1671" s="612"/>
      <c r="C1671" s="613" t="s">
        <v>36</v>
      </c>
      <c r="D1671" s="612" t="s">
        <v>33</v>
      </c>
      <c r="E1671" s="613">
        <v>6.0000000000000001E-3</v>
      </c>
      <c r="F1671" s="611">
        <f>supervisor</f>
        <v>119350.00000000001</v>
      </c>
      <c r="G1671" s="611">
        <f>F1671*E1671</f>
        <v>716.10000000000014</v>
      </c>
    </row>
    <row r="1672" spans="1:9" ht="15.75" hidden="1" customHeight="1" outlineLevel="2">
      <c r="A1672" s="613"/>
      <c r="B1672" s="612"/>
      <c r="C1672" s="613" t="s">
        <v>61</v>
      </c>
      <c r="D1672" s="612" t="s">
        <v>33</v>
      </c>
      <c r="E1672" s="613">
        <v>0.08</v>
      </c>
      <c r="F1672" s="611">
        <f>carpenter_chief</f>
        <v>119350.00000000001</v>
      </c>
      <c r="G1672" s="611">
        <f>F1672*E1672</f>
        <v>9548.0000000000018</v>
      </c>
    </row>
    <row r="1673" spans="1:9" ht="15.75" hidden="1" customHeight="1" outlineLevel="2">
      <c r="A1673" s="613"/>
      <c r="B1673" s="612"/>
      <c r="C1673" s="613"/>
      <c r="D1673" s="612"/>
      <c r="E1673" s="613"/>
      <c r="F1673" s="611"/>
      <c r="G1673" s="611"/>
    </row>
    <row r="1674" spans="1:9" ht="15.75" customHeight="1" outlineLevel="1" collapsed="1">
      <c r="A1674" s="613" t="s">
        <v>2074</v>
      </c>
      <c r="B1674" s="612">
        <f>B1663+1</f>
        <v>22</v>
      </c>
      <c r="C1674" s="613" t="s">
        <v>578</v>
      </c>
      <c r="D1674" s="612" t="s">
        <v>4</v>
      </c>
      <c r="E1674" s="613"/>
      <c r="F1674" s="611"/>
      <c r="G1674" s="605">
        <f>G1684</f>
        <v>308347.60000000003</v>
      </c>
      <c r="I1674" s="633" t="s">
        <v>242</v>
      </c>
    </row>
    <row r="1675" spans="1:9" ht="15.75" hidden="1" customHeight="1" outlineLevel="2">
      <c r="A1675" s="613"/>
      <c r="B1675" s="612"/>
      <c r="C1675" s="613" t="s">
        <v>20</v>
      </c>
      <c r="D1675" s="612"/>
      <c r="E1675" s="613"/>
      <c r="F1675" s="611"/>
      <c r="G1675" s="611"/>
    </row>
    <row r="1676" spans="1:9" ht="15.75" hidden="1" customHeight="1" outlineLevel="2">
      <c r="A1676" s="613"/>
      <c r="B1676" s="612"/>
      <c r="C1676" s="613" t="s">
        <v>1330</v>
      </c>
      <c r="D1676" s="612" t="s">
        <v>4</v>
      </c>
      <c r="E1676" s="613">
        <v>1.05</v>
      </c>
      <c r="F1676" s="611">
        <f>roofing_spandek_colorbond</f>
        <v>191070.00000000003</v>
      </c>
      <c r="G1676" s="611">
        <f>F1676*E1676</f>
        <v>200623.50000000003</v>
      </c>
    </row>
    <row r="1677" spans="1:9" ht="15.75" hidden="1" customHeight="1" outlineLevel="2">
      <c r="A1677" s="613"/>
      <c r="B1677" s="612"/>
      <c r="C1677" s="613" t="s">
        <v>271</v>
      </c>
      <c r="D1677" s="612" t="s">
        <v>1</v>
      </c>
      <c r="E1677" s="613">
        <v>0.02</v>
      </c>
      <c r="F1677" s="611">
        <f>nail_drat</f>
        <v>22000</v>
      </c>
      <c r="G1677" s="611">
        <f>F1677*E1677</f>
        <v>440</v>
      </c>
    </row>
    <row r="1678" spans="1:9" ht="15.75" hidden="1" customHeight="1" outlineLevel="2">
      <c r="A1678" s="613"/>
      <c r="B1678" s="612"/>
      <c r="C1678" s="613"/>
      <c r="D1678" s="612"/>
      <c r="E1678" s="613"/>
      <c r="F1678" s="611"/>
      <c r="G1678" s="611"/>
    </row>
    <row r="1679" spans="1:9" ht="15.75" hidden="1" customHeight="1" outlineLevel="2">
      <c r="A1679" s="613"/>
      <c r="B1679" s="612"/>
      <c r="C1679" s="613" t="s">
        <v>31</v>
      </c>
      <c r="D1679" s="612"/>
      <c r="E1679" s="613"/>
      <c r="F1679" s="611"/>
      <c r="G1679" s="611"/>
    </row>
    <row r="1680" spans="1:9" ht="15.75" hidden="1" customHeight="1" outlineLevel="2">
      <c r="A1680" s="613"/>
      <c r="B1680" s="612"/>
      <c r="C1680" s="613" t="s">
        <v>45</v>
      </c>
      <c r="D1680" s="612" t="s">
        <v>33</v>
      </c>
      <c r="E1680" s="613">
        <v>0.75</v>
      </c>
      <c r="F1680" s="611">
        <f>carpenter</f>
        <v>107800.00000000001</v>
      </c>
      <c r="G1680" s="611">
        <f>F1680*E1680</f>
        <v>80850.000000000015</v>
      </c>
    </row>
    <row r="1681" spans="1:9" ht="15.75" hidden="1" customHeight="1" outlineLevel="2">
      <c r="A1681" s="613"/>
      <c r="B1681" s="612"/>
      <c r="C1681" s="613" t="s">
        <v>32</v>
      </c>
      <c r="D1681" s="612" t="s">
        <v>33</v>
      </c>
      <c r="E1681" s="613">
        <v>0.15</v>
      </c>
      <c r="F1681" s="611">
        <f>worker</f>
        <v>107800.00000000001</v>
      </c>
      <c r="G1681" s="611">
        <f>F1681*E1681</f>
        <v>16170.000000000002</v>
      </c>
    </row>
    <row r="1682" spans="1:9" ht="15.75" hidden="1" customHeight="1" outlineLevel="2">
      <c r="A1682" s="613"/>
      <c r="B1682" s="612"/>
      <c r="C1682" s="613" t="s">
        <v>36</v>
      </c>
      <c r="D1682" s="612" t="s">
        <v>33</v>
      </c>
      <c r="E1682" s="613">
        <v>6.0000000000000001E-3</v>
      </c>
      <c r="F1682" s="611">
        <f>supervisor</f>
        <v>119350.00000000001</v>
      </c>
      <c r="G1682" s="611">
        <f>F1682*E1682</f>
        <v>716.10000000000014</v>
      </c>
    </row>
    <row r="1683" spans="1:9" ht="15.75" hidden="1" customHeight="1" outlineLevel="2">
      <c r="A1683" s="613"/>
      <c r="B1683" s="612"/>
      <c r="C1683" s="613" t="s">
        <v>61</v>
      </c>
      <c r="D1683" s="612" t="s">
        <v>33</v>
      </c>
      <c r="E1683" s="613">
        <v>0.08</v>
      </c>
      <c r="F1683" s="611">
        <f>carpenter_chief</f>
        <v>119350.00000000001</v>
      </c>
      <c r="G1683" s="611">
        <f>F1683*E1683</f>
        <v>9548.0000000000018</v>
      </c>
    </row>
    <row r="1684" spans="1:9" ht="15.75" hidden="1" customHeight="1" outlineLevel="2">
      <c r="A1684" s="613"/>
      <c r="B1684" s="612"/>
      <c r="C1684" s="613"/>
      <c r="D1684" s="612"/>
      <c r="E1684" s="613"/>
      <c r="F1684" s="611"/>
      <c r="G1684" s="611">
        <f>SUM(G1676:G1683)</f>
        <v>308347.60000000003</v>
      </c>
    </row>
    <row r="1685" spans="1:9" ht="15.75" hidden="1" customHeight="1" outlineLevel="2">
      <c r="A1685" s="613"/>
      <c r="B1685" s="612"/>
      <c r="C1685" s="613"/>
      <c r="D1685" s="612"/>
      <c r="E1685" s="613"/>
      <c r="F1685" s="611"/>
      <c r="G1685" s="611"/>
    </row>
    <row r="1686" spans="1:9" ht="15.75" customHeight="1" outlineLevel="1" collapsed="1">
      <c r="A1686" s="613" t="s">
        <v>2074</v>
      </c>
      <c r="B1686" s="612">
        <f>B1674+1</f>
        <v>23</v>
      </c>
      <c r="C1686" s="613" t="s">
        <v>1682</v>
      </c>
      <c r="D1686" s="612" t="s">
        <v>3</v>
      </c>
      <c r="E1686" s="613"/>
      <c r="F1686" s="611"/>
      <c r="G1686" s="605">
        <f>G1697</f>
        <v>236844.44999999998</v>
      </c>
      <c r="I1686" s="633" t="s">
        <v>272</v>
      </c>
    </row>
    <row r="1687" spans="1:9" ht="15.75" hidden="1" customHeight="1" outlineLevel="2">
      <c r="A1687" s="613"/>
      <c r="B1687" s="612"/>
      <c r="C1687" s="613"/>
      <c r="D1687" s="612"/>
      <c r="E1687" s="613"/>
      <c r="F1687" s="611"/>
      <c r="G1687" s="611"/>
    </row>
    <row r="1688" spans="1:9" ht="15.75" hidden="1" customHeight="1" outlineLevel="2">
      <c r="A1688" s="613"/>
      <c r="B1688" s="612"/>
      <c r="C1688" s="613" t="s">
        <v>20</v>
      </c>
      <c r="D1688" s="612"/>
      <c r="E1688" s="613"/>
      <c r="F1688" s="611"/>
      <c r="G1688" s="611"/>
    </row>
    <row r="1689" spans="1:9" ht="15.75" hidden="1" customHeight="1" outlineLevel="2">
      <c r="A1689" s="613"/>
      <c r="B1689" s="612"/>
      <c r="C1689" s="613" t="s">
        <v>273</v>
      </c>
      <c r="D1689" s="612" t="s">
        <v>204</v>
      </c>
      <c r="E1689" s="613">
        <v>1.2</v>
      </c>
      <c r="F1689" s="611">
        <f>'[54]Basic price '!E105</f>
        <v>68600</v>
      </c>
      <c r="G1689" s="611">
        <f>F1689*E1689</f>
        <v>82320</v>
      </c>
    </row>
    <row r="1690" spans="1:9" ht="15.75" hidden="1" customHeight="1" outlineLevel="2">
      <c r="A1690" s="613"/>
      <c r="B1690" s="612"/>
      <c r="C1690" s="613" t="s">
        <v>270</v>
      </c>
      <c r="D1690" s="612" t="s">
        <v>1</v>
      </c>
      <c r="E1690" s="613">
        <v>0.04</v>
      </c>
      <c r="F1690" s="611">
        <f>'[54]Basic price '!E$80</f>
        <v>28300</v>
      </c>
      <c r="G1690" s="611">
        <f>F1690*E1690</f>
        <v>1132</v>
      </c>
    </row>
    <row r="1691" spans="1:9" ht="15.75" hidden="1" customHeight="1" outlineLevel="2">
      <c r="A1691" s="613"/>
      <c r="B1691" s="612"/>
      <c r="C1691" s="613"/>
      <c r="D1691" s="612"/>
      <c r="E1691" s="613"/>
      <c r="F1691" s="611"/>
      <c r="G1691" s="611"/>
    </row>
    <row r="1692" spans="1:9" ht="15.75" hidden="1" customHeight="1" outlineLevel="2">
      <c r="A1692" s="613"/>
      <c r="B1692" s="612"/>
      <c r="C1692" s="613" t="s">
        <v>31</v>
      </c>
      <c r="D1692" s="612"/>
      <c r="E1692" s="613"/>
      <c r="F1692" s="611"/>
      <c r="G1692" s="611"/>
    </row>
    <row r="1693" spans="1:9" ht="15.75" hidden="1" customHeight="1" outlineLevel="2">
      <c r="A1693" s="613"/>
      <c r="B1693" s="612"/>
      <c r="C1693" s="613" t="s">
        <v>45</v>
      </c>
      <c r="D1693" s="612" t="s">
        <v>33</v>
      </c>
      <c r="E1693" s="613">
        <v>1</v>
      </c>
      <c r="F1693" s="611">
        <f>'[54]Basic price '!E221</f>
        <v>121230</v>
      </c>
      <c r="G1693" s="611">
        <f>F1693*E1693</f>
        <v>121230</v>
      </c>
    </row>
    <row r="1694" spans="1:9" ht="15.75" hidden="1" customHeight="1" outlineLevel="2">
      <c r="A1694" s="613"/>
      <c r="B1694" s="612"/>
      <c r="C1694" s="613" t="s">
        <v>32</v>
      </c>
      <c r="D1694" s="612" t="s">
        <v>33</v>
      </c>
      <c r="E1694" s="613">
        <v>0.1</v>
      </c>
      <c r="F1694" s="611">
        <f>'[54]Basic price '!E211</f>
        <v>102920</v>
      </c>
      <c r="G1694" s="611">
        <f>F1694*E1694</f>
        <v>10292</v>
      </c>
    </row>
    <row r="1695" spans="1:9" ht="15.75" hidden="1" customHeight="1" outlineLevel="2">
      <c r="A1695" s="613"/>
      <c r="B1695" s="612"/>
      <c r="C1695" s="613" t="s">
        <v>36</v>
      </c>
      <c r="D1695" s="612" t="s">
        <v>33</v>
      </c>
      <c r="E1695" s="613">
        <v>0.05</v>
      </c>
      <c r="F1695" s="611">
        <f>'[54]Basic price '!E213</f>
        <v>157901</v>
      </c>
      <c r="G1695" s="611">
        <f>F1695*E1695</f>
        <v>7895.05</v>
      </c>
    </row>
    <row r="1696" spans="1:9" ht="15.75" hidden="1" customHeight="1" outlineLevel="2">
      <c r="A1696" s="613"/>
      <c r="B1696" s="612"/>
      <c r="C1696" s="613" t="s">
        <v>61</v>
      </c>
      <c r="D1696" s="612" t="s">
        <v>33</v>
      </c>
      <c r="E1696" s="613">
        <v>0.1</v>
      </c>
      <c r="F1696" s="611">
        <f>'[54]Basic price '!E220</f>
        <v>139754</v>
      </c>
      <c r="G1696" s="611">
        <f>F1696*E1696</f>
        <v>13975.400000000001</v>
      </c>
    </row>
    <row r="1697" spans="1:9" ht="15.75" hidden="1" customHeight="1" outlineLevel="2">
      <c r="A1697" s="613"/>
      <c r="B1697" s="612"/>
      <c r="C1697" s="613"/>
      <c r="D1697" s="612"/>
      <c r="E1697" s="613"/>
      <c r="F1697" s="611"/>
      <c r="G1697" s="611">
        <f>SUM(G1689:G1696)</f>
        <v>236844.44999999998</v>
      </c>
    </row>
    <row r="1698" spans="1:9" ht="15.75" hidden="1" customHeight="1" outlineLevel="2">
      <c r="A1698" s="613"/>
      <c r="B1698" s="612"/>
      <c r="C1698" s="613"/>
      <c r="D1698" s="612"/>
      <c r="E1698" s="613"/>
      <c r="F1698" s="611"/>
      <c r="G1698" s="611"/>
    </row>
    <row r="1699" spans="1:9" ht="15.75" customHeight="1" outlineLevel="1" collapsed="1">
      <c r="A1699" s="613" t="s">
        <v>2074</v>
      </c>
      <c r="B1699" s="612">
        <f>B1686+1</f>
        <v>24</v>
      </c>
      <c r="C1699" s="613" t="s">
        <v>1683</v>
      </c>
      <c r="D1699" s="612" t="s">
        <v>3</v>
      </c>
      <c r="E1699" s="613"/>
      <c r="F1699" s="611"/>
      <c r="G1699" s="605">
        <f>G1709</f>
        <v>239002.5</v>
      </c>
      <c r="I1699" s="633" t="s">
        <v>274</v>
      </c>
    </row>
    <row r="1700" spans="1:9" ht="15.75" hidden="1" customHeight="1" outlineLevel="2">
      <c r="A1700" s="613"/>
      <c r="B1700" s="612"/>
      <c r="C1700" s="613" t="s">
        <v>20</v>
      </c>
      <c r="D1700" s="612"/>
      <c r="E1700" s="613"/>
      <c r="F1700" s="611"/>
      <c r="G1700" s="611"/>
    </row>
    <row r="1701" spans="1:9" ht="15.75" hidden="1" customHeight="1" outlineLevel="2">
      <c r="A1701" s="613"/>
      <c r="B1701" s="612"/>
      <c r="C1701" s="613" t="s">
        <v>893</v>
      </c>
      <c r="D1701" s="612" t="s">
        <v>204</v>
      </c>
      <c r="E1701" s="613">
        <v>1.2</v>
      </c>
      <c r="F1701" s="611">
        <f>nok_onduline</f>
        <v>84700</v>
      </c>
      <c r="G1701" s="611">
        <f>F1701*E1701</f>
        <v>101640</v>
      </c>
    </row>
    <row r="1702" spans="1:9" ht="15.75" hidden="1" customHeight="1" outlineLevel="2">
      <c r="A1702" s="613"/>
      <c r="B1702" s="612"/>
      <c r="C1702" s="613" t="s">
        <v>271</v>
      </c>
      <c r="D1702" s="612" t="s">
        <v>1</v>
      </c>
      <c r="E1702" s="613">
        <v>0.04</v>
      </c>
      <c r="F1702" s="611">
        <f>nail_drat</f>
        <v>22000</v>
      </c>
      <c r="G1702" s="611">
        <f>F1702*E1702</f>
        <v>880</v>
      </c>
    </row>
    <row r="1703" spans="1:9" ht="15.75" hidden="1" customHeight="1" outlineLevel="2">
      <c r="A1703" s="613"/>
      <c r="B1703" s="612"/>
      <c r="C1703" s="613"/>
      <c r="D1703" s="612"/>
      <c r="E1703" s="613"/>
      <c r="F1703" s="611"/>
      <c r="G1703" s="611"/>
    </row>
    <row r="1704" spans="1:9" ht="15.75" hidden="1" customHeight="1" outlineLevel="2">
      <c r="A1704" s="613"/>
      <c r="B1704" s="612"/>
      <c r="C1704" s="613" t="s">
        <v>31</v>
      </c>
      <c r="D1704" s="612"/>
      <c r="E1704" s="613"/>
      <c r="F1704" s="611"/>
      <c r="G1704" s="611"/>
    </row>
    <row r="1705" spans="1:9" ht="15.75" hidden="1" customHeight="1" outlineLevel="2">
      <c r="A1705" s="613"/>
      <c r="B1705" s="612"/>
      <c r="C1705" s="613" t="s">
        <v>45</v>
      </c>
      <c r="D1705" s="612" t="s">
        <v>33</v>
      </c>
      <c r="E1705" s="613">
        <v>1</v>
      </c>
      <c r="F1705" s="611">
        <f>carpenter</f>
        <v>107800.00000000001</v>
      </c>
      <c r="G1705" s="611">
        <f>F1705*E1705</f>
        <v>107800.00000000001</v>
      </c>
    </row>
    <row r="1706" spans="1:9" ht="15.75" hidden="1" customHeight="1" outlineLevel="2">
      <c r="A1706" s="613"/>
      <c r="B1706" s="612"/>
      <c r="C1706" s="613" t="s">
        <v>32</v>
      </c>
      <c r="D1706" s="612" t="s">
        <v>33</v>
      </c>
      <c r="E1706" s="613">
        <v>0.1</v>
      </c>
      <c r="F1706" s="611">
        <f>worker</f>
        <v>107800.00000000001</v>
      </c>
      <c r="G1706" s="611">
        <f>F1706*E1706</f>
        <v>10780.000000000002</v>
      </c>
    </row>
    <row r="1707" spans="1:9" ht="15.75" hidden="1" customHeight="1" outlineLevel="2">
      <c r="A1707" s="613"/>
      <c r="B1707" s="612"/>
      <c r="C1707" s="613" t="s">
        <v>36</v>
      </c>
      <c r="D1707" s="612" t="s">
        <v>33</v>
      </c>
      <c r="E1707" s="613">
        <v>0.05</v>
      </c>
      <c r="F1707" s="611">
        <f>supervisor</f>
        <v>119350.00000000001</v>
      </c>
      <c r="G1707" s="611">
        <f>F1707*E1707</f>
        <v>5967.5000000000009</v>
      </c>
    </row>
    <row r="1708" spans="1:9" ht="15.75" hidden="1" customHeight="1" outlineLevel="2">
      <c r="A1708" s="613"/>
      <c r="B1708" s="612"/>
      <c r="C1708" s="613" t="s">
        <v>61</v>
      </c>
      <c r="D1708" s="612" t="s">
        <v>33</v>
      </c>
      <c r="E1708" s="613">
        <v>0.1</v>
      </c>
      <c r="F1708" s="611">
        <f>carpenter_chief</f>
        <v>119350.00000000001</v>
      </c>
      <c r="G1708" s="611">
        <f>F1708*E1708</f>
        <v>11935.000000000002</v>
      </c>
    </row>
    <row r="1709" spans="1:9" ht="15.75" hidden="1" customHeight="1" outlineLevel="2">
      <c r="A1709" s="613"/>
      <c r="B1709" s="612"/>
      <c r="C1709" s="613"/>
      <c r="D1709" s="612"/>
      <c r="E1709" s="613"/>
      <c r="F1709" s="611"/>
      <c r="G1709" s="611">
        <f>SUM(G1701:G1708)</f>
        <v>239002.5</v>
      </c>
    </row>
    <row r="1710" spans="1:9" ht="15.75" hidden="1" customHeight="1" outlineLevel="2">
      <c r="A1710" s="613"/>
      <c r="B1710" s="612"/>
      <c r="C1710" s="613"/>
      <c r="D1710" s="612"/>
      <c r="E1710" s="613"/>
      <c r="F1710" s="611"/>
      <c r="G1710" s="611"/>
    </row>
    <row r="1711" spans="1:9" ht="15.75" customHeight="1" outlineLevel="1" collapsed="1">
      <c r="A1711" s="613" t="s">
        <v>2074</v>
      </c>
      <c r="B1711" s="612">
        <f>B1699+1</f>
        <v>25</v>
      </c>
      <c r="C1711" s="613" t="s">
        <v>580</v>
      </c>
      <c r="D1711" s="612" t="s">
        <v>3</v>
      </c>
      <c r="E1711" s="613"/>
      <c r="F1711" s="611"/>
      <c r="G1711" s="605">
        <f>G1721</f>
        <v>213658.5</v>
      </c>
      <c r="I1711" s="633" t="s">
        <v>274</v>
      </c>
    </row>
    <row r="1712" spans="1:9" ht="15.75" hidden="1" customHeight="1" outlineLevel="2">
      <c r="A1712" s="613"/>
      <c r="B1712" s="612"/>
      <c r="C1712" s="613" t="s">
        <v>20</v>
      </c>
      <c r="D1712" s="612"/>
      <c r="E1712" s="613"/>
      <c r="F1712" s="611"/>
      <c r="G1712" s="611"/>
    </row>
    <row r="1713" spans="1:9" ht="15.75" hidden="1" customHeight="1" outlineLevel="2">
      <c r="A1713" s="613"/>
      <c r="B1713" s="612"/>
      <c r="C1713" s="613" t="s">
        <v>1331</v>
      </c>
      <c r="D1713" s="612" t="s">
        <v>204</v>
      </c>
      <c r="E1713" s="613">
        <v>1.2</v>
      </c>
      <c r="F1713" s="611">
        <f>nok_spandek_colorbond</f>
        <v>63580.000000000007</v>
      </c>
      <c r="G1713" s="611">
        <f>F1713*E1713</f>
        <v>76296</v>
      </c>
    </row>
    <row r="1714" spans="1:9" ht="15.75" hidden="1" customHeight="1" outlineLevel="2">
      <c r="A1714" s="613"/>
      <c r="B1714" s="612"/>
      <c r="C1714" s="613" t="s">
        <v>271</v>
      </c>
      <c r="D1714" s="612" t="s">
        <v>1</v>
      </c>
      <c r="E1714" s="613">
        <v>0.04</v>
      </c>
      <c r="F1714" s="611">
        <f>nail_drat</f>
        <v>22000</v>
      </c>
      <c r="G1714" s="611">
        <f>F1714*E1714</f>
        <v>880</v>
      </c>
    </row>
    <row r="1715" spans="1:9" ht="15.75" hidden="1" customHeight="1" outlineLevel="2">
      <c r="A1715" s="613"/>
      <c r="B1715" s="612"/>
      <c r="C1715" s="613"/>
      <c r="D1715" s="612"/>
      <c r="E1715" s="613"/>
      <c r="F1715" s="611"/>
      <c r="G1715" s="611"/>
    </row>
    <row r="1716" spans="1:9" ht="15.75" hidden="1" customHeight="1" outlineLevel="2">
      <c r="A1716" s="613"/>
      <c r="B1716" s="612"/>
      <c r="C1716" s="613" t="s">
        <v>31</v>
      </c>
      <c r="D1716" s="612"/>
      <c r="E1716" s="613"/>
      <c r="F1716" s="611"/>
      <c r="G1716" s="611"/>
    </row>
    <row r="1717" spans="1:9" ht="15.75" hidden="1" customHeight="1" outlineLevel="2">
      <c r="A1717" s="613"/>
      <c r="B1717" s="612"/>
      <c r="C1717" s="613" t="s">
        <v>45</v>
      </c>
      <c r="D1717" s="612" t="s">
        <v>33</v>
      </c>
      <c r="E1717" s="613">
        <v>1</v>
      </c>
      <c r="F1717" s="611">
        <f>carpenter</f>
        <v>107800.00000000001</v>
      </c>
      <c r="G1717" s="611">
        <f>F1717*E1717</f>
        <v>107800.00000000001</v>
      </c>
    </row>
    <row r="1718" spans="1:9" ht="15.75" hidden="1" customHeight="1" outlineLevel="2">
      <c r="A1718" s="613"/>
      <c r="B1718" s="612"/>
      <c r="C1718" s="613" t="s">
        <v>32</v>
      </c>
      <c r="D1718" s="612" t="s">
        <v>33</v>
      </c>
      <c r="E1718" s="613">
        <v>0.1</v>
      </c>
      <c r="F1718" s="611">
        <f>worker</f>
        <v>107800.00000000001</v>
      </c>
      <c r="G1718" s="611">
        <f>F1718*E1718</f>
        <v>10780.000000000002</v>
      </c>
    </row>
    <row r="1719" spans="1:9" ht="15.75" hidden="1" customHeight="1" outlineLevel="2">
      <c r="A1719" s="613"/>
      <c r="B1719" s="612"/>
      <c r="C1719" s="613" t="s">
        <v>36</v>
      </c>
      <c r="D1719" s="612" t="s">
        <v>33</v>
      </c>
      <c r="E1719" s="613">
        <v>0.05</v>
      </c>
      <c r="F1719" s="611">
        <f>supervisor</f>
        <v>119350.00000000001</v>
      </c>
      <c r="G1719" s="611">
        <f>F1719*E1719</f>
        <v>5967.5000000000009</v>
      </c>
    </row>
    <row r="1720" spans="1:9" ht="15.75" hidden="1" customHeight="1" outlineLevel="2">
      <c r="A1720" s="613"/>
      <c r="B1720" s="612"/>
      <c r="C1720" s="613" t="s">
        <v>61</v>
      </c>
      <c r="D1720" s="612" t="s">
        <v>33</v>
      </c>
      <c r="E1720" s="613">
        <v>0.1</v>
      </c>
      <c r="F1720" s="611">
        <f>carpenter_chief</f>
        <v>119350.00000000001</v>
      </c>
      <c r="G1720" s="611">
        <f>F1720*E1720</f>
        <v>11935.000000000002</v>
      </c>
    </row>
    <row r="1721" spans="1:9" ht="15.75" hidden="1" customHeight="1" outlineLevel="2">
      <c r="A1721" s="613"/>
      <c r="B1721" s="612"/>
      <c r="C1721" s="613"/>
      <c r="D1721" s="612"/>
      <c r="E1721" s="613"/>
      <c r="F1721" s="611"/>
      <c r="G1721" s="611">
        <f>SUM(G1713:G1720)</f>
        <v>213658.5</v>
      </c>
    </row>
    <row r="1722" spans="1:9" ht="15.75" hidden="1" customHeight="1" outlineLevel="2">
      <c r="A1722" s="613"/>
      <c r="B1722" s="612"/>
      <c r="C1722" s="613"/>
      <c r="D1722" s="612"/>
      <c r="E1722" s="613"/>
      <c r="F1722" s="611"/>
      <c r="G1722" s="611"/>
    </row>
    <row r="1723" spans="1:9" ht="15.75" customHeight="1" outlineLevel="1" collapsed="1">
      <c r="A1723" s="613" t="s">
        <v>2074</v>
      </c>
      <c r="B1723" s="612">
        <f>B1711+1</f>
        <v>26</v>
      </c>
      <c r="C1723" s="613" t="s">
        <v>4296</v>
      </c>
      <c r="D1723" s="612" t="s">
        <v>4</v>
      </c>
      <c r="E1723" s="613"/>
      <c r="F1723" s="611"/>
      <c r="G1723" s="605">
        <f>G1734</f>
        <v>142111.478</v>
      </c>
      <c r="I1723" s="633" t="s">
        <v>275</v>
      </c>
    </row>
    <row r="1724" spans="1:9" ht="15.75" hidden="1" customHeight="1" outlineLevel="2">
      <c r="A1724" s="613"/>
      <c r="B1724" s="612"/>
      <c r="C1724" s="613"/>
      <c r="D1724" s="612"/>
      <c r="E1724" s="613"/>
      <c r="F1724" s="611"/>
      <c r="G1724" s="611"/>
    </row>
    <row r="1725" spans="1:9" ht="15.75" hidden="1" customHeight="1" outlineLevel="2">
      <c r="A1725" s="613"/>
      <c r="B1725" s="612"/>
      <c r="C1725" s="613" t="s">
        <v>20</v>
      </c>
      <c r="D1725" s="612"/>
      <c r="E1725" s="613"/>
      <c r="F1725" s="611"/>
      <c r="G1725" s="611"/>
    </row>
    <row r="1726" spans="1:9" ht="29.25" hidden="1" customHeight="1" outlineLevel="2">
      <c r="A1726" s="613"/>
      <c r="B1726" s="612"/>
      <c r="C1726" s="613" t="s">
        <v>276</v>
      </c>
      <c r="D1726" s="612" t="s">
        <v>4290</v>
      </c>
      <c r="E1726" s="613">
        <v>1.05</v>
      </c>
      <c r="F1726" s="611">
        <f>'[54]Basic price '!E121</f>
        <v>28000</v>
      </c>
      <c r="G1726" s="611">
        <f>F1726*E1726</f>
        <v>29400</v>
      </c>
    </row>
    <row r="1727" spans="1:9" ht="15.75" hidden="1" customHeight="1" outlineLevel="2">
      <c r="A1727" s="613"/>
      <c r="B1727" s="612"/>
      <c r="C1727" s="613" t="s">
        <v>277</v>
      </c>
      <c r="D1727" s="612" t="s">
        <v>1</v>
      </c>
      <c r="E1727" s="613">
        <v>3</v>
      </c>
      <c r="F1727" s="611">
        <f>'[54]Basic price '!E122</f>
        <v>29750</v>
      </c>
      <c r="G1727" s="611">
        <f>F1727*E1727</f>
        <v>89250</v>
      </c>
      <c r="I1727" s="633" t="s">
        <v>278</v>
      </c>
    </row>
    <row r="1728" spans="1:9" ht="15.75" hidden="1" customHeight="1" outlineLevel="2">
      <c r="A1728" s="613"/>
      <c r="B1728" s="612"/>
      <c r="C1728" s="613"/>
      <c r="D1728" s="612"/>
      <c r="E1728" s="613"/>
      <c r="F1728" s="611"/>
      <c r="G1728" s="611"/>
    </row>
    <row r="1729" spans="1:9" ht="15.75" hidden="1" customHeight="1" outlineLevel="2">
      <c r="A1729" s="613"/>
      <c r="B1729" s="612"/>
      <c r="C1729" s="613" t="s">
        <v>31</v>
      </c>
      <c r="D1729" s="612"/>
      <c r="E1729" s="613"/>
      <c r="F1729" s="611"/>
      <c r="G1729" s="611"/>
    </row>
    <row r="1730" spans="1:9" ht="15.75" hidden="1" customHeight="1" outlineLevel="2">
      <c r="A1730" s="613"/>
      <c r="B1730" s="612"/>
      <c r="C1730" s="613" t="s">
        <v>45</v>
      </c>
      <c r="D1730" s="612" t="s">
        <v>33</v>
      </c>
      <c r="E1730" s="613">
        <v>0.05</v>
      </c>
      <c r="F1730" s="611">
        <f>'[54]Basic price '!E221</f>
        <v>121230</v>
      </c>
      <c r="G1730" s="611">
        <f>F1730*E1730</f>
        <v>6061.5</v>
      </c>
    </row>
    <row r="1731" spans="1:9" ht="15.75" hidden="1" customHeight="1" outlineLevel="2">
      <c r="A1731" s="613"/>
      <c r="B1731" s="612"/>
      <c r="C1731" s="613" t="s">
        <v>32</v>
      </c>
      <c r="D1731" s="612" t="s">
        <v>33</v>
      </c>
      <c r="E1731" s="613">
        <v>0.15</v>
      </c>
      <c r="F1731" s="611">
        <f>'[54]Basic price '!E211</f>
        <v>102920</v>
      </c>
      <c r="G1731" s="611">
        <f>F1731*E1731</f>
        <v>15438</v>
      </c>
    </row>
    <row r="1732" spans="1:9" ht="15.75" hidden="1" customHeight="1" outlineLevel="2">
      <c r="A1732" s="613"/>
      <c r="B1732" s="612"/>
      <c r="C1732" s="613" t="s">
        <v>36</v>
      </c>
      <c r="D1732" s="612" t="s">
        <v>33</v>
      </c>
      <c r="E1732" s="613">
        <v>8.0000000000000002E-3</v>
      </c>
      <c r="F1732" s="611">
        <f>'[54]Basic price '!E213</f>
        <v>157901</v>
      </c>
      <c r="G1732" s="611">
        <f>F1732*E1732</f>
        <v>1263.2080000000001</v>
      </c>
    </row>
    <row r="1733" spans="1:9" ht="15.75" hidden="1" customHeight="1" outlineLevel="2">
      <c r="A1733" s="613"/>
      <c r="B1733" s="612"/>
      <c r="C1733" s="613" t="s">
        <v>61</v>
      </c>
      <c r="D1733" s="612" t="s">
        <v>33</v>
      </c>
      <c r="E1733" s="613">
        <v>5.0000000000000001E-3</v>
      </c>
      <c r="F1733" s="611">
        <f>'[54]Basic price '!E220</f>
        <v>139754</v>
      </c>
      <c r="G1733" s="611">
        <f>F1733*E1733</f>
        <v>698.77</v>
      </c>
    </row>
    <row r="1734" spans="1:9" ht="15.75" hidden="1" customHeight="1" outlineLevel="2">
      <c r="A1734" s="613"/>
      <c r="B1734" s="612"/>
      <c r="C1734" s="613"/>
      <c r="D1734" s="612"/>
      <c r="E1734" s="613"/>
      <c r="F1734" s="611"/>
      <c r="G1734" s="611">
        <f>SUM(G1726:G1733)</f>
        <v>142111.478</v>
      </c>
    </row>
    <row r="1735" spans="1:9" ht="15.75" hidden="1" customHeight="1" outlineLevel="2">
      <c r="A1735" s="613"/>
      <c r="B1735" s="612"/>
      <c r="C1735" s="613"/>
      <c r="D1735" s="612"/>
      <c r="E1735" s="613"/>
      <c r="F1735" s="611"/>
      <c r="G1735" s="611"/>
    </row>
    <row r="1736" spans="1:9" ht="15.75" customHeight="1" outlineLevel="1" collapsed="1">
      <c r="A1736" s="613" t="s">
        <v>2074</v>
      </c>
      <c r="B1736" s="612">
        <f>B1723+1</f>
        <v>27</v>
      </c>
      <c r="C1736" s="613" t="s">
        <v>1752</v>
      </c>
      <c r="D1736" s="612" t="s">
        <v>4</v>
      </c>
      <c r="E1736" s="613"/>
      <c r="F1736" s="611"/>
      <c r="G1736" s="605">
        <f>SUM(G1738:G1749)</f>
        <v>114714.655</v>
      </c>
      <c r="I1736" s="633" t="s">
        <v>279</v>
      </c>
    </row>
    <row r="1737" spans="1:9" ht="15.75" hidden="1" customHeight="1" outlineLevel="2">
      <c r="A1737" s="613"/>
      <c r="B1737" s="612"/>
      <c r="C1737" s="613" t="s">
        <v>20</v>
      </c>
      <c r="D1737" s="612"/>
      <c r="E1737" s="613"/>
      <c r="F1737" s="611"/>
      <c r="G1737" s="611"/>
    </row>
    <row r="1738" spans="1:9" ht="15.75" hidden="1" customHeight="1" outlineLevel="2">
      <c r="A1738" s="613"/>
      <c r="B1738" s="612"/>
      <c r="C1738" s="613" t="s">
        <v>1756</v>
      </c>
      <c r="D1738" s="612" t="s">
        <v>1</v>
      </c>
      <c r="E1738" s="613">
        <v>0.2</v>
      </c>
      <c r="F1738" s="611">
        <f>plamur_wood</f>
        <v>64460.000000000007</v>
      </c>
      <c r="G1738" s="611">
        <f t="shared" ref="G1738:G1743" si="12">F1738*E1738</f>
        <v>12892.000000000002</v>
      </c>
    </row>
    <row r="1739" spans="1:9" ht="15.75" hidden="1" customHeight="1" outlineLevel="2">
      <c r="A1739" s="613"/>
      <c r="B1739" s="612"/>
      <c r="C1739" s="613" t="s">
        <v>1755</v>
      </c>
      <c r="D1739" s="612" t="s">
        <v>1</v>
      </c>
      <c r="E1739" s="613">
        <v>0.15</v>
      </c>
      <c r="F1739" s="611">
        <f>paint_wooden</f>
        <v>63030.000000000007</v>
      </c>
      <c r="G1739" s="611">
        <f t="shared" si="12"/>
        <v>9454.5</v>
      </c>
    </row>
    <row r="1740" spans="1:9" ht="15.75" hidden="1" customHeight="1" outlineLevel="2">
      <c r="A1740" s="613"/>
      <c r="B1740" s="612"/>
      <c r="C1740" s="613" t="s">
        <v>1753</v>
      </c>
      <c r="D1740" s="612" t="s">
        <v>1</v>
      </c>
      <c r="E1740" s="613">
        <v>0.3</v>
      </c>
      <c r="F1740" s="611">
        <f>paint_wooden</f>
        <v>63030.000000000007</v>
      </c>
      <c r="G1740" s="611">
        <f t="shared" si="12"/>
        <v>18909</v>
      </c>
    </row>
    <row r="1741" spans="1:9" ht="15.75" hidden="1" customHeight="1" outlineLevel="2">
      <c r="A1741" s="613"/>
      <c r="B1741" s="612"/>
      <c r="C1741" s="613" t="s">
        <v>283</v>
      </c>
      <c r="D1741" s="612" t="s">
        <v>204</v>
      </c>
      <c r="E1741" s="613">
        <v>0.05</v>
      </c>
      <c r="F1741" s="611">
        <f>kuas_rol</f>
        <v>17490</v>
      </c>
      <c r="G1741" s="611">
        <f t="shared" si="12"/>
        <v>874.5</v>
      </c>
    </row>
    <row r="1742" spans="1:9" ht="15.75" hidden="1" customHeight="1" outlineLevel="2">
      <c r="A1742" s="613"/>
      <c r="B1742" s="612"/>
      <c r="C1742" s="613" t="s">
        <v>284</v>
      </c>
      <c r="D1742" s="612" t="s">
        <v>57</v>
      </c>
      <c r="E1742" s="613">
        <v>0.2</v>
      </c>
      <c r="F1742" s="611">
        <f>thinner</f>
        <v>43010</v>
      </c>
      <c r="G1742" s="611">
        <f t="shared" si="12"/>
        <v>8602</v>
      </c>
    </row>
    <row r="1743" spans="1:9" ht="15.75" hidden="1" customHeight="1" outlineLevel="2">
      <c r="A1743" s="613"/>
      <c r="B1743" s="612"/>
      <c r="C1743" s="613" t="s">
        <v>1754</v>
      </c>
      <c r="D1743" s="612" t="s">
        <v>1757</v>
      </c>
      <c r="E1743" s="613">
        <v>0.5</v>
      </c>
      <c r="F1743" s="611">
        <f>amplas</f>
        <v>8690</v>
      </c>
      <c r="G1743" s="611">
        <f t="shared" si="12"/>
        <v>4345</v>
      </c>
    </row>
    <row r="1744" spans="1:9" ht="15.75" hidden="1" customHeight="1" outlineLevel="2">
      <c r="A1744" s="613"/>
      <c r="B1744" s="612"/>
      <c r="C1744" s="613"/>
      <c r="D1744" s="612"/>
      <c r="E1744" s="613"/>
      <c r="F1744" s="611"/>
      <c r="G1744" s="611"/>
    </row>
    <row r="1745" spans="1:9" ht="15.75" hidden="1" customHeight="1" outlineLevel="2">
      <c r="A1745" s="613"/>
      <c r="B1745" s="612"/>
      <c r="C1745" s="613" t="s">
        <v>31</v>
      </c>
      <c r="D1745" s="612"/>
      <c r="E1745" s="613"/>
      <c r="F1745" s="611"/>
      <c r="G1745" s="611"/>
    </row>
    <row r="1746" spans="1:9" ht="15.75" hidden="1" customHeight="1" outlineLevel="2">
      <c r="A1746" s="613"/>
      <c r="B1746" s="612"/>
      <c r="C1746" s="613" t="s">
        <v>47</v>
      </c>
      <c r="D1746" s="612" t="s">
        <v>33</v>
      </c>
      <c r="E1746" s="613">
        <v>0.25</v>
      </c>
      <c r="F1746" s="611">
        <f>paint_worker</f>
        <v>119350.00000000001</v>
      </c>
      <c r="G1746" s="611">
        <f>F1746*E1746</f>
        <v>29837.500000000004</v>
      </c>
    </row>
    <row r="1747" spans="1:9" ht="15.75" hidden="1" customHeight="1" outlineLevel="2">
      <c r="A1747" s="613"/>
      <c r="B1747" s="612"/>
      <c r="C1747" s="613" t="s">
        <v>32</v>
      </c>
      <c r="D1747" s="612" t="s">
        <v>33</v>
      </c>
      <c r="E1747" s="613">
        <v>0.25</v>
      </c>
      <c r="F1747" s="611">
        <f>worker</f>
        <v>107800.00000000001</v>
      </c>
      <c r="G1747" s="611">
        <f>F1747*E1747</f>
        <v>26950.000000000004</v>
      </c>
    </row>
    <row r="1748" spans="1:9" ht="15.75" hidden="1" customHeight="1" outlineLevel="2">
      <c r="A1748" s="613"/>
      <c r="B1748" s="612"/>
      <c r="C1748" s="613" t="s">
        <v>36</v>
      </c>
      <c r="D1748" s="612" t="s">
        <v>33</v>
      </c>
      <c r="E1748" s="613">
        <v>1.2999999999999999E-3</v>
      </c>
      <c r="F1748" s="611">
        <f>supervisor</f>
        <v>119350.00000000001</v>
      </c>
      <c r="G1748" s="611">
        <f>F1748*E1748</f>
        <v>155.155</v>
      </c>
    </row>
    <row r="1749" spans="1:9" ht="15.75" hidden="1" customHeight="1" outlineLevel="2">
      <c r="A1749" s="613"/>
      <c r="B1749" s="612"/>
      <c r="C1749" s="613" t="s">
        <v>285</v>
      </c>
      <c r="D1749" s="612" t="s">
        <v>33</v>
      </c>
      <c r="E1749" s="613">
        <v>2.5000000000000001E-2</v>
      </c>
      <c r="F1749" s="611">
        <f>paint_worker_chief</f>
        <v>107800.00000000001</v>
      </c>
      <c r="G1749" s="611">
        <f>F1749*E1749</f>
        <v>2695.0000000000005</v>
      </c>
    </row>
    <row r="1750" spans="1:9" ht="15.75" hidden="1" customHeight="1" outlineLevel="2">
      <c r="A1750" s="613"/>
      <c r="B1750" s="612"/>
      <c r="C1750" s="613"/>
      <c r="D1750" s="612"/>
      <c r="E1750" s="613"/>
      <c r="F1750" s="611"/>
      <c r="G1750" s="611"/>
    </row>
    <row r="1751" spans="1:9" ht="15.75" hidden="1" customHeight="1" outlineLevel="2">
      <c r="A1751" s="613"/>
      <c r="B1751" s="612"/>
      <c r="C1751" s="613"/>
      <c r="D1751" s="612"/>
      <c r="E1751" s="613"/>
      <c r="F1751" s="611"/>
      <c r="G1751" s="611"/>
    </row>
    <row r="1752" spans="1:9" ht="15.75" customHeight="1" outlineLevel="1" collapsed="1">
      <c r="A1752" s="613" t="s">
        <v>2074</v>
      </c>
      <c r="B1752" s="612">
        <f>B1736+1</f>
        <v>28</v>
      </c>
      <c r="C1752" s="613" t="s">
        <v>1684</v>
      </c>
      <c r="D1752" s="612" t="s">
        <v>4</v>
      </c>
      <c r="E1752" s="613"/>
      <c r="F1752" s="611"/>
      <c r="G1752" s="605">
        <f>G1765</f>
        <v>76298.255000000005</v>
      </c>
      <c r="I1752" s="633" t="s">
        <v>279</v>
      </c>
    </row>
    <row r="1753" spans="1:9" ht="15.75" hidden="1" customHeight="1" outlineLevel="2">
      <c r="A1753" s="613"/>
      <c r="B1753" s="612"/>
      <c r="C1753" s="613" t="s">
        <v>20</v>
      </c>
      <c r="D1753" s="612"/>
      <c r="E1753" s="613"/>
      <c r="F1753" s="611"/>
      <c r="G1753" s="611"/>
    </row>
    <row r="1754" spans="1:9" ht="15.75" hidden="1" customHeight="1" outlineLevel="2">
      <c r="A1754" s="613"/>
      <c r="B1754" s="612"/>
      <c r="C1754" s="613" t="s">
        <v>280</v>
      </c>
      <c r="D1754" s="612" t="s">
        <v>1</v>
      </c>
      <c r="E1754" s="613">
        <v>0.1</v>
      </c>
      <c r="F1754" s="611">
        <f>naturally_paint_menibesi</f>
        <v>35970</v>
      </c>
      <c r="G1754" s="611">
        <f>F1754*E1754</f>
        <v>3597</v>
      </c>
    </row>
    <row r="1755" spans="1:9" ht="15.75" hidden="1" customHeight="1" outlineLevel="2">
      <c r="A1755" s="613"/>
      <c r="B1755" s="612"/>
      <c r="C1755" s="613" t="s">
        <v>281</v>
      </c>
      <c r="D1755" s="612" t="s">
        <v>1</v>
      </c>
      <c r="E1755" s="613">
        <v>0.1</v>
      </c>
      <c r="F1755" s="611">
        <f>F1754</f>
        <v>35970</v>
      </c>
      <c r="G1755" s="611">
        <f>F1755*E1755</f>
        <v>3597</v>
      </c>
    </row>
    <row r="1756" spans="1:9" ht="15.75" hidden="1" customHeight="1" outlineLevel="2">
      <c r="A1756" s="613"/>
      <c r="B1756" s="612"/>
      <c r="C1756" s="613" t="s">
        <v>282</v>
      </c>
      <c r="D1756" s="612" t="s">
        <v>1</v>
      </c>
      <c r="E1756" s="613">
        <v>0.08</v>
      </c>
      <c r="F1756" s="611">
        <f>paint_steel</f>
        <v>110770.00000000001</v>
      </c>
      <c r="G1756" s="611">
        <f>F1756*E1756</f>
        <v>8861.6000000000022</v>
      </c>
    </row>
    <row r="1757" spans="1:9" ht="15.75" hidden="1" customHeight="1" outlineLevel="2">
      <c r="A1757" s="613"/>
      <c r="B1757" s="612"/>
      <c r="C1757" s="613" t="s">
        <v>283</v>
      </c>
      <c r="D1757" s="612" t="s">
        <v>204</v>
      </c>
      <c r="E1757" s="613">
        <v>0.01</v>
      </c>
      <c r="F1757" s="611">
        <f>kuas_rol</f>
        <v>17490</v>
      </c>
      <c r="G1757" s="611">
        <f>F1757*E1757</f>
        <v>174.9</v>
      </c>
    </row>
    <row r="1758" spans="1:9" ht="15.75" hidden="1" customHeight="1" outlineLevel="2">
      <c r="A1758" s="613"/>
      <c r="B1758" s="612"/>
      <c r="C1758" s="613" t="s">
        <v>284</v>
      </c>
      <c r="D1758" s="612" t="s">
        <v>57</v>
      </c>
      <c r="E1758" s="613">
        <v>0.01</v>
      </c>
      <c r="F1758" s="611">
        <f>thinner</f>
        <v>43010</v>
      </c>
      <c r="G1758" s="611">
        <f>F1758*E1758</f>
        <v>430.1</v>
      </c>
    </row>
    <row r="1759" spans="1:9" ht="15.75" hidden="1" customHeight="1" outlineLevel="2">
      <c r="A1759" s="613"/>
      <c r="B1759" s="612"/>
      <c r="C1759" s="613"/>
      <c r="D1759" s="612"/>
      <c r="E1759" s="613"/>
      <c r="F1759" s="611"/>
      <c r="G1759" s="611"/>
    </row>
    <row r="1760" spans="1:9" ht="15.75" hidden="1" customHeight="1" outlineLevel="2">
      <c r="A1760" s="613"/>
      <c r="B1760" s="612"/>
      <c r="C1760" s="613" t="s">
        <v>31</v>
      </c>
      <c r="D1760" s="612"/>
      <c r="E1760" s="613"/>
      <c r="F1760" s="611"/>
      <c r="G1760" s="611"/>
    </row>
    <row r="1761" spans="1:9" ht="15.75" hidden="1" customHeight="1" outlineLevel="2">
      <c r="A1761" s="613"/>
      <c r="B1761" s="612"/>
      <c r="C1761" s="613" t="s">
        <v>47</v>
      </c>
      <c r="D1761" s="612" t="s">
        <v>33</v>
      </c>
      <c r="E1761" s="613">
        <v>0.25</v>
      </c>
      <c r="F1761" s="611">
        <f>paint_worker</f>
        <v>119350.00000000001</v>
      </c>
      <c r="G1761" s="611">
        <f>F1761*E1761</f>
        <v>29837.500000000004</v>
      </c>
    </row>
    <row r="1762" spans="1:9" ht="15.75" hidden="1" customHeight="1" outlineLevel="2">
      <c r="A1762" s="613"/>
      <c r="B1762" s="612"/>
      <c r="C1762" s="613" t="s">
        <v>32</v>
      </c>
      <c r="D1762" s="612" t="s">
        <v>33</v>
      </c>
      <c r="E1762" s="613">
        <v>0.25</v>
      </c>
      <c r="F1762" s="611">
        <f>worker</f>
        <v>107800.00000000001</v>
      </c>
      <c r="G1762" s="611">
        <f>F1762*E1762</f>
        <v>26950.000000000004</v>
      </c>
    </row>
    <row r="1763" spans="1:9" ht="15.75" hidden="1" customHeight="1" outlineLevel="2">
      <c r="A1763" s="613"/>
      <c r="B1763" s="612"/>
      <c r="C1763" s="613" t="s">
        <v>36</v>
      </c>
      <c r="D1763" s="612" t="s">
        <v>33</v>
      </c>
      <c r="E1763" s="613">
        <v>1.2999999999999999E-3</v>
      </c>
      <c r="F1763" s="611">
        <f>supervisor</f>
        <v>119350.00000000001</v>
      </c>
      <c r="G1763" s="611">
        <f>F1763*E1763</f>
        <v>155.155</v>
      </c>
    </row>
    <row r="1764" spans="1:9" ht="15.75" hidden="1" customHeight="1" outlineLevel="2">
      <c r="A1764" s="613"/>
      <c r="B1764" s="612"/>
      <c r="C1764" s="613" t="s">
        <v>285</v>
      </c>
      <c r="D1764" s="612" t="s">
        <v>33</v>
      </c>
      <c r="E1764" s="613">
        <v>2.5000000000000001E-2</v>
      </c>
      <c r="F1764" s="611">
        <f>paint_worker_chief</f>
        <v>107800.00000000001</v>
      </c>
      <c r="G1764" s="611">
        <f>F1764*E1764</f>
        <v>2695.0000000000005</v>
      </c>
    </row>
    <row r="1765" spans="1:9" ht="15.75" hidden="1" customHeight="1" outlineLevel="2">
      <c r="A1765" s="613"/>
      <c r="B1765" s="612"/>
      <c r="C1765" s="613"/>
      <c r="D1765" s="612"/>
      <c r="E1765" s="613"/>
      <c r="F1765" s="611"/>
      <c r="G1765" s="611">
        <f>SUM(G1754:G1764)</f>
        <v>76298.255000000005</v>
      </c>
    </row>
    <row r="1766" spans="1:9" ht="15.75" hidden="1" customHeight="1" outlineLevel="2">
      <c r="A1766" s="613"/>
      <c r="B1766" s="612"/>
      <c r="C1766" s="613"/>
      <c r="D1766" s="612"/>
      <c r="E1766" s="613"/>
      <c r="F1766" s="611"/>
      <c r="G1766" s="611"/>
    </row>
    <row r="1767" spans="1:9" ht="15.75" customHeight="1" outlineLevel="1" collapsed="1">
      <c r="A1767" s="613" t="s">
        <v>2074</v>
      </c>
      <c r="B1767" s="612">
        <f>B1752+1</f>
        <v>29</v>
      </c>
      <c r="C1767" s="613" t="s">
        <v>1685</v>
      </c>
      <c r="D1767" s="612" t="s">
        <v>4</v>
      </c>
      <c r="E1767" s="613"/>
      <c r="F1767" s="611"/>
      <c r="G1767" s="605">
        <f>SUM(G1769:G1777)</f>
        <v>22440.44</v>
      </c>
      <c r="I1767" s="633" t="s">
        <v>286</v>
      </c>
    </row>
    <row r="1768" spans="1:9" ht="15.75" hidden="1" customHeight="1" outlineLevel="2">
      <c r="A1768" s="613"/>
      <c r="B1768" s="612"/>
      <c r="C1768" s="613" t="s">
        <v>20</v>
      </c>
      <c r="D1768" s="612"/>
      <c r="E1768" s="613"/>
      <c r="F1768" s="611"/>
      <c r="G1768" s="611"/>
    </row>
    <row r="1769" spans="1:9" ht="15.75" hidden="1" customHeight="1" outlineLevel="2">
      <c r="A1769" s="613"/>
      <c r="B1769" s="612"/>
      <c r="C1769" s="613" t="s">
        <v>287</v>
      </c>
      <c r="D1769" s="612" t="s">
        <v>1</v>
      </c>
      <c r="E1769" s="613">
        <v>0.1</v>
      </c>
      <c r="F1769" s="611">
        <f>plamur_wall</f>
        <v>15774.000000000002</v>
      </c>
      <c r="G1769" s="611">
        <f>F1769*E1769</f>
        <v>1577.4000000000003</v>
      </c>
    </row>
    <row r="1770" spans="1:9" ht="15.75" hidden="1" customHeight="1" outlineLevel="2">
      <c r="A1770" s="613"/>
      <c r="B1770" s="612"/>
      <c r="C1770" s="613" t="s">
        <v>288</v>
      </c>
      <c r="D1770" s="612" t="s">
        <v>1</v>
      </c>
      <c r="E1770" s="613">
        <v>0.1</v>
      </c>
      <c r="F1770" s="611">
        <f>naturally_paint_menikayu</f>
        <v>33440</v>
      </c>
      <c r="G1770" s="611">
        <f>F1770*E1770</f>
        <v>3344</v>
      </c>
    </row>
    <row r="1771" spans="1:9" ht="15.75" hidden="1" customHeight="1" outlineLevel="2">
      <c r="A1771" s="613"/>
      <c r="B1771" s="612"/>
      <c r="C1771" s="613" t="s">
        <v>289</v>
      </c>
      <c r="D1771" s="612" t="s">
        <v>1</v>
      </c>
      <c r="E1771" s="613">
        <v>0.26</v>
      </c>
      <c r="F1771" s="611">
        <f>paint_wall_emulsi</f>
        <v>26180.000000000004</v>
      </c>
      <c r="G1771" s="611">
        <f>F1771*E1771</f>
        <v>6806.8000000000011</v>
      </c>
    </row>
    <row r="1772" spans="1:9" ht="15.75" hidden="1" customHeight="1" outlineLevel="2">
      <c r="A1772" s="613"/>
      <c r="B1772" s="612"/>
      <c r="C1772" s="613"/>
      <c r="D1772" s="612"/>
      <c r="E1772" s="613"/>
      <c r="F1772" s="611"/>
      <c r="G1772" s="611"/>
    </row>
    <row r="1773" spans="1:9" ht="15.75" hidden="1" customHeight="1" outlineLevel="2">
      <c r="A1773" s="613"/>
      <c r="B1773" s="612"/>
      <c r="C1773" s="613" t="s">
        <v>31</v>
      </c>
      <c r="D1773" s="612"/>
      <c r="E1773" s="613"/>
      <c r="F1773" s="611"/>
      <c r="G1773" s="611"/>
    </row>
    <row r="1774" spans="1:9" ht="15.75" hidden="1" customHeight="1" outlineLevel="2">
      <c r="A1774" s="613"/>
      <c r="B1774" s="612"/>
      <c r="C1774" s="613" t="s">
        <v>290</v>
      </c>
      <c r="D1774" s="612" t="s">
        <v>33</v>
      </c>
      <c r="E1774" s="613">
        <v>6.3E-2</v>
      </c>
      <c r="F1774" s="611">
        <f>paint_worker</f>
        <v>119350.00000000001</v>
      </c>
      <c r="G1774" s="611">
        <f>F1774*E1774</f>
        <v>7519.0500000000011</v>
      </c>
    </row>
    <row r="1775" spans="1:9" ht="15.75" hidden="1" customHeight="1" outlineLevel="2">
      <c r="A1775" s="613"/>
      <c r="B1775" s="612"/>
      <c r="C1775" s="613" t="s">
        <v>32</v>
      </c>
      <c r="D1775" s="612" t="s">
        <v>33</v>
      </c>
      <c r="E1775" s="613">
        <v>0.02</v>
      </c>
      <c r="F1775" s="611">
        <f>worker</f>
        <v>107800.00000000001</v>
      </c>
      <c r="G1775" s="611">
        <f>F1775*E1775</f>
        <v>2156.0000000000005</v>
      </c>
    </row>
    <row r="1776" spans="1:9" ht="15.75" hidden="1" customHeight="1" outlineLevel="2">
      <c r="A1776" s="613"/>
      <c r="B1776" s="612"/>
      <c r="C1776" s="613" t="s">
        <v>36</v>
      </c>
      <c r="D1776" s="612" t="s">
        <v>33</v>
      </c>
      <c r="E1776" s="613">
        <v>3.0000000000000001E-3</v>
      </c>
      <c r="F1776" s="611">
        <f>supervisor</f>
        <v>119350.00000000001</v>
      </c>
      <c r="G1776" s="611">
        <f>F1776*E1776</f>
        <v>358.05000000000007</v>
      </c>
    </row>
    <row r="1777" spans="1:9" ht="15.75" hidden="1" customHeight="1" outlineLevel="2">
      <c r="A1777" s="613"/>
      <c r="B1777" s="612"/>
      <c r="C1777" s="613" t="s">
        <v>285</v>
      </c>
      <c r="D1777" s="612" t="s">
        <v>33</v>
      </c>
      <c r="E1777" s="613">
        <v>6.3E-3</v>
      </c>
      <c r="F1777" s="611">
        <f>paint_worker_chief</f>
        <v>107800.00000000001</v>
      </c>
      <c r="G1777" s="611">
        <f>F1777*E1777</f>
        <v>679.1400000000001</v>
      </c>
    </row>
    <row r="1778" spans="1:9" ht="15.75" hidden="1" customHeight="1" outlineLevel="2">
      <c r="A1778" s="613"/>
      <c r="B1778" s="612"/>
      <c r="C1778" s="613"/>
      <c r="D1778" s="612"/>
      <c r="E1778" s="613"/>
      <c r="F1778" s="611"/>
      <c r="G1778" s="611"/>
    </row>
    <row r="1779" spans="1:9" ht="15.75" customHeight="1" outlineLevel="1" collapsed="1">
      <c r="A1779" s="613" t="s">
        <v>2074</v>
      </c>
      <c r="B1779" s="612">
        <f>B1767+1</f>
        <v>30</v>
      </c>
      <c r="C1779" s="613" t="s">
        <v>1686</v>
      </c>
      <c r="D1779" s="612" t="s">
        <v>4</v>
      </c>
      <c r="E1779" s="613"/>
      <c r="F1779" s="611"/>
      <c r="G1779" s="605">
        <f>G1790</f>
        <v>30620.040000000005</v>
      </c>
      <c r="I1779" s="633" t="s">
        <v>286</v>
      </c>
    </row>
    <row r="1780" spans="1:9" ht="15.75" hidden="1" customHeight="1" outlineLevel="2">
      <c r="A1780" s="613"/>
      <c r="B1780" s="612"/>
      <c r="C1780" s="613" t="s">
        <v>20</v>
      </c>
      <c r="D1780" s="612"/>
      <c r="E1780" s="613"/>
      <c r="F1780" s="611"/>
      <c r="G1780" s="611"/>
    </row>
    <row r="1781" spans="1:9" ht="15.75" hidden="1" customHeight="1" outlineLevel="2">
      <c r="A1781" s="613"/>
      <c r="B1781" s="612"/>
      <c r="C1781" s="613" t="s">
        <v>287</v>
      </c>
      <c r="D1781" s="612" t="s">
        <v>1</v>
      </c>
      <c r="E1781" s="613">
        <v>0.1</v>
      </c>
      <c r="F1781" s="611">
        <f>plamur_wall</f>
        <v>15774.000000000002</v>
      </c>
      <c r="G1781" s="611">
        <f>F1781*E1781</f>
        <v>1577.4000000000003</v>
      </c>
    </row>
    <row r="1782" spans="1:9" ht="15.75" hidden="1" customHeight="1" outlineLevel="2">
      <c r="A1782" s="613"/>
      <c r="B1782" s="612"/>
      <c r="C1782" s="613" t="s">
        <v>288</v>
      </c>
      <c r="D1782" s="612" t="s">
        <v>1</v>
      </c>
      <c r="E1782" s="613">
        <v>0.1</v>
      </c>
      <c r="F1782" s="611">
        <f>naturally_paint_menikayu</f>
        <v>33440</v>
      </c>
      <c r="G1782" s="611">
        <f>F1782*E1782</f>
        <v>3344</v>
      </c>
    </row>
    <row r="1783" spans="1:9" ht="15.75" hidden="1" customHeight="1" outlineLevel="2">
      <c r="A1783" s="613"/>
      <c r="B1783" s="612"/>
      <c r="C1783" s="613" t="s">
        <v>291</v>
      </c>
      <c r="D1783" s="612" t="s">
        <v>1</v>
      </c>
      <c r="E1783" s="613">
        <v>0.26</v>
      </c>
      <c r="F1783" s="611">
        <f>paint_wall_watershield</f>
        <v>57640.000000000007</v>
      </c>
      <c r="G1783" s="611">
        <f>F1783*E1783</f>
        <v>14986.400000000003</v>
      </c>
    </row>
    <row r="1784" spans="1:9" ht="15.75" hidden="1" customHeight="1" outlineLevel="2">
      <c r="A1784" s="613"/>
      <c r="B1784" s="612"/>
      <c r="C1784" s="613"/>
      <c r="D1784" s="612"/>
      <c r="E1784" s="613"/>
      <c r="F1784" s="611"/>
      <c r="G1784" s="611"/>
    </row>
    <row r="1785" spans="1:9" ht="15.75" hidden="1" customHeight="1" outlineLevel="2">
      <c r="A1785" s="613"/>
      <c r="B1785" s="612"/>
      <c r="C1785" s="613" t="s">
        <v>31</v>
      </c>
      <c r="D1785" s="612"/>
      <c r="E1785" s="613"/>
      <c r="F1785" s="611"/>
      <c r="G1785" s="611"/>
    </row>
    <row r="1786" spans="1:9" ht="15.75" hidden="1" customHeight="1" outlineLevel="2">
      <c r="A1786" s="613"/>
      <c r="B1786" s="612"/>
      <c r="C1786" s="613" t="s">
        <v>290</v>
      </c>
      <c r="D1786" s="612" t="s">
        <v>33</v>
      </c>
      <c r="E1786" s="613">
        <v>6.3E-2</v>
      </c>
      <c r="F1786" s="611">
        <f>paint_worker</f>
        <v>119350.00000000001</v>
      </c>
      <c r="G1786" s="611">
        <f>F1786*E1786</f>
        <v>7519.0500000000011</v>
      </c>
    </row>
    <row r="1787" spans="1:9" ht="15.75" hidden="1" customHeight="1" outlineLevel="2">
      <c r="A1787" s="613"/>
      <c r="B1787" s="612"/>
      <c r="C1787" s="613" t="s">
        <v>32</v>
      </c>
      <c r="D1787" s="612" t="s">
        <v>33</v>
      </c>
      <c r="E1787" s="613">
        <v>0.02</v>
      </c>
      <c r="F1787" s="611">
        <f>worker</f>
        <v>107800.00000000001</v>
      </c>
      <c r="G1787" s="611">
        <f>F1787*E1787</f>
        <v>2156.0000000000005</v>
      </c>
    </row>
    <row r="1788" spans="1:9" ht="15.75" hidden="1" customHeight="1" outlineLevel="2">
      <c r="A1788" s="613"/>
      <c r="B1788" s="612"/>
      <c r="C1788" s="613" t="s">
        <v>36</v>
      </c>
      <c r="D1788" s="612" t="s">
        <v>33</v>
      </c>
      <c r="E1788" s="613">
        <v>3.0000000000000001E-3</v>
      </c>
      <c r="F1788" s="611">
        <f>supervisor</f>
        <v>119350.00000000001</v>
      </c>
      <c r="G1788" s="611">
        <f>F1788*E1788</f>
        <v>358.05000000000007</v>
      </c>
    </row>
    <row r="1789" spans="1:9" ht="15.75" hidden="1" customHeight="1" outlineLevel="2">
      <c r="A1789" s="613"/>
      <c r="B1789" s="612"/>
      <c r="C1789" s="613" t="s">
        <v>285</v>
      </c>
      <c r="D1789" s="612" t="s">
        <v>33</v>
      </c>
      <c r="E1789" s="613">
        <v>6.3E-3</v>
      </c>
      <c r="F1789" s="611">
        <f>paint_worker_chief</f>
        <v>107800.00000000001</v>
      </c>
      <c r="G1789" s="611">
        <f>F1789*E1789</f>
        <v>679.1400000000001</v>
      </c>
    </row>
    <row r="1790" spans="1:9" ht="15.75" hidden="1" customHeight="1" outlineLevel="2">
      <c r="A1790" s="613"/>
      <c r="B1790" s="612"/>
      <c r="C1790" s="613"/>
      <c r="D1790" s="612"/>
      <c r="E1790" s="613"/>
      <c r="F1790" s="611"/>
      <c r="G1790" s="611">
        <f>SUM(G1781:G1789)</f>
        <v>30620.040000000005</v>
      </c>
    </row>
    <row r="1791" spans="1:9" ht="15.75" hidden="1" customHeight="1" outlineLevel="2">
      <c r="A1791" s="613"/>
      <c r="B1791" s="612"/>
      <c r="C1791" s="613"/>
      <c r="D1791" s="612"/>
      <c r="E1791" s="613"/>
      <c r="F1791" s="611"/>
      <c r="G1791" s="611"/>
    </row>
    <row r="1792" spans="1:9" ht="15.75" customHeight="1" outlineLevel="1" collapsed="1">
      <c r="A1792" s="613" t="s">
        <v>2074</v>
      </c>
      <c r="B1792" s="612">
        <f>B1779+1</f>
        <v>31</v>
      </c>
      <c r="C1792" s="613" t="s">
        <v>1733</v>
      </c>
      <c r="D1792" s="612" t="s">
        <v>4</v>
      </c>
      <c r="E1792" s="613"/>
      <c r="F1792" s="611"/>
      <c r="G1792" s="605">
        <f>SUM(G1794:G1800)</f>
        <v>25646.267777777775</v>
      </c>
      <c r="I1792" s="633" t="s">
        <v>286</v>
      </c>
    </row>
    <row r="1793" spans="1:7" ht="15.75" hidden="1" customHeight="1" outlineLevel="2">
      <c r="A1793" s="613"/>
      <c r="B1793" s="612"/>
      <c r="C1793" s="613" t="s">
        <v>20</v>
      </c>
      <c r="D1793" s="612"/>
      <c r="E1793" s="613"/>
      <c r="F1793" s="611"/>
      <c r="G1793" s="611"/>
    </row>
    <row r="1794" spans="1:7" ht="15.75" hidden="1" customHeight="1" outlineLevel="2">
      <c r="A1794" s="613"/>
      <c r="B1794" s="612"/>
      <c r="C1794" s="613" t="s">
        <v>1734</v>
      </c>
      <c r="D1794" s="612" t="s">
        <v>57</v>
      </c>
      <c r="E1794" s="613">
        <v>0.5</v>
      </c>
      <c r="F1794" s="611">
        <f>flintkote_liter</f>
        <v>29868.055555555555</v>
      </c>
      <c r="G1794" s="611">
        <f>F1794*E1794</f>
        <v>14934.027777777777</v>
      </c>
    </row>
    <row r="1795" spans="1:7" ht="15.75" hidden="1" customHeight="1" outlineLevel="2">
      <c r="A1795" s="613"/>
      <c r="B1795" s="612"/>
      <c r="C1795" s="613"/>
      <c r="D1795" s="612"/>
      <c r="E1795" s="613"/>
      <c r="F1795" s="611"/>
      <c r="G1795" s="611"/>
    </row>
    <row r="1796" spans="1:7" ht="15.75" hidden="1" customHeight="1" outlineLevel="2">
      <c r="A1796" s="613"/>
      <c r="B1796" s="612"/>
      <c r="C1796" s="613" t="s">
        <v>31</v>
      </c>
      <c r="D1796" s="612"/>
      <c r="E1796" s="613"/>
      <c r="F1796" s="611"/>
      <c r="G1796" s="611"/>
    </row>
    <row r="1797" spans="1:7" ht="15.75" hidden="1" customHeight="1" outlineLevel="2">
      <c r="A1797" s="613"/>
      <c r="B1797" s="612"/>
      <c r="C1797" s="613" t="s">
        <v>290</v>
      </c>
      <c r="D1797" s="612" t="s">
        <v>33</v>
      </c>
      <c r="E1797" s="613">
        <v>6.3E-2</v>
      </c>
      <c r="F1797" s="611">
        <f>paint_worker</f>
        <v>119350.00000000001</v>
      </c>
      <c r="G1797" s="611">
        <f>F1797*E1797</f>
        <v>7519.0500000000011</v>
      </c>
    </row>
    <row r="1798" spans="1:7" ht="15.75" hidden="1" customHeight="1" outlineLevel="2">
      <c r="A1798" s="613"/>
      <c r="B1798" s="612"/>
      <c r="C1798" s="613" t="s">
        <v>32</v>
      </c>
      <c r="D1798" s="612" t="s">
        <v>33</v>
      </c>
      <c r="E1798" s="613">
        <v>0.02</v>
      </c>
      <c r="F1798" s="611">
        <f>worker</f>
        <v>107800.00000000001</v>
      </c>
      <c r="G1798" s="611">
        <f>F1798*E1798</f>
        <v>2156.0000000000005</v>
      </c>
    </row>
    <row r="1799" spans="1:7" ht="15.75" hidden="1" customHeight="1" outlineLevel="2">
      <c r="A1799" s="613"/>
      <c r="B1799" s="612"/>
      <c r="C1799" s="613" t="s">
        <v>36</v>
      </c>
      <c r="D1799" s="612" t="s">
        <v>33</v>
      </c>
      <c r="E1799" s="613">
        <v>3.0000000000000001E-3</v>
      </c>
      <c r="F1799" s="611">
        <f>supervisor</f>
        <v>119350.00000000001</v>
      </c>
      <c r="G1799" s="611">
        <f>F1799*E1799</f>
        <v>358.05000000000007</v>
      </c>
    </row>
    <row r="1800" spans="1:7" ht="15.75" hidden="1" customHeight="1" outlineLevel="2">
      <c r="A1800" s="613"/>
      <c r="B1800" s="612"/>
      <c r="C1800" s="613" t="s">
        <v>285</v>
      </c>
      <c r="D1800" s="612" t="s">
        <v>33</v>
      </c>
      <c r="E1800" s="613">
        <v>6.3E-3</v>
      </c>
      <c r="F1800" s="611">
        <f>paint_worker_chief</f>
        <v>107800.00000000001</v>
      </c>
      <c r="G1800" s="611">
        <f>F1800*E1800</f>
        <v>679.1400000000001</v>
      </c>
    </row>
    <row r="1801" spans="1:7" ht="15.75" hidden="1" customHeight="1" outlineLevel="2">
      <c r="A1801" s="613"/>
      <c r="B1801" s="612"/>
      <c r="C1801" s="613"/>
      <c r="D1801" s="612"/>
      <c r="E1801" s="613"/>
      <c r="F1801" s="611"/>
      <c r="G1801" s="611"/>
    </row>
    <row r="1802" spans="1:7" ht="15.75" customHeight="1" outlineLevel="1" collapsed="1">
      <c r="A1802" s="613" t="s">
        <v>2074</v>
      </c>
      <c r="B1802" s="612">
        <f>B1792+1</f>
        <v>32</v>
      </c>
      <c r="C1802" s="613" t="s">
        <v>1687</v>
      </c>
      <c r="D1802" s="612" t="s">
        <v>4</v>
      </c>
      <c r="E1802" s="613"/>
      <c r="F1802" s="611"/>
      <c r="G1802" s="605">
        <f>G1813</f>
        <v>621990.21500000008</v>
      </c>
    </row>
    <row r="1803" spans="1:7" ht="15.75" hidden="1" customHeight="1" outlineLevel="2">
      <c r="A1803" s="613"/>
      <c r="B1803" s="612"/>
      <c r="C1803" s="613" t="s">
        <v>31</v>
      </c>
      <c r="D1803" s="612"/>
      <c r="E1803" s="613"/>
      <c r="F1803" s="611"/>
      <c r="G1803" s="611"/>
    </row>
    <row r="1804" spans="1:7" ht="15.75" hidden="1" customHeight="1" outlineLevel="2">
      <c r="A1804" s="613"/>
      <c r="B1804" s="612"/>
      <c r="C1804" s="613" t="s">
        <v>32</v>
      </c>
      <c r="D1804" s="612" t="s">
        <v>67</v>
      </c>
      <c r="E1804" s="613">
        <v>4.3499999999999997E-2</v>
      </c>
      <c r="F1804" s="611">
        <f>worker</f>
        <v>107800.00000000001</v>
      </c>
      <c r="G1804" s="611">
        <f>F1804*E1804</f>
        <v>4689.3</v>
      </c>
    </row>
    <row r="1805" spans="1:7" ht="15.75" hidden="1" customHeight="1" outlineLevel="2">
      <c r="A1805" s="613"/>
      <c r="B1805" s="612"/>
      <c r="C1805" s="613" t="s">
        <v>36</v>
      </c>
      <c r="D1805" s="612" t="s">
        <v>67</v>
      </c>
      <c r="E1805" s="613">
        <v>1.09E-2</v>
      </c>
      <c r="F1805" s="611">
        <f>supervisor</f>
        <v>119350.00000000001</v>
      </c>
      <c r="G1805" s="611">
        <f>F1805*E1805</f>
        <v>1300.9150000000002</v>
      </c>
    </row>
    <row r="1806" spans="1:7" ht="15.75" hidden="1" customHeight="1" outlineLevel="2">
      <c r="A1806" s="613"/>
      <c r="B1806" s="612"/>
      <c r="C1806" s="613"/>
      <c r="D1806" s="612"/>
      <c r="E1806" s="613"/>
      <c r="F1806" s="611"/>
      <c r="G1806" s="611"/>
    </row>
    <row r="1807" spans="1:7" ht="15.75" hidden="1" customHeight="1" outlineLevel="2">
      <c r="A1807" s="613"/>
      <c r="B1807" s="612"/>
      <c r="C1807" s="613" t="s">
        <v>292</v>
      </c>
      <c r="D1807" s="612"/>
      <c r="E1807" s="613"/>
      <c r="F1807" s="611"/>
      <c r="G1807" s="611"/>
    </row>
    <row r="1808" spans="1:7" ht="12.75" hidden="1" outlineLevel="2">
      <c r="A1808" s="613"/>
      <c r="B1808" s="612"/>
      <c r="C1808" s="613" t="s">
        <v>293</v>
      </c>
      <c r="D1808" s="612" t="s">
        <v>294</v>
      </c>
      <c r="E1808" s="613">
        <v>1</v>
      </c>
      <c r="F1808" s="611">
        <f>pupuk_kandang_7kg</f>
        <v>22000</v>
      </c>
      <c r="G1808" s="611">
        <f>F1808*E1808</f>
        <v>22000</v>
      </c>
    </row>
    <row r="1809" spans="1:13" ht="12.75" hidden="1" outlineLevel="2">
      <c r="A1809" s="613"/>
      <c r="B1809" s="612"/>
      <c r="C1809" s="613" t="s">
        <v>295</v>
      </c>
      <c r="D1809" s="612"/>
      <c r="E1809" s="613"/>
      <c r="F1809" s="611"/>
      <c r="G1809" s="611"/>
    </row>
    <row r="1810" spans="1:13" ht="15.75" hidden="1" customHeight="1" outlineLevel="2">
      <c r="A1810" s="613"/>
      <c r="B1810" s="612"/>
      <c r="C1810" s="613" t="s">
        <v>1192</v>
      </c>
      <c r="D1810" s="612" t="s">
        <v>2</v>
      </c>
      <c r="E1810" s="613">
        <v>1</v>
      </c>
      <c r="F1810" s="611">
        <f>pohon_mangga_tinggi_50_70</f>
        <v>440000.00000000006</v>
      </c>
      <c r="G1810" s="611">
        <f>F1810*E1810</f>
        <v>440000.00000000006</v>
      </c>
    </row>
    <row r="1811" spans="1:13" ht="15.75" hidden="1" customHeight="1" outlineLevel="2">
      <c r="A1811" s="613"/>
      <c r="B1811" s="612"/>
      <c r="C1811" s="613" t="s">
        <v>296</v>
      </c>
      <c r="D1811" s="612" t="s">
        <v>2</v>
      </c>
      <c r="E1811" s="613">
        <v>25</v>
      </c>
      <c r="F1811" s="611">
        <f>tanaman_teh</f>
        <v>5500</v>
      </c>
      <c r="G1811" s="611">
        <f>F1811*E1811</f>
        <v>137500</v>
      </c>
    </row>
    <row r="1812" spans="1:13" ht="12.75" hidden="1" outlineLevel="2">
      <c r="A1812" s="613"/>
      <c r="B1812" s="612"/>
      <c r="C1812" s="613" t="s">
        <v>297</v>
      </c>
      <c r="D1812" s="612" t="s">
        <v>4</v>
      </c>
      <c r="E1812" s="613">
        <v>1</v>
      </c>
      <c r="F1812" s="611">
        <f>rumput_gajah_mini</f>
        <v>16500</v>
      </c>
      <c r="G1812" s="611">
        <f>F1812*E1812</f>
        <v>16500</v>
      </c>
    </row>
    <row r="1813" spans="1:13" ht="15.75" hidden="1" customHeight="1" outlineLevel="2">
      <c r="A1813" s="613"/>
      <c r="B1813" s="612"/>
      <c r="C1813" s="613"/>
      <c r="D1813" s="612"/>
      <c r="E1813" s="613"/>
      <c r="F1813" s="611"/>
      <c r="G1813" s="611">
        <f>SUM(G1804:G1812)</f>
        <v>621990.21500000008</v>
      </c>
    </row>
    <row r="1814" spans="1:13" ht="15.75" hidden="1" customHeight="1" outlineLevel="2">
      <c r="A1814" s="613"/>
      <c r="B1814" s="612"/>
      <c r="C1814" s="613"/>
      <c r="D1814" s="612"/>
      <c r="E1814" s="613"/>
      <c r="F1814" s="611"/>
      <c r="G1814" s="611"/>
    </row>
    <row r="1815" spans="1:13" ht="15.75" customHeight="1" outlineLevel="1" collapsed="1">
      <c r="A1815" s="613" t="s">
        <v>2074</v>
      </c>
      <c r="B1815" s="612">
        <f>B1802+1</f>
        <v>33</v>
      </c>
      <c r="C1815" s="613" t="s">
        <v>1345</v>
      </c>
      <c r="D1815" s="612"/>
      <c r="E1815" s="613"/>
      <c r="F1815" s="611"/>
      <c r="G1815" s="605"/>
    </row>
    <row r="1816" spans="1:13" ht="15.75" hidden="1" customHeight="1" outlineLevel="2">
      <c r="A1816" s="613"/>
      <c r="B1816" s="612"/>
      <c r="C1816" s="613" t="s">
        <v>298</v>
      </c>
      <c r="D1816" s="612"/>
      <c r="E1816" s="613"/>
      <c r="F1816" s="611"/>
      <c r="G1816" s="611">
        <f>F1816*E1816</f>
        <v>0</v>
      </c>
    </row>
    <row r="1817" spans="1:13" ht="15.75" hidden="1" customHeight="1" outlineLevel="2">
      <c r="A1817" s="613"/>
      <c r="B1817" s="612"/>
      <c r="C1817" s="613" t="s">
        <v>299</v>
      </c>
      <c r="D1817" s="612" t="s">
        <v>4</v>
      </c>
      <c r="E1817" s="613">
        <f>2.9*1.1</f>
        <v>3.19</v>
      </c>
      <c r="F1817" s="611">
        <f>door_glass_frame_alumunium</f>
        <v>1650000.0000000002</v>
      </c>
      <c r="G1817" s="611">
        <f>F1817*E1817</f>
        <v>5263500.0000000009</v>
      </c>
    </row>
    <row r="1818" spans="1:13" ht="15.75" hidden="1" customHeight="1" outlineLevel="2">
      <c r="A1818" s="613"/>
      <c r="B1818" s="612"/>
      <c r="C1818" s="613" t="s">
        <v>300</v>
      </c>
      <c r="D1818" s="612" t="s">
        <v>4</v>
      </c>
      <c r="E1818" s="613">
        <f>2.9*1.65</f>
        <v>4.7849999999999993</v>
      </c>
      <c r="F1818" s="611">
        <f>door_glass_frame_alumunium</f>
        <v>1650000.0000000002</v>
      </c>
      <c r="G1818" s="611">
        <f>F1818*E1818</f>
        <v>7895250</v>
      </c>
    </row>
    <row r="1819" spans="1:13" ht="15.75" hidden="1" customHeight="1" outlineLevel="2">
      <c r="A1819" s="613"/>
      <c r="B1819" s="612"/>
      <c r="C1819" s="613" t="s">
        <v>301</v>
      </c>
      <c r="D1819" s="612" t="s">
        <v>4</v>
      </c>
      <c r="E1819" s="613">
        <f>2.05*0.8</f>
        <v>1.64</v>
      </c>
      <c r="F1819" s="611">
        <f>door_glass_frame_alumunium</f>
        <v>1650000.0000000002</v>
      </c>
      <c r="G1819" s="611">
        <f>F1819*E1819</f>
        <v>2706000</v>
      </c>
    </row>
    <row r="1820" spans="1:13" ht="15.75" hidden="1" customHeight="1" outlineLevel="2">
      <c r="A1820" s="613"/>
      <c r="B1820" s="612"/>
      <c r="C1820" s="613" t="s">
        <v>302</v>
      </c>
      <c r="D1820" s="612" t="s">
        <v>4</v>
      </c>
      <c r="E1820" s="613">
        <f>3.5*2.2</f>
        <v>7.7000000000000011</v>
      </c>
      <c r="F1820" s="611">
        <f>'UNIT PRICE'!D143</f>
        <v>715000</v>
      </c>
      <c r="G1820" s="611">
        <f>F1820*E1820</f>
        <v>5505500.0000000009</v>
      </c>
      <c r="I1820" s="633" t="s">
        <v>303</v>
      </c>
    </row>
    <row r="1821" spans="1:13" ht="15.75" hidden="1" customHeight="1" outlineLevel="2">
      <c r="A1821" s="613"/>
      <c r="B1821" s="612"/>
      <c r="C1821" s="613" t="s">
        <v>304</v>
      </c>
      <c r="D1821" s="612"/>
      <c r="E1821" s="613"/>
      <c r="F1821" s="611"/>
      <c r="G1821" s="611"/>
    </row>
    <row r="1822" spans="1:13" ht="15.75" hidden="1" customHeight="1" outlineLevel="2">
      <c r="A1822" s="613"/>
      <c r="B1822" s="612"/>
      <c r="C1822" s="613" t="s">
        <v>305</v>
      </c>
      <c r="D1822" s="612" t="s">
        <v>4</v>
      </c>
      <c r="E1822" s="613">
        <f>0.7*0.8</f>
        <v>0.55999999999999994</v>
      </c>
      <c r="F1822" s="611">
        <f>door_glass_frame_alumunium</f>
        <v>1650000.0000000002</v>
      </c>
      <c r="G1822" s="611">
        <f>F1822*E1822</f>
        <v>924000</v>
      </c>
      <c r="J1822" s="633">
        <v>1.2</v>
      </c>
      <c r="K1822" s="633" t="s">
        <v>306</v>
      </c>
      <c r="L1822" s="633">
        <v>2.2000000000000002</v>
      </c>
      <c r="M1822" s="633" t="s">
        <v>3</v>
      </c>
    </row>
    <row r="1823" spans="1:13" ht="12.75" hidden="1" outlineLevel="2">
      <c r="A1823" s="613"/>
      <c r="B1823" s="612"/>
      <c r="C1823" s="613" t="s">
        <v>307</v>
      </c>
      <c r="D1823" s="612" t="s">
        <v>4</v>
      </c>
      <c r="E1823" s="613">
        <f>0.8*1.35</f>
        <v>1.08</v>
      </c>
      <c r="F1823" s="611">
        <f>door_glass_frame_alumunium</f>
        <v>1650000.0000000002</v>
      </c>
      <c r="G1823" s="611">
        <f>F1823*E1823</f>
        <v>1782000.0000000005</v>
      </c>
      <c r="L1823" s="633">
        <f>J1822/L1822</f>
        <v>0.54545454545454541</v>
      </c>
    </row>
    <row r="1824" spans="1:13" ht="15.75" hidden="1" customHeight="1" outlineLevel="2">
      <c r="A1824" s="613"/>
      <c r="B1824" s="612"/>
      <c r="C1824" s="613" t="s">
        <v>308</v>
      </c>
      <c r="D1824" s="612" t="s">
        <v>4</v>
      </c>
      <c r="E1824" s="613">
        <f>2.35*1.55</f>
        <v>3.6425000000000001</v>
      </c>
      <c r="F1824" s="611">
        <f>door_glass_frame_alumunium</f>
        <v>1650000.0000000002</v>
      </c>
      <c r="G1824" s="611">
        <f>F1824*E1824</f>
        <v>6010125.0000000009</v>
      </c>
      <c r="L1824" s="633">
        <f>L1823*5.5</f>
        <v>3</v>
      </c>
    </row>
    <row r="1825" spans="1:11" ht="15.75" hidden="1" customHeight="1" outlineLevel="2">
      <c r="A1825" s="613"/>
      <c r="B1825" s="612"/>
      <c r="C1825" s="613" t="s">
        <v>309</v>
      </c>
      <c r="D1825" s="612" t="s">
        <v>4</v>
      </c>
      <c r="E1825" s="613">
        <f>2.35*2.3</f>
        <v>5.4049999999999994</v>
      </c>
      <c r="F1825" s="611">
        <f>door_glass_frame_alumunium</f>
        <v>1650000.0000000002</v>
      </c>
      <c r="G1825" s="611">
        <f>F1825*E1825</f>
        <v>8918250</v>
      </c>
      <c r="K1825" s="633">
        <f>5.5*550000</f>
        <v>3025000</v>
      </c>
    </row>
    <row r="1826" spans="1:11" ht="15.75" hidden="1" customHeight="1" outlineLevel="2">
      <c r="A1826" s="613"/>
      <c r="B1826" s="612"/>
      <c r="C1826" s="613" t="s">
        <v>310</v>
      </c>
      <c r="D1826" s="612" t="s">
        <v>4</v>
      </c>
      <c r="E1826" s="613">
        <f>1.65*0.4</f>
        <v>0.66</v>
      </c>
      <c r="F1826" s="611">
        <f>door_glass_frame_alumunium</f>
        <v>1650000.0000000002</v>
      </c>
      <c r="G1826" s="611">
        <f>F1826*E1826</f>
        <v>1089000.0000000002</v>
      </c>
    </row>
    <row r="1827" spans="1:11" ht="15.75" hidden="1" customHeight="1" outlineLevel="2">
      <c r="A1827" s="613"/>
      <c r="B1827" s="612"/>
      <c r="C1827" s="613" t="s">
        <v>311</v>
      </c>
      <c r="D1827" s="612" t="s">
        <v>312</v>
      </c>
      <c r="E1827" s="613">
        <f>1.65*0.3</f>
        <v>0.49499999999999994</v>
      </c>
      <c r="F1827" s="611">
        <v>600000</v>
      </c>
      <c r="G1827" s="611">
        <f>E1827*F1827</f>
        <v>296999.99999999994</v>
      </c>
      <c r="I1827" s="633" t="s">
        <v>313</v>
      </c>
    </row>
    <row r="1828" spans="1:11" ht="15.75" hidden="1" customHeight="1" outlineLevel="2">
      <c r="A1828" s="613"/>
      <c r="B1828" s="612"/>
      <c r="C1828" s="613"/>
      <c r="D1828" s="612"/>
      <c r="E1828" s="613"/>
      <c r="F1828" s="611"/>
      <c r="G1828" s="611"/>
      <c r="K1828" s="633">
        <f>K1825/6944</f>
        <v>435.62788018433179</v>
      </c>
    </row>
    <row r="1829" spans="1:11" ht="15.75" customHeight="1" outlineLevel="1" collapsed="1">
      <c r="A1829" s="613" t="s">
        <v>2074</v>
      </c>
      <c r="B1829" s="612">
        <f>B1815+1</f>
        <v>34</v>
      </c>
      <c r="C1829" s="613" t="s">
        <v>617</v>
      </c>
      <c r="D1829" s="612" t="s">
        <v>4</v>
      </c>
      <c r="E1829" s="613"/>
      <c r="F1829" s="611"/>
      <c r="G1829" s="605">
        <f>G1839</f>
        <v>58823.875</v>
      </c>
    </row>
    <row r="1830" spans="1:11" ht="15.75" hidden="1" customHeight="1" outlineLevel="2">
      <c r="A1830" s="613"/>
      <c r="B1830" s="612"/>
      <c r="C1830" s="613"/>
      <c r="D1830" s="612"/>
      <c r="E1830" s="613"/>
      <c r="F1830" s="611"/>
      <c r="G1830" s="611"/>
    </row>
    <row r="1831" spans="1:11" ht="15.75" hidden="1" customHeight="1" outlineLevel="2">
      <c r="A1831" s="613"/>
      <c r="B1831" s="612"/>
      <c r="C1831" s="613" t="s">
        <v>20</v>
      </c>
      <c r="D1831" s="612"/>
      <c r="E1831" s="613"/>
      <c r="F1831" s="611"/>
      <c r="G1831" s="611"/>
    </row>
    <row r="1832" spans="1:11" ht="15.75" hidden="1" customHeight="1" outlineLevel="2">
      <c r="A1832" s="613"/>
      <c r="B1832" s="612"/>
      <c r="C1832" s="613" t="s">
        <v>314</v>
      </c>
      <c r="D1832" s="612" t="s">
        <v>1</v>
      </c>
      <c r="E1832" s="613">
        <v>0.35</v>
      </c>
      <c r="F1832" s="611">
        <f>waterproofing</f>
        <v>100430.00000000001</v>
      </c>
      <c r="G1832" s="611">
        <f>F1832*E1832</f>
        <v>35150.5</v>
      </c>
    </row>
    <row r="1833" spans="1:11" ht="15.75" hidden="1" customHeight="1" outlineLevel="2">
      <c r="A1833" s="613"/>
      <c r="B1833" s="612"/>
      <c r="C1833" s="613" t="s">
        <v>315</v>
      </c>
      <c r="D1833" s="612" t="s">
        <v>4290</v>
      </c>
      <c r="E1833" s="613">
        <v>1</v>
      </c>
      <c r="F1833" s="611">
        <f>serat_fiber</f>
        <v>9900</v>
      </c>
      <c r="G1833" s="611">
        <f>F1833*E1833</f>
        <v>9900</v>
      </c>
    </row>
    <row r="1834" spans="1:11" ht="15.75" hidden="1" customHeight="1" outlineLevel="2">
      <c r="A1834" s="613"/>
      <c r="B1834" s="612"/>
      <c r="C1834" s="613"/>
      <c r="D1834" s="612"/>
      <c r="E1834" s="613"/>
      <c r="F1834" s="611"/>
      <c r="G1834" s="611"/>
    </row>
    <row r="1835" spans="1:11" ht="15.75" hidden="1" customHeight="1" outlineLevel="2">
      <c r="A1835" s="613"/>
      <c r="B1835" s="612"/>
      <c r="C1835" s="613" t="s">
        <v>31</v>
      </c>
      <c r="D1835" s="612"/>
      <c r="E1835" s="613"/>
      <c r="F1835" s="611"/>
      <c r="G1835" s="611"/>
    </row>
    <row r="1836" spans="1:11" ht="15.75" hidden="1" customHeight="1" outlineLevel="2">
      <c r="A1836" s="613"/>
      <c r="B1836" s="612"/>
      <c r="C1836" s="613" t="s">
        <v>32</v>
      </c>
      <c r="D1836" s="612" t="s">
        <v>33</v>
      </c>
      <c r="E1836" s="613">
        <v>0.05</v>
      </c>
      <c r="F1836" s="611">
        <f>worker</f>
        <v>107800.00000000001</v>
      </c>
      <c r="G1836" s="611">
        <f>F1836*E1836</f>
        <v>5390.0000000000009</v>
      </c>
    </row>
    <row r="1837" spans="1:11" ht="15.75" hidden="1" customHeight="1" outlineLevel="2">
      <c r="A1837" s="613"/>
      <c r="B1837" s="612"/>
      <c r="C1837" s="613" t="s">
        <v>36</v>
      </c>
      <c r="D1837" s="612" t="s">
        <v>33</v>
      </c>
      <c r="E1837" s="613">
        <v>2.5000000000000001E-3</v>
      </c>
      <c r="F1837" s="611">
        <f>supervisor</f>
        <v>119350.00000000001</v>
      </c>
      <c r="G1837" s="611">
        <f>F1837*E1837</f>
        <v>298.37500000000006</v>
      </c>
    </row>
    <row r="1838" spans="1:11" ht="15.75" hidden="1" customHeight="1" outlineLevel="2">
      <c r="A1838" s="613"/>
      <c r="B1838" s="612"/>
      <c r="C1838" s="613" t="s">
        <v>45</v>
      </c>
      <c r="D1838" s="612" t="s">
        <v>33</v>
      </c>
      <c r="E1838" s="613">
        <v>7.4999999999999997E-2</v>
      </c>
      <c r="F1838" s="611">
        <f>carpenter</f>
        <v>107800.00000000001</v>
      </c>
      <c r="G1838" s="611">
        <f>F1838*E1838</f>
        <v>8085.0000000000009</v>
      </c>
    </row>
    <row r="1839" spans="1:11" ht="15.75" hidden="1" customHeight="1" outlineLevel="2">
      <c r="A1839" s="613"/>
      <c r="B1839" s="612"/>
      <c r="C1839" s="613"/>
      <c r="D1839" s="612"/>
      <c r="E1839" s="613"/>
      <c r="F1839" s="611"/>
      <c r="G1839" s="611">
        <f>SUM(G1832:G1838)</f>
        <v>58823.875</v>
      </c>
    </row>
    <row r="1840" spans="1:11" ht="15.75" hidden="1" customHeight="1" outlineLevel="2">
      <c r="A1840" s="613"/>
      <c r="B1840" s="612"/>
      <c r="C1840" s="613"/>
      <c r="D1840" s="612"/>
      <c r="E1840" s="613"/>
      <c r="F1840" s="611"/>
      <c r="G1840" s="611"/>
    </row>
    <row r="1841" spans="1:9" ht="15.75" customHeight="1" outlineLevel="1" collapsed="1">
      <c r="A1841" s="613" t="s">
        <v>2074</v>
      </c>
      <c r="B1841" s="612">
        <f>B1829+1</f>
        <v>35</v>
      </c>
      <c r="C1841" s="613" t="s">
        <v>1688</v>
      </c>
      <c r="D1841" s="612" t="s">
        <v>4</v>
      </c>
      <c r="E1841" s="613"/>
      <c r="F1841" s="611"/>
      <c r="G1841" s="605">
        <f>G1855</f>
        <v>270551.55000000005</v>
      </c>
      <c r="I1841" s="633" t="s">
        <v>911</v>
      </c>
    </row>
    <row r="1842" spans="1:9" ht="15.75" hidden="1" customHeight="1" outlineLevel="2">
      <c r="A1842" s="613"/>
      <c r="B1842" s="612"/>
      <c r="C1842" s="613"/>
      <c r="D1842" s="612"/>
      <c r="E1842" s="613"/>
      <c r="F1842" s="611"/>
      <c r="G1842" s="611"/>
    </row>
    <row r="1843" spans="1:9" ht="15.75" hidden="1" customHeight="1" outlineLevel="2">
      <c r="A1843" s="613"/>
      <c r="B1843" s="612"/>
      <c r="C1843" s="613" t="s">
        <v>20</v>
      </c>
      <c r="D1843" s="612"/>
      <c r="E1843" s="613"/>
      <c r="F1843" s="611"/>
      <c r="G1843" s="611"/>
    </row>
    <row r="1844" spans="1:9" ht="15.75" hidden="1" customHeight="1" outlineLevel="2">
      <c r="A1844" s="613"/>
      <c r="B1844" s="612"/>
      <c r="C1844" s="613" t="s">
        <v>316</v>
      </c>
      <c r="D1844" s="612" t="s">
        <v>1</v>
      </c>
      <c r="E1844" s="613">
        <v>5</v>
      </c>
      <c r="F1844" s="611">
        <f>floor_hardener</f>
        <v>33000</v>
      </c>
      <c r="G1844" s="611">
        <f>F1844*E1844</f>
        <v>165000</v>
      </c>
      <c r="I1844" s="633" t="s">
        <v>317</v>
      </c>
    </row>
    <row r="1845" spans="1:9" ht="15.75" hidden="1" customHeight="1" outlineLevel="2">
      <c r="A1845" s="613"/>
      <c r="B1845" s="612"/>
      <c r="C1845" s="613" t="s">
        <v>318</v>
      </c>
      <c r="D1845" s="612" t="s">
        <v>95</v>
      </c>
      <c r="E1845" s="613">
        <f>5/16</f>
        <v>0.3125</v>
      </c>
      <c r="F1845" s="611">
        <f>bbm</f>
        <v>12100.000000000002</v>
      </c>
      <c r="G1845" s="611">
        <f>F1845*E1845</f>
        <v>3781.2500000000005</v>
      </c>
    </row>
    <row r="1846" spans="1:9" ht="15.75" hidden="1" customHeight="1" outlineLevel="2">
      <c r="A1846" s="613"/>
      <c r="B1846" s="612"/>
      <c r="C1846" s="613"/>
      <c r="D1846" s="612"/>
      <c r="E1846" s="613"/>
      <c r="F1846" s="611"/>
      <c r="G1846" s="611"/>
    </row>
    <row r="1847" spans="1:9" ht="15.75" hidden="1" customHeight="1" outlineLevel="2">
      <c r="A1847" s="613"/>
      <c r="B1847" s="612"/>
      <c r="C1847" s="613" t="s">
        <v>70</v>
      </c>
      <c r="D1847" s="612"/>
      <c r="E1847" s="613"/>
      <c r="F1847" s="611"/>
      <c r="G1847" s="611"/>
    </row>
    <row r="1848" spans="1:9" ht="15.75" hidden="1" customHeight="1" outlineLevel="2">
      <c r="A1848" s="613"/>
      <c r="B1848" s="612"/>
      <c r="C1848" s="613" t="s">
        <v>319</v>
      </c>
      <c r="D1848" s="612" t="s">
        <v>65</v>
      </c>
      <c r="E1848" s="613">
        <f>4/16</f>
        <v>0.25</v>
      </c>
      <c r="F1848" s="611">
        <v>295000</v>
      </c>
      <c r="G1848" s="611">
        <f>F1848*E1848</f>
        <v>73750</v>
      </c>
    </row>
    <row r="1849" spans="1:9" ht="15.75" hidden="1" customHeight="1" outlineLevel="2">
      <c r="A1849" s="613"/>
      <c r="B1849" s="612"/>
      <c r="C1849" s="613"/>
      <c r="D1849" s="612"/>
      <c r="E1849" s="613"/>
      <c r="F1849" s="611"/>
      <c r="G1849" s="611"/>
    </row>
    <row r="1850" spans="1:9" ht="15.75" hidden="1" customHeight="1" outlineLevel="2">
      <c r="A1850" s="613"/>
      <c r="B1850" s="612"/>
      <c r="C1850" s="613" t="s">
        <v>31</v>
      </c>
      <c r="D1850" s="612"/>
      <c r="E1850" s="613"/>
      <c r="F1850" s="611"/>
      <c r="G1850" s="611"/>
    </row>
    <row r="1851" spans="1:9" ht="15.75" hidden="1" customHeight="1" outlineLevel="2">
      <c r="A1851" s="613"/>
      <c r="B1851" s="612"/>
      <c r="C1851" s="613" t="s">
        <v>32</v>
      </c>
      <c r="D1851" s="612" t="s">
        <v>33</v>
      </c>
      <c r="E1851" s="613">
        <v>0.12</v>
      </c>
      <c r="F1851" s="611">
        <f>worker</f>
        <v>107800.00000000001</v>
      </c>
      <c r="G1851" s="611">
        <f>F1851*E1851</f>
        <v>12936.000000000002</v>
      </c>
    </row>
    <row r="1852" spans="1:9" ht="15.75" hidden="1" customHeight="1" outlineLevel="2">
      <c r="A1852" s="613"/>
      <c r="B1852" s="612"/>
      <c r="C1852" s="613" t="s">
        <v>36</v>
      </c>
      <c r="D1852" s="612" t="s">
        <v>33</v>
      </c>
      <c r="E1852" s="613">
        <f>0.006</f>
        <v>6.0000000000000001E-3</v>
      </c>
      <c r="F1852" s="611">
        <f>supervisor</f>
        <v>119350.00000000001</v>
      </c>
      <c r="G1852" s="611">
        <f>F1852*E1852</f>
        <v>716.10000000000014</v>
      </c>
    </row>
    <row r="1853" spans="1:9" ht="15.75" hidden="1" customHeight="1" outlineLevel="2">
      <c r="A1853" s="613"/>
      <c r="B1853" s="612"/>
      <c r="C1853" s="613" t="s">
        <v>34</v>
      </c>
      <c r="D1853" s="612" t="s">
        <v>33</v>
      </c>
      <c r="E1853" s="613">
        <v>0.12</v>
      </c>
      <c r="F1853" s="611">
        <f>brick_layer</f>
        <v>107800.00000000001</v>
      </c>
      <c r="G1853" s="611">
        <f>F1853*E1853</f>
        <v>12936.000000000002</v>
      </c>
      <c r="I1853" s="633">
        <f>SUM(G1865:G1866)</f>
        <v>234696.00000000003</v>
      </c>
    </row>
    <row r="1854" spans="1:9" ht="15.75" hidden="1" customHeight="1" outlineLevel="2">
      <c r="A1854" s="613"/>
      <c r="B1854" s="612"/>
      <c r="C1854" s="613" t="s">
        <v>35</v>
      </c>
      <c r="D1854" s="612" t="s">
        <v>33</v>
      </c>
      <c r="E1854" s="613">
        <v>1.2E-2</v>
      </c>
      <c r="F1854" s="611">
        <f>brick_layer_chief</f>
        <v>119350.00000000001</v>
      </c>
      <c r="G1854" s="611">
        <f>F1854*E1854</f>
        <v>1432.2000000000003</v>
      </c>
    </row>
    <row r="1855" spans="1:9" ht="15.75" hidden="1" customHeight="1" outlineLevel="2">
      <c r="A1855" s="613"/>
      <c r="B1855" s="612"/>
      <c r="C1855" s="613"/>
      <c r="D1855" s="612"/>
      <c r="E1855" s="613"/>
      <c r="F1855" s="611"/>
      <c r="G1855" s="611">
        <f>SUM(G1844:G1854)</f>
        <v>270551.55000000005</v>
      </c>
      <c r="I1855" s="633" t="s">
        <v>317</v>
      </c>
    </row>
    <row r="1856" spans="1:9" ht="15.75" hidden="1" customHeight="1" outlineLevel="2">
      <c r="A1856" s="613"/>
      <c r="B1856" s="612"/>
      <c r="C1856" s="613"/>
      <c r="D1856" s="612"/>
      <c r="E1856" s="613"/>
      <c r="F1856" s="611"/>
      <c r="G1856" s="611"/>
    </row>
    <row r="1857" spans="1:12" ht="15.75" customHeight="1" outlineLevel="1" collapsed="1">
      <c r="A1857" s="613" t="s">
        <v>2074</v>
      </c>
      <c r="B1857" s="612">
        <f>B1841+1</f>
        <v>36</v>
      </c>
      <c r="C1857" s="613" t="s">
        <v>320</v>
      </c>
      <c r="D1857" s="612" t="s">
        <v>2</v>
      </c>
      <c r="E1857" s="613"/>
      <c r="F1857" s="611"/>
      <c r="G1857" s="605">
        <f>G1867</f>
        <v>3735407.7200000007</v>
      </c>
    </row>
    <row r="1858" spans="1:12" ht="15.75" hidden="1" customHeight="1" outlineLevel="2">
      <c r="A1858" s="613"/>
      <c r="B1858" s="612"/>
      <c r="C1858" s="613"/>
      <c r="D1858" s="612"/>
      <c r="E1858" s="613"/>
      <c r="F1858" s="611"/>
      <c r="G1858" s="611"/>
    </row>
    <row r="1859" spans="1:12" ht="15.75" hidden="1" customHeight="1" outlineLevel="2">
      <c r="A1859" s="613"/>
      <c r="B1859" s="612"/>
      <c r="C1859" s="613" t="s">
        <v>20</v>
      </c>
      <c r="D1859" s="612"/>
      <c r="E1859" s="613"/>
      <c r="F1859" s="611"/>
      <c r="G1859" s="611"/>
    </row>
    <row r="1860" spans="1:12" ht="15.75" hidden="1" customHeight="1" outlineLevel="2">
      <c r="A1860" s="613"/>
      <c r="B1860" s="612"/>
      <c r="C1860" s="613" t="s">
        <v>321</v>
      </c>
      <c r="D1860" s="612" t="s">
        <v>2</v>
      </c>
      <c r="E1860" s="613">
        <v>1</v>
      </c>
      <c r="F1860" s="611">
        <f>closed_coupled_toto</f>
        <v>3197700.0000000005</v>
      </c>
      <c r="G1860" s="611">
        <f>F1860*E1860</f>
        <v>3197700.0000000005</v>
      </c>
    </row>
    <row r="1861" spans="1:12" ht="15.75" hidden="1" customHeight="1" outlineLevel="2">
      <c r="A1861" s="613"/>
      <c r="B1861" s="612"/>
      <c r="C1861" s="613" t="s">
        <v>322</v>
      </c>
      <c r="D1861" s="612" t="s">
        <v>2</v>
      </c>
      <c r="E1861" s="613">
        <v>1</v>
      </c>
      <c r="F1861" s="611">
        <f>jet_washer_setara_toto</f>
        <v>291500</v>
      </c>
      <c r="G1861" s="611">
        <f>F1861*E1861</f>
        <v>291500</v>
      </c>
    </row>
    <row r="1862" spans="1:12" ht="15.75" hidden="1" customHeight="1" outlineLevel="2">
      <c r="A1862" s="613"/>
      <c r="B1862" s="612"/>
      <c r="C1862" s="613" t="s">
        <v>323</v>
      </c>
      <c r="D1862" s="612" t="s">
        <v>210</v>
      </c>
      <c r="E1862" s="613">
        <f>0.06*E1860</f>
        <v>0.06</v>
      </c>
      <c r="F1862" s="611">
        <f>6%*F1860</f>
        <v>191862.00000000003</v>
      </c>
      <c r="G1862" s="611">
        <f>F1862*E1862</f>
        <v>11511.720000000001</v>
      </c>
    </row>
    <row r="1863" spans="1:12" ht="15.75" hidden="1" customHeight="1" outlineLevel="2">
      <c r="A1863" s="613"/>
      <c r="B1863" s="612"/>
      <c r="C1863" s="613"/>
      <c r="D1863" s="612"/>
      <c r="E1863" s="613"/>
      <c r="F1863" s="611"/>
      <c r="G1863" s="611"/>
    </row>
    <row r="1864" spans="1:12" ht="15.75" hidden="1" customHeight="1" outlineLevel="2">
      <c r="A1864" s="613"/>
      <c r="B1864" s="612"/>
      <c r="C1864" s="613" t="s">
        <v>31</v>
      </c>
      <c r="D1864" s="612"/>
      <c r="E1864" s="613"/>
      <c r="F1864" s="611"/>
      <c r="G1864" s="611"/>
    </row>
    <row r="1865" spans="1:12" ht="15.75" hidden="1" customHeight="1" outlineLevel="2">
      <c r="A1865" s="613"/>
      <c r="B1865" s="612"/>
      <c r="C1865" s="613" t="s">
        <v>32</v>
      </c>
      <c r="D1865" s="612" t="s">
        <v>33</v>
      </c>
      <c r="E1865" s="613">
        <v>2</v>
      </c>
      <c r="F1865" s="611">
        <f>worker</f>
        <v>107800.00000000001</v>
      </c>
      <c r="G1865" s="611">
        <f>F1865*E1865</f>
        <v>215600.00000000003</v>
      </c>
    </row>
    <row r="1866" spans="1:12" ht="15.75" hidden="1" customHeight="1" outlineLevel="2">
      <c r="A1866" s="613"/>
      <c r="B1866" s="612"/>
      <c r="C1866" s="613" t="s">
        <v>36</v>
      </c>
      <c r="D1866" s="612" t="s">
        <v>33</v>
      </c>
      <c r="E1866" s="613">
        <v>0.16</v>
      </c>
      <c r="F1866" s="611">
        <f>supervisor</f>
        <v>119350.00000000001</v>
      </c>
      <c r="G1866" s="611">
        <f>F1866*E1866</f>
        <v>19096.000000000004</v>
      </c>
      <c r="L1866" s="633" t="s">
        <v>324</v>
      </c>
    </row>
    <row r="1867" spans="1:12" ht="15.75" hidden="1" customHeight="1" outlineLevel="2">
      <c r="A1867" s="613"/>
      <c r="B1867" s="612"/>
      <c r="C1867" s="613"/>
      <c r="D1867" s="612"/>
      <c r="E1867" s="613"/>
      <c r="F1867" s="611"/>
      <c r="G1867" s="611">
        <f>SUM(G1860:G1866)</f>
        <v>3735407.7200000007</v>
      </c>
      <c r="I1867" s="633" t="s">
        <v>325</v>
      </c>
    </row>
    <row r="1868" spans="1:12" ht="15.75" customHeight="1" outlineLevel="1" collapsed="1">
      <c r="A1868" s="613" t="s">
        <v>2074</v>
      </c>
      <c r="B1868" s="612">
        <f>B1857+1</f>
        <v>37</v>
      </c>
      <c r="C1868" s="613" t="s">
        <v>326</v>
      </c>
      <c r="D1868" s="612" t="s">
        <v>2</v>
      </c>
      <c r="E1868" s="613"/>
      <c r="F1868" s="611"/>
      <c r="G1868" s="605">
        <f>G1877</f>
        <v>903585.36399999994</v>
      </c>
    </row>
    <row r="1869" spans="1:12" ht="15.75" hidden="1" customHeight="1" outlineLevel="2">
      <c r="A1869" s="613"/>
      <c r="B1869" s="612"/>
      <c r="C1869" s="613"/>
      <c r="D1869" s="612"/>
      <c r="E1869" s="613"/>
      <c r="F1869" s="611"/>
      <c r="G1869" s="611"/>
    </row>
    <row r="1870" spans="1:12" ht="15.75" hidden="1" customHeight="1" outlineLevel="2">
      <c r="A1870" s="613"/>
      <c r="B1870" s="612"/>
      <c r="C1870" s="613" t="s">
        <v>20</v>
      </c>
      <c r="D1870" s="612"/>
      <c r="E1870" s="613"/>
      <c r="F1870" s="611"/>
      <c r="G1870" s="611"/>
    </row>
    <row r="1871" spans="1:12" ht="15.75" hidden="1" customHeight="1" outlineLevel="2">
      <c r="A1871" s="613"/>
      <c r="B1871" s="612"/>
      <c r="C1871" s="613" t="s">
        <v>327</v>
      </c>
      <c r="D1871" s="612" t="s">
        <v>2</v>
      </c>
      <c r="E1871" s="613">
        <v>1</v>
      </c>
      <c r="F1871" s="611">
        <f>lavatory_basin_inc_spectacles</f>
        <v>666490</v>
      </c>
      <c r="G1871" s="611">
        <f>F1871*E1871</f>
        <v>666490</v>
      </c>
    </row>
    <row r="1872" spans="1:12" ht="15.75" hidden="1" customHeight="1" outlineLevel="2">
      <c r="A1872" s="613"/>
      <c r="B1872" s="612"/>
      <c r="C1872" s="613" t="s">
        <v>323</v>
      </c>
      <c r="D1872" s="612" t="s">
        <v>210</v>
      </c>
      <c r="E1872" s="613">
        <f>0.06*E1871</f>
        <v>0.06</v>
      </c>
      <c r="F1872" s="611">
        <f>6%*F1871</f>
        <v>39989.4</v>
      </c>
      <c r="G1872" s="611">
        <f>F1872*E1872</f>
        <v>2399.364</v>
      </c>
    </row>
    <row r="1873" spans="1:9" ht="15.75" hidden="1" customHeight="1" outlineLevel="2">
      <c r="A1873" s="613"/>
      <c r="B1873" s="612"/>
      <c r="C1873" s="613"/>
      <c r="D1873" s="612"/>
      <c r="E1873" s="613"/>
      <c r="F1873" s="611"/>
      <c r="G1873" s="611"/>
    </row>
    <row r="1874" spans="1:9" ht="15.75" hidden="1" customHeight="1" outlineLevel="2">
      <c r="A1874" s="613"/>
      <c r="B1874" s="612"/>
      <c r="C1874" s="613" t="s">
        <v>31</v>
      </c>
      <c r="D1874" s="612"/>
      <c r="E1874" s="613"/>
      <c r="F1874" s="611"/>
      <c r="G1874" s="611"/>
    </row>
    <row r="1875" spans="1:9" ht="15.75" hidden="1" customHeight="1" outlineLevel="2">
      <c r="A1875" s="613"/>
      <c r="B1875" s="612"/>
      <c r="C1875" s="613" t="s">
        <v>32</v>
      </c>
      <c r="D1875" s="612" t="s">
        <v>33</v>
      </c>
      <c r="E1875" s="613">
        <v>2</v>
      </c>
      <c r="F1875" s="611">
        <f>worker</f>
        <v>107800.00000000001</v>
      </c>
      <c r="G1875" s="611">
        <f>F1875*E1875</f>
        <v>215600.00000000003</v>
      </c>
    </row>
    <row r="1876" spans="1:9" ht="15.75" hidden="1" customHeight="1" outlineLevel="2">
      <c r="A1876" s="613"/>
      <c r="B1876" s="612"/>
      <c r="C1876" s="613" t="s">
        <v>36</v>
      </c>
      <c r="D1876" s="612" t="s">
        <v>33</v>
      </c>
      <c r="E1876" s="613">
        <v>0.16</v>
      </c>
      <c r="F1876" s="611">
        <f>supervisor</f>
        <v>119350.00000000001</v>
      </c>
      <c r="G1876" s="611">
        <f>F1876*E1876</f>
        <v>19096.000000000004</v>
      </c>
    </row>
    <row r="1877" spans="1:9" ht="15.75" hidden="1" customHeight="1" outlineLevel="2">
      <c r="A1877" s="613"/>
      <c r="B1877" s="612"/>
      <c r="C1877" s="613"/>
      <c r="D1877" s="612"/>
      <c r="E1877" s="613"/>
      <c r="F1877" s="611"/>
      <c r="G1877" s="611">
        <f>SUM(G1871:G1876)</f>
        <v>903585.36399999994</v>
      </c>
    </row>
    <row r="1878" spans="1:9" ht="15.75" hidden="1" customHeight="1" outlineLevel="2">
      <c r="A1878" s="613"/>
      <c r="B1878" s="612"/>
      <c r="C1878" s="613"/>
      <c r="D1878" s="612"/>
      <c r="E1878" s="613"/>
      <c r="F1878" s="611"/>
      <c r="G1878" s="611"/>
    </row>
    <row r="1879" spans="1:9" ht="15.75" hidden="1" customHeight="1" outlineLevel="2">
      <c r="A1879" s="613"/>
      <c r="B1879" s="612"/>
      <c r="C1879" s="613"/>
      <c r="D1879" s="612"/>
      <c r="E1879" s="613"/>
      <c r="F1879" s="611"/>
      <c r="G1879" s="611"/>
      <c r="I1879" s="633" t="s">
        <v>328</v>
      </c>
    </row>
    <row r="1880" spans="1:9" ht="15.75" customHeight="1" outlineLevel="1" collapsed="1">
      <c r="A1880" s="613" t="s">
        <v>2074</v>
      </c>
      <c r="B1880" s="612">
        <f>B1868+1</f>
        <v>38</v>
      </c>
      <c r="C1880" s="613" t="s">
        <v>329</v>
      </c>
      <c r="D1880" s="612" t="s">
        <v>2</v>
      </c>
      <c r="E1880" s="613"/>
      <c r="F1880" s="611"/>
      <c r="G1880" s="605">
        <f>G1890</f>
        <v>7635355.2000000002</v>
      </c>
    </row>
    <row r="1881" spans="1:9" ht="15.75" hidden="1" customHeight="1" outlineLevel="2">
      <c r="A1881" s="613"/>
      <c r="B1881" s="612"/>
      <c r="C1881" s="613" t="s">
        <v>20</v>
      </c>
      <c r="D1881" s="612"/>
      <c r="E1881" s="613"/>
      <c r="F1881" s="611"/>
      <c r="G1881" s="611"/>
    </row>
    <row r="1882" spans="1:9" ht="15.75" hidden="1" customHeight="1" outlineLevel="2">
      <c r="A1882" s="613"/>
      <c r="B1882" s="612"/>
      <c r="C1882" s="613" t="s">
        <v>330</v>
      </c>
      <c r="D1882" s="612" t="s">
        <v>2</v>
      </c>
      <c r="E1882" s="613">
        <v>1</v>
      </c>
      <c r="F1882" s="611">
        <f>urinoir</f>
        <v>5778300.0000000009</v>
      </c>
      <c r="G1882" s="611">
        <f>F1882*E1882</f>
        <v>5778300.0000000009</v>
      </c>
    </row>
    <row r="1883" spans="1:9" ht="15.75" hidden="1" customHeight="1" outlineLevel="2">
      <c r="A1883" s="613"/>
      <c r="B1883" s="612"/>
      <c r="C1883" s="613" t="s">
        <v>331</v>
      </c>
      <c r="D1883" s="612" t="s">
        <v>1</v>
      </c>
      <c r="E1883" s="613">
        <v>6</v>
      </c>
      <c r="F1883" s="611">
        <f>PC</f>
        <v>1348.6000000000001</v>
      </c>
      <c r="G1883" s="611">
        <f>F1883*E1883</f>
        <v>8091.6</v>
      </c>
    </row>
    <row r="1884" spans="1:9" ht="15.75" hidden="1" customHeight="1" outlineLevel="2">
      <c r="A1884" s="613"/>
      <c r="B1884" s="612"/>
      <c r="C1884" s="613" t="s">
        <v>144</v>
      </c>
      <c r="D1884" s="612" t="s">
        <v>40</v>
      </c>
      <c r="E1884" s="613">
        <v>0.01</v>
      </c>
      <c r="F1884" s="611">
        <f>sand_pasang</f>
        <v>170610</v>
      </c>
      <c r="G1884" s="611">
        <f>F1884*E1884</f>
        <v>1706.1000000000001</v>
      </c>
    </row>
    <row r="1885" spans="1:9" ht="15.75" hidden="1" customHeight="1" outlineLevel="2">
      <c r="A1885" s="613"/>
      <c r="B1885" s="612"/>
      <c r="C1885" s="613" t="s">
        <v>332</v>
      </c>
      <c r="D1885" s="612" t="s">
        <v>324</v>
      </c>
      <c r="E1885" s="613">
        <v>30</v>
      </c>
      <c r="F1885" s="611">
        <f>F1882</f>
        <v>5778300.0000000009</v>
      </c>
      <c r="G1885" s="611">
        <f>F1885*30%</f>
        <v>1733490.0000000002</v>
      </c>
    </row>
    <row r="1886" spans="1:9" ht="15.75" hidden="1" customHeight="1" outlineLevel="2">
      <c r="A1886" s="613"/>
      <c r="B1886" s="612"/>
      <c r="C1886" s="613"/>
      <c r="D1886" s="612"/>
      <c r="E1886" s="613"/>
      <c r="F1886" s="611"/>
      <c r="G1886" s="611"/>
    </row>
    <row r="1887" spans="1:9" ht="15.75" hidden="1" customHeight="1" outlineLevel="2">
      <c r="A1887" s="613"/>
      <c r="B1887" s="612"/>
      <c r="C1887" s="613" t="s">
        <v>31</v>
      </c>
      <c r="D1887" s="612"/>
      <c r="E1887" s="613"/>
      <c r="F1887" s="611"/>
      <c r="G1887" s="611"/>
    </row>
    <row r="1888" spans="1:9" ht="15.75" hidden="1" customHeight="1" outlineLevel="2">
      <c r="A1888" s="613"/>
      <c r="B1888" s="612"/>
      <c r="C1888" s="613" t="s">
        <v>32</v>
      </c>
      <c r="D1888" s="612" t="s">
        <v>33</v>
      </c>
      <c r="E1888" s="613">
        <v>1</v>
      </c>
      <c r="F1888" s="611">
        <f>worker</f>
        <v>107800.00000000001</v>
      </c>
      <c r="G1888" s="611">
        <f>F1888*E1888</f>
        <v>107800.00000000001</v>
      </c>
    </row>
    <row r="1889" spans="1:10" ht="15.75" hidden="1" customHeight="1" outlineLevel="2">
      <c r="A1889" s="613"/>
      <c r="B1889" s="612"/>
      <c r="C1889" s="613" t="s">
        <v>36</v>
      </c>
      <c r="D1889" s="612" t="s">
        <v>33</v>
      </c>
      <c r="E1889" s="613">
        <v>0.05</v>
      </c>
      <c r="F1889" s="611">
        <f>supervisor</f>
        <v>119350.00000000001</v>
      </c>
      <c r="G1889" s="611">
        <f>F1889*E1889</f>
        <v>5967.5000000000009</v>
      </c>
    </row>
    <row r="1890" spans="1:10" ht="15.75" hidden="1" customHeight="1" outlineLevel="2">
      <c r="A1890" s="613"/>
      <c r="B1890" s="612"/>
      <c r="C1890" s="613"/>
      <c r="D1890" s="612"/>
      <c r="E1890" s="613"/>
      <c r="F1890" s="611"/>
      <c r="G1890" s="611">
        <f>SUM(G1882:G1889)</f>
        <v>7635355.2000000002</v>
      </c>
    </row>
    <row r="1891" spans="1:10" ht="15.75" hidden="1" customHeight="1" outlineLevel="2">
      <c r="A1891" s="613"/>
      <c r="B1891" s="612"/>
      <c r="C1891" s="613"/>
      <c r="D1891" s="612"/>
      <c r="E1891" s="613"/>
      <c r="F1891" s="611"/>
      <c r="G1891" s="611"/>
      <c r="I1891" s="633" t="s">
        <v>328</v>
      </c>
    </row>
    <row r="1892" spans="1:10" ht="15.75" customHeight="1" outlineLevel="1" collapsed="1">
      <c r="A1892" s="613" t="s">
        <v>2074</v>
      </c>
      <c r="B1892" s="612">
        <f>B1880+1</f>
        <v>39</v>
      </c>
      <c r="C1892" s="613" t="s">
        <v>333</v>
      </c>
      <c r="D1892" s="612" t="s">
        <v>2</v>
      </c>
      <c r="E1892" s="613"/>
      <c r="F1892" s="611"/>
      <c r="G1892" s="605">
        <f>G1902</f>
        <v>3577438.7000000007</v>
      </c>
    </row>
    <row r="1893" spans="1:10" ht="15.75" hidden="1" customHeight="1" outlineLevel="2">
      <c r="A1893" s="613"/>
      <c r="B1893" s="612"/>
      <c r="C1893" s="613" t="s">
        <v>20</v>
      </c>
      <c r="D1893" s="612"/>
      <c r="E1893" s="613"/>
      <c r="F1893" s="611"/>
      <c r="G1893" s="611"/>
    </row>
    <row r="1894" spans="1:10" ht="15.75" hidden="1" customHeight="1" outlineLevel="2">
      <c r="A1894" s="613"/>
      <c r="B1894" s="612"/>
      <c r="C1894" s="613" t="s">
        <v>331</v>
      </c>
      <c r="D1894" s="612" t="s">
        <v>1</v>
      </c>
      <c r="E1894" s="613">
        <v>6</v>
      </c>
      <c r="F1894" s="611">
        <f>PC</f>
        <v>1348.6000000000001</v>
      </c>
      <c r="G1894" s="611">
        <f>F1894*E1894</f>
        <v>8091.6</v>
      </c>
    </row>
    <row r="1895" spans="1:10" ht="15.75" hidden="1" customHeight="1" outlineLevel="2">
      <c r="A1895" s="613"/>
      <c r="B1895" s="612"/>
      <c r="C1895" s="613" t="s">
        <v>144</v>
      </c>
      <c r="D1895" s="612" t="s">
        <v>40</v>
      </c>
      <c r="E1895" s="613">
        <v>0.01</v>
      </c>
      <c r="F1895" s="611">
        <f>sand_pasang</f>
        <v>170610</v>
      </c>
      <c r="G1895" s="611">
        <f>F1895*E1895</f>
        <v>1706.1000000000001</v>
      </c>
    </row>
    <row r="1896" spans="1:10" ht="15.75" hidden="1" customHeight="1" outlineLevel="2">
      <c r="A1896" s="613"/>
      <c r="B1896" s="612"/>
      <c r="C1896" s="613" t="s">
        <v>334</v>
      </c>
      <c r="D1896" s="612" t="s">
        <v>2</v>
      </c>
      <c r="E1896" s="613">
        <v>1</v>
      </c>
      <c r="F1896" s="611">
        <f>wash_basin</f>
        <v>3063500.0000000005</v>
      </c>
      <c r="G1896" s="611">
        <f>F1896*E1896</f>
        <v>3063500.0000000005</v>
      </c>
    </row>
    <row r="1897" spans="1:10" ht="15.75" hidden="1" customHeight="1" outlineLevel="2">
      <c r="A1897" s="613"/>
      <c r="B1897" s="612"/>
      <c r="C1897" s="613" t="s">
        <v>335</v>
      </c>
      <c r="D1897" s="612" t="s">
        <v>324</v>
      </c>
      <c r="E1897" s="613">
        <v>12</v>
      </c>
      <c r="F1897" s="611">
        <f>F1896</f>
        <v>3063500.0000000005</v>
      </c>
      <c r="G1897" s="611">
        <f>F1897*12%</f>
        <v>367620.00000000006</v>
      </c>
    </row>
    <row r="1898" spans="1:10" ht="15.75" hidden="1" customHeight="1" outlineLevel="2">
      <c r="A1898" s="613"/>
      <c r="B1898" s="612"/>
      <c r="C1898" s="613"/>
      <c r="D1898" s="612"/>
      <c r="E1898" s="613"/>
      <c r="F1898" s="611"/>
      <c r="G1898" s="611"/>
    </row>
    <row r="1899" spans="1:10" ht="15.75" hidden="1" customHeight="1" outlineLevel="2">
      <c r="A1899" s="613"/>
      <c r="B1899" s="612"/>
      <c r="C1899" s="613" t="s">
        <v>31</v>
      </c>
      <c r="D1899" s="612"/>
      <c r="E1899" s="613"/>
      <c r="F1899" s="611"/>
      <c r="G1899" s="611"/>
    </row>
    <row r="1900" spans="1:10" ht="15.75" hidden="1" customHeight="1" outlineLevel="2">
      <c r="A1900" s="613"/>
      <c r="B1900" s="612"/>
      <c r="C1900" s="613" t="s">
        <v>32</v>
      </c>
      <c r="D1900" s="612" t="s">
        <v>33</v>
      </c>
      <c r="E1900" s="613">
        <v>1.2</v>
      </c>
      <c r="F1900" s="611">
        <f>worker</f>
        <v>107800.00000000001</v>
      </c>
      <c r="G1900" s="611">
        <f>F1900*E1900</f>
        <v>129360.00000000001</v>
      </c>
    </row>
    <row r="1901" spans="1:10" ht="15.75" hidden="1" customHeight="1" outlineLevel="2">
      <c r="A1901" s="613"/>
      <c r="B1901" s="612"/>
      <c r="C1901" s="613" t="s">
        <v>36</v>
      </c>
      <c r="D1901" s="612" t="s">
        <v>33</v>
      </c>
      <c r="E1901" s="613">
        <v>0.06</v>
      </c>
      <c r="F1901" s="611">
        <f>supervisor</f>
        <v>119350.00000000001</v>
      </c>
      <c r="G1901" s="611">
        <f>F1901*E1901</f>
        <v>7161.0000000000009</v>
      </c>
    </row>
    <row r="1902" spans="1:10" ht="15.75" hidden="1" customHeight="1" outlineLevel="2">
      <c r="A1902" s="613"/>
      <c r="B1902" s="612"/>
      <c r="C1902" s="613"/>
      <c r="D1902" s="612"/>
      <c r="E1902" s="613"/>
      <c r="F1902" s="611"/>
      <c r="G1902" s="611">
        <f>SUM(G1894:G1901)</f>
        <v>3577438.7000000007</v>
      </c>
      <c r="I1902" s="633" t="s">
        <v>336</v>
      </c>
      <c r="J1902" s="633" t="s">
        <v>337</v>
      </c>
    </row>
    <row r="1903" spans="1:10" ht="15.75" hidden="1" customHeight="1" outlineLevel="2">
      <c r="A1903" s="613"/>
      <c r="B1903" s="612"/>
      <c r="C1903" s="613"/>
      <c r="D1903" s="612"/>
      <c r="E1903" s="613"/>
      <c r="F1903" s="611"/>
      <c r="G1903" s="611"/>
    </row>
    <row r="1904" spans="1:10" ht="15.75" customHeight="1" outlineLevel="1" collapsed="1">
      <c r="A1904" s="613" t="s">
        <v>2074</v>
      </c>
      <c r="B1904" s="612">
        <f>B1892+1</f>
        <v>40</v>
      </c>
      <c r="C1904" s="613" t="s">
        <v>338</v>
      </c>
      <c r="D1904" s="612" t="s">
        <v>2</v>
      </c>
      <c r="E1904" s="613"/>
      <c r="F1904" s="611"/>
      <c r="G1904" s="605">
        <f>G1914</f>
        <v>1747918.7</v>
      </c>
    </row>
    <row r="1905" spans="1:12" ht="15.75" hidden="1" customHeight="1" outlineLevel="2">
      <c r="A1905" s="613"/>
      <c r="B1905" s="612"/>
      <c r="C1905" s="613" t="s">
        <v>20</v>
      </c>
      <c r="D1905" s="612"/>
      <c r="E1905" s="613"/>
      <c r="F1905" s="611"/>
      <c r="G1905" s="611"/>
    </row>
    <row r="1906" spans="1:12" ht="15.75" hidden="1" customHeight="1" outlineLevel="2">
      <c r="A1906" s="613"/>
      <c r="B1906" s="612"/>
      <c r="C1906" s="613" t="s">
        <v>331</v>
      </c>
      <c r="D1906" s="612" t="s">
        <v>1</v>
      </c>
      <c r="E1906" s="613">
        <v>6</v>
      </c>
      <c r="F1906" s="611">
        <f>PC</f>
        <v>1348.6000000000001</v>
      </c>
      <c r="G1906" s="611">
        <f>F1906*E1906</f>
        <v>8091.6</v>
      </c>
    </row>
    <row r="1907" spans="1:12" ht="15.75" hidden="1" customHeight="1" outlineLevel="2">
      <c r="A1907" s="613"/>
      <c r="B1907" s="612"/>
      <c r="C1907" s="613" t="s">
        <v>144</v>
      </c>
      <c r="D1907" s="612" t="s">
        <v>40</v>
      </c>
      <c r="E1907" s="613">
        <v>0.01</v>
      </c>
      <c r="F1907" s="611">
        <f>sand_pasang</f>
        <v>170610</v>
      </c>
      <c r="G1907" s="611">
        <f>F1907*E1907</f>
        <v>1706.1000000000001</v>
      </c>
    </row>
    <row r="1908" spans="1:12" ht="15.75" hidden="1" customHeight="1" outlineLevel="2">
      <c r="A1908" s="613"/>
      <c r="B1908" s="612"/>
      <c r="C1908" s="613" t="s">
        <v>339</v>
      </c>
      <c r="D1908" s="612" t="s">
        <v>2</v>
      </c>
      <c r="E1908" s="613">
        <v>1</v>
      </c>
      <c r="F1908" s="611">
        <f>kitchen_sink_stainless</f>
        <v>1430000</v>
      </c>
      <c r="G1908" s="611">
        <f>F1908*E1908</f>
        <v>1430000</v>
      </c>
    </row>
    <row r="1909" spans="1:12" ht="15.75" hidden="1" customHeight="1" outlineLevel="2">
      <c r="A1909" s="613"/>
      <c r="B1909" s="612"/>
      <c r="C1909" s="613" t="s">
        <v>335</v>
      </c>
      <c r="D1909" s="612" t="s">
        <v>324</v>
      </c>
      <c r="E1909" s="613">
        <v>12</v>
      </c>
      <c r="F1909" s="611">
        <f>F1908</f>
        <v>1430000</v>
      </c>
      <c r="G1909" s="611">
        <f>F1909*12%</f>
        <v>171600</v>
      </c>
    </row>
    <row r="1910" spans="1:12" ht="15.75" hidden="1" customHeight="1" outlineLevel="2">
      <c r="A1910" s="613"/>
      <c r="B1910" s="612"/>
      <c r="C1910" s="613"/>
      <c r="D1910" s="612"/>
      <c r="E1910" s="613"/>
      <c r="F1910" s="611"/>
      <c r="G1910" s="611"/>
    </row>
    <row r="1911" spans="1:12" ht="15.75" hidden="1" customHeight="1" outlineLevel="2">
      <c r="A1911" s="613"/>
      <c r="B1911" s="612"/>
      <c r="C1911" s="613" t="s">
        <v>31</v>
      </c>
      <c r="D1911" s="612"/>
      <c r="E1911" s="613"/>
      <c r="F1911" s="611"/>
      <c r="G1911" s="611"/>
    </row>
    <row r="1912" spans="1:12" ht="15.75" hidden="1" customHeight="1" outlineLevel="2">
      <c r="A1912" s="613"/>
      <c r="B1912" s="612"/>
      <c r="C1912" s="613" t="s">
        <v>32</v>
      </c>
      <c r="D1912" s="612" t="s">
        <v>33</v>
      </c>
      <c r="E1912" s="613">
        <v>1.2</v>
      </c>
      <c r="F1912" s="611">
        <f>worker</f>
        <v>107800.00000000001</v>
      </c>
      <c r="G1912" s="611">
        <f>F1912*E1912</f>
        <v>129360.00000000001</v>
      </c>
    </row>
    <row r="1913" spans="1:12" ht="15.75" hidden="1" customHeight="1" outlineLevel="2">
      <c r="A1913" s="613"/>
      <c r="B1913" s="612"/>
      <c r="C1913" s="613" t="s">
        <v>36</v>
      </c>
      <c r="D1913" s="612" t="s">
        <v>33</v>
      </c>
      <c r="E1913" s="613">
        <v>0.06</v>
      </c>
      <c r="F1913" s="611">
        <f>supervisor</f>
        <v>119350.00000000001</v>
      </c>
      <c r="G1913" s="611">
        <f>F1913*E1913</f>
        <v>7161.0000000000009</v>
      </c>
    </row>
    <row r="1914" spans="1:12" ht="15.75" hidden="1" customHeight="1" outlineLevel="2">
      <c r="A1914" s="613"/>
      <c r="B1914" s="612"/>
      <c r="C1914" s="613"/>
      <c r="D1914" s="612"/>
      <c r="E1914" s="613"/>
      <c r="F1914" s="611"/>
      <c r="G1914" s="611">
        <f>SUM(G1906:G1913)</f>
        <v>1747918.7</v>
      </c>
    </row>
    <row r="1915" spans="1:12" ht="16.5" customHeight="1" outlineLevel="1" collapsed="1">
      <c r="A1915" s="613" t="s">
        <v>2074</v>
      </c>
      <c r="B1915" s="612">
        <f>B1904+1</f>
        <v>41</v>
      </c>
      <c r="C1915" s="613" t="s">
        <v>340</v>
      </c>
      <c r="D1915" s="612" t="s">
        <v>2</v>
      </c>
      <c r="E1915" s="613"/>
      <c r="F1915" s="611"/>
      <c r="G1915" s="605">
        <f>SUM(G1916:G1934)</f>
        <v>6011319.4296190478</v>
      </c>
    </row>
    <row r="1916" spans="1:12" ht="15.75" customHeight="1" outlineLevel="2">
      <c r="A1916" s="613"/>
      <c r="B1916" s="612"/>
      <c r="C1916" s="613" t="s">
        <v>341</v>
      </c>
      <c r="D1916" s="612" t="s">
        <v>40</v>
      </c>
      <c r="E1916" s="613">
        <v>4</v>
      </c>
      <c r="F1916" s="611">
        <f>ahs_excavation_manual_3m</f>
        <v>121186.45000000001</v>
      </c>
      <c r="G1916" s="611">
        <f>F1916*E1916</f>
        <v>484745.80000000005</v>
      </c>
      <c r="L1916" s="633" t="e">
        <f>#REF!*5.5</f>
        <v>#REF!</v>
      </c>
    </row>
    <row r="1917" spans="1:12" ht="15.75" customHeight="1" outlineLevel="2">
      <c r="A1917" s="613"/>
      <c r="B1917" s="612"/>
      <c r="C1917" s="613" t="s">
        <v>342</v>
      </c>
      <c r="D1917" s="612" t="s">
        <v>4</v>
      </c>
      <c r="E1917" s="613">
        <f>3+16</f>
        <v>19</v>
      </c>
      <c r="F1917" s="611">
        <f>ahs_half_brick_1.4</f>
        <v>138248.88000000003</v>
      </c>
      <c r="G1917" s="611">
        <f>F1917*E1917</f>
        <v>2626728.7200000007</v>
      </c>
      <c r="K1917" s="633">
        <f>5.5*550000</f>
        <v>3025000</v>
      </c>
    </row>
    <row r="1918" spans="1:12" ht="15.75" customHeight="1" outlineLevel="2">
      <c r="A1918" s="613"/>
      <c r="B1918" s="612"/>
      <c r="C1918" s="613"/>
      <c r="D1918" s="612"/>
      <c r="E1918" s="613"/>
      <c r="F1918" s="611"/>
      <c r="G1918" s="611"/>
      <c r="K1918" s="633">
        <f>K1917/6944</f>
        <v>435.62788018433179</v>
      </c>
    </row>
    <row r="1919" spans="1:12" ht="15.75" customHeight="1" outlineLevel="2">
      <c r="A1919" s="613"/>
      <c r="B1919" s="612"/>
      <c r="C1919" s="613" t="s">
        <v>75</v>
      </c>
      <c r="D1919" s="612"/>
      <c r="E1919" s="613"/>
      <c r="F1919" s="611"/>
      <c r="G1919" s="611"/>
    </row>
    <row r="1920" spans="1:12" ht="15.75" customHeight="1" outlineLevel="2">
      <c r="A1920" s="613"/>
      <c r="B1920" s="612"/>
      <c r="C1920" s="613" t="s">
        <v>343</v>
      </c>
      <c r="D1920" s="612" t="s">
        <v>50</v>
      </c>
      <c r="E1920" s="613">
        <v>1</v>
      </c>
      <c r="F1920" s="611">
        <f>pvc_dia4</f>
        <v>33000</v>
      </c>
      <c r="G1920" s="611">
        <f t="shared" ref="G1920:G1928" si="13">F1920*E1920</f>
        <v>33000</v>
      </c>
    </row>
    <row r="1921" spans="1:7" ht="15.75" customHeight="1" outlineLevel="2">
      <c r="A1921" s="613"/>
      <c r="B1921" s="612"/>
      <c r="C1921" s="613" t="s">
        <v>344</v>
      </c>
      <c r="D1921" s="612" t="s">
        <v>50</v>
      </c>
      <c r="E1921" s="613">
        <v>0.25</v>
      </c>
      <c r="F1921" s="611">
        <f>pvc_dia1</f>
        <v>12100.000000000002</v>
      </c>
      <c r="G1921" s="611">
        <f t="shared" si="13"/>
        <v>3025.0000000000005</v>
      </c>
    </row>
    <row r="1922" spans="1:7" ht="15.75" customHeight="1" outlineLevel="2">
      <c r="A1922" s="613"/>
      <c r="B1922" s="612"/>
      <c r="C1922" s="613" t="s">
        <v>345</v>
      </c>
      <c r="D1922" s="612" t="s">
        <v>226</v>
      </c>
      <c r="E1922" s="613">
        <v>1</v>
      </c>
      <c r="F1922" s="611">
        <f>Elbow_1</f>
        <v>12100.000000000002</v>
      </c>
      <c r="G1922" s="611">
        <f t="shared" si="13"/>
        <v>12100.000000000002</v>
      </c>
    </row>
    <row r="1923" spans="1:7" ht="15.75" customHeight="1" outlineLevel="2">
      <c r="A1923" s="613"/>
      <c r="B1923" s="612"/>
      <c r="C1923" s="613" t="s">
        <v>346</v>
      </c>
      <c r="D1923" s="612" t="s">
        <v>226</v>
      </c>
      <c r="E1923" s="613">
        <v>1</v>
      </c>
      <c r="F1923" s="611">
        <f>pipa_tape</f>
        <v>3500</v>
      </c>
      <c r="G1923" s="611">
        <f t="shared" si="13"/>
        <v>3500</v>
      </c>
    </row>
    <row r="1924" spans="1:7" ht="15.75" customHeight="1" outlineLevel="2">
      <c r="A1924" s="613"/>
      <c r="B1924" s="612"/>
      <c r="C1924" s="613" t="s">
        <v>347</v>
      </c>
      <c r="D1924" s="612" t="s">
        <v>348</v>
      </c>
      <c r="E1924" s="613">
        <v>0.5</v>
      </c>
      <c r="F1924" s="611">
        <f>lem_pipa</f>
        <v>37500</v>
      </c>
      <c r="G1924" s="611">
        <f t="shared" si="13"/>
        <v>18750</v>
      </c>
    </row>
    <row r="1925" spans="1:7" ht="15.75" customHeight="1" outlineLevel="2">
      <c r="A1925" s="613"/>
      <c r="B1925" s="612"/>
      <c r="C1925" s="613" t="s">
        <v>349</v>
      </c>
      <c r="D1925" s="612" t="s">
        <v>1</v>
      </c>
      <c r="E1925" s="613">
        <v>5</v>
      </c>
      <c r="F1925" s="611">
        <f>palm_fibre</f>
        <v>24640.000000000004</v>
      </c>
      <c r="G1925" s="611">
        <f t="shared" si="13"/>
        <v>123200.00000000001</v>
      </c>
    </row>
    <row r="1926" spans="1:7" ht="15.75" customHeight="1" outlineLevel="2">
      <c r="A1926" s="613"/>
      <c r="B1926" s="612"/>
      <c r="C1926" s="613" t="s">
        <v>350</v>
      </c>
      <c r="D1926" s="612" t="s">
        <v>40</v>
      </c>
      <c r="E1926" s="613">
        <v>1</v>
      </c>
      <c r="F1926" s="611">
        <f>split_1.2</f>
        <v>291500</v>
      </c>
      <c r="G1926" s="611">
        <f t="shared" si="13"/>
        <v>291500</v>
      </c>
    </row>
    <row r="1927" spans="1:7" ht="15.75" customHeight="1" outlineLevel="2">
      <c r="A1927" s="613"/>
      <c r="B1927" s="612"/>
      <c r="C1927" s="613" t="s">
        <v>351</v>
      </c>
      <c r="D1927" s="612" t="s">
        <v>40</v>
      </c>
      <c r="E1927" s="613">
        <v>1.5</v>
      </c>
      <c r="F1927" s="611">
        <f>K_100</f>
        <v>710224.707936508</v>
      </c>
      <c r="G1927" s="611">
        <f t="shared" si="13"/>
        <v>1065337.0619047619</v>
      </c>
    </row>
    <row r="1928" spans="1:7" ht="15.75" customHeight="1" outlineLevel="2">
      <c r="A1928" s="613"/>
      <c r="B1928" s="612"/>
      <c r="C1928" s="613" t="s">
        <v>352</v>
      </c>
      <c r="D1928" s="612" t="s">
        <v>40</v>
      </c>
      <c r="E1928" s="613">
        <f>1.5*0.2*1</f>
        <v>0.30000000000000004</v>
      </c>
      <c r="F1928" s="611">
        <f>K_175+100*ahs_besi_polos_kg</f>
        <v>2924267.9923809525</v>
      </c>
      <c r="G1928" s="611">
        <f t="shared" si="13"/>
        <v>877280.39771428588</v>
      </c>
    </row>
    <row r="1929" spans="1:7" ht="15.75" customHeight="1" outlineLevel="2">
      <c r="A1929" s="613"/>
      <c r="B1929" s="612"/>
      <c r="C1929" s="613"/>
      <c r="D1929" s="612"/>
      <c r="E1929" s="613"/>
      <c r="F1929" s="611"/>
      <c r="G1929" s="611"/>
    </row>
    <row r="1930" spans="1:7" ht="15.75" customHeight="1" outlineLevel="2">
      <c r="A1930" s="613"/>
      <c r="B1930" s="612"/>
      <c r="C1930" s="613" t="s">
        <v>31</v>
      </c>
      <c r="D1930" s="612"/>
      <c r="E1930" s="613"/>
      <c r="F1930" s="611"/>
      <c r="G1930" s="611"/>
    </row>
    <row r="1931" spans="1:7" ht="15.75" customHeight="1" outlineLevel="2">
      <c r="A1931" s="613"/>
      <c r="B1931" s="612"/>
      <c r="C1931" s="613" t="s">
        <v>32</v>
      </c>
      <c r="D1931" s="612" t="s">
        <v>33</v>
      </c>
      <c r="E1931" s="613">
        <v>1.1499999999999999</v>
      </c>
      <c r="F1931" s="611">
        <f>worker</f>
        <v>107800.00000000001</v>
      </c>
      <c r="G1931" s="611">
        <f>F1931*E1931</f>
        <v>123970</v>
      </c>
    </row>
    <row r="1932" spans="1:7" ht="15.75" customHeight="1" outlineLevel="2">
      <c r="A1932" s="613"/>
      <c r="B1932" s="612"/>
      <c r="C1932" s="613" t="s">
        <v>34</v>
      </c>
      <c r="D1932" s="612" t="s">
        <v>33</v>
      </c>
      <c r="E1932" s="613">
        <v>3.2</v>
      </c>
      <c r="F1932" s="611">
        <f>brick_layer</f>
        <v>107800.00000000001</v>
      </c>
      <c r="G1932" s="611">
        <f>F1932*E1932</f>
        <v>344960.00000000006</v>
      </c>
    </row>
    <row r="1933" spans="1:7" ht="15.75" customHeight="1" outlineLevel="2">
      <c r="A1933" s="613"/>
      <c r="B1933" s="612"/>
      <c r="C1933" s="613" t="s">
        <v>353</v>
      </c>
      <c r="D1933" s="612" t="s">
        <v>33</v>
      </c>
      <c r="E1933" s="613">
        <v>1.6E-2</v>
      </c>
      <c r="F1933" s="611">
        <f>brick_layer_chief</f>
        <v>119350.00000000001</v>
      </c>
      <c r="G1933" s="611">
        <f>F1933*E1933</f>
        <v>1909.6000000000004</v>
      </c>
    </row>
    <row r="1934" spans="1:7" ht="15.75" customHeight="1" outlineLevel="2">
      <c r="A1934" s="613"/>
      <c r="B1934" s="612"/>
      <c r="C1934" s="613" t="s">
        <v>36</v>
      </c>
      <c r="D1934" s="612" t="s">
        <v>33</v>
      </c>
      <c r="E1934" s="613">
        <v>1.0999999999999999E-2</v>
      </c>
      <c r="F1934" s="611">
        <f>supervisor</f>
        <v>119350.00000000001</v>
      </c>
      <c r="G1934" s="611">
        <f>F1934*E1934</f>
        <v>1312.8500000000001</v>
      </c>
    </row>
    <row r="1935" spans="1:7" ht="15.75" customHeight="1" outlineLevel="2">
      <c r="A1935" s="613"/>
      <c r="B1935" s="612"/>
      <c r="C1935" s="613"/>
      <c r="D1935" s="612"/>
      <c r="E1935" s="613"/>
      <c r="F1935" s="611"/>
      <c r="G1935" s="611"/>
    </row>
    <row r="1936" spans="1:7" ht="16.5" customHeight="1" outlineLevel="1">
      <c r="A1936" s="613" t="s">
        <v>2074</v>
      </c>
      <c r="B1936" s="612">
        <f>B1915+1</f>
        <v>42</v>
      </c>
      <c r="C1936" s="613" t="s">
        <v>466</v>
      </c>
      <c r="D1936" s="612" t="s">
        <v>2</v>
      </c>
      <c r="E1936" s="613"/>
      <c r="F1936" s="611"/>
      <c r="G1936" s="605">
        <f>G1955</f>
        <v>15387772.30115556</v>
      </c>
    </row>
    <row r="1937" spans="1:11" ht="15.75" hidden="1" customHeight="1" outlineLevel="2">
      <c r="A1937" s="613"/>
      <c r="B1937" s="612"/>
      <c r="C1937" s="613"/>
      <c r="D1937" s="612"/>
      <c r="E1937" s="613"/>
      <c r="F1937" s="611"/>
      <c r="G1937" s="611"/>
      <c r="K1937" s="633" t="e">
        <f>#REF!/6944</f>
        <v>#REF!</v>
      </c>
    </row>
    <row r="1938" spans="1:11" ht="15.75" hidden="1" customHeight="1" outlineLevel="2">
      <c r="A1938" s="613"/>
      <c r="B1938" s="612"/>
      <c r="C1938" s="613" t="s">
        <v>75</v>
      </c>
      <c r="D1938" s="612"/>
      <c r="E1938" s="613"/>
      <c r="F1938" s="611"/>
      <c r="G1938" s="611"/>
    </row>
    <row r="1939" spans="1:11" ht="15.75" hidden="1" customHeight="1" outlineLevel="2">
      <c r="A1939" s="613"/>
      <c r="B1939" s="612"/>
      <c r="C1939" s="613" t="s">
        <v>1444</v>
      </c>
      <c r="D1939" s="612" t="s">
        <v>2</v>
      </c>
      <c r="E1939" s="613">
        <v>1</v>
      </c>
      <c r="F1939" s="611">
        <f>water_torn_2m3</f>
        <v>3575000.0000000005</v>
      </c>
      <c r="G1939" s="611">
        <f t="shared" ref="G1939:G1948" si="14">F1939*E1939</f>
        <v>3575000.0000000005</v>
      </c>
    </row>
    <row r="1940" spans="1:11" ht="15.75" hidden="1" customHeight="1" outlineLevel="2">
      <c r="A1940" s="613"/>
      <c r="B1940" s="612"/>
      <c r="C1940" s="613" t="s">
        <v>344</v>
      </c>
      <c r="D1940" s="612" t="s">
        <v>50</v>
      </c>
      <c r="E1940" s="613">
        <v>2.5</v>
      </c>
      <c r="F1940" s="611">
        <f>pvc_dia1</f>
        <v>12100.000000000002</v>
      </c>
      <c r="G1940" s="611">
        <f t="shared" si="14"/>
        <v>30250.000000000004</v>
      </c>
    </row>
    <row r="1941" spans="1:11" ht="15.75" hidden="1" customHeight="1" outlineLevel="2">
      <c r="A1941" s="613"/>
      <c r="B1941" s="612"/>
      <c r="C1941" s="613" t="s">
        <v>345</v>
      </c>
      <c r="D1941" s="612" t="s">
        <v>2</v>
      </c>
      <c r="E1941" s="613">
        <v>5</v>
      </c>
      <c r="F1941" s="611">
        <f>Elbow_1</f>
        <v>12100.000000000002</v>
      </c>
      <c r="G1941" s="611">
        <f t="shared" si="14"/>
        <v>60500.000000000007</v>
      </c>
    </row>
    <row r="1942" spans="1:11" ht="15.75" hidden="1" customHeight="1" outlineLevel="2">
      <c r="A1942" s="613"/>
      <c r="B1942" s="612"/>
      <c r="C1942" s="613" t="s">
        <v>1445</v>
      </c>
      <c r="D1942" s="612" t="s">
        <v>2</v>
      </c>
      <c r="E1942" s="613">
        <v>5</v>
      </c>
      <c r="F1942" s="611">
        <f>knee_1</f>
        <v>3500</v>
      </c>
      <c r="G1942" s="611">
        <f t="shared" si="14"/>
        <v>17500</v>
      </c>
    </row>
    <row r="1943" spans="1:11" ht="15.75" hidden="1" customHeight="1" outlineLevel="2">
      <c r="A1943" s="613"/>
      <c r="B1943" s="612"/>
      <c r="C1943" s="613" t="s">
        <v>346</v>
      </c>
      <c r="D1943" s="612" t="s">
        <v>2</v>
      </c>
      <c r="E1943" s="613">
        <v>2</v>
      </c>
      <c r="F1943" s="611">
        <f>pipa_tape</f>
        <v>3500</v>
      </c>
      <c r="G1943" s="611">
        <f t="shared" si="14"/>
        <v>7000</v>
      </c>
    </row>
    <row r="1944" spans="1:11" ht="15.75" hidden="1" customHeight="1" outlineLevel="2">
      <c r="A1944" s="613"/>
      <c r="B1944" s="612"/>
      <c r="C1944" s="613" t="s">
        <v>347</v>
      </c>
      <c r="D1944" s="612" t="s">
        <v>348</v>
      </c>
      <c r="E1944" s="613">
        <v>1</v>
      </c>
      <c r="F1944" s="611">
        <f>lem_pipa</f>
        <v>37500</v>
      </c>
      <c r="G1944" s="611">
        <f t="shared" si="14"/>
        <v>37500</v>
      </c>
    </row>
    <row r="1945" spans="1:11" ht="15.75" hidden="1" customHeight="1" outlineLevel="2">
      <c r="A1945" s="613"/>
      <c r="B1945" s="612"/>
      <c r="C1945" s="613" t="s">
        <v>1446</v>
      </c>
      <c r="D1945" s="612" t="s">
        <v>1</v>
      </c>
      <c r="E1945" s="613">
        <v>450</v>
      </c>
      <c r="F1945" s="611">
        <f>profil_siku_kg</f>
        <v>15950.000000000002</v>
      </c>
      <c r="G1945" s="611">
        <f t="shared" si="14"/>
        <v>7177500.0000000009</v>
      </c>
    </row>
    <row r="1946" spans="1:11" ht="15.75" hidden="1" customHeight="1" outlineLevel="2">
      <c r="A1946" s="613"/>
      <c r="B1946" s="612"/>
      <c r="C1946" s="613" t="s">
        <v>1447</v>
      </c>
      <c r="D1946" s="612" t="s">
        <v>40</v>
      </c>
      <c r="E1946" s="613">
        <v>1.1200000000000001</v>
      </c>
      <c r="F1946" s="611">
        <f>K_300+100*ahs_besi_ulir_kg+ahs_formwork_foundation_multiplex</f>
        <v>3273592.4117460321</v>
      </c>
      <c r="G1946" s="611">
        <f t="shared" si="14"/>
        <v>3666423.5011555562</v>
      </c>
    </row>
    <row r="1947" spans="1:11" ht="15.75" hidden="1" customHeight="1" outlineLevel="2">
      <c r="A1947" s="613"/>
      <c r="B1947" s="612"/>
      <c r="C1947" s="613" t="s">
        <v>1448</v>
      </c>
      <c r="D1947" s="612" t="s">
        <v>40</v>
      </c>
      <c r="E1947" s="613">
        <v>2.5</v>
      </c>
      <c r="F1947" s="611">
        <f>ahs_excavation_manual_2m</f>
        <v>102390.75000000001</v>
      </c>
      <c r="G1947" s="611">
        <f t="shared" si="14"/>
        <v>255976.87500000003</v>
      </c>
    </row>
    <row r="1948" spans="1:11" ht="15.75" hidden="1" customHeight="1" outlineLevel="2">
      <c r="A1948" s="613"/>
      <c r="B1948" s="612"/>
      <c r="C1948" s="613" t="s">
        <v>1449</v>
      </c>
      <c r="D1948" s="612" t="s">
        <v>40</v>
      </c>
      <c r="E1948" s="613">
        <v>1.5</v>
      </c>
      <c r="F1948" s="611">
        <f>ahs_back_filling</f>
        <v>62462.950000000012</v>
      </c>
      <c r="G1948" s="611">
        <f t="shared" si="14"/>
        <v>93694.425000000017</v>
      </c>
    </row>
    <row r="1949" spans="1:11" ht="15.75" hidden="1" customHeight="1" outlineLevel="2">
      <c r="A1949" s="613"/>
      <c r="B1949" s="612"/>
      <c r="C1949" s="613"/>
      <c r="D1949" s="612"/>
      <c r="E1949" s="613"/>
      <c r="F1949" s="611"/>
      <c r="G1949" s="611"/>
    </row>
    <row r="1950" spans="1:11" ht="15.75" hidden="1" customHeight="1" outlineLevel="2">
      <c r="A1950" s="613"/>
      <c r="B1950" s="612"/>
      <c r="C1950" s="613" t="s">
        <v>31</v>
      </c>
      <c r="D1950" s="612"/>
      <c r="E1950" s="613"/>
      <c r="F1950" s="611"/>
      <c r="G1950" s="611"/>
    </row>
    <row r="1951" spans="1:11" ht="15.75" hidden="1" customHeight="1" outlineLevel="2">
      <c r="A1951" s="613"/>
      <c r="B1951" s="612"/>
      <c r="C1951" s="613" t="s">
        <v>32</v>
      </c>
      <c r="D1951" s="612" t="s">
        <v>33</v>
      </c>
      <c r="E1951" s="613">
        <v>2</v>
      </c>
      <c r="F1951" s="611">
        <f>worker</f>
        <v>107800.00000000001</v>
      </c>
      <c r="G1951" s="611">
        <f>F1951*E1951</f>
        <v>215600.00000000003</v>
      </c>
    </row>
    <row r="1952" spans="1:11" ht="15.75" hidden="1" customHeight="1" outlineLevel="2">
      <c r="A1952" s="613"/>
      <c r="B1952" s="612"/>
      <c r="C1952" s="613" t="s">
        <v>233</v>
      </c>
      <c r="D1952" s="612" t="s">
        <v>33</v>
      </c>
      <c r="E1952" s="613">
        <v>1</v>
      </c>
      <c r="F1952" s="611">
        <f>steel_worker</f>
        <v>119350.00000000001</v>
      </c>
      <c r="G1952" s="611">
        <f>F1952*E1952</f>
        <v>119350.00000000001</v>
      </c>
    </row>
    <row r="1953" spans="1:12" ht="15.75" hidden="1" customHeight="1" outlineLevel="2">
      <c r="A1953" s="613"/>
      <c r="B1953" s="612"/>
      <c r="C1953" s="613" t="s">
        <v>881</v>
      </c>
      <c r="D1953" s="612" t="s">
        <v>33</v>
      </c>
      <c r="E1953" s="613">
        <v>0.5</v>
      </c>
      <c r="F1953" s="611">
        <f>steel_worker_chief</f>
        <v>107800.00000000001</v>
      </c>
      <c r="G1953" s="611">
        <f>F1953*E1953</f>
        <v>53900.000000000007</v>
      </c>
    </row>
    <row r="1954" spans="1:12" ht="15.75" hidden="1" customHeight="1" outlineLevel="2">
      <c r="A1954" s="613"/>
      <c r="B1954" s="612"/>
      <c r="C1954" s="613" t="s">
        <v>36</v>
      </c>
      <c r="D1954" s="612" t="s">
        <v>33</v>
      </c>
      <c r="E1954" s="613">
        <v>0.5</v>
      </c>
      <c r="F1954" s="611">
        <f>supervisor_Asli</f>
        <v>155155</v>
      </c>
      <c r="G1954" s="611">
        <f>F1954*E1954</f>
        <v>77577.5</v>
      </c>
    </row>
    <row r="1955" spans="1:12" ht="15.75" hidden="1" customHeight="1" outlineLevel="2">
      <c r="A1955" s="613"/>
      <c r="B1955" s="612"/>
      <c r="C1955" s="613"/>
      <c r="D1955" s="612"/>
      <c r="E1955" s="613"/>
      <c r="F1955" s="611"/>
      <c r="G1955" s="611">
        <f>SUM(G1937:G1954)</f>
        <v>15387772.30115556</v>
      </c>
    </row>
    <row r="1956" spans="1:12" ht="16.5" customHeight="1" outlineLevel="1" collapsed="1">
      <c r="A1956" s="613" t="s">
        <v>2074</v>
      </c>
      <c r="B1956" s="612">
        <f>B1936+1</f>
        <v>43</v>
      </c>
      <c r="C1956" s="613" t="s">
        <v>1690</v>
      </c>
      <c r="D1956" s="612" t="s">
        <v>4</v>
      </c>
      <c r="E1956" s="613"/>
      <c r="F1956" s="611"/>
      <c r="G1956" s="605">
        <f>SUM(G1957:G1966)</f>
        <v>16257.737500000001</v>
      </c>
    </row>
    <row r="1957" spans="1:12" ht="15.75" hidden="1" customHeight="1" outlineLevel="2">
      <c r="A1957" s="613"/>
      <c r="B1957" s="612"/>
      <c r="C1957" s="613" t="s">
        <v>857</v>
      </c>
      <c r="D1957" s="612" t="s">
        <v>40</v>
      </c>
      <c r="E1957" s="613">
        <v>0.01</v>
      </c>
      <c r="F1957" s="611">
        <f>ahs_excavation_manual_1m</f>
        <v>83833.750000000015</v>
      </c>
      <c r="G1957" s="611">
        <f>F1957*E1957</f>
        <v>838.3375000000002</v>
      </c>
      <c r="L1957" s="633" t="e">
        <f>#REF!*5.5</f>
        <v>#REF!</v>
      </c>
    </row>
    <row r="1958" spans="1:12" ht="15.75" hidden="1" customHeight="1" outlineLevel="2">
      <c r="A1958" s="613"/>
      <c r="B1958" s="612"/>
      <c r="C1958" s="613"/>
      <c r="D1958" s="612"/>
      <c r="E1958" s="613"/>
      <c r="F1958" s="611"/>
      <c r="G1958" s="611"/>
      <c r="K1958" s="633" t="e">
        <f>#REF!/6944</f>
        <v>#REF!</v>
      </c>
    </row>
    <row r="1959" spans="1:12" ht="15.75" hidden="1" customHeight="1" outlineLevel="2">
      <c r="A1959" s="613"/>
      <c r="B1959" s="612"/>
      <c r="C1959" s="613" t="s">
        <v>75</v>
      </c>
      <c r="D1959" s="612"/>
      <c r="E1959" s="613"/>
      <c r="F1959" s="611"/>
      <c r="G1959" s="611"/>
    </row>
    <row r="1960" spans="1:12" ht="15.75" hidden="1" customHeight="1" outlineLevel="2">
      <c r="A1960" s="613"/>
      <c r="B1960" s="612"/>
      <c r="C1960" s="613" t="s">
        <v>858</v>
      </c>
      <c r="D1960" s="612" t="s">
        <v>210</v>
      </c>
      <c r="E1960" s="613">
        <v>0.1</v>
      </c>
      <c r="F1960" s="611">
        <v>15000</v>
      </c>
      <c r="G1960" s="611">
        <f>E1960*F1960</f>
        <v>1500</v>
      </c>
    </row>
    <row r="1961" spans="1:12" ht="15.75" hidden="1" customHeight="1" outlineLevel="2">
      <c r="A1961" s="613"/>
      <c r="B1961" s="612"/>
      <c r="C1961" s="613" t="s">
        <v>859</v>
      </c>
      <c r="D1961" s="612" t="s">
        <v>861</v>
      </c>
      <c r="E1961" s="613">
        <v>0.04</v>
      </c>
      <c r="F1961" s="611">
        <f>pupuk_kandang_7kg</f>
        <v>22000</v>
      </c>
      <c r="G1961" s="611">
        <f>E1961*F1961</f>
        <v>880</v>
      </c>
    </row>
    <row r="1962" spans="1:12" ht="15.75" hidden="1" customHeight="1" outlineLevel="2">
      <c r="A1962" s="613"/>
      <c r="B1962" s="612"/>
      <c r="C1962" s="613" t="s">
        <v>860</v>
      </c>
      <c r="D1962" s="612" t="s">
        <v>4</v>
      </c>
      <c r="E1962" s="613">
        <v>0.5</v>
      </c>
      <c r="F1962" s="611">
        <f>rumput_gajah_mini</f>
        <v>16500</v>
      </c>
      <c r="G1962" s="611">
        <f>E1962*F1962</f>
        <v>8250</v>
      </c>
    </row>
    <row r="1963" spans="1:12" ht="15.75" hidden="1" customHeight="1" outlineLevel="2">
      <c r="A1963" s="613"/>
      <c r="B1963" s="612"/>
      <c r="C1963" s="613"/>
      <c r="D1963" s="612"/>
      <c r="E1963" s="613"/>
      <c r="F1963" s="611"/>
      <c r="G1963" s="611"/>
    </row>
    <row r="1964" spans="1:12" ht="15.75" hidden="1" customHeight="1" outlineLevel="2">
      <c r="A1964" s="613"/>
      <c r="B1964" s="612"/>
      <c r="C1964" s="613" t="s">
        <v>31</v>
      </c>
      <c r="D1964" s="612"/>
      <c r="E1964" s="613"/>
      <c r="F1964" s="611"/>
      <c r="G1964" s="611"/>
    </row>
    <row r="1965" spans="1:12" ht="15.75" hidden="1" customHeight="1" outlineLevel="2">
      <c r="A1965" s="613"/>
      <c r="B1965" s="612"/>
      <c r="C1965" s="613" t="s">
        <v>32</v>
      </c>
      <c r="D1965" s="612" t="s">
        <v>33</v>
      </c>
      <c r="E1965" s="613">
        <v>0.04</v>
      </c>
      <c r="F1965" s="611">
        <f>worker</f>
        <v>107800.00000000001</v>
      </c>
      <c r="G1965" s="611">
        <f>F1965*E1965</f>
        <v>4312.0000000000009</v>
      </c>
    </row>
    <row r="1966" spans="1:12" ht="15.75" hidden="1" customHeight="1" outlineLevel="2">
      <c r="A1966" s="613"/>
      <c r="B1966" s="612"/>
      <c r="C1966" s="613" t="s">
        <v>36</v>
      </c>
      <c r="D1966" s="612" t="s">
        <v>33</v>
      </c>
      <c r="E1966" s="613">
        <v>4.0000000000000001E-3</v>
      </c>
      <c r="F1966" s="611">
        <f>supervisor</f>
        <v>119350.00000000001</v>
      </c>
      <c r="G1966" s="611">
        <f>F1966*E1966</f>
        <v>477.40000000000009</v>
      </c>
    </row>
    <row r="1967" spans="1:12" ht="15.75" hidden="1" customHeight="1" outlineLevel="2">
      <c r="A1967" s="613"/>
      <c r="B1967" s="612"/>
      <c r="C1967" s="613"/>
      <c r="D1967" s="612"/>
      <c r="E1967" s="613"/>
      <c r="F1967" s="611"/>
      <c r="G1967" s="611">
        <f>SUM(G1957:G1966)</f>
        <v>16257.737500000001</v>
      </c>
    </row>
    <row r="1968" spans="1:12" ht="17.25" customHeight="1" outlineLevel="1" collapsed="1">
      <c r="A1968" s="613" t="s">
        <v>2074</v>
      </c>
      <c r="B1968" s="612">
        <f>B1956+1</f>
        <v>44</v>
      </c>
      <c r="C1968" s="613" t="s">
        <v>1689</v>
      </c>
      <c r="D1968" s="612" t="s">
        <v>4</v>
      </c>
      <c r="E1968" s="613"/>
      <c r="F1968" s="611"/>
      <c r="G1968" s="605">
        <f>G1986</f>
        <v>217680.24500000002</v>
      </c>
    </row>
    <row r="1969" spans="1:12" ht="15.75" hidden="1" customHeight="1" outlineLevel="2">
      <c r="A1969" s="613"/>
      <c r="B1969" s="612"/>
      <c r="C1969" s="613" t="s">
        <v>875</v>
      </c>
      <c r="D1969" s="612" t="s">
        <v>210</v>
      </c>
      <c r="E1969" s="613">
        <v>1</v>
      </c>
      <c r="F1969" s="611">
        <v>20000</v>
      </c>
      <c r="G1969" s="611">
        <f t="shared" ref="G1969:G1985" si="15">F1969*E1969</f>
        <v>20000</v>
      </c>
      <c r="L1969" s="633" t="e">
        <f>#REF!*5.5</f>
        <v>#REF!</v>
      </c>
    </row>
    <row r="1970" spans="1:12" ht="15.75" hidden="1" customHeight="1" outlineLevel="2">
      <c r="A1970" s="613"/>
      <c r="B1970" s="612"/>
      <c r="C1970" s="613"/>
      <c r="D1970" s="612"/>
      <c r="E1970" s="613"/>
      <c r="F1970" s="611"/>
      <c r="G1970" s="611">
        <f t="shared" si="15"/>
        <v>0</v>
      </c>
      <c r="K1970" s="633" t="e">
        <f>#REF!/6944</f>
        <v>#REF!</v>
      </c>
    </row>
    <row r="1971" spans="1:12" ht="15.75" hidden="1" customHeight="1" outlineLevel="2">
      <c r="A1971" s="613"/>
      <c r="B1971" s="612"/>
      <c r="C1971" s="613" t="s">
        <v>75</v>
      </c>
      <c r="D1971" s="612"/>
      <c r="E1971" s="613"/>
      <c r="F1971" s="611"/>
      <c r="G1971" s="611">
        <f t="shared" si="15"/>
        <v>0</v>
      </c>
    </row>
    <row r="1972" spans="1:12" ht="15.75" hidden="1" customHeight="1" outlineLevel="2">
      <c r="A1972" s="613"/>
      <c r="B1972" s="612"/>
      <c r="C1972" s="613" t="s">
        <v>876</v>
      </c>
      <c r="D1972" s="612" t="s">
        <v>194</v>
      </c>
      <c r="E1972" s="613">
        <v>2.8</v>
      </c>
      <c r="F1972" s="611">
        <v>16000</v>
      </c>
      <c r="G1972" s="611">
        <f t="shared" si="15"/>
        <v>44800</v>
      </c>
    </row>
    <row r="1973" spans="1:12" ht="15.75" hidden="1" customHeight="1" outlineLevel="2">
      <c r="A1973" s="613"/>
      <c r="B1973" s="612"/>
      <c r="C1973" s="613" t="s">
        <v>879</v>
      </c>
      <c r="D1973" s="612" t="s">
        <v>194</v>
      </c>
      <c r="E1973" s="613">
        <v>5.0999999999999996</v>
      </c>
      <c r="F1973" s="611">
        <v>9000</v>
      </c>
      <c r="G1973" s="611">
        <f t="shared" si="15"/>
        <v>45900</v>
      </c>
    </row>
    <row r="1974" spans="1:12" ht="15.75" hidden="1" customHeight="1" outlineLevel="2">
      <c r="A1974" s="613"/>
      <c r="B1974" s="612"/>
      <c r="C1974" s="613" t="s">
        <v>877</v>
      </c>
      <c r="D1974" s="612" t="s">
        <v>226</v>
      </c>
      <c r="E1974" s="613">
        <v>25</v>
      </c>
      <c r="F1974" s="611">
        <f>self_drilling_screw_dia.6</f>
        <v>412.50000000000006</v>
      </c>
      <c r="G1974" s="611">
        <f t="shared" si="15"/>
        <v>10312.500000000002</v>
      </c>
    </row>
    <row r="1975" spans="1:12" ht="15.75" hidden="1" customHeight="1" outlineLevel="2">
      <c r="A1975" s="613"/>
      <c r="B1975" s="612"/>
      <c r="C1975" s="613" t="s">
        <v>878</v>
      </c>
      <c r="D1975" s="612" t="s">
        <v>226</v>
      </c>
      <c r="E1975" s="613">
        <v>35</v>
      </c>
      <c r="F1975" s="611">
        <f>self_drilling_screw_dia.4</f>
        <v>385.00000000000006</v>
      </c>
      <c r="G1975" s="611">
        <f t="shared" si="15"/>
        <v>13475.000000000002</v>
      </c>
    </row>
    <row r="1976" spans="1:12" ht="15.75" hidden="1" customHeight="1" outlineLevel="2">
      <c r="A1976" s="613"/>
      <c r="B1976" s="612"/>
      <c r="C1976" s="613" t="s">
        <v>880</v>
      </c>
      <c r="D1976" s="612" t="s">
        <v>226</v>
      </c>
      <c r="E1976" s="613">
        <v>1</v>
      </c>
      <c r="F1976" s="611">
        <f>dyna_bolt_M12</f>
        <v>11000</v>
      </c>
      <c r="G1976" s="611">
        <f t="shared" si="15"/>
        <v>11000</v>
      </c>
    </row>
    <row r="1977" spans="1:12" ht="15.75" hidden="1" customHeight="1" outlineLevel="2">
      <c r="A1977" s="613"/>
      <c r="B1977" s="612"/>
      <c r="C1977" s="613"/>
      <c r="D1977" s="612"/>
      <c r="E1977" s="613"/>
      <c r="F1977" s="611"/>
      <c r="G1977" s="611">
        <f t="shared" si="15"/>
        <v>0</v>
      </c>
    </row>
    <row r="1978" spans="1:12" ht="15.75" hidden="1" customHeight="1" outlineLevel="2">
      <c r="A1978" s="613"/>
      <c r="B1978" s="612"/>
      <c r="C1978" s="613" t="s">
        <v>31</v>
      </c>
      <c r="D1978" s="612"/>
      <c r="E1978" s="613"/>
      <c r="F1978" s="611"/>
      <c r="G1978" s="611">
        <f t="shared" si="15"/>
        <v>0</v>
      </c>
    </row>
    <row r="1979" spans="1:12" ht="15.75" hidden="1" customHeight="1" outlineLevel="2">
      <c r="A1979" s="613"/>
      <c r="B1979" s="612"/>
      <c r="C1979" s="613" t="s">
        <v>32</v>
      </c>
      <c r="D1979" s="612" t="s">
        <v>33</v>
      </c>
      <c r="E1979" s="613">
        <v>0.247</v>
      </c>
      <c r="F1979" s="611">
        <f>worker</f>
        <v>107800.00000000001</v>
      </c>
      <c r="G1979" s="611">
        <f t="shared" si="15"/>
        <v>26626.600000000002</v>
      </c>
    </row>
    <row r="1980" spans="1:12" ht="15.75" hidden="1" customHeight="1" outlineLevel="2">
      <c r="A1980" s="613"/>
      <c r="B1980" s="612"/>
      <c r="C1980" s="613" t="s">
        <v>36</v>
      </c>
      <c r="D1980" s="612" t="s">
        <v>33</v>
      </c>
      <c r="E1980" s="613">
        <v>2.47E-2</v>
      </c>
      <c r="F1980" s="611">
        <f>supervisor</f>
        <v>119350.00000000001</v>
      </c>
      <c r="G1980" s="611">
        <f t="shared" si="15"/>
        <v>2947.9450000000002</v>
      </c>
    </row>
    <row r="1981" spans="1:12" ht="15.75" hidden="1" customHeight="1" outlineLevel="2">
      <c r="A1981" s="613"/>
      <c r="B1981" s="612"/>
      <c r="C1981" s="613" t="s">
        <v>233</v>
      </c>
      <c r="D1981" s="612" t="s">
        <v>33</v>
      </c>
      <c r="E1981" s="613">
        <v>0.17599999999999999</v>
      </c>
      <c r="F1981" s="611">
        <f>steel_worker</f>
        <v>119350.00000000001</v>
      </c>
      <c r="G1981" s="611">
        <f t="shared" si="15"/>
        <v>21005.600000000002</v>
      </c>
    </row>
    <row r="1982" spans="1:12" ht="15.75" hidden="1" customHeight="1" outlineLevel="2">
      <c r="A1982" s="613"/>
      <c r="B1982" s="612"/>
      <c r="C1982" s="613" t="s">
        <v>881</v>
      </c>
      <c r="D1982" s="612" t="s">
        <v>33</v>
      </c>
      <c r="E1982" s="613">
        <v>0.11700000000000001</v>
      </c>
      <c r="F1982" s="611">
        <f>steel_worker_chief</f>
        <v>107800.00000000001</v>
      </c>
      <c r="G1982" s="611">
        <f t="shared" si="15"/>
        <v>12612.600000000002</v>
      </c>
    </row>
    <row r="1983" spans="1:12" ht="15.75" hidden="1" customHeight="1" outlineLevel="2">
      <c r="A1983" s="613"/>
      <c r="B1983" s="612"/>
      <c r="C1983" s="613"/>
      <c r="D1983" s="612"/>
      <c r="E1983" s="613"/>
      <c r="F1983" s="611"/>
      <c r="G1983" s="611">
        <f t="shared" si="15"/>
        <v>0</v>
      </c>
    </row>
    <row r="1984" spans="1:12" ht="15.75" hidden="1" customHeight="1" outlineLevel="2">
      <c r="A1984" s="613"/>
      <c r="B1984" s="612"/>
      <c r="C1984" s="613" t="s">
        <v>882</v>
      </c>
      <c r="D1984" s="612"/>
      <c r="E1984" s="613"/>
      <c r="F1984" s="611"/>
      <c r="G1984" s="611">
        <f t="shared" si="15"/>
        <v>0</v>
      </c>
    </row>
    <row r="1985" spans="1:11" ht="15.75" hidden="1" customHeight="1" outlineLevel="2">
      <c r="A1985" s="613"/>
      <c r="B1985" s="612"/>
      <c r="C1985" s="613" t="s">
        <v>883</v>
      </c>
      <c r="D1985" s="612" t="s">
        <v>210</v>
      </c>
      <c r="E1985" s="613">
        <v>1</v>
      </c>
      <c r="F1985" s="611">
        <v>9000</v>
      </c>
      <c r="G1985" s="611">
        <f t="shared" si="15"/>
        <v>9000</v>
      </c>
    </row>
    <row r="1986" spans="1:11" ht="15.75" hidden="1" customHeight="1" outlineLevel="2">
      <c r="A1986" s="613"/>
      <c r="B1986" s="612"/>
      <c r="C1986" s="613"/>
      <c r="D1986" s="612"/>
      <c r="E1986" s="613"/>
      <c r="F1986" s="611"/>
      <c r="G1986" s="611">
        <f>SUM(G1969:G1985)</f>
        <v>217680.24500000002</v>
      </c>
    </row>
    <row r="1987" spans="1:11" ht="12.75" outlineLevel="1" collapsed="1">
      <c r="A1987" s="613" t="s">
        <v>2074</v>
      </c>
      <c r="B1987" s="612">
        <f>B1968+1</f>
        <v>45</v>
      </c>
      <c r="C1987" s="613" t="s">
        <v>1691</v>
      </c>
      <c r="D1987" s="612" t="s">
        <v>4</v>
      </c>
      <c r="E1987" s="613"/>
      <c r="F1987" s="611"/>
      <c r="G1987" s="605">
        <f>SUM(G1990:G2002)</f>
        <v>181716.22500000001</v>
      </c>
      <c r="I1987" s="633" t="s">
        <v>896</v>
      </c>
    </row>
    <row r="1988" spans="1:11" ht="15.75" hidden="1" customHeight="1" outlineLevel="2">
      <c r="A1988" s="613"/>
      <c r="B1988" s="612"/>
      <c r="C1988" s="613"/>
      <c r="D1988" s="612"/>
      <c r="E1988" s="613"/>
      <c r="F1988" s="611"/>
      <c r="G1988" s="611">
        <f t="shared" ref="G1988:G2002" si="16">F1988*E1988</f>
        <v>0</v>
      </c>
      <c r="K1988" s="633" t="e">
        <f>#REF!/6944</f>
        <v>#REF!</v>
      </c>
    </row>
    <row r="1989" spans="1:11" ht="15.75" hidden="1" customHeight="1" outlineLevel="2">
      <c r="A1989" s="613"/>
      <c r="B1989" s="612"/>
      <c r="C1989" s="613" t="s">
        <v>75</v>
      </c>
      <c r="D1989" s="612"/>
      <c r="E1989" s="613"/>
      <c r="F1989" s="611"/>
      <c r="G1989" s="611">
        <f t="shared" si="16"/>
        <v>0</v>
      </c>
    </row>
    <row r="1990" spans="1:11" ht="15.75" hidden="1" customHeight="1" outlineLevel="2">
      <c r="A1990" s="613"/>
      <c r="B1990" s="612"/>
      <c r="C1990" s="613" t="s">
        <v>897</v>
      </c>
      <c r="D1990" s="612" t="s">
        <v>194</v>
      </c>
      <c r="E1990" s="613">
        <v>3.6</v>
      </c>
      <c r="F1990" s="611">
        <f>plafond_main.tee</f>
        <v>7638.8888888888896</v>
      </c>
      <c r="G1990" s="611">
        <f t="shared" si="16"/>
        <v>27500.000000000004</v>
      </c>
    </row>
    <row r="1991" spans="1:11" ht="15.75" hidden="1" customHeight="1" outlineLevel="2">
      <c r="A1991" s="613"/>
      <c r="B1991" s="612"/>
      <c r="C1991" s="613" t="s">
        <v>898</v>
      </c>
      <c r="D1991" s="612" t="s">
        <v>194</v>
      </c>
      <c r="E1991" s="613">
        <v>0.15</v>
      </c>
      <c r="F1991" s="611">
        <f>28200*1.2*1.1</f>
        <v>37224</v>
      </c>
      <c r="G1991" s="611">
        <f t="shared" si="16"/>
        <v>5583.5999999999995</v>
      </c>
    </row>
    <row r="1992" spans="1:11" ht="15.75" hidden="1" customHeight="1" outlineLevel="2">
      <c r="A1992" s="613"/>
      <c r="B1992" s="612"/>
      <c r="C1992" s="613" t="s">
        <v>899</v>
      </c>
      <c r="D1992" s="612" t="s">
        <v>226</v>
      </c>
      <c r="E1992" s="613">
        <v>1.5</v>
      </c>
      <c r="F1992" s="611">
        <f>panel_acoustic</f>
        <v>34100</v>
      </c>
      <c r="G1992" s="611">
        <f t="shared" si="16"/>
        <v>51150</v>
      </c>
    </row>
    <row r="1993" spans="1:11" ht="15.75" hidden="1" customHeight="1" outlineLevel="2">
      <c r="A1993" s="613"/>
      <c r="B1993" s="612"/>
      <c r="C1993" s="613" t="s">
        <v>880</v>
      </c>
      <c r="D1993" s="612" t="s">
        <v>226</v>
      </c>
      <c r="E1993" s="613">
        <v>1.05</v>
      </c>
      <c r="F1993" s="611">
        <f>dyna_bolt_M12</f>
        <v>11000</v>
      </c>
      <c r="G1993" s="611">
        <f t="shared" si="16"/>
        <v>11550</v>
      </c>
    </row>
    <row r="1994" spans="1:11" ht="15.75" hidden="1" customHeight="1" outlineLevel="2">
      <c r="A1994" s="613"/>
      <c r="B1994" s="612"/>
      <c r="C1994" s="613"/>
      <c r="D1994" s="612"/>
      <c r="E1994" s="613"/>
      <c r="F1994" s="611"/>
      <c r="G1994" s="611">
        <f t="shared" si="16"/>
        <v>0</v>
      </c>
    </row>
    <row r="1995" spans="1:11" ht="15.75" hidden="1" customHeight="1" outlineLevel="2">
      <c r="A1995" s="613"/>
      <c r="B1995" s="612"/>
      <c r="C1995" s="613" t="s">
        <v>31</v>
      </c>
      <c r="D1995" s="612"/>
      <c r="E1995" s="613"/>
      <c r="F1995" s="611"/>
      <c r="G1995" s="611">
        <f t="shared" si="16"/>
        <v>0</v>
      </c>
    </row>
    <row r="1996" spans="1:11" ht="15.75" hidden="1" customHeight="1" outlineLevel="2">
      <c r="A1996" s="613"/>
      <c r="B1996" s="612"/>
      <c r="C1996" s="613" t="s">
        <v>32</v>
      </c>
      <c r="D1996" s="612" t="s">
        <v>33</v>
      </c>
      <c r="E1996" s="613">
        <v>0.15</v>
      </c>
      <c r="F1996" s="611">
        <f>worker</f>
        <v>107800.00000000001</v>
      </c>
      <c r="G1996" s="611">
        <f t="shared" si="16"/>
        <v>16170.000000000002</v>
      </c>
    </row>
    <row r="1997" spans="1:11" ht="15.75" hidden="1" customHeight="1" outlineLevel="2">
      <c r="A1997" s="613"/>
      <c r="B1997" s="612"/>
      <c r="C1997" s="613" t="s">
        <v>36</v>
      </c>
      <c r="D1997" s="612" t="s">
        <v>33</v>
      </c>
      <c r="E1997" s="613">
        <v>7.4999999999999997E-3</v>
      </c>
      <c r="F1997" s="611">
        <f>supervisor</f>
        <v>119350.00000000001</v>
      </c>
      <c r="G1997" s="611">
        <f t="shared" si="16"/>
        <v>895.12500000000011</v>
      </c>
    </row>
    <row r="1998" spans="1:11" ht="15.75" hidden="1" customHeight="1" outlineLevel="2">
      <c r="A1998" s="613"/>
      <c r="B1998" s="612"/>
      <c r="C1998" s="613" t="s">
        <v>45</v>
      </c>
      <c r="D1998" s="612" t="s">
        <v>33</v>
      </c>
      <c r="E1998" s="613">
        <v>0.5</v>
      </c>
      <c r="F1998" s="611">
        <f>carpenter</f>
        <v>107800.00000000001</v>
      </c>
      <c r="G1998" s="611">
        <f t="shared" si="16"/>
        <v>53900.000000000007</v>
      </c>
    </row>
    <row r="1999" spans="1:11" ht="15.75" hidden="1" customHeight="1" outlineLevel="2">
      <c r="A1999" s="613"/>
      <c r="B1999" s="612"/>
      <c r="C1999" s="613" t="s">
        <v>46</v>
      </c>
      <c r="D1999" s="612" t="s">
        <v>33</v>
      </c>
      <c r="E1999" s="613">
        <v>0.05</v>
      </c>
      <c r="F1999" s="611">
        <f>carpenter_chief</f>
        <v>119350.00000000001</v>
      </c>
      <c r="G1999" s="611">
        <f t="shared" si="16"/>
        <v>5967.5000000000009</v>
      </c>
    </row>
    <row r="2000" spans="1:11" ht="15.75" hidden="1" customHeight="1" outlineLevel="2">
      <c r="A2000" s="613"/>
      <c r="B2000" s="612"/>
      <c r="C2000" s="613"/>
      <c r="D2000" s="612"/>
      <c r="E2000" s="613"/>
      <c r="F2000" s="611"/>
      <c r="G2000" s="611">
        <f t="shared" si="16"/>
        <v>0</v>
      </c>
    </row>
    <row r="2001" spans="1:9" ht="15.75" hidden="1" customHeight="1" outlineLevel="2">
      <c r="A2001" s="613"/>
      <c r="B2001" s="612"/>
      <c r="C2001" s="613" t="s">
        <v>882</v>
      </c>
      <c r="D2001" s="612"/>
      <c r="E2001" s="613"/>
      <c r="F2001" s="611"/>
      <c r="G2001" s="611">
        <f t="shared" si="16"/>
        <v>0</v>
      </c>
    </row>
    <row r="2002" spans="1:9" ht="15.75" hidden="1" customHeight="1" outlineLevel="2">
      <c r="A2002" s="613"/>
      <c r="B2002" s="612"/>
      <c r="C2002" s="613" t="s">
        <v>883</v>
      </c>
      <c r="D2002" s="612" t="s">
        <v>210</v>
      </c>
      <c r="E2002" s="613">
        <v>1</v>
      </c>
      <c r="F2002" s="611">
        <v>9000</v>
      </c>
      <c r="G2002" s="611">
        <f t="shared" si="16"/>
        <v>9000</v>
      </c>
    </row>
    <row r="2003" spans="1:9" ht="15.75" customHeight="1" outlineLevel="1" collapsed="1">
      <c r="A2003" s="613" t="s">
        <v>2074</v>
      </c>
      <c r="B2003" s="612"/>
      <c r="C2003" s="613"/>
      <c r="D2003" s="612"/>
      <c r="E2003" s="613"/>
      <c r="F2003" s="611"/>
      <c r="G2003" s="605"/>
    </row>
    <row r="2004" spans="1:9" ht="15.75" customHeight="1" outlineLevel="2" thickBot="1">
      <c r="A2004" s="608"/>
      <c r="B2004" s="607"/>
      <c r="C2004" s="608"/>
      <c r="D2004" s="607"/>
      <c r="E2004" s="608"/>
      <c r="F2004" s="606"/>
      <c r="G2004" s="606"/>
    </row>
    <row r="2005" spans="1:9" ht="15.75" customHeight="1" thickBot="1">
      <c r="A2005" s="1218" t="s">
        <v>1420</v>
      </c>
      <c r="B2005" s="1219"/>
      <c r="C2005" s="1219"/>
      <c r="D2005" s="1219"/>
      <c r="E2005" s="1219"/>
      <c r="F2005" s="1219"/>
      <c r="G2005" s="1220"/>
    </row>
    <row r="2006" spans="1:9" ht="15.75" customHeight="1" outlineLevel="1" collapsed="1">
      <c r="A2006" s="616" t="s">
        <v>2074</v>
      </c>
      <c r="B2006" s="615">
        <v>1</v>
      </c>
      <c r="C2006" s="616" t="s">
        <v>1965</v>
      </c>
      <c r="D2006" s="615" t="s">
        <v>4</v>
      </c>
      <c r="E2006" s="616"/>
      <c r="F2006" s="614"/>
      <c r="G2006" s="605">
        <f>G2021</f>
        <v>430066.92255000002</v>
      </c>
      <c r="I2006" s="633" t="s">
        <v>124</v>
      </c>
    </row>
    <row r="2007" spans="1:9" ht="15.75" hidden="1" customHeight="1" outlineLevel="2">
      <c r="A2007" s="613"/>
      <c r="B2007" s="612"/>
      <c r="C2007" s="613" t="s">
        <v>4297</v>
      </c>
      <c r="D2007" s="612"/>
      <c r="E2007" s="613"/>
      <c r="F2007" s="611"/>
      <c r="G2007" s="611"/>
    </row>
    <row r="2008" spans="1:9" ht="15.75" hidden="1" customHeight="1" outlineLevel="2">
      <c r="A2008" s="613"/>
      <c r="B2008" s="612"/>
      <c r="C2008" s="613" t="s">
        <v>354</v>
      </c>
      <c r="D2008" s="612"/>
      <c r="E2008" s="613"/>
      <c r="F2008" s="611"/>
      <c r="G2008" s="611"/>
    </row>
    <row r="2009" spans="1:9" ht="15.75" hidden="1" customHeight="1" outlineLevel="2">
      <c r="A2009" s="613"/>
      <c r="B2009" s="612"/>
      <c r="C2009" s="613" t="s">
        <v>355</v>
      </c>
      <c r="D2009" s="612" t="s">
        <v>4288</v>
      </c>
      <c r="E2009" s="613">
        <v>1</v>
      </c>
      <c r="F2009" s="611">
        <f>G138</f>
        <v>102390.75000000001</v>
      </c>
      <c r="G2009" s="611">
        <f>F2009*E2009</f>
        <v>102390.75000000001</v>
      </c>
    </row>
    <row r="2010" spans="1:9" ht="15.75" hidden="1" customHeight="1" outlineLevel="2">
      <c r="A2010" s="613"/>
      <c r="B2010" s="612"/>
      <c r="C2010" s="613" t="s">
        <v>356</v>
      </c>
      <c r="D2010" s="612" t="s">
        <v>4288</v>
      </c>
      <c r="E2010" s="613">
        <v>1</v>
      </c>
      <c r="F2010" s="611">
        <f>ahs_back_filling</f>
        <v>62462.950000000012</v>
      </c>
      <c r="G2010" s="611">
        <f>F2010*E2010</f>
        <v>62462.950000000012</v>
      </c>
    </row>
    <row r="2011" spans="1:9" ht="15.75" hidden="1" customHeight="1" outlineLevel="2">
      <c r="A2011" s="613"/>
      <c r="B2011" s="612"/>
      <c r="C2011" s="613" t="s">
        <v>357</v>
      </c>
      <c r="D2011" s="612"/>
      <c r="E2011" s="613"/>
      <c r="F2011" s="611"/>
      <c r="G2011" s="611"/>
    </row>
    <row r="2012" spans="1:9" ht="15.75" hidden="1" customHeight="1" outlineLevel="2">
      <c r="A2012" s="613"/>
      <c r="B2012" s="612"/>
      <c r="C2012" s="613" t="s">
        <v>358</v>
      </c>
      <c r="D2012" s="612" t="s">
        <v>4288</v>
      </c>
      <c r="E2012" s="613">
        <v>0.36</v>
      </c>
      <c r="F2012" s="611">
        <f>'[54]Basic price '!E16</f>
        <v>283500</v>
      </c>
      <c r="G2012" s="611">
        <f>F2012*E2012</f>
        <v>102060</v>
      </c>
    </row>
    <row r="2013" spans="1:9" ht="15.75" hidden="1" customHeight="1" outlineLevel="2">
      <c r="A2013" s="613"/>
      <c r="B2013" s="612"/>
      <c r="C2013" s="613" t="s">
        <v>359</v>
      </c>
      <c r="D2013" s="612"/>
      <c r="E2013" s="613"/>
      <c r="F2013" s="611"/>
      <c r="G2013" s="611"/>
    </row>
    <row r="2014" spans="1:9" ht="15.75" hidden="1" customHeight="1" outlineLevel="2">
      <c r="A2014" s="613"/>
      <c r="B2014" s="612"/>
      <c r="C2014" s="613" t="s">
        <v>360</v>
      </c>
      <c r="D2014" s="612" t="s">
        <v>4288</v>
      </c>
      <c r="E2014" s="613">
        <v>0.27500000000000002</v>
      </c>
      <c r="F2014" s="611">
        <f>'[54]Basic price '!E12</f>
        <v>290823.33</v>
      </c>
      <c r="G2014" s="611">
        <f>F2014*E2014</f>
        <v>79976.415750000015</v>
      </c>
    </row>
    <row r="2015" spans="1:9" ht="15.75" hidden="1" customHeight="1" outlineLevel="2">
      <c r="A2015" s="613"/>
      <c r="B2015" s="612"/>
      <c r="C2015" s="613"/>
      <c r="D2015" s="612"/>
      <c r="E2015" s="613"/>
      <c r="F2015" s="611"/>
      <c r="G2015" s="611"/>
    </row>
    <row r="2016" spans="1:9" ht="15.75" hidden="1" customHeight="1" outlineLevel="2">
      <c r="A2016" s="613"/>
      <c r="B2016" s="612"/>
      <c r="C2016" s="613" t="s">
        <v>31</v>
      </c>
      <c r="D2016" s="612"/>
      <c r="E2016" s="613"/>
      <c r="F2016" s="611"/>
      <c r="G2016" s="611"/>
    </row>
    <row r="2017" spans="1:9" ht="15.75" hidden="1" customHeight="1" outlineLevel="2">
      <c r="A2017" s="613"/>
      <c r="B2017" s="612"/>
      <c r="C2017" s="613"/>
      <c r="D2017" s="612"/>
      <c r="E2017" s="613"/>
      <c r="F2017" s="611"/>
      <c r="G2017" s="611"/>
    </row>
    <row r="2018" spans="1:9" ht="15.75" hidden="1" customHeight="1" outlineLevel="2">
      <c r="A2018" s="613"/>
      <c r="B2018" s="612"/>
      <c r="C2018" s="613" t="s">
        <v>32</v>
      </c>
      <c r="D2018" s="612" t="s">
        <v>33</v>
      </c>
      <c r="E2018" s="613">
        <v>0.67500000000000004</v>
      </c>
      <c r="F2018" s="611">
        <f>'[54]Basic price '!E211</f>
        <v>102920</v>
      </c>
      <c r="G2018" s="611">
        <f>F2018*E2018</f>
        <v>69471</v>
      </c>
    </row>
    <row r="2019" spans="1:9" ht="15.75" hidden="1" customHeight="1" outlineLevel="2">
      <c r="A2019" s="613"/>
      <c r="B2019" s="612"/>
      <c r="C2019" s="613" t="s">
        <v>36</v>
      </c>
      <c r="D2019" s="612" t="s">
        <v>33</v>
      </c>
      <c r="E2019" s="613">
        <v>6.2799999999999995E-2</v>
      </c>
      <c r="F2019" s="611">
        <f>'[54]Basic price '!E213</f>
        <v>157901</v>
      </c>
      <c r="G2019" s="611">
        <f>F2019*E2019</f>
        <v>9916.1827999999987</v>
      </c>
    </row>
    <row r="2020" spans="1:9" ht="15.75" hidden="1" customHeight="1" outlineLevel="2">
      <c r="A2020" s="613"/>
      <c r="B2020" s="612"/>
      <c r="C2020" s="613" t="s">
        <v>361</v>
      </c>
      <c r="D2020" s="612" t="s">
        <v>72</v>
      </c>
      <c r="E2020" s="613">
        <v>2.4E-2</v>
      </c>
      <c r="F2020" s="611">
        <f>'[54]Basic price '!E214</f>
        <v>157901</v>
      </c>
      <c r="G2020" s="611">
        <f>F2020*E2020</f>
        <v>3789.6240000000003</v>
      </c>
    </row>
    <row r="2021" spans="1:9" ht="15.75" hidden="1" customHeight="1" outlineLevel="2">
      <c r="A2021" s="613"/>
      <c r="B2021" s="612"/>
      <c r="C2021" s="613"/>
      <c r="D2021" s="612"/>
      <c r="E2021" s="613"/>
      <c r="F2021" s="611"/>
      <c r="G2021" s="611">
        <f>SUM(G2009:G2020)</f>
        <v>430066.92255000002</v>
      </c>
    </row>
    <row r="2022" spans="1:9" ht="15.75" customHeight="1" outlineLevel="1" collapsed="1">
      <c r="A2022" s="613" t="s">
        <v>2074</v>
      </c>
      <c r="B2022" s="612">
        <f>B2006+1</f>
        <v>2</v>
      </c>
      <c r="C2022" s="613" t="s">
        <v>1966</v>
      </c>
      <c r="D2022" s="612" t="s">
        <v>4</v>
      </c>
      <c r="E2022" s="613"/>
      <c r="F2022" s="611"/>
      <c r="G2022" s="605">
        <f>G2036</f>
        <v>146823.17879999999</v>
      </c>
      <c r="I2022" s="633" t="s">
        <v>124</v>
      </c>
    </row>
    <row r="2023" spans="1:9" ht="15.75" customHeight="1" outlineLevel="2">
      <c r="A2023" s="613"/>
      <c r="B2023" s="612"/>
      <c r="C2023" s="613" t="s">
        <v>20</v>
      </c>
      <c r="D2023" s="612"/>
      <c r="E2023" s="613"/>
      <c r="F2023" s="611"/>
      <c r="G2023" s="611"/>
    </row>
    <row r="2024" spans="1:9" ht="15.75" customHeight="1" outlineLevel="2">
      <c r="A2024" s="613"/>
      <c r="B2024" s="612"/>
      <c r="C2024" s="613" t="s">
        <v>362</v>
      </c>
      <c r="D2024" s="612" t="s">
        <v>1</v>
      </c>
      <c r="E2024" s="613">
        <v>7</v>
      </c>
      <c r="F2024" s="611">
        <f>asphalt_60.70</f>
        <v>10450</v>
      </c>
      <c r="G2024" s="611">
        <f>F2024*E2024</f>
        <v>73150</v>
      </c>
    </row>
    <row r="2025" spans="1:9" ht="15.75" customHeight="1" outlineLevel="2">
      <c r="A2025" s="613"/>
      <c r="B2025" s="612"/>
      <c r="C2025" s="613" t="s">
        <v>153</v>
      </c>
      <c r="D2025" s="612" t="s">
        <v>4288</v>
      </c>
      <c r="E2025" s="613">
        <v>0.05</v>
      </c>
      <c r="F2025" s="611">
        <f>split_2.3</f>
        <v>281380</v>
      </c>
      <c r="G2025" s="611">
        <f>F2025*E2025</f>
        <v>14069</v>
      </c>
    </row>
    <row r="2026" spans="1:9" ht="15.75" customHeight="1" outlineLevel="2">
      <c r="A2026" s="613"/>
      <c r="B2026" s="612"/>
      <c r="C2026" s="613" t="s">
        <v>363</v>
      </c>
      <c r="D2026" s="612" t="s">
        <v>4288</v>
      </c>
      <c r="E2026" s="613">
        <v>0.01</v>
      </c>
      <c r="F2026" s="611">
        <f>dust_split</f>
        <v>150590</v>
      </c>
      <c r="G2026" s="611">
        <f>F2026*E2026</f>
        <v>1505.9</v>
      </c>
    </row>
    <row r="2027" spans="1:9" ht="15.75" customHeight="1" outlineLevel="2">
      <c r="A2027" s="613"/>
      <c r="B2027" s="612"/>
      <c r="C2027" s="613" t="s">
        <v>364</v>
      </c>
      <c r="D2027" s="612" t="s">
        <v>4288</v>
      </c>
      <c r="E2027" s="613">
        <v>0.02</v>
      </c>
      <c r="F2027" s="611">
        <f>split_1.2</f>
        <v>291500</v>
      </c>
      <c r="G2027" s="611">
        <f>F2027*E2027</f>
        <v>5830</v>
      </c>
    </row>
    <row r="2028" spans="1:9" ht="15.75" customHeight="1" outlineLevel="2">
      <c r="A2028" s="613"/>
      <c r="B2028" s="612"/>
      <c r="C2028" s="613" t="s">
        <v>365</v>
      </c>
      <c r="D2028" s="612" t="s">
        <v>4288</v>
      </c>
      <c r="E2028" s="613">
        <v>8.9999999999999993E-3</v>
      </c>
      <c r="F2028" s="611">
        <f>fire_wood</f>
        <v>170000</v>
      </c>
      <c r="G2028" s="611">
        <f>F2028*E2028</f>
        <v>1529.9999999999998</v>
      </c>
    </row>
    <row r="2029" spans="1:9" ht="15.75" customHeight="1" outlineLevel="2">
      <c r="A2029" s="613"/>
      <c r="B2029" s="612"/>
      <c r="C2029" s="613"/>
      <c r="D2029" s="612"/>
      <c r="E2029" s="613"/>
      <c r="F2029" s="611"/>
      <c r="G2029" s="611"/>
    </row>
    <row r="2030" spans="1:9" ht="15.75" customHeight="1" outlineLevel="2">
      <c r="A2030" s="613"/>
      <c r="B2030" s="612"/>
      <c r="C2030" s="613" t="s">
        <v>31</v>
      </c>
      <c r="D2030" s="612"/>
      <c r="E2030" s="613"/>
      <c r="F2030" s="611"/>
      <c r="G2030" s="611"/>
    </row>
    <row r="2031" spans="1:9" ht="15.75" customHeight="1" outlineLevel="2">
      <c r="A2031" s="613"/>
      <c r="B2031" s="612"/>
      <c r="C2031" s="613"/>
      <c r="D2031" s="612"/>
      <c r="E2031" s="613"/>
      <c r="F2031" s="611"/>
      <c r="G2031" s="611"/>
    </row>
    <row r="2032" spans="1:9" ht="15.75" customHeight="1" outlineLevel="2">
      <c r="A2032" s="613"/>
      <c r="B2032" s="612"/>
      <c r="C2032" s="613" t="s">
        <v>32</v>
      </c>
      <c r="D2032" s="612" t="s">
        <v>33</v>
      </c>
      <c r="E2032" s="613">
        <v>0.36</v>
      </c>
      <c r="F2032" s="611">
        <f>worker</f>
        <v>107800.00000000001</v>
      </c>
      <c r="G2032" s="611">
        <f>F2032*E2032</f>
        <v>38808.000000000007</v>
      </c>
    </row>
    <row r="2033" spans="1:9" ht="15.75" customHeight="1" outlineLevel="2">
      <c r="A2033" s="613"/>
      <c r="B2033" s="612"/>
      <c r="C2033" s="613" t="s">
        <v>366</v>
      </c>
      <c r="D2033" s="612" t="s">
        <v>33</v>
      </c>
      <c r="E2033" s="613">
        <v>0.06</v>
      </c>
      <c r="F2033" s="611">
        <f>asphalt_worker</f>
        <v>133100</v>
      </c>
      <c r="G2033" s="611">
        <f>F2033*E2033</f>
        <v>7986</v>
      </c>
    </row>
    <row r="2034" spans="1:9" ht="15.75" customHeight="1" outlineLevel="2">
      <c r="A2034" s="613"/>
      <c r="B2034" s="612"/>
      <c r="C2034" s="613" t="s">
        <v>36</v>
      </c>
      <c r="D2034" s="612" t="s">
        <v>33</v>
      </c>
      <c r="E2034" s="613">
        <v>1.7999999999999999E-2</v>
      </c>
      <c r="F2034" s="611">
        <f>supervisor_Asli</f>
        <v>155155</v>
      </c>
      <c r="G2034" s="611">
        <f>F2034*E2034</f>
        <v>2792.79</v>
      </c>
    </row>
    <row r="2035" spans="1:9" ht="15.75" customHeight="1" outlineLevel="2">
      <c r="A2035" s="613"/>
      <c r="B2035" s="612"/>
      <c r="C2035" s="613" t="s">
        <v>361</v>
      </c>
      <c r="D2035" s="612" t="s">
        <v>72</v>
      </c>
      <c r="E2035" s="613">
        <v>6.0000000000000001E-3</v>
      </c>
      <c r="F2035" s="611">
        <f>operator</f>
        <v>191914.80000000002</v>
      </c>
      <c r="G2035" s="611">
        <f>F2035*E2035</f>
        <v>1151.4888000000001</v>
      </c>
    </row>
    <row r="2036" spans="1:9" ht="15.75" customHeight="1" outlineLevel="2">
      <c r="A2036" s="613"/>
      <c r="B2036" s="612"/>
      <c r="C2036" s="613"/>
      <c r="D2036" s="612"/>
      <c r="E2036" s="613"/>
      <c r="F2036" s="611"/>
      <c r="G2036" s="611">
        <f>SUM(G2024:G2035)</f>
        <v>146823.17879999999</v>
      </c>
    </row>
    <row r="2037" spans="1:9" ht="15.75" customHeight="1" outlineLevel="2">
      <c r="A2037" s="613"/>
      <c r="B2037" s="612"/>
      <c r="C2037" s="613"/>
      <c r="D2037" s="612"/>
      <c r="E2037" s="613"/>
      <c r="F2037" s="611"/>
      <c r="G2037" s="611"/>
    </row>
    <row r="2038" spans="1:9" ht="15.75" customHeight="1" outlineLevel="1">
      <c r="A2038" s="613" t="s">
        <v>2074</v>
      </c>
      <c r="B2038" s="612">
        <f>B2022+1</f>
        <v>3</v>
      </c>
      <c r="C2038" s="613" t="s">
        <v>1967</v>
      </c>
      <c r="D2038" s="612" t="s">
        <v>4</v>
      </c>
      <c r="E2038" s="613"/>
      <c r="F2038" s="611"/>
      <c r="G2038" s="605">
        <f>G2047</f>
        <v>59377.678800000009</v>
      </c>
      <c r="I2038" s="633" t="s">
        <v>124</v>
      </c>
    </row>
    <row r="2039" spans="1:9" ht="15.75" hidden="1" customHeight="1" outlineLevel="2">
      <c r="A2039" s="613"/>
      <c r="B2039" s="612"/>
      <c r="C2039" s="613" t="s">
        <v>20</v>
      </c>
      <c r="D2039" s="612"/>
      <c r="E2039" s="613"/>
      <c r="F2039" s="611"/>
      <c r="G2039" s="611"/>
    </row>
    <row r="2040" spans="1:9" ht="15.75" hidden="1" customHeight="1" outlineLevel="2">
      <c r="A2040" s="613"/>
      <c r="B2040" s="612"/>
      <c r="C2040" s="613" t="s">
        <v>367</v>
      </c>
      <c r="D2040" s="612" t="s">
        <v>1</v>
      </c>
      <c r="E2040" s="613">
        <v>7</v>
      </c>
      <c r="F2040" s="611">
        <f>'[54]Basic price '!E138</f>
        <v>1234.2</v>
      </c>
      <c r="G2040" s="611">
        <f>F2040*E2040</f>
        <v>8639.4</v>
      </c>
    </row>
    <row r="2041" spans="1:9" ht="15.75" hidden="1" customHeight="1" outlineLevel="2">
      <c r="A2041" s="613"/>
      <c r="B2041" s="612"/>
      <c r="C2041" s="613"/>
      <c r="D2041" s="612"/>
      <c r="E2041" s="613"/>
      <c r="F2041" s="611"/>
      <c r="G2041" s="611"/>
    </row>
    <row r="2042" spans="1:9" ht="15.75" hidden="1" customHeight="1" outlineLevel="2">
      <c r="A2042" s="613"/>
      <c r="B2042" s="612"/>
      <c r="C2042" s="613" t="s">
        <v>31</v>
      </c>
      <c r="D2042" s="612"/>
      <c r="E2042" s="613"/>
      <c r="F2042" s="611"/>
      <c r="G2042" s="611"/>
    </row>
    <row r="2043" spans="1:9" ht="15.75" hidden="1" customHeight="1" outlineLevel="2">
      <c r="A2043" s="613"/>
      <c r="B2043" s="612"/>
      <c r="C2043" s="613" t="s">
        <v>32</v>
      </c>
      <c r="D2043" s="612" t="s">
        <v>33</v>
      </c>
      <c r="E2043" s="613">
        <v>0.36</v>
      </c>
      <c r="F2043" s="611">
        <f>worker</f>
        <v>107800.00000000001</v>
      </c>
      <c r="G2043" s="611">
        <f>F2043*E2043</f>
        <v>38808.000000000007</v>
      </c>
    </row>
    <row r="2044" spans="1:9" ht="15.75" hidden="1" customHeight="1" outlineLevel="2">
      <c r="A2044" s="613"/>
      <c r="B2044" s="612"/>
      <c r="C2044" s="613" t="s">
        <v>368</v>
      </c>
      <c r="D2044" s="612" t="s">
        <v>33</v>
      </c>
      <c r="E2044" s="613">
        <v>0.06</v>
      </c>
      <c r="F2044" s="611">
        <f>asphalt_worker</f>
        <v>133100</v>
      </c>
      <c r="G2044" s="611">
        <f>F2044*E2044</f>
        <v>7986</v>
      </c>
    </row>
    <row r="2045" spans="1:9" ht="15.75" hidden="1" customHeight="1" outlineLevel="2">
      <c r="A2045" s="613"/>
      <c r="B2045" s="612"/>
      <c r="C2045" s="613" t="s">
        <v>36</v>
      </c>
      <c r="D2045" s="612" t="s">
        <v>33</v>
      </c>
      <c r="E2045" s="613">
        <v>1.7999999999999999E-2</v>
      </c>
      <c r="F2045" s="611">
        <f>supervisor_Asli</f>
        <v>155155</v>
      </c>
      <c r="G2045" s="611">
        <f>F2045*E2045</f>
        <v>2792.79</v>
      </c>
    </row>
    <row r="2046" spans="1:9" ht="15.75" hidden="1" customHeight="1" outlineLevel="2">
      <c r="A2046" s="613"/>
      <c r="B2046" s="612"/>
      <c r="C2046" s="613" t="s">
        <v>361</v>
      </c>
      <c r="D2046" s="612" t="s">
        <v>72</v>
      </c>
      <c r="E2046" s="613">
        <v>6.0000000000000001E-3</v>
      </c>
      <c r="F2046" s="611">
        <f>operator</f>
        <v>191914.80000000002</v>
      </c>
      <c r="G2046" s="611">
        <f>F2046*E2046</f>
        <v>1151.4888000000001</v>
      </c>
    </row>
    <row r="2047" spans="1:9" ht="15.75" hidden="1" customHeight="1" outlineLevel="2">
      <c r="A2047" s="613"/>
      <c r="B2047" s="612"/>
      <c r="C2047" s="613"/>
      <c r="D2047" s="612"/>
      <c r="E2047" s="613"/>
      <c r="F2047" s="611"/>
      <c r="G2047" s="611">
        <f>SUM(G2040:G2046)</f>
        <v>59377.678800000009</v>
      </c>
    </row>
    <row r="2048" spans="1:9" ht="15.75" customHeight="1" outlineLevel="1" collapsed="1">
      <c r="A2048" s="613" t="s">
        <v>2074</v>
      </c>
      <c r="B2048" s="612">
        <f>B2038+1</f>
        <v>4</v>
      </c>
      <c r="C2048" s="613" t="s">
        <v>1968</v>
      </c>
      <c r="D2048" s="612" t="s">
        <v>4</v>
      </c>
      <c r="E2048" s="613"/>
      <c r="F2048" s="611"/>
      <c r="G2048" s="605">
        <f>G2063</f>
        <v>40141.435487150004</v>
      </c>
    </row>
    <row r="2049" spans="1:12" ht="15.75" customHeight="1" outlineLevel="2">
      <c r="A2049" s="613"/>
      <c r="B2049" s="612"/>
      <c r="C2049" s="613" t="s">
        <v>20</v>
      </c>
      <c r="D2049" s="612"/>
      <c r="E2049" s="613"/>
      <c r="F2049" s="611"/>
      <c r="G2049" s="611"/>
      <c r="K2049" s="633" t="s">
        <v>369</v>
      </c>
    </row>
    <row r="2050" spans="1:12" ht="15.75" customHeight="1" outlineLevel="2">
      <c r="A2050" s="613"/>
      <c r="B2050" s="612"/>
      <c r="C2050" s="613" t="s">
        <v>370</v>
      </c>
      <c r="D2050" s="612" t="s">
        <v>1</v>
      </c>
      <c r="E2050" s="613">
        <f>0.054*1000</f>
        <v>54</v>
      </c>
      <c r="F2050" s="611">
        <f>asphalt_60.70</f>
        <v>10450</v>
      </c>
      <c r="G2050" s="611">
        <f>F2050*E2050</f>
        <v>564300</v>
      </c>
      <c r="J2050" s="633" t="s">
        <v>371</v>
      </c>
      <c r="K2050" s="633">
        <v>1.04</v>
      </c>
    </row>
    <row r="2051" spans="1:12" ht="15.75" customHeight="1" outlineLevel="2">
      <c r="A2051" s="613"/>
      <c r="B2051" s="612"/>
      <c r="C2051" s="613" t="s">
        <v>372</v>
      </c>
      <c r="D2051" s="612" t="s">
        <v>1</v>
      </c>
      <c r="E2051" s="613">
        <f>0.054*1000</f>
        <v>54</v>
      </c>
      <c r="F2051" s="611">
        <f>hot_mix</f>
        <v>1357.6200000000001</v>
      </c>
      <c r="G2051" s="611">
        <f>F2051*E2051</f>
        <v>73311.48000000001</v>
      </c>
      <c r="K2051" s="633">
        <v>54</v>
      </c>
      <c r="L2051" s="633">
        <f>K2050/K2051</f>
        <v>1.9259259259259261E-2</v>
      </c>
    </row>
    <row r="2052" spans="1:12" ht="15.75" customHeight="1" outlineLevel="2">
      <c r="A2052" s="613"/>
      <c r="B2052" s="612"/>
      <c r="C2052" s="613"/>
      <c r="D2052" s="612"/>
      <c r="E2052" s="613"/>
      <c r="F2052" s="611"/>
      <c r="G2052" s="611"/>
    </row>
    <row r="2053" spans="1:12" ht="15.75" customHeight="1" outlineLevel="2">
      <c r="A2053" s="613"/>
      <c r="B2053" s="612"/>
      <c r="C2053" s="613" t="s">
        <v>31</v>
      </c>
      <c r="D2053" s="612"/>
      <c r="E2053" s="613"/>
      <c r="F2053" s="611"/>
      <c r="G2053" s="611"/>
    </row>
    <row r="2054" spans="1:12" ht="15.75" customHeight="1" outlineLevel="2">
      <c r="A2054" s="613"/>
      <c r="B2054" s="612"/>
      <c r="C2054" s="613" t="s">
        <v>373</v>
      </c>
      <c r="D2054" s="612" t="s">
        <v>67</v>
      </c>
      <c r="E2054" s="613">
        <v>0.20080000000000001</v>
      </c>
      <c r="F2054" s="611">
        <f>worker/8</f>
        <v>13475.000000000002</v>
      </c>
      <c r="G2054" s="611">
        <f>F2054*E2054</f>
        <v>2705.7800000000007</v>
      </c>
    </row>
    <row r="2055" spans="1:12" ht="15.75" customHeight="1" outlineLevel="2">
      <c r="A2055" s="613"/>
      <c r="B2055" s="612"/>
      <c r="C2055" s="613" t="s">
        <v>113</v>
      </c>
      <c r="D2055" s="612" t="s">
        <v>67</v>
      </c>
      <c r="E2055" s="613">
        <v>2.01E-2</v>
      </c>
      <c r="F2055" s="611">
        <f>operator/8</f>
        <v>23989.350000000002</v>
      </c>
      <c r="G2055" s="611">
        <f>F2055*E2055</f>
        <v>482.18593500000003</v>
      </c>
    </row>
    <row r="2056" spans="1:12" ht="15.75" customHeight="1" outlineLevel="2">
      <c r="A2056" s="613"/>
      <c r="B2056" s="612"/>
      <c r="C2056" s="613"/>
      <c r="D2056" s="612"/>
      <c r="E2056" s="613"/>
      <c r="F2056" s="611"/>
      <c r="G2056" s="611"/>
    </row>
    <row r="2057" spans="1:12" ht="15.75" customHeight="1" outlineLevel="2">
      <c r="A2057" s="613"/>
      <c r="B2057" s="612"/>
      <c r="C2057" s="613" t="s">
        <v>70</v>
      </c>
      <c r="D2057" s="612"/>
      <c r="E2057" s="613"/>
      <c r="F2057" s="611"/>
      <c r="G2057" s="611"/>
    </row>
    <row r="2058" spans="1:12" ht="15.75" customHeight="1" outlineLevel="2">
      <c r="A2058" s="613"/>
      <c r="B2058" s="612"/>
      <c r="C2058" s="613" t="s">
        <v>105</v>
      </c>
      <c r="D2058" s="612" t="s">
        <v>72</v>
      </c>
      <c r="E2058" s="613">
        <v>0.36980000000000002</v>
      </c>
      <c r="F2058" s="611">
        <f>dump_truck_5m3/4</f>
        <v>290405.61000000004</v>
      </c>
      <c r="G2058" s="611">
        <f>F2058*E2058</f>
        <v>107391.99457800003</v>
      </c>
    </row>
    <row r="2059" spans="1:12" ht="15.75" customHeight="1" outlineLevel="2">
      <c r="A2059" s="613"/>
      <c r="B2059" s="612"/>
      <c r="C2059" s="613" t="s">
        <v>374</v>
      </c>
      <c r="D2059" s="612" t="s">
        <v>72</v>
      </c>
      <c r="E2059" s="613">
        <v>1.35E-2</v>
      </c>
      <c r="F2059" s="611">
        <f>tandem_roller</f>
        <v>46200.000000000007</v>
      </c>
      <c r="G2059" s="611">
        <f>F2059*E2059</f>
        <v>623.70000000000005</v>
      </c>
      <c r="I2059" s="633" t="s">
        <v>375</v>
      </c>
    </row>
    <row r="2060" spans="1:12" ht="15.75" customHeight="1" outlineLevel="2">
      <c r="A2060" s="613"/>
      <c r="B2060" s="612"/>
      <c r="C2060" s="613" t="s">
        <v>376</v>
      </c>
      <c r="D2060" s="612" t="s">
        <v>72</v>
      </c>
      <c r="E2060" s="613">
        <v>1.41E-2</v>
      </c>
      <c r="F2060" s="611">
        <f>water_truck_2jam_hari</f>
        <v>284650.30000000005</v>
      </c>
      <c r="G2060" s="611">
        <f>F2060*E2060</f>
        <v>4013.5692300000005</v>
      </c>
    </row>
    <row r="2061" spans="1:12" ht="15.75" customHeight="1" outlineLevel="2">
      <c r="A2061" s="613"/>
      <c r="B2061" s="612"/>
      <c r="C2061" s="613" t="s">
        <v>73</v>
      </c>
      <c r="D2061" s="612" t="s">
        <v>74</v>
      </c>
      <c r="E2061" s="613">
        <v>1</v>
      </c>
      <c r="F2061" s="611">
        <v>50000</v>
      </c>
      <c r="G2061" s="611">
        <f>F2061*E2061</f>
        <v>50000</v>
      </c>
    </row>
    <row r="2062" spans="1:12" ht="15.75" customHeight="1" outlineLevel="2">
      <c r="A2062" s="613"/>
      <c r="B2062" s="612"/>
      <c r="C2062" s="613"/>
      <c r="D2062" s="612"/>
      <c r="E2062" s="613"/>
      <c r="F2062" s="611"/>
      <c r="G2062" s="611">
        <f>SUM(G2050:G2061)</f>
        <v>802828.70974299998</v>
      </c>
    </row>
    <row r="2063" spans="1:12" ht="15.75" customHeight="1" outlineLevel="2">
      <c r="A2063" s="613"/>
      <c r="B2063" s="612"/>
      <c r="C2063" s="613"/>
      <c r="D2063" s="612"/>
      <c r="E2063" s="613"/>
      <c r="F2063" s="611"/>
      <c r="G2063" s="611">
        <f>G2062*0.05</f>
        <v>40141.435487150004</v>
      </c>
    </row>
    <row r="2064" spans="1:12" ht="15.75" customHeight="1" outlineLevel="2">
      <c r="A2064" s="613"/>
      <c r="B2064" s="612"/>
      <c r="C2064" s="613"/>
      <c r="D2064" s="612"/>
      <c r="E2064" s="613"/>
      <c r="F2064" s="611"/>
      <c r="G2064" s="611"/>
    </row>
    <row r="2065" spans="1:9" ht="15.75" customHeight="1" outlineLevel="1">
      <c r="A2065" s="613" t="s">
        <v>2074</v>
      </c>
      <c r="B2065" s="612">
        <f>B2048+1</f>
        <v>5</v>
      </c>
      <c r="C2065" s="613" t="s">
        <v>1969</v>
      </c>
      <c r="D2065" s="612" t="s">
        <v>4</v>
      </c>
      <c r="E2065" s="613"/>
      <c r="F2065" s="611"/>
      <c r="G2065" s="605">
        <f>G2079</f>
        <v>199369.39941260003</v>
      </c>
    </row>
    <row r="2066" spans="1:9" ht="15.75" hidden="1" customHeight="1" outlineLevel="2">
      <c r="A2066" s="613"/>
      <c r="B2066" s="612"/>
      <c r="C2066" s="613" t="s">
        <v>20</v>
      </c>
      <c r="D2066" s="612"/>
      <c r="E2066" s="613"/>
      <c r="F2066" s="611"/>
      <c r="G2066" s="611"/>
    </row>
    <row r="2067" spans="1:9" ht="15.75" hidden="1" customHeight="1" outlineLevel="2">
      <c r="A2067" s="613"/>
      <c r="B2067" s="612"/>
      <c r="C2067" s="613" t="s">
        <v>153</v>
      </c>
      <c r="D2067" s="612" t="s">
        <v>4288</v>
      </c>
      <c r="E2067" s="613">
        <v>1.2585999999999999</v>
      </c>
      <c r="F2067" s="611">
        <f>split_2.3</f>
        <v>281380</v>
      </c>
      <c r="G2067" s="611">
        <f>F2067*E2067</f>
        <v>354144.86799999996</v>
      </c>
    </row>
    <row r="2068" spans="1:9" ht="15.75" hidden="1" customHeight="1" outlineLevel="2">
      <c r="A2068" s="613"/>
      <c r="B2068" s="612"/>
      <c r="C2068" s="613"/>
      <c r="D2068" s="612"/>
      <c r="E2068" s="613"/>
      <c r="F2068" s="611"/>
      <c r="G2068" s="611"/>
    </row>
    <row r="2069" spans="1:9" ht="15.75" hidden="1" customHeight="1" outlineLevel="2">
      <c r="A2069" s="613"/>
      <c r="B2069" s="612"/>
      <c r="C2069" s="613" t="s">
        <v>31</v>
      </c>
      <c r="D2069" s="612"/>
      <c r="E2069" s="613"/>
      <c r="F2069" s="611"/>
      <c r="G2069" s="611"/>
    </row>
    <row r="2070" spans="1:9" ht="15.75" hidden="1" customHeight="1" outlineLevel="2">
      <c r="A2070" s="613"/>
      <c r="B2070" s="612"/>
      <c r="C2070" s="613" t="s">
        <v>373</v>
      </c>
      <c r="D2070" s="612" t="s">
        <v>33</v>
      </c>
      <c r="E2070" s="613">
        <v>4.9599999999999998E-2</v>
      </c>
      <c r="F2070" s="611">
        <f>worker</f>
        <v>107800.00000000001</v>
      </c>
      <c r="G2070" s="611">
        <f>F2070*E2070</f>
        <v>5346.88</v>
      </c>
    </row>
    <row r="2071" spans="1:9" ht="15.75" hidden="1" customHeight="1" outlineLevel="2">
      <c r="A2071" s="613"/>
      <c r="B2071" s="612"/>
      <c r="C2071" s="613" t="s">
        <v>113</v>
      </c>
      <c r="D2071" s="612" t="s">
        <v>33</v>
      </c>
      <c r="E2071" s="613">
        <v>7.1000000000000004E-3</v>
      </c>
      <c r="F2071" s="611">
        <f>operator</f>
        <v>191914.80000000002</v>
      </c>
      <c r="G2071" s="611">
        <f>F2071*E2071</f>
        <v>1362.5950800000003</v>
      </c>
    </row>
    <row r="2072" spans="1:9" ht="15.75" hidden="1" customHeight="1" outlineLevel="2">
      <c r="A2072" s="613"/>
      <c r="B2072" s="612"/>
      <c r="C2072" s="613"/>
      <c r="D2072" s="612"/>
      <c r="E2072" s="613"/>
      <c r="F2072" s="611"/>
      <c r="G2072" s="611"/>
    </row>
    <row r="2073" spans="1:9" ht="15.75" hidden="1" customHeight="1" outlineLevel="2">
      <c r="A2073" s="613"/>
      <c r="B2073" s="612"/>
      <c r="C2073" s="613" t="s">
        <v>70</v>
      </c>
      <c r="D2073" s="612"/>
      <c r="E2073" s="613"/>
      <c r="F2073" s="611"/>
      <c r="G2073" s="611"/>
    </row>
    <row r="2074" spans="1:9" ht="15.75" hidden="1" customHeight="1" outlineLevel="2">
      <c r="A2074" s="613"/>
      <c r="B2074" s="612"/>
      <c r="C2074" s="613" t="s">
        <v>105</v>
      </c>
      <c r="D2074" s="612" t="s">
        <v>72</v>
      </c>
      <c r="E2074" s="613">
        <v>0.50219999999999998</v>
      </c>
      <c r="F2074" s="611">
        <f>dump_truck_5m3</f>
        <v>1161622.4400000002</v>
      </c>
      <c r="G2074" s="611">
        <f>F2074*E2074</f>
        <v>583366.78936800011</v>
      </c>
    </row>
    <row r="2075" spans="1:9" ht="15.75" hidden="1" customHeight="1" outlineLevel="2">
      <c r="A2075" s="613"/>
      <c r="B2075" s="612"/>
      <c r="C2075" s="613" t="s">
        <v>374</v>
      </c>
      <c r="D2075" s="612" t="s">
        <v>72</v>
      </c>
      <c r="E2075" s="613">
        <v>1.34E-2</v>
      </c>
      <c r="F2075" s="611">
        <f>tandem_roller</f>
        <v>46200.000000000007</v>
      </c>
      <c r="G2075" s="611">
        <f>F2075*E2075</f>
        <v>619.08000000000015</v>
      </c>
      <c r="I2075" s="633" t="s">
        <v>375</v>
      </c>
    </row>
    <row r="2076" spans="1:9" ht="15.75" hidden="1" customHeight="1" outlineLevel="2">
      <c r="A2076" s="613"/>
      <c r="B2076" s="612"/>
      <c r="C2076" s="613" t="s">
        <v>376</v>
      </c>
      <c r="D2076" s="612" t="s">
        <v>72</v>
      </c>
      <c r="E2076" s="613">
        <v>1.41E-2</v>
      </c>
      <c r="F2076" s="611">
        <f>water_truck_2jam_hari/2</f>
        <v>142325.15000000002</v>
      </c>
      <c r="G2076" s="611">
        <f>F2076*E2076</f>
        <v>2006.7846150000003</v>
      </c>
    </row>
    <row r="2077" spans="1:9" ht="15.75" hidden="1" customHeight="1" outlineLevel="2">
      <c r="A2077" s="613"/>
      <c r="B2077" s="612"/>
      <c r="C2077" s="613" t="s">
        <v>73</v>
      </c>
      <c r="D2077" s="612" t="s">
        <v>74</v>
      </c>
      <c r="E2077" s="613">
        <v>1</v>
      </c>
      <c r="F2077" s="611">
        <v>50000</v>
      </c>
      <c r="G2077" s="611">
        <f>F2077*E2077</f>
        <v>50000</v>
      </c>
    </row>
    <row r="2078" spans="1:9" ht="15.75" hidden="1" customHeight="1" outlineLevel="2">
      <c r="A2078" s="613"/>
      <c r="B2078" s="612"/>
      <c r="C2078" s="613"/>
      <c r="D2078" s="612"/>
      <c r="E2078" s="613"/>
      <c r="F2078" s="611" t="s">
        <v>1312</v>
      </c>
      <c r="G2078" s="611">
        <f>SUM(G2067:G2077)</f>
        <v>996846.9970630001</v>
      </c>
    </row>
    <row r="2079" spans="1:9" ht="15.75" hidden="1" customHeight="1" outlineLevel="2">
      <c r="A2079" s="613"/>
      <c r="B2079" s="612"/>
      <c r="C2079" s="613"/>
      <c r="D2079" s="612"/>
      <c r="E2079" s="613"/>
      <c r="F2079" s="611" t="s">
        <v>1314</v>
      </c>
      <c r="G2079" s="611">
        <f>G2078*0.2</f>
        <v>199369.39941260003</v>
      </c>
    </row>
    <row r="2080" spans="1:9" ht="15.75" hidden="1" customHeight="1" outlineLevel="2">
      <c r="A2080" s="613"/>
      <c r="B2080" s="612"/>
      <c r="C2080" s="613"/>
      <c r="D2080" s="612"/>
      <c r="E2080" s="613"/>
      <c r="F2080" s="611"/>
      <c r="G2080" s="611"/>
    </row>
    <row r="2081" spans="1:9" ht="15.75" customHeight="1" outlineLevel="1" collapsed="1">
      <c r="A2081" s="613" t="s">
        <v>2074</v>
      </c>
      <c r="B2081" s="612">
        <f>B2065+1</f>
        <v>6</v>
      </c>
      <c r="C2081" s="613" t="s">
        <v>1970</v>
      </c>
      <c r="D2081" s="612" t="s">
        <v>4</v>
      </c>
      <c r="E2081" s="613"/>
      <c r="F2081" s="611"/>
      <c r="G2081" s="605">
        <f>G2095</f>
        <v>151437.60435944999</v>
      </c>
    </row>
    <row r="2082" spans="1:9" ht="15.75" customHeight="1" outlineLevel="2">
      <c r="A2082" s="613"/>
      <c r="B2082" s="612"/>
      <c r="C2082" s="613" t="s">
        <v>20</v>
      </c>
      <c r="D2082" s="612"/>
      <c r="E2082" s="613"/>
      <c r="F2082" s="611"/>
      <c r="G2082" s="611"/>
    </row>
    <row r="2083" spans="1:9" ht="15.75" customHeight="1" outlineLevel="2">
      <c r="A2083" s="613"/>
      <c r="B2083" s="612"/>
      <c r="C2083" s="613" t="s">
        <v>364</v>
      </c>
      <c r="D2083" s="612" t="s">
        <v>4288</v>
      </c>
      <c r="E2083" s="613">
        <v>1.2585999999999999</v>
      </c>
      <c r="F2083" s="611">
        <f>split_1.2</f>
        <v>291500</v>
      </c>
      <c r="G2083" s="611">
        <f>F2083*E2083</f>
        <v>366881.89999999997</v>
      </c>
    </row>
    <row r="2084" spans="1:9" ht="15.75" customHeight="1" outlineLevel="2">
      <c r="A2084" s="613"/>
      <c r="B2084" s="612"/>
      <c r="C2084" s="613"/>
      <c r="D2084" s="612"/>
      <c r="E2084" s="613"/>
      <c r="F2084" s="611"/>
      <c r="G2084" s="611"/>
    </row>
    <row r="2085" spans="1:9" ht="15.75" customHeight="1" outlineLevel="2">
      <c r="A2085" s="613"/>
      <c r="B2085" s="612"/>
      <c r="C2085" s="613" t="s">
        <v>31</v>
      </c>
      <c r="D2085" s="612"/>
      <c r="E2085" s="613"/>
      <c r="F2085" s="611"/>
      <c r="G2085" s="611"/>
    </row>
    <row r="2086" spans="1:9" ht="15.75" customHeight="1" outlineLevel="2">
      <c r="A2086" s="613"/>
      <c r="B2086" s="612"/>
      <c r="C2086" s="613" t="s">
        <v>373</v>
      </c>
      <c r="D2086" s="612" t="s">
        <v>33</v>
      </c>
      <c r="E2086" s="613">
        <v>4.9599999999999998E-2</v>
      </c>
      <c r="F2086" s="611">
        <f>worker</f>
        <v>107800.00000000001</v>
      </c>
      <c r="G2086" s="611">
        <f>F2086*E2086</f>
        <v>5346.88</v>
      </c>
    </row>
    <row r="2087" spans="1:9" ht="15.75" customHeight="1" outlineLevel="2">
      <c r="A2087" s="613"/>
      <c r="B2087" s="612"/>
      <c r="C2087" s="613" t="s">
        <v>113</v>
      </c>
      <c r="D2087" s="612" t="s">
        <v>33</v>
      </c>
      <c r="E2087" s="613">
        <v>7.1000000000000004E-3</v>
      </c>
      <c r="F2087" s="611">
        <f>operator</f>
        <v>191914.80000000002</v>
      </c>
      <c r="G2087" s="611">
        <f>F2087*E2087</f>
        <v>1362.5950800000003</v>
      </c>
    </row>
    <row r="2088" spans="1:9" ht="15.75" customHeight="1" outlineLevel="2">
      <c r="A2088" s="613"/>
      <c r="B2088" s="612"/>
      <c r="C2088" s="613"/>
      <c r="D2088" s="612"/>
      <c r="E2088" s="613"/>
      <c r="F2088" s="611"/>
      <c r="G2088" s="611"/>
    </row>
    <row r="2089" spans="1:9" ht="15.75" customHeight="1" outlineLevel="2">
      <c r="A2089" s="613"/>
      <c r="B2089" s="612"/>
      <c r="C2089" s="613" t="s">
        <v>70</v>
      </c>
      <c r="D2089" s="612"/>
      <c r="E2089" s="613"/>
      <c r="F2089" s="611"/>
      <c r="G2089" s="611"/>
    </row>
    <row r="2090" spans="1:9" ht="15.75" customHeight="1" outlineLevel="2">
      <c r="A2090" s="613"/>
      <c r="B2090" s="612"/>
      <c r="C2090" s="613" t="s">
        <v>105</v>
      </c>
      <c r="D2090" s="612" t="s">
        <v>72</v>
      </c>
      <c r="E2090" s="613">
        <v>0.50219999999999998</v>
      </c>
      <c r="F2090" s="611">
        <f>dump_truck_5m3</f>
        <v>1161622.4400000002</v>
      </c>
      <c r="G2090" s="611">
        <f>F2090*E2090</f>
        <v>583366.78936800011</v>
      </c>
    </row>
    <row r="2091" spans="1:9" ht="15.75" customHeight="1" outlineLevel="2">
      <c r="A2091" s="613"/>
      <c r="B2091" s="612"/>
      <c r="C2091" s="613" t="s">
        <v>374</v>
      </c>
      <c r="D2091" s="612" t="s">
        <v>72</v>
      </c>
      <c r="E2091" s="613">
        <v>1.34E-2</v>
      </c>
      <c r="F2091" s="611">
        <f>tandem_roller</f>
        <v>46200.000000000007</v>
      </c>
      <c r="G2091" s="611">
        <f>F2091*E2091</f>
        <v>619.08000000000015</v>
      </c>
      <c r="I2091" s="633" t="s">
        <v>375</v>
      </c>
    </row>
    <row r="2092" spans="1:9" ht="15.75" customHeight="1" outlineLevel="2">
      <c r="A2092" s="613"/>
      <c r="B2092" s="612"/>
      <c r="C2092" s="613" t="s">
        <v>376</v>
      </c>
      <c r="D2092" s="612" t="s">
        <v>72</v>
      </c>
      <c r="E2092" s="613">
        <v>1.41E-2</v>
      </c>
      <c r="F2092" s="611">
        <f>water_truck_2jam_hari/2</f>
        <v>142325.15000000002</v>
      </c>
      <c r="G2092" s="611">
        <f>F2092*E2092</f>
        <v>2006.7846150000003</v>
      </c>
    </row>
    <row r="2093" spans="1:9" ht="15.75" customHeight="1" outlineLevel="2">
      <c r="A2093" s="613"/>
      <c r="B2093" s="612"/>
      <c r="C2093" s="613" t="s">
        <v>73</v>
      </c>
      <c r="D2093" s="612" t="s">
        <v>74</v>
      </c>
      <c r="E2093" s="613">
        <v>1</v>
      </c>
      <c r="F2093" s="611">
        <v>50000</v>
      </c>
      <c r="G2093" s="611">
        <f>F2093*E2093</f>
        <v>50000</v>
      </c>
    </row>
    <row r="2094" spans="1:9" ht="15.75" customHeight="1" outlineLevel="2">
      <c r="A2094" s="613"/>
      <c r="B2094" s="612"/>
      <c r="C2094" s="613"/>
      <c r="D2094" s="612"/>
      <c r="E2094" s="613"/>
      <c r="F2094" s="611" t="s">
        <v>1312</v>
      </c>
      <c r="G2094" s="611">
        <f>SUM(G2083:G2093)</f>
        <v>1009584.029063</v>
      </c>
    </row>
    <row r="2095" spans="1:9" ht="15.75" customHeight="1" outlineLevel="2">
      <c r="A2095" s="613"/>
      <c r="B2095" s="612"/>
      <c r="C2095" s="613"/>
      <c r="D2095" s="612"/>
      <c r="E2095" s="613"/>
      <c r="F2095" s="611" t="s">
        <v>1313</v>
      </c>
      <c r="G2095" s="611">
        <f>G2094*0.15</f>
        <v>151437.60435944999</v>
      </c>
    </row>
    <row r="2096" spans="1:9" ht="15.75" customHeight="1" outlineLevel="1">
      <c r="A2096" s="613" t="s">
        <v>2074</v>
      </c>
      <c r="B2096" s="612">
        <f>B2081+1</f>
        <v>7</v>
      </c>
      <c r="C2096" s="613" t="s">
        <v>1971</v>
      </c>
      <c r="D2096" s="612" t="s">
        <v>4</v>
      </c>
      <c r="E2096" s="613"/>
      <c r="F2096" s="611"/>
      <c r="G2096" s="605">
        <f>G2105</f>
        <v>106668.27589999999</v>
      </c>
      <c r="I2096" s="633" t="s">
        <v>124</v>
      </c>
    </row>
    <row r="2097" spans="1:9" ht="15.75" hidden="1" customHeight="1" outlineLevel="2">
      <c r="A2097" s="613"/>
      <c r="B2097" s="612"/>
      <c r="C2097" s="613" t="s">
        <v>20</v>
      </c>
      <c r="D2097" s="612"/>
      <c r="E2097" s="613"/>
      <c r="F2097" s="611"/>
      <c r="G2097" s="611"/>
    </row>
    <row r="2098" spans="1:9" ht="15.75" hidden="1" customHeight="1" outlineLevel="2">
      <c r="A2098" s="613"/>
      <c r="B2098" s="612"/>
      <c r="C2098" s="613" t="s">
        <v>377</v>
      </c>
      <c r="D2098" s="612" t="s">
        <v>4288</v>
      </c>
      <c r="E2098" s="613">
        <v>0.24</v>
      </c>
      <c r="F2098" s="611">
        <f>'[54]Basic price '!E12</f>
        <v>290823.33</v>
      </c>
      <c r="G2098" s="611">
        <f>F2098*E2098</f>
        <v>69797.599199999997</v>
      </c>
    </row>
    <row r="2099" spans="1:9" ht="15.75" hidden="1" customHeight="1" outlineLevel="2">
      <c r="A2099" s="613"/>
      <c r="B2099" s="612"/>
      <c r="C2099" s="613" t="s">
        <v>363</v>
      </c>
      <c r="D2099" s="612" t="s">
        <v>4288</v>
      </c>
      <c r="E2099" s="613">
        <v>0.01</v>
      </c>
      <c r="F2099" s="611">
        <f>'[54]Basic price '!E17</f>
        <v>241566.67</v>
      </c>
      <c r="G2099" s="611">
        <f>F2099*E2099</f>
        <v>2415.6667000000002</v>
      </c>
    </row>
    <row r="2100" spans="1:9" ht="15.75" hidden="1" customHeight="1" outlineLevel="2">
      <c r="A2100" s="613"/>
      <c r="B2100" s="612"/>
      <c r="C2100" s="613"/>
      <c r="D2100" s="612"/>
      <c r="E2100" s="613"/>
      <c r="F2100" s="611"/>
      <c r="G2100" s="611"/>
    </row>
    <row r="2101" spans="1:9" ht="15.75" hidden="1" customHeight="1" outlineLevel="2">
      <c r="A2101" s="613"/>
      <c r="B2101" s="612"/>
      <c r="C2101" s="613" t="s">
        <v>31</v>
      </c>
      <c r="D2101" s="612"/>
      <c r="E2101" s="613"/>
      <c r="F2101" s="611"/>
      <c r="G2101" s="611"/>
    </row>
    <row r="2102" spans="1:9" ht="15.75" hidden="1" customHeight="1" outlineLevel="2">
      <c r="A2102" s="613"/>
      <c r="B2102" s="612"/>
      <c r="C2102" s="613" t="s">
        <v>373</v>
      </c>
      <c r="D2102" s="612" t="s">
        <v>33</v>
      </c>
      <c r="E2102" s="613">
        <v>0.3</v>
      </c>
      <c r="F2102" s="611">
        <f>'[54]Basic price '!E211</f>
        <v>102920</v>
      </c>
      <c r="G2102" s="611">
        <f>F2102*E2102</f>
        <v>30876</v>
      </c>
    </row>
    <row r="2103" spans="1:9" ht="15.75" hidden="1" customHeight="1" outlineLevel="2">
      <c r="A2103" s="613"/>
      <c r="B2103" s="612"/>
      <c r="C2103" s="613" t="s">
        <v>36</v>
      </c>
      <c r="D2103" s="612" t="s">
        <v>33</v>
      </c>
      <c r="E2103" s="613">
        <v>0.01</v>
      </c>
      <c r="F2103" s="611">
        <f>'[54]Basic price '!E213</f>
        <v>157901</v>
      </c>
      <c r="G2103" s="611">
        <f>F2103*E2103</f>
        <v>1579.01</v>
      </c>
    </row>
    <row r="2104" spans="1:9" ht="15.75" hidden="1" customHeight="1" outlineLevel="2">
      <c r="A2104" s="613"/>
      <c r="B2104" s="612"/>
      <c r="C2104" s="613" t="s">
        <v>378</v>
      </c>
      <c r="D2104" s="612" t="s">
        <v>224</v>
      </c>
      <c r="E2104" s="613">
        <v>4.0000000000000001E-3</v>
      </c>
      <c r="F2104" s="611">
        <f>'[54]Basic price '!E240</f>
        <v>500000</v>
      </c>
      <c r="G2104" s="611">
        <f>F2104*E2104</f>
        <v>2000</v>
      </c>
    </row>
    <row r="2105" spans="1:9" ht="15.75" hidden="1" customHeight="1" outlineLevel="2">
      <c r="A2105" s="613"/>
      <c r="B2105" s="612"/>
      <c r="C2105" s="613"/>
      <c r="D2105" s="612"/>
      <c r="E2105" s="613"/>
      <c r="F2105" s="611"/>
      <c r="G2105" s="611">
        <f>SUM(G2098:G2104)</f>
        <v>106668.27589999999</v>
      </c>
    </row>
    <row r="2106" spans="1:9" ht="15.75" customHeight="1" outlineLevel="1" collapsed="1">
      <c r="A2106" s="613" t="s">
        <v>2074</v>
      </c>
      <c r="B2106" s="612">
        <f>B2096+1</f>
        <v>8</v>
      </c>
      <c r="C2106" s="613" t="s">
        <v>1972</v>
      </c>
      <c r="D2106" s="612" t="s">
        <v>194</v>
      </c>
      <c r="E2106" s="613"/>
      <c r="F2106" s="611"/>
      <c r="G2106" s="605">
        <f>SUM(G2107:G2110)</f>
        <v>131704.29866</v>
      </c>
    </row>
    <row r="2107" spans="1:9" ht="15.75" customHeight="1" outlineLevel="2">
      <c r="A2107" s="613"/>
      <c r="B2107" s="612"/>
      <c r="C2107" s="613" t="s">
        <v>379</v>
      </c>
      <c r="D2107" s="612" t="s">
        <v>141</v>
      </c>
      <c r="E2107" s="613">
        <v>1.67</v>
      </c>
      <c r="F2107" s="611">
        <f>kansteen_10x20x60</f>
        <v>66440</v>
      </c>
      <c r="G2107" s="611">
        <f>F2107*E2107</f>
        <v>110954.79999999999</v>
      </c>
      <c r="I2107" s="633" t="s">
        <v>124</v>
      </c>
    </row>
    <row r="2108" spans="1:9" ht="15.75" customHeight="1" outlineLevel="2">
      <c r="A2108" s="613"/>
      <c r="B2108" s="612"/>
      <c r="C2108" s="613" t="s">
        <v>380</v>
      </c>
      <c r="D2108" s="612" t="s">
        <v>4</v>
      </c>
      <c r="E2108" s="613">
        <v>4.4999999999999998E-2</v>
      </c>
      <c r="F2108" s="611">
        <f>ahs_plester_1.4_tebal15mm</f>
        <v>78976.347999999998</v>
      </c>
      <c r="G2108" s="611">
        <f>F2108*E2108</f>
        <v>3553.9356599999996</v>
      </c>
    </row>
    <row r="2109" spans="1:9" ht="15.75" customHeight="1" outlineLevel="2">
      <c r="A2109" s="613"/>
      <c r="B2109" s="612"/>
      <c r="C2109" s="613" t="s">
        <v>381</v>
      </c>
      <c r="D2109" s="612" t="s">
        <v>4</v>
      </c>
      <c r="E2109" s="613">
        <v>0.4</v>
      </c>
      <c r="F2109" s="611">
        <f>F2116</f>
        <v>40473.895000000004</v>
      </c>
      <c r="G2109" s="611">
        <f>F2109*E2109</f>
        <v>16189.558000000003</v>
      </c>
    </row>
    <row r="2110" spans="1:9" ht="15.75" customHeight="1" outlineLevel="2">
      <c r="A2110" s="613"/>
      <c r="B2110" s="612"/>
      <c r="C2110" s="613" t="s">
        <v>382</v>
      </c>
      <c r="D2110" s="612" t="s">
        <v>40</v>
      </c>
      <c r="E2110" s="613">
        <v>1.2E-2</v>
      </c>
      <c r="F2110" s="611">
        <f>ahs_excavation_manual_1m</f>
        <v>83833.750000000015</v>
      </c>
      <c r="G2110" s="611">
        <f>F2110*E2110</f>
        <v>1006.0050000000002</v>
      </c>
    </row>
    <row r="2111" spans="1:9" ht="15.75" customHeight="1" outlineLevel="2">
      <c r="A2111" s="613"/>
      <c r="B2111" s="612"/>
      <c r="C2111" s="613"/>
      <c r="D2111" s="612"/>
      <c r="E2111" s="613"/>
      <c r="F2111" s="611"/>
      <c r="G2111" s="611"/>
    </row>
    <row r="2112" spans="1:9" ht="15.75" customHeight="1" outlineLevel="1">
      <c r="A2112" s="613" t="s">
        <v>2074</v>
      </c>
      <c r="B2112" s="612">
        <f>B2106+1</f>
        <v>9</v>
      </c>
      <c r="C2112" s="613" t="s">
        <v>1973</v>
      </c>
      <c r="D2112" s="612" t="s">
        <v>194</v>
      </c>
      <c r="E2112" s="613"/>
      <c r="F2112" s="611"/>
      <c r="G2112" s="605">
        <f>G2118</f>
        <v>174749.49865999998</v>
      </c>
    </row>
    <row r="2113" spans="1:12" ht="15.75" customHeight="1" outlineLevel="2">
      <c r="A2113" s="613"/>
      <c r="B2113" s="612"/>
      <c r="C2113" s="613"/>
      <c r="D2113" s="612"/>
      <c r="E2113" s="613"/>
      <c r="F2113" s="611"/>
      <c r="G2113" s="611"/>
    </row>
    <row r="2114" spans="1:12" ht="15.75" customHeight="1" outlineLevel="2">
      <c r="A2114" s="613"/>
      <c r="B2114" s="612"/>
      <c r="C2114" s="613" t="s">
        <v>379</v>
      </c>
      <c r="D2114" s="612" t="s">
        <v>141</v>
      </c>
      <c r="E2114" s="613">
        <v>2</v>
      </c>
      <c r="F2114" s="611">
        <f>kansteen_25x30x50</f>
        <v>77000</v>
      </c>
      <c r="G2114" s="611">
        <f>F2114*E2114</f>
        <v>154000</v>
      </c>
    </row>
    <row r="2115" spans="1:12" ht="15.75" customHeight="1" outlineLevel="2">
      <c r="A2115" s="613"/>
      <c r="B2115" s="612"/>
      <c r="C2115" s="613" t="s">
        <v>380</v>
      </c>
      <c r="D2115" s="612" t="s">
        <v>4</v>
      </c>
      <c r="E2115" s="613">
        <v>4.4999999999999998E-2</v>
      </c>
      <c r="F2115" s="611">
        <f>ahs_plester_1.4_tebal15mm</f>
        <v>78976.347999999998</v>
      </c>
      <c r="G2115" s="611">
        <f>F2115*E2115</f>
        <v>3553.9356599999996</v>
      </c>
    </row>
    <row r="2116" spans="1:12" ht="15.75" customHeight="1" outlineLevel="2">
      <c r="A2116" s="613"/>
      <c r="B2116" s="612"/>
      <c r="C2116" s="613" t="s">
        <v>381</v>
      </c>
      <c r="D2116" s="612" t="s">
        <v>4</v>
      </c>
      <c r="E2116" s="613">
        <v>0.4</v>
      </c>
      <c r="F2116" s="611">
        <f>G267</f>
        <v>40473.895000000004</v>
      </c>
      <c r="G2116" s="611">
        <f>F2116*E2116</f>
        <v>16189.558000000003</v>
      </c>
    </row>
    <row r="2117" spans="1:12" ht="15.75" customHeight="1" outlineLevel="2">
      <c r="A2117" s="613"/>
      <c r="B2117" s="612"/>
      <c r="C2117" s="613" t="s">
        <v>382</v>
      </c>
      <c r="D2117" s="612" t="s">
        <v>40</v>
      </c>
      <c r="E2117" s="613">
        <v>1.2E-2</v>
      </c>
      <c r="F2117" s="611">
        <f>ahs_excavation_manual_1m</f>
        <v>83833.750000000015</v>
      </c>
      <c r="G2117" s="611">
        <f>F2117*E2117</f>
        <v>1006.0050000000002</v>
      </c>
    </row>
    <row r="2118" spans="1:12" ht="15.75" customHeight="1" outlineLevel="2">
      <c r="A2118" s="613"/>
      <c r="B2118" s="612"/>
      <c r="C2118" s="613"/>
      <c r="D2118" s="612"/>
      <c r="E2118" s="613"/>
      <c r="F2118" s="611"/>
      <c r="G2118" s="611">
        <f>SUM(G2114:G2117)</f>
        <v>174749.49865999998</v>
      </c>
    </row>
    <row r="2119" spans="1:12" ht="15.75" customHeight="1" outlineLevel="1" thickBot="1">
      <c r="A2119" s="608"/>
      <c r="B2119" s="607"/>
      <c r="C2119" s="608"/>
      <c r="D2119" s="607"/>
      <c r="E2119" s="608"/>
      <c r="F2119" s="606"/>
      <c r="G2119" s="606"/>
      <c r="I2119" s="633" t="s">
        <v>383</v>
      </c>
    </row>
    <row r="2120" spans="1:12" ht="15.75" customHeight="1" thickBot="1">
      <c r="A2120" s="1213" t="s">
        <v>1421</v>
      </c>
      <c r="B2120" s="1214"/>
      <c r="C2120" s="1214"/>
      <c r="D2120" s="1214"/>
      <c r="E2120" s="1214"/>
      <c r="F2120" s="1214"/>
      <c r="G2120" s="1215"/>
    </row>
    <row r="2121" spans="1:12" ht="15.75" customHeight="1" outlineLevel="1">
      <c r="A2121" s="616" t="s">
        <v>2074</v>
      </c>
      <c r="B2121" s="615">
        <v>1</v>
      </c>
      <c r="C2121" s="616" t="s">
        <v>1974</v>
      </c>
      <c r="D2121" s="615" t="s">
        <v>194</v>
      </c>
      <c r="E2121" s="616"/>
      <c r="F2121" s="614"/>
      <c r="G2121" s="605">
        <f>G2131</f>
        <v>1865214.3856971432</v>
      </c>
      <c r="I2121" s="633" t="s">
        <v>124</v>
      </c>
    </row>
    <row r="2122" spans="1:12" ht="15.75" hidden="1" customHeight="1" outlineLevel="2">
      <c r="A2122" s="613"/>
      <c r="B2122" s="612"/>
      <c r="C2122" s="613"/>
      <c r="D2122" s="612"/>
      <c r="E2122" s="613"/>
      <c r="F2122" s="611"/>
      <c r="G2122" s="611"/>
    </row>
    <row r="2123" spans="1:12" ht="15.75" hidden="1" customHeight="1" outlineLevel="2">
      <c r="A2123" s="613"/>
      <c r="B2123" s="612"/>
      <c r="C2123" s="613" t="s">
        <v>1177</v>
      </c>
      <c r="D2123" s="612" t="s">
        <v>4288</v>
      </c>
      <c r="E2123" s="613">
        <f>1.25*1.2*1</f>
        <v>1.5</v>
      </c>
      <c r="F2123" s="611">
        <f>ahs_excavation_manual_2m</f>
        <v>102390.75000000001</v>
      </c>
      <c r="G2123" s="611">
        <f t="shared" ref="G2123:G2130" si="17">F2123*E2123</f>
        <v>153586.12500000003</v>
      </c>
      <c r="J2123" s="633">
        <v>2.1</v>
      </c>
    </row>
    <row r="2124" spans="1:12" ht="15.75" hidden="1" customHeight="1" outlineLevel="2">
      <c r="A2124" s="613"/>
      <c r="B2124" s="612"/>
      <c r="C2124" s="613" t="s">
        <v>1176</v>
      </c>
      <c r="D2124" s="612" t="s">
        <v>4288</v>
      </c>
      <c r="E2124" s="613">
        <f>E2123</f>
        <v>1.5</v>
      </c>
      <c r="F2124" s="611">
        <f>ahs_back_filling</f>
        <v>62462.950000000012</v>
      </c>
      <c r="G2124" s="611">
        <f t="shared" si="17"/>
        <v>93694.425000000017</v>
      </c>
    </row>
    <row r="2125" spans="1:12" ht="15.75" hidden="1" customHeight="1" outlineLevel="2">
      <c r="A2125" s="613"/>
      <c r="B2125" s="612"/>
      <c r="C2125" s="613" t="s">
        <v>1175</v>
      </c>
      <c r="D2125" s="612" t="s">
        <v>4288</v>
      </c>
      <c r="E2125" s="613">
        <f>1.2*1*0.1</f>
        <v>0.12</v>
      </c>
      <c r="F2125" s="611">
        <f>ahs_compacted_sand_layer_m3</f>
        <v>404738.95</v>
      </c>
      <c r="G2125" s="611">
        <f t="shared" si="17"/>
        <v>48568.673999999999</v>
      </c>
      <c r="J2125" s="633">
        <v>0.15</v>
      </c>
    </row>
    <row r="2126" spans="1:12" ht="15.75" hidden="1" customHeight="1" outlineLevel="2">
      <c r="A2126" s="613"/>
      <c r="B2126" s="612"/>
      <c r="C2126" s="613" t="s">
        <v>1174</v>
      </c>
      <c r="D2126" s="612" t="s">
        <v>4288</v>
      </c>
      <c r="E2126" s="613">
        <f>1.2*1*0.05</f>
        <v>0.06</v>
      </c>
      <c r="F2126" s="611">
        <f>K_100</f>
        <v>710224.707936508</v>
      </c>
      <c r="G2126" s="611">
        <f t="shared" si="17"/>
        <v>42613.482476190482</v>
      </c>
      <c r="J2126" s="633">
        <v>0.15</v>
      </c>
    </row>
    <row r="2127" spans="1:12" ht="15.75" hidden="1" customHeight="1" outlineLevel="2">
      <c r="A2127" s="613"/>
      <c r="B2127" s="612"/>
      <c r="C2127" s="613" t="s">
        <v>1547</v>
      </c>
      <c r="D2127" s="612" t="s">
        <v>4288</v>
      </c>
      <c r="E2127" s="613">
        <f>(1.1+1.1+1.2)*0.1*1</f>
        <v>0.34000000000000008</v>
      </c>
      <c r="F2127" s="611">
        <f>K_225+100*ahs_besi_ulir_kg</f>
        <v>3077982.4638095237</v>
      </c>
      <c r="G2127" s="611">
        <f t="shared" si="17"/>
        <v>1046514.0376952384</v>
      </c>
      <c r="K2127" s="633">
        <v>6</v>
      </c>
      <c r="L2127" s="633" t="s">
        <v>3</v>
      </c>
    </row>
    <row r="2128" spans="1:12" ht="15.75" hidden="1" customHeight="1" outlineLevel="2">
      <c r="A2128" s="613"/>
      <c r="B2128" s="612"/>
      <c r="C2128" s="613" t="s">
        <v>1548</v>
      </c>
      <c r="D2128" s="612" t="s">
        <v>4288</v>
      </c>
      <c r="E2128" s="613">
        <f>1.2*1*0.08</f>
        <v>9.6000000000000002E-2</v>
      </c>
      <c r="F2128" s="611">
        <f>K_225+100*ahs_besi_ulir_kg</f>
        <v>3077982.4638095237</v>
      </c>
      <c r="G2128" s="611">
        <f t="shared" si="17"/>
        <v>295486.3165257143</v>
      </c>
    </row>
    <row r="2129" spans="1:13" ht="15.75" hidden="1" customHeight="1" outlineLevel="2">
      <c r="A2129" s="613"/>
      <c r="B2129" s="612"/>
      <c r="C2129" s="613" t="s">
        <v>1536</v>
      </c>
      <c r="D2129" s="612" t="s">
        <v>3</v>
      </c>
      <c r="E2129" s="613">
        <v>1</v>
      </c>
      <c r="F2129" s="611">
        <f>L30*profil_siku_kg</f>
        <v>60131.500000000007</v>
      </c>
      <c r="G2129" s="611">
        <f t="shared" si="17"/>
        <v>60131.500000000007</v>
      </c>
      <c r="J2129" s="633" t="s">
        <v>1191</v>
      </c>
      <c r="K2129" s="633">
        <v>22.68</v>
      </c>
      <c r="L2129" s="633" t="s">
        <v>1</v>
      </c>
    </row>
    <row r="2130" spans="1:13" ht="15.75" hidden="1" customHeight="1" outlineLevel="2">
      <c r="A2130" s="613"/>
      <c r="B2130" s="612"/>
      <c r="C2130" s="613" t="s">
        <v>1546</v>
      </c>
      <c r="D2130" s="612" t="s">
        <v>3</v>
      </c>
      <c r="E2130" s="613">
        <v>1.1000000000000001</v>
      </c>
      <c r="F2130" s="611">
        <f>ahs_pvc_1.0_in</f>
        <v>113290.75000000001</v>
      </c>
      <c r="G2130" s="611">
        <f t="shared" si="17"/>
        <v>124619.82500000003</v>
      </c>
    </row>
    <row r="2131" spans="1:13" ht="15.75" hidden="1" customHeight="1" outlineLevel="2">
      <c r="A2131" s="613"/>
      <c r="B2131" s="612"/>
      <c r="C2131" s="613"/>
      <c r="D2131" s="612"/>
      <c r="E2131" s="613"/>
      <c r="F2131" s="611"/>
      <c r="G2131" s="611">
        <f>SUM(G2123:G2130)</f>
        <v>1865214.3856971432</v>
      </c>
      <c r="J2131" s="633">
        <v>1.6</v>
      </c>
      <c r="K2131" s="633">
        <f>(K2129/6)*1.6</f>
        <v>6.048</v>
      </c>
    </row>
    <row r="2132" spans="1:13" ht="15.75" customHeight="1" outlineLevel="1" collapsed="1">
      <c r="A2132" s="613" t="s">
        <v>2074</v>
      </c>
      <c r="B2132" s="612">
        <f>B2121+1</f>
        <v>2</v>
      </c>
      <c r="C2132" s="613" t="s">
        <v>1975</v>
      </c>
      <c r="D2132" s="612" t="s">
        <v>194</v>
      </c>
      <c r="E2132" s="613"/>
      <c r="F2132" s="611"/>
      <c r="G2132" s="605">
        <f>G2146</f>
        <v>354363.70000000007</v>
      </c>
      <c r="I2132" s="633" t="s">
        <v>124</v>
      </c>
    </row>
    <row r="2133" spans="1:13" ht="15.75" hidden="1" customHeight="1" outlineLevel="2">
      <c r="A2133" s="613"/>
      <c r="B2133" s="612"/>
      <c r="C2133" s="613" t="s">
        <v>75</v>
      </c>
      <c r="D2133" s="612"/>
      <c r="E2133" s="613"/>
      <c r="F2133" s="611"/>
      <c r="G2133" s="611"/>
    </row>
    <row r="2134" spans="1:13" ht="15.75" hidden="1" customHeight="1" outlineLevel="2">
      <c r="A2134" s="613"/>
      <c r="B2134" s="612"/>
      <c r="C2134" s="613" t="s">
        <v>1184</v>
      </c>
      <c r="D2134" s="612" t="s">
        <v>1</v>
      </c>
      <c r="E2134" s="613">
        <f>((0.75*3)+0.8)*3.48</f>
        <v>10.613999999999999</v>
      </c>
      <c r="F2134" s="611">
        <f>profil_siku_kg</f>
        <v>15950.000000000002</v>
      </c>
      <c r="G2134" s="611">
        <f>E2134*F2134</f>
        <v>169293.30000000002</v>
      </c>
      <c r="J2134" s="633">
        <v>1</v>
      </c>
      <c r="K2134" s="633">
        <f>K2129/K2127</f>
        <v>3.78</v>
      </c>
      <c r="L2134" s="633" t="s">
        <v>1</v>
      </c>
      <c r="M2134" s="633" t="s">
        <v>1190</v>
      </c>
    </row>
    <row r="2135" spans="1:13" ht="15.75" hidden="1" customHeight="1" outlineLevel="2">
      <c r="A2135" s="613"/>
      <c r="B2135" s="612"/>
      <c r="C2135" s="613" t="s">
        <v>1189</v>
      </c>
      <c r="D2135" s="612" t="s">
        <v>226</v>
      </c>
      <c r="E2135" s="613">
        <v>6</v>
      </c>
      <c r="F2135" s="611">
        <f>dyna_bolt_M10</f>
        <v>8800</v>
      </c>
      <c r="G2135" s="611">
        <f>E2135*F2135</f>
        <v>52800</v>
      </c>
    </row>
    <row r="2136" spans="1:13" ht="15.75" hidden="1" customHeight="1" outlineLevel="2">
      <c r="A2136" s="613"/>
      <c r="B2136" s="612"/>
      <c r="C2136" s="613"/>
      <c r="D2136" s="612"/>
      <c r="E2136" s="613"/>
      <c r="F2136" s="611"/>
      <c r="G2136" s="611"/>
      <c r="J2136" s="633">
        <v>1.6</v>
      </c>
      <c r="K2136" s="633">
        <f>K2134*J2136</f>
        <v>6.048</v>
      </c>
      <c r="L2136" s="633" t="s">
        <v>1</v>
      </c>
      <c r="M2136" s="633" t="s">
        <v>1188</v>
      </c>
    </row>
    <row r="2137" spans="1:13" ht="15.75" hidden="1" customHeight="1" outlineLevel="2">
      <c r="A2137" s="613"/>
      <c r="B2137" s="612"/>
      <c r="C2137" s="613" t="s">
        <v>70</v>
      </c>
      <c r="D2137" s="612"/>
      <c r="E2137" s="613"/>
      <c r="F2137" s="611"/>
      <c r="G2137" s="611"/>
    </row>
    <row r="2138" spans="1:13" ht="15.75" hidden="1" customHeight="1" outlineLevel="2">
      <c r="A2138" s="613"/>
      <c r="B2138" s="612"/>
      <c r="C2138" s="613" t="s">
        <v>1165</v>
      </c>
      <c r="D2138" s="612" t="s">
        <v>130</v>
      </c>
      <c r="E2138" s="613">
        <v>0.08</v>
      </c>
      <c r="F2138" s="611">
        <f>hand_bor_machine</f>
        <v>379500.00000000006</v>
      </c>
      <c r="G2138" s="611">
        <f t="shared" ref="G2138:G2145" si="18">E2138*F2138</f>
        <v>30360.000000000004</v>
      </c>
      <c r="J2138" s="633">
        <v>2</v>
      </c>
      <c r="K2138" s="633">
        <f>K2134*J2138</f>
        <v>7.56</v>
      </c>
      <c r="L2138" s="633" t="s">
        <v>1</v>
      </c>
      <c r="M2138" s="633" t="s">
        <v>1164</v>
      </c>
    </row>
    <row r="2139" spans="1:13" ht="15.75" hidden="1" customHeight="1" outlineLevel="2">
      <c r="A2139" s="613"/>
      <c r="B2139" s="612"/>
      <c r="C2139" s="613" t="s">
        <v>189</v>
      </c>
      <c r="D2139" s="612" t="s">
        <v>130</v>
      </c>
      <c r="E2139" s="613">
        <v>0.05</v>
      </c>
      <c r="F2139" s="611">
        <f>welding_machine_day</f>
        <v>891000.00000000012</v>
      </c>
      <c r="G2139" s="611">
        <f t="shared" si="18"/>
        <v>44550.000000000007</v>
      </c>
    </row>
    <row r="2140" spans="1:13" ht="15.75" hidden="1" customHeight="1" outlineLevel="2">
      <c r="A2140" s="613"/>
      <c r="B2140" s="612"/>
      <c r="C2140" s="613" t="s">
        <v>1163</v>
      </c>
      <c r="D2140" s="612" t="s">
        <v>210</v>
      </c>
      <c r="E2140" s="613">
        <v>1</v>
      </c>
      <c r="F2140" s="611">
        <v>20000</v>
      </c>
      <c r="G2140" s="611">
        <f t="shared" si="18"/>
        <v>20000</v>
      </c>
    </row>
    <row r="2141" spans="1:13" ht="15.75" hidden="1" customHeight="1" outlineLevel="2">
      <c r="A2141" s="613"/>
      <c r="B2141" s="612"/>
      <c r="C2141" s="613"/>
      <c r="D2141" s="612"/>
      <c r="E2141" s="613"/>
      <c r="F2141" s="611"/>
      <c r="G2141" s="611">
        <f t="shared" si="18"/>
        <v>0</v>
      </c>
    </row>
    <row r="2142" spans="1:13" ht="15.75" hidden="1" customHeight="1" outlineLevel="2">
      <c r="A2142" s="613"/>
      <c r="B2142" s="612"/>
      <c r="C2142" s="613" t="s">
        <v>31</v>
      </c>
      <c r="D2142" s="612"/>
      <c r="E2142" s="613"/>
      <c r="F2142" s="611"/>
      <c r="G2142" s="611">
        <f t="shared" si="18"/>
        <v>0</v>
      </c>
    </row>
    <row r="2143" spans="1:13" ht="15.75" hidden="1" customHeight="1" outlineLevel="2">
      <c r="A2143" s="613"/>
      <c r="B2143" s="612"/>
      <c r="C2143" s="613" t="s">
        <v>1162</v>
      </c>
      <c r="D2143" s="612" t="s">
        <v>33</v>
      </c>
      <c r="E2143" s="613">
        <f>E2102</f>
        <v>0.3</v>
      </c>
      <c r="F2143" s="611">
        <f>steel_worker</f>
        <v>119350.00000000001</v>
      </c>
      <c r="G2143" s="611">
        <f t="shared" si="18"/>
        <v>35805</v>
      </c>
    </row>
    <row r="2144" spans="1:13" ht="15.75" hidden="1" customHeight="1" outlineLevel="2">
      <c r="A2144" s="613"/>
      <c r="B2144" s="612"/>
      <c r="C2144" s="613" t="s">
        <v>1161</v>
      </c>
      <c r="D2144" s="612" t="s">
        <v>33</v>
      </c>
      <c r="E2144" s="613">
        <v>0.01</v>
      </c>
      <c r="F2144" s="611">
        <f>steel_worker_chief</f>
        <v>107800.00000000001</v>
      </c>
      <c r="G2144" s="611">
        <f t="shared" si="18"/>
        <v>1078.0000000000002</v>
      </c>
    </row>
    <row r="2145" spans="1:12" ht="15.75" hidden="1" customHeight="1" outlineLevel="2">
      <c r="A2145" s="613"/>
      <c r="B2145" s="612"/>
      <c r="C2145" s="613" t="s">
        <v>127</v>
      </c>
      <c r="D2145" s="612" t="s">
        <v>33</v>
      </c>
      <c r="E2145" s="613">
        <v>4.0000000000000001E-3</v>
      </c>
      <c r="F2145" s="611">
        <f>supervisor</f>
        <v>119350.00000000001</v>
      </c>
      <c r="G2145" s="611">
        <f t="shared" si="18"/>
        <v>477.40000000000009</v>
      </c>
    </row>
    <row r="2146" spans="1:12" ht="15.75" hidden="1" customHeight="1" outlineLevel="2">
      <c r="A2146" s="613"/>
      <c r="B2146" s="612"/>
      <c r="C2146" s="613"/>
      <c r="D2146" s="612"/>
      <c r="E2146" s="613"/>
      <c r="F2146" s="611"/>
      <c r="G2146" s="611">
        <f>SUM(G2134:G2145)</f>
        <v>354363.70000000007</v>
      </c>
    </row>
    <row r="2147" spans="1:12" ht="15.75" hidden="1" customHeight="1" outlineLevel="2">
      <c r="A2147" s="613"/>
      <c r="B2147" s="612"/>
      <c r="C2147" s="613"/>
      <c r="D2147" s="612"/>
      <c r="E2147" s="613"/>
      <c r="F2147" s="611"/>
      <c r="G2147" s="611"/>
    </row>
    <row r="2148" spans="1:12" ht="15.75" customHeight="1" outlineLevel="1" collapsed="1">
      <c r="A2148" s="613" t="s">
        <v>2074</v>
      </c>
      <c r="B2148" s="612">
        <f>B2132+1</f>
        <v>3</v>
      </c>
      <c r="C2148" s="613" t="s">
        <v>1976</v>
      </c>
      <c r="D2148" s="612" t="s">
        <v>194</v>
      </c>
      <c r="E2148" s="613"/>
      <c r="F2148" s="611"/>
      <c r="G2148" s="605">
        <f>G2158</f>
        <v>1430331.8908825398</v>
      </c>
      <c r="I2148" s="633" t="s">
        <v>124</v>
      </c>
    </row>
    <row r="2149" spans="1:12" ht="15.75" customHeight="1" outlineLevel="2">
      <c r="A2149" s="613"/>
      <c r="B2149" s="612"/>
      <c r="C2149" s="613"/>
      <c r="D2149" s="612"/>
      <c r="E2149" s="613"/>
      <c r="F2149" s="611"/>
      <c r="G2149" s="611"/>
    </row>
    <row r="2150" spans="1:12" ht="15.75" customHeight="1" outlineLevel="2">
      <c r="A2150" s="613"/>
      <c r="B2150" s="612"/>
      <c r="C2150" s="613" t="s">
        <v>1177</v>
      </c>
      <c r="D2150" s="612" t="s">
        <v>4288</v>
      </c>
      <c r="E2150" s="613">
        <f>1.05*1</f>
        <v>1.05</v>
      </c>
      <c r="F2150" s="611">
        <f>ahs_excavation_manual_2m</f>
        <v>102390.75000000001</v>
      </c>
      <c r="G2150" s="611">
        <f>F2150*E2150</f>
        <v>107510.28750000002</v>
      </c>
    </row>
    <row r="2151" spans="1:12" ht="15.75" customHeight="1" outlineLevel="2">
      <c r="A2151" s="613"/>
      <c r="B2151" s="612"/>
      <c r="C2151" s="613" t="s">
        <v>1176</v>
      </c>
      <c r="D2151" s="612" t="s">
        <v>4288</v>
      </c>
      <c r="E2151" s="613">
        <f>E2150</f>
        <v>1.05</v>
      </c>
      <c r="F2151" s="611">
        <f>ahs_back_filling</f>
        <v>62462.950000000012</v>
      </c>
      <c r="G2151" s="611">
        <f>F2151*E2151</f>
        <v>65586.097500000018</v>
      </c>
    </row>
    <row r="2152" spans="1:12" ht="15.75" customHeight="1" outlineLevel="2">
      <c r="A2152" s="613"/>
      <c r="B2152" s="612"/>
      <c r="C2152" s="613" t="s">
        <v>1175</v>
      </c>
      <c r="D2152" s="612" t="s">
        <v>4288</v>
      </c>
      <c r="E2152" s="613">
        <f>1*1*0.1</f>
        <v>0.1</v>
      </c>
      <c r="F2152" s="611">
        <f>ahs_compacted_sand_layer_m3</f>
        <v>404738.95</v>
      </c>
      <c r="G2152" s="611">
        <f>F2152*E2152</f>
        <v>40473.895000000004</v>
      </c>
    </row>
    <row r="2153" spans="1:12" ht="15.75" customHeight="1" outlineLevel="2">
      <c r="A2153" s="613"/>
      <c r="B2153" s="612"/>
      <c r="C2153" s="613" t="s">
        <v>1174</v>
      </c>
      <c r="D2153" s="612" t="s">
        <v>4288</v>
      </c>
      <c r="E2153" s="613">
        <f>1*1*0.05</f>
        <v>0.05</v>
      </c>
      <c r="F2153" s="611">
        <f>K_100</f>
        <v>710224.707936508</v>
      </c>
      <c r="G2153" s="611">
        <f>F2153*E2153</f>
        <v>35511.235396825403</v>
      </c>
    </row>
    <row r="2154" spans="1:12" ht="15.75" customHeight="1" outlineLevel="2">
      <c r="A2154" s="613"/>
      <c r="B2154" s="612"/>
      <c r="C2154" s="613" t="s">
        <v>1187</v>
      </c>
      <c r="D2154" s="612" t="s">
        <v>4288</v>
      </c>
      <c r="E2154" s="613">
        <f>(0.8+0.9+0.8)*0.1*1</f>
        <v>0.25</v>
      </c>
      <c r="F2154" s="611">
        <f>G$534+100*G$869</f>
        <v>3019694.0923809526</v>
      </c>
      <c r="G2154" s="611">
        <f>F2154*E2154</f>
        <v>754923.52309523814</v>
      </c>
    </row>
    <row r="2155" spans="1:12" ht="15.75" customHeight="1" outlineLevel="2">
      <c r="A2155" s="613"/>
      <c r="B2155" s="612"/>
      <c r="C2155" s="613" t="s">
        <v>1186</v>
      </c>
      <c r="D2155" s="612" t="s">
        <v>4288</v>
      </c>
      <c r="E2155" s="613">
        <f>1*1*0.08</f>
        <v>0.08</v>
      </c>
      <c r="F2155" s="611">
        <f>G$534+100*G$869</f>
        <v>3019694.0923809526</v>
      </c>
      <c r="G2155" s="611">
        <f>E2155*F2155</f>
        <v>241575.5273904762</v>
      </c>
    </row>
    <row r="2156" spans="1:12" ht="15.75" customHeight="1" outlineLevel="2">
      <c r="A2156" s="613"/>
      <c r="B2156" s="612"/>
      <c r="C2156" s="613" t="s">
        <v>1536</v>
      </c>
      <c r="D2156" s="612" t="s">
        <v>3</v>
      </c>
      <c r="E2156" s="613">
        <v>1</v>
      </c>
      <c r="F2156" s="611">
        <f>F2129</f>
        <v>60131.500000000007</v>
      </c>
      <c r="G2156" s="611">
        <f>F2156*E2156</f>
        <v>60131.500000000007</v>
      </c>
      <c r="J2156" s="633" t="s">
        <v>1191</v>
      </c>
      <c r="K2156" s="633">
        <v>22.68</v>
      </c>
      <c r="L2156" s="633" t="s">
        <v>1</v>
      </c>
    </row>
    <row r="2157" spans="1:12" ht="15.75" customHeight="1" outlineLevel="2">
      <c r="A2157" s="613"/>
      <c r="B2157" s="612"/>
      <c r="C2157" s="613" t="s">
        <v>1546</v>
      </c>
      <c r="D2157" s="612" t="s">
        <v>3</v>
      </c>
      <c r="E2157" s="613">
        <v>1.1000000000000001</v>
      </c>
      <c r="F2157" s="611">
        <f>ahs_pvc_1.0_in</f>
        <v>113290.75000000001</v>
      </c>
      <c r="G2157" s="611">
        <f>F2157*E2157</f>
        <v>124619.82500000003</v>
      </c>
    </row>
    <row r="2158" spans="1:12" ht="15.75" customHeight="1" outlineLevel="2">
      <c r="A2158" s="613"/>
      <c r="B2158" s="612"/>
      <c r="C2158" s="613"/>
      <c r="D2158" s="612"/>
      <c r="E2158" s="613"/>
      <c r="F2158" s="611"/>
      <c r="G2158" s="611">
        <f>SUM(G2150:G2157)</f>
        <v>1430331.8908825398</v>
      </c>
    </row>
    <row r="2159" spans="1:12" ht="15.75" customHeight="1" outlineLevel="2">
      <c r="A2159" s="613"/>
      <c r="B2159" s="612"/>
      <c r="C2159" s="613"/>
      <c r="D2159" s="612"/>
      <c r="E2159" s="613"/>
      <c r="F2159" s="611"/>
      <c r="G2159" s="611"/>
    </row>
    <row r="2160" spans="1:12" ht="15.75" customHeight="1" outlineLevel="1">
      <c r="A2160" s="613" t="s">
        <v>2074</v>
      </c>
      <c r="B2160" s="612">
        <f>B2148+1</f>
        <v>4</v>
      </c>
      <c r="C2160" s="613" t="s">
        <v>1977</v>
      </c>
      <c r="D2160" s="612" t="s">
        <v>194</v>
      </c>
      <c r="E2160" s="613"/>
      <c r="F2160" s="611"/>
      <c r="G2160" s="605">
        <f>G2170</f>
        <v>1278252.4098666669</v>
      </c>
      <c r="I2160" s="633" t="s">
        <v>124</v>
      </c>
    </row>
    <row r="2161" spans="1:12" ht="15.75" hidden="1" customHeight="1" outlineLevel="2">
      <c r="A2161" s="613"/>
      <c r="B2161" s="612"/>
      <c r="C2161" s="613"/>
      <c r="D2161" s="612"/>
      <c r="E2161" s="613"/>
      <c r="F2161" s="611"/>
      <c r="G2161" s="611"/>
    </row>
    <row r="2162" spans="1:12" ht="15.75" hidden="1" customHeight="1" outlineLevel="2">
      <c r="A2162" s="613"/>
      <c r="B2162" s="612"/>
      <c r="C2162" s="613" t="s">
        <v>1177</v>
      </c>
      <c r="D2162" s="612" t="s">
        <v>4288</v>
      </c>
      <c r="E2162" s="613">
        <f>0.8*0.8*1.2</f>
        <v>0.76800000000000013</v>
      </c>
      <c r="F2162" s="611">
        <f>ahs_excavation_manual_2m</f>
        <v>102390.75000000001</v>
      </c>
      <c r="G2162" s="611">
        <f>F2162*E2162</f>
        <v>78636.09600000002</v>
      </c>
    </row>
    <row r="2163" spans="1:12" ht="15.75" hidden="1" customHeight="1" outlineLevel="2">
      <c r="A2163" s="613"/>
      <c r="B2163" s="612"/>
      <c r="C2163" s="613" t="s">
        <v>1176</v>
      </c>
      <c r="D2163" s="612" t="s">
        <v>4288</v>
      </c>
      <c r="E2163" s="613">
        <f>E2162</f>
        <v>0.76800000000000013</v>
      </c>
      <c r="F2163" s="611">
        <f>ahs_back_filling</f>
        <v>62462.950000000012</v>
      </c>
      <c r="G2163" s="611">
        <f>F2163*E2163</f>
        <v>47971.545600000019</v>
      </c>
    </row>
    <row r="2164" spans="1:12" ht="15.75" hidden="1" customHeight="1" outlineLevel="2">
      <c r="A2164" s="613"/>
      <c r="B2164" s="612"/>
      <c r="C2164" s="613" t="s">
        <v>1175</v>
      </c>
      <c r="D2164" s="612" t="s">
        <v>4288</v>
      </c>
      <c r="E2164" s="613">
        <f>1.2*1*0.1</f>
        <v>0.12</v>
      </c>
      <c r="F2164" s="611">
        <f>ahs_compacted_sand_layer_m3</f>
        <v>404738.95</v>
      </c>
      <c r="G2164" s="611">
        <f>F2164*E2164</f>
        <v>48568.673999999999</v>
      </c>
    </row>
    <row r="2165" spans="1:12" ht="15.75" hidden="1" customHeight="1" outlineLevel="2">
      <c r="A2165" s="613"/>
      <c r="B2165" s="612"/>
      <c r="C2165" s="613" t="s">
        <v>1174</v>
      </c>
      <c r="D2165" s="612" t="s">
        <v>4288</v>
      </c>
      <c r="E2165" s="613">
        <f>1.2*1*0.05</f>
        <v>0.06</v>
      </c>
      <c r="F2165" s="611">
        <f>K_100</f>
        <v>710224.707936508</v>
      </c>
      <c r="G2165" s="611">
        <f>F2165*E2165</f>
        <v>42613.482476190482</v>
      </c>
    </row>
    <row r="2166" spans="1:12" ht="15.75" hidden="1" customHeight="1" outlineLevel="2">
      <c r="A2166" s="613"/>
      <c r="B2166" s="612"/>
      <c r="C2166" s="613" t="s">
        <v>1549</v>
      </c>
      <c r="D2166" s="612" t="s">
        <v>4288</v>
      </c>
      <c r="E2166" s="613">
        <f>(0.6+1.1+0.6)*0.1*1</f>
        <v>0.23000000000000004</v>
      </c>
      <c r="F2166" s="611">
        <f>G$534+100*G$869</f>
        <v>3019694.0923809526</v>
      </c>
      <c r="G2166" s="611">
        <f>F2166*E2166</f>
        <v>694529.64124761918</v>
      </c>
    </row>
    <row r="2167" spans="1:12" ht="15.75" hidden="1" customHeight="1" outlineLevel="2">
      <c r="A2167" s="613"/>
      <c r="B2167" s="612"/>
      <c r="C2167" s="613" t="s">
        <v>1550</v>
      </c>
      <c r="D2167" s="612" t="s">
        <v>4288</v>
      </c>
      <c r="E2167" s="613">
        <f>1*1*0.06</f>
        <v>0.06</v>
      </c>
      <c r="F2167" s="611">
        <f>G$534+100*G$869</f>
        <v>3019694.0923809526</v>
      </c>
      <c r="G2167" s="611">
        <f>E2167*F2167</f>
        <v>181181.64554285715</v>
      </c>
    </row>
    <row r="2168" spans="1:12" ht="15.75" hidden="1" customHeight="1" outlineLevel="2">
      <c r="A2168" s="613"/>
      <c r="B2168" s="612"/>
      <c r="C2168" s="613" t="s">
        <v>1536</v>
      </c>
      <c r="D2168" s="612" t="s">
        <v>3</v>
      </c>
      <c r="E2168" s="613">
        <v>1</v>
      </c>
      <c r="F2168" s="611">
        <f>F2129</f>
        <v>60131.500000000007</v>
      </c>
      <c r="G2168" s="611">
        <f>F2168*E2168</f>
        <v>60131.500000000007</v>
      </c>
      <c r="J2168" s="633" t="s">
        <v>1191</v>
      </c>
      <c r="K2168" s="633">
        <v>22.68</v>
      </c>
      <c r="L2168" s="633" t="s">
        <v>1</v>
      </c>
    </row>
    <row r="2169" spans="1:12" ht="15.75" hidden="1" customHeight="1" outlineLevel="2">
      <c r="A2169" s="613"/>
      <c r="B2169" s="612"/>
      <c r="C2169" s="613" t="s">
        <v>1546</v>
      </c>
      <c r="D2169" s="612" t="s">
        <v>3</v>
      </c>
      <c r="E2169" s="613">
        <v>1.1000000000000001</v>
      </c>
      <c r="F2169" s="611">
        <f>ahs_pvc_1.0_in</f>
        <v>113290.75000000001</v>
      </c>
      <c r="G2169" s="611">
        <f>F2169*E2169</f>
        <v>124619.82500000003</v>
      </c>
    </row>
    <row r="2170" spans="1:12" ht="15.75" hidden="1" customHeight="1" outlineLevel="2">
      <c r="A2170" s="613"/>
      <c r="B2170" s="612"/>
      <c r="C2170" s="613"/>
      <c r="D2170" s="612"/>
      <c r="E2170" s="613"/>
      <c r="F2170" s="611"/>
      <c r="G2170" s="611">
        <f>SUM(G2162:G2169)</f>
        <v>1278252.4098666669</v>
      </c>
    </row>
    <row r="2171" spans="1:12" ht="15.75" customHeight="1" outlineLevel="1" collapsed="1">
      <c r="A2171" s="613" t="s">
        <v>2074</v>
      </c>
      <c r="B2171" s="612">
        <f>B2160+1</f>
        <v>5</v>
      </c>
      <c r="C2171" s="613" t="s">
        <v>1978</v>
      </c>
      <c r="D2171" s="612" t="s">
        <v>194</v>
      </c>
      <c r="E2171" s="613"/>
      <c r="F2171" s="611"/>
      <c r="G2171" s="605">
        <f>G2181</f>
        <v>1002115.0331238097</v>
      </c>
      <c r="I2171" s="633" t="s">
        <v>124</v>
      </c>
    </row>
    <row r="2172" spans="1:12" ht="15.75" hidden="1" customHeight="1" outlineLevel="2">
      <c r="A2172" s="613"/>
      <c r="B2172" s="612"/>
      <c r="C2172" s="613"/>
      <c r="D2172" s="612"/>
      <c r="E2172" s="613"/>
      <c r="F2172" s="611"/>
      <c r="G2172" s="611"/>
    </row>
    <row r="2173" spans="1:12" ht="15.75" hidden="1" customHeight="1" outlineLevel="2">
      <c r="A2173" s="613"/>
      <c r="B2173" s="612"/>
      <c r="C2173" s="613" t="s">
        <v>1177</v>
      </c>
      <c r="D2173" s="612" t="s">
        <v>4288</v>
      </c>
      <c r="E2173" s="613">
        <f>0.4*0.4*1.2</f>
        <v>0.19200000000000003</v>
      </c>
      <c r="F2173" s="611">
        <f>ahs_excavation_manual_2m</f>
        <v>102390.75000000001</v>
      </c>
      <c r="G2173" s="611">
        <f>F2173*E2173</f>
        <v>19659.024000000005</v>
      </c>
    </row>
    <row r="2174" spans="1:12" ht="15.75" hidden="1" customHeight="1" outlineLevel="2">
      <c r="A2174" s="613"/>
      <c r="B2174" s="612"/>
      <c r="C2174" s="613" t="s">
        <v>1176</v>
      </c>
      <c r="D2174" s="612" t="s">
        <v>4288</v>
      </c>
      <c r="E2174" s="613">
        <f>E2173</f>
        <v>0.19200000000000003</v>
      </c>
      <c r="F2174" s="611">
        <f>ahs_back_filling</f>
        <v>62462.950000000012</v>
      </c>
      <c r="G2174" s="611">
        <f>F2174*E2174</f>
        <v>11992.886400000005</v>
      </c>
    </row>
    <row r="2175" spans="1:12" ht="15.75" hidden="1" customHeight="1" outlineLevel="2">
      <c r="A2175" s="613"/>
      <c r="B2175" s="612"/>
      <c r="C2175" s="613" t="s">
        <v>1175</v>
      </c>
      <c r="D2175" s="612" t="s">
        <v>4288</v>
      </c>
      <c r="E2175" s="613">
        <f>1.2*1*0.1</f>
        <v>0.12</v>
      </c>
      <c r="F2175" s="611">
        <f>ahs_compacted_sand_layer_m3</f>
        <v>404738.95</v>
      </c>
      <c r="G2175" s="611">
        <f>F2175*E2175</f>
        <v>48568.673999999999</v>
      </c>
    </row>
    <row r="2176" spans="1:12" ht="15.75" hidden="1" customHeight="1" outlineLevel="2">
      <c r="A2176" s="613"/>
      <c r="B2176" s="612"/>
      <c r="C2176" s="613" t="s">
        <v>1174</v>
      </c>
      <c r="D2176" s="612" t="s">
        <v>4288</v>
      </c>
      <c r="E2176" s="613">
        <f>1.2*1*0.05</f>
        <v>0.06</v>
      </c>
      <c r="F2176" s="611">
        <f>K_100</f>
        <v>710224.707936508</v>
      </c>
      <c r="G2176" s="611">
        <f>F2176*E2176</f>
        <v>42613.482476190482</v>
      </c>
    </row>
    <row r="2177" spans="1:12" ht="15.75" hidden="1" customHeight="1" outlineLevel="2">
      <c r="A2177" s="613"/>
      <c r="B2177" s="612"/>
      <c r="C2177" s="613" t="s">
        <v>1549</v>
      </c>
      <c r="D2177" s="612" t="s">
        <v>4288</v>
      </c>
      <c r="E2177" s="613">
        <f>(0.4+1.1+0.4)*0.1*1</f>
        <v>0.19</v>
      </c>
      <c r="F2177" s="611">
        <f>G$534+100*G$869</f>
        <v>3019694.0923809526</v>
      </c>
      <c r="G2177" s="611">
        <f>F2177*E2177</f>
        <v>573741.87755238102</v>
      </c>
    </row>
    <row r="2178" spans="1:12" ht="15.75" hidden="1" customHeight="1" outlineLevel="2">
      <c r="A2178" s="613"/>
      <c r="B2178" s="612"/>
      <c r="C2178" s="613" t="s">
        <v>1550</v>
      </c>
      <c r="D2178" s="612" t="s">
        <v>4288</v>
      </c>
      <c r="E2178" s="613">
        <f>1*1*0.04</f>
        <v>0.04</v>
      </c>
      <c r="F2178" s="611">
        <f>G$534+100*G$869</f>
        <v>3019694.0923809526</v>
      </c>
      <c r="G2178" s="611">
        <f>E2178*F2178</f>
        <v>120787.7636952381</v>
      </c>
    </row>
    <row r="2179" spans="1:12" ht="15.75" hidden="1" customHeight="1" outlineLevel="2">
      <c r="A2179" s="613"/>
      <c r="B2179" s="612"/>
      <c r="C2179" s="613" t="s">
        <v>1536</v>
      </c>
      <c r="D2179" s="612" t="s">
        <v>3</v>
      </c>
      <c r="E2179" s="613">
        <v>1</v>
      </c>
      <c r="F2179" s="611">
        <f>F2168</f>
        <v>60131.500000000007</v>
      </c>
      <c r="G2179" s="611">
        <f>F2179*E2179</f>
        <v>60131.500000000007</v>
      </c>
      <c r="J2179" s="633" t="s">
        <v>1191</v>
      </c>
      <c r="K2179" s="633">
        <v>22.68</v>
      </c>
      <c r="L2179" s="633" t="s">
        <v>1</v>
      </c>
    </row>
    <row r="2180" spans="1:12" ht="15.75" hidden="1" customHeight="1" outlineLevel="2">
      <c r="A2180" s="613"/>
      <c r="B2180" s="612"/>
      <c r="C2180" s="613" t="s">
        <v>1546</v>
      </c>
      <c r="D2180" s="612" t="s">
        <v>3</v>
      </c>
      <c r="E2180" s="613">
        <v>1.1000000000000001</v>
      </c>
      <c r="F2180" s="611">
        <f>ahs_pvc_1.0_in</f>
        <v>113290.75000000001</v>
      </c>
      <c r="G2180" s="611">
        <f>F2180*E2180</f>
        <v>124619.82500000003</v>
      </c>
    </row>
    <row r="2181" spans="1:12" ht="15.75" hidden="1" customHeight="1" outlineLevel="2">
      <c r="A2181" s="613"/>
      <c r="B2181" s="612"/>
      <c r="C2181" s="613"/>
      <c r="D2181" s="612"/>
      <c r="E2181" s="613"/>
      <c r="F2181" s="611"/>
      <c r="G2181" s="611">
        <f>SUM(G2173:G2180)</f>
        <v>1002115.0331238097</v>
      </c>
    </row>
    <row r="2182" spans="1:12" ht="15.75" customHeight="1" outlineLevel="1" collapsed="1">
      <c r="A2182" s="613" t="s">
        <v>2074</v>
      </c>
      <c r="B2182" s="612">
        <f>B2171+1</f>
        <v>6</v>
      </c>
      <c r="C2182" s="613" t="s">
        <v>1979</v>
      </c>
      <c r="D2182" s="612" t="s">
        <v>194</v>
      </c>
      <c r="E2182" s="613"/>
      <c r="F2182" s="611"/>
      <c r="G2182" s="605">
        <f>G2196</f>
        <v>351588.4</v>
      </c>
      <c r="I2182" s="633" t="s">
        <v>124</v>
      </c>
    </row>
    <row r="2183" spans="1:12" ht="15.75" hidden="1" customHeight="1" outlineLevel="2">
      <c r="A2183" s="613"/>
      <c r="B2183" s="612"/>
      <c r="C2183" s="613" t="s">
        <v>75</v>
      </c>
      <c r="D2183" s="612"/>
      <c r="E2183" s="613"/>
      <c r="F2183" s="611"/>
      <c r="G2183" s="611"/>
      <c r="J2183" s="633" t="s">
        <v>1185</v>
      </c>
    </row>
    <row r="2184" spans="1:12" ht="15.75" hidden="1" customHeight="1" outlineLevel="2">
      <c r="A2184" s="613"/>
      <c r="B2184" s="612"/>
      <c r="C2184" s="613" t="s">
        <v>1184</v>
      </c>
      <c r="D2184" s="612" t="s">
        <v>1</v>
      </c>
      <c r="E2184" s="613">
        <f>((0.75*3)+0.75)*3.48</f>
        <v>10.44</v>
      </c>
      <c r="F2184" s="611">
        <f>profil_siku_kg</f>
        <v>15950.000000000002</v>
      </c>
      <c r="G2184" s="611">
        <f>E2184*F2184</f>
        <v>166518</v>
      </c>
      <c r="J2184" s="633">
        <v>1</v>
      </c>
      <c r="K2184" s="633">
        <f>K2134</f>
        <v>3.78</v>
      </c>
      <c r="L2184" s="633" t="s">
        <v>1</v>
      </c>
    </row>
    <row r="2185" spans="1:12" ht="15.75" hidden="1" customHeight="1" outlineLevel="2">
      <c r="A2185" s="613"/>
      <c r="B2185" s="612"/>
      <c r="C2185" s="613" t="s">
        <v>1183</v>
      </c>
      <c r="D2185" s="612" t="s">
        <v>226</v>
      </c>
      <c r="E2185" s="613">
        <v>6</v>
      </c>
      <c r="F2185" s="611">
        <f>dyna_bolt_M10</f>
        <v>8800</v>
      </c>
      <c r="G2185" s="611">
        <f>E2185*F2185</f>
        <v>52800</v>
      </c>
    </row>
    <row r="2186" spans="1:12" ht="15.75" hidden="1" customHeight="1" outlineLevel="2">
      <c r="A2186" s="613"/>
      <c r="B2186" s="612"/>
      <c r="C2186" s="613"/>
      <c r="D2186" s="612"/>
      <c r="E2186" s="613"/>
      <c r="F2186" s="611"/>
      <c r="G2186" s="611"/>
      <c r="J2186" s="633">
        <v>1.6</v>
      </c>
      <c r="K2186" s="633">
        <f>K2184*J2186</f>
        <v>6.048</v>
      </c>
      <c r="L2186" s="633" t="s">
        <v>1</v>
      </c>
    </row>
    <row r="2187" spans="1:12" ht="15.75" hidden="1" customHeight="1" outlineLevel="2">
      <c r="A2187" s="613"/>
      <c r="B2187" s="612"/>
      <c r="C2187" s="613" t="s">
        <v>70</v>
      </c>
      <c r="D2187" s="612"/>
      <c r="E2187" s="613"/>
      <c r="F2187" s="611"/>
      <c r="G2187" s="611"/>
    </row>
    <row r="2188" spans="1:12" ht="15.75" hidden="1" customHeight="1" outlineLevel="2">
      <c r="A2188" s="613"/>
      <c r="B2188" s="612"/>
      <c r="C2188" s="613" t="s">
        <v>1165</v>
      </c>
      <c r="D2188" s="612" t="s">
        <v>130</v>
      </c>
      <c r="E2188" s="613">
        <v>0.08</v>
      </c>
      <c r="F2188" s="611">
        <f>hand_bor_machine</f>
        <v>379500.00000000006</v>
      </c>
      <c r="G2188" s="611">
        <f>E2188*F2188</f>
        <v>30360.000000000004</v>
      </c>
      <c r="J2188" s="633">
        <v>2</v>
      </c>
      <c r="K2188" s="633">
        <f>K2138</f>
        <v>7.56</v>
      </c>
      <c r="L2188" s="633" t="s">
        <v>1</v>
      </c>
    </row>
    <row r="2189" spans="1:12" ht="15.75" hidden="1" customHeight="1" outlineLevel="2">
      <c r="A2189" s="613"/>
      <c r="B2189" s="612"/>
      <c r="C2189" s="613" t="s">
        <v>189</v>
      </c>
      <c r="D2189" s="612" t="s">
        <v>130</v>
      </c>
      <c r="E2189" s="613">
        <v>0.05</v>
      </c>
      <c r="F2189" s="611">
        <f>welding_machine_day</f>
        <v>891000.00000000012</v>
      </c>
      <c r="G2189" s="611">
        <f>E2189*F2189</f>
        <v>44550.000000000007</v>
      </c>
    </row>
    <row r="2190" spans="1:12" ht="15.75" hidden="1" customHeight="1" outlineLevel="2">
      <c r="A2190" s="613"/>
      <c r="B2190" s="612"/>
      <c r="C2190" s="613" t="s">
        <v>1163</v>
      </c>
      <c r="D2190" s="612" t="s">
        <v>210</v>
      </c>
      <c r="E2190" s="613">
        <v>1</v>
      </c>
      <c r="F2190" s="611">
        <f>F2140</f>
        <v>20000</v>
      </c>
      <c r="G2190" s="611">
        <f>E2190*F2190</f>
        <v>20000</v>
      </c>
    </row>
    <row r="2191" spans="1:12" ht="15.75" hidden="1" customHeight="1" outlineLevel="2">
      <c r="A2191" s="613"/>
      <c r="B2191" s="612"/>
      <c r="C2191" s="613"/>
      <c r="D2191" s="612"/>
      <c r="E2191" s="613"/>
      <c r="F2191" s="611"/>
      <c r="G2191" s="611"/>
    </row>
    <row r="2192" spans="1:12" ht="15.75" hidden="1" customHeight="1" outlineLevel="2">
      <c r="A2192" s="613"/>
      <c r="B2192" s="612"/>
      <c r="C2192" s="613" t="s">
        <v>31</v>
      </c>
      <c r="D2192" s="612"/>
      <c r="E2192" s="613"/>
      <c r="F2192" s="611"/>
      <c r="G2192" s="611"/>
    </row>
    <row r="2193" spans="1:10" ht="15.75" hidden="1" customHeight="1" outlineLevel="2">
      <c r="A2193" s="613"/>
      <c r="B2193" s="612"/>
      <c r="C2193" s="613" t="s">
        <v>1162</v>
      </c>
      <c r="D2193" s="612" t="s">
        <v>33</v>
      </c>
      <c r="E2193" s="613">
        <f>E2143</f>
        <v>0.3</v>
      </c>
      <c r="F2193" s="611">
        <f>steel_worker</f>
        <v>119350.00000000001</v>
      </c>
      <c r="G2193" s="611">
        <f>E2193*F2193</f>
        <v>35805</v>
      </c>
    </row>
    <row r="2194" spans="1:10" ht="15.75" hidden="1" customHeight="1" outlineLevel="2">
      <c r="A2194" s="613"/>
      <c r="B2194" s="612"/>
      <c r="C2194" s="613" t="s">
        <v>1161</v>
      </c>
      <c r="D2194" s="612" t="s">
        <v>33</v>
      </c>
      <c r="E2194" s="613">
        <f>E2144</f>
        <v>0.01</v>
      </c>
      <c r="F2194" s="611">
        <f>steel_worker_chief</f>
        <v>107800.00000000001</v>
      </c>
      <c r="G2194" s="611">
        <f>E2194*F2194</f>
        <v>1078.0000000000002</v>
      </c>
    </row>
    <row r="2195" spans="1:10" ht="15.75" hidden="1" customHeight="1" outlineLevel="2">
      <c r="A2195" s="613"/>
      <c r="B2195" s="612"/>
      <c r="C2195" s="613" t="s">
        <v>127</v>
      </c>
      <c r="D2195" s="612" t="s">
        <v>33</v>
      </c>
      <c r="E2195" s="613">
        <f>E2145</f>
        <v>4.0000000000000001E-3</v>
      </c>
      <c r="F2195" s="611">
        <f>supervisor</f>
        <v>119350.00000000001</v>
      </c>
      <c r="G2195" s="611">
        <f>E2195*F2195</f>
        <v>477.40000000000009</v>
      </c>
    </row>
    <row r="2196" spans="1:10" ht="15.75" hidden="1" customHeight="1" outlineLevel="2">
      <c r="A2196" s="613"/>
      <c r="B2196" s="612"/>
      <c r="C2196" s="613"/>
      <c r="D2196" s="612"/>
      <c r="E2196" s="613"/>
      <c r="F2196" s="611"/>
      <c r="G2196" s="611">
        <f>SUM(G2184:G2195)</f>
        <v>351588.4</v>
      </c>
    </row>
    <row r="2197" spans="1:10" ht="15.75" hidden="1" customHeight="1" outlineLevel="2">
      <c r="A2197" s="613"/>
      <c r="B2197" s="612"/>
      <c r="C2197" s="613"/>
      <c r="D2197" s="612"/>
      <c r="E2197" s="613"/>
      <c r="F2197" s="611"/>
      <c r="G2197" s="611"/>
    </row>
    <row r="2198" spans="1:10" ht="15.75" customHeight="1" outlineLevel="1" collapsed="1">
      <c r="A2198" s="613" t="s">
        <v>2074</v>
      </c>
      <c r="B2198" s="612">
        <f>B2182+1</f>
        <v>7</v>
      </c>
      <c r="C2198" s="613" t="s">
        <v>1980</v>
      </c>
      <c r="D2198" s="612" t="s">
        <v>194</v>
      </c>
      <c r="E2198" s="613"/>
      <c r="F2198" s="611"/>
      <c r="G2198" s="605">
        <f>G2206</f>
        <v>872840.10550349206</v>
      </c>
    </row>
    <row r="2199" spans="1:10" ht="15.75" hidden="1" customHeight="1" outlineLevel="2">
      <c r="A2199" s="613"/>
      <c r="B2199" s="612"/>
      <c r="C2199" s="613"/>
      <c r="D2199" s="612"/>
      <c r="E2199" s="613"/>
      <c r="F2199" s="611"/>
      <c r="G2199" s="611"/>
      <c r="I2199" s="633" t="s">
        <v>124</v>
      </c>
    </row>
    <row r="2200" spans="1:10" ht="15.75" hidden="1" customHeight="1" outlineLevel="2">
      <c r="A2200" s="613"/>
      <c r="B2200" s="612"/>
      <c r="C2200" s="613" t="s">
        <v>1177</v>
      </c>
      <c r="D2200" s="612" t="s">
        <v>4288</v>
      </c>
      <c r="E2200" s="613">
        <f>0.75*0.7*1</f>
        <v>0.52499999999999991</v>
      </c>
      <c r="F2200" s="611">
        <f>ahs_excavation_manual_1m</f>
        <v>83833.750000000015</v>
      </c>
      <c r="G2200" s="611">
        <f>F2200*E2200</f>
        <v>44012.71875</v>
      </c>
    </row>
    <row r="2201" spans="1:10" ht="15.75" hidden="1" customHeight="1" outlineLevel="2">
      <c r="A2201" s="613"/>
      <c r="B2201" s="612"/>
      <c r="C2201" s="613" t="s">
        <v>1176</v>
      </c>
      <c r="D2201" s="612" t="s">
        <v>4288</v>
      </c>
      <c r="E2201" s="613">
        <f>E2200</f>
        <v>0.52499999999999991</v>
      </c>
      <c r="F2201" s="611">
        <f>ahs_back_filling</f>
        <v>62462.950000000012</v>
      </c>
      <c r="G2201" s="611">
        <f>F2201*E2201</f>
        <v>32793.048750000002</v>
      </c>
    </row>
    <row r="2202" spans="1:10" ht="15.75" hidden="1" customHeight="1" outlineLevel="2">
      <c r="A2202" s="613"/>
      <c r="B2202" s="612"/>
      <c r="C2202" s="613" t="s">
        <v>1175</v>
      </c>
      <c r="D2202" s="612" t="s">
        <v>4288</v>
      </c>
      <c r="E2202" s="613">
        <f>0.7*1*0.1</f>
        <v>6.9999999999999993E-2</v>
      </c>
      <c r="F2202" s="611">
        <f>ahs_compacted_sand_layer_m3</f>
        <v>404738.95</v>
      </c>
      <c r="G2202" s="611">
        <f>F2202*E2202</f>
        <v>28331.726499999997</v>
      </c>
    </row>
    <row r="2203" spans="1:10" ht="15.75" hidden="1" customHeight="1" outlineLevel="2">
      <c r="A2203" s="613"/>
      <c r="B2203" s="612"/>
      <c r="C2203" s="613" t="s">
        <v>1174</v>
      </c>
      <c r="D2203" s="612" t="s">
        <v>4288</v>
      </c>
      <c r="E2203" s="613">
        <f>0.7*1*0.05</f>
        <v>3.4999999999999996E-2</v>
      </c>
      <c r="F2203" s="611">
        <f>K_100</f>
        <v>710224.707936508</v>
      </c>
      <c r="G2203" s="611">
        <f>F2203*E2203</f>
        <v>24857.864777777777</v>
      </c>
    </row>
    <row r="2204" spans="1:10" ht="15.75" hidden="1" customHeight="1" outlineLevel="2">
      <c r="A2204" s="613"/>
      <c r="B2204" s="612"/>
      <c r="C2204" s="613" t="s">
        <v>1182</v>
      </c>
      <c r="D2204" s="612" t="s">
        <v>4288</v>
      </c>
      <c r="E2204" s="613">
        <f>((0.6*2)+0.7)*0.1*1</f>
        <v>0.19</v>
      </c>
      <c r="F2204" s="611">
        <f>K_175+100*ahs_besi_ulir_kg</f>
        <v>3019694.0923809526</v>
      </c>
      <c r="G2204" s="611">
        <f>F2204*E2204</f>
        <v>573741.87755238102</v>
      </c>
    </row>
    <row r="2205" spans="1:10" ht="15.75" hidden="1" customHeight="1" outlineLevel="2">
      <c r="A2205" s="613"/>
      <c r="B2205" s="612"/>
      <c r="C2205" s="613" t="s">
        <v>1181</v>
      </c>
      <c r="D2205" s="612" t="s">
        <v>1</v>
      </c>
      <c r="E2205" s="613">
        <f>0.7*1*0.08</f>
        <v>5.5999999999999994E-2</v>
      </c>
      <c r="F2205" s="611">
        <f>G$534+100*G$869</f>
        <v>3019694.0923809526</v>
      </c>
      <c r="G2205" s="611">
        <f>E2205*F2205</f>
        <v>169102.86917333334</v>
      </c>
      <c r="J2205" s="633">
        <v>22.62</v>
      </c>
    </row>
    <row r="2206" spans="1:10" ht="15.75" hidden="1" customHeight="1" outlineLevel="2">
      <c r="A2206" s="613"/>
      <c r="B2206" s="612"/>
      <c r="C2206" s="613"/>
      <c r="D2206" s="612"/>
      <c r="E2206" s="613"/>
      <c r="F2206" s="611"/>
      <c r="G2206" s="611">
        <f>SUM(G2200:G2205)</f>
        <v>872840.10550349206</v>
      </c>
      <c r="J2206" s="633" t="s">
        <v>1166</v>
      </c>
    </row>
    <row r="2207" spans="1:10" ht="15.75" hidden="1" customHeight="1" outlineLevel="2">
      <c r="A2207" s="613"/>
      <c r="B2207" s="612"/>
      <c r="C2207" s="613"/>
      <c r="D2207" s="612"/>
      <c r="E2207" s="613"/>
      <c r="F2207" s="611"/>
      <c r="G2207" s="611"/>
    </row>
    <row r="2208" spans="1:10" ht="15.75" customHeight="1" outlineLevel="1" collapsed="1">
      <c r="A2208" s="613" t="s">
        <v>2074</v>
      </c>
      <c r="B2208" s="612">
        <f>B2198+1</f>
        <v>8</v>
      </c>
      <c r="C2208" s="613" t="s">
        <v>1981</v>
      </c>
      <c r="D2208" s="612" t="s">
        <v>194</v>
      </c>
      <c r="E2208" s="613"/>
      <c r="F2208" s="611"/>
      <c r="G2208" s="605">
        <f>G2216</f>
        <v>763452.21669968264</v>
      </c>
    </row>
    <row r="2209" spans="1:10" ht="15.75" hidden="1" customHeight="1" outlineLevel="2">
      <c r="A2209" s="613"/>
      <c r="B2209" s="612"/>
      <c r="C2209" s="613"/>
      <c r="D2209" s="612"/>
      <c r="E2209" s="613"/>
      <c r="F2209" s="611"/>
      <c r="G2209" s="611"/>
    </row>
    <row r="2210" spans="1:10" ht="15.75" hidden="1" customHeight="1" outlineLevel="2">
      <c r="A2210" s="613"/>
      <c r="B2210" s="612"/>
      <c r="C2210" s="613" t="s">
        <v>1177</v>
      </c>
      <c r="D2210" s="612" t="s">
        <v>4288</v>
      </c>
      <c r="E2210" s="613">
        <f>0.55*0.75*1</f>
        <v>0.41250000000000003</v>
      </c>
      <c r="F2210" s="611">
        <f t="shared" ref="F2210:F2215" si="19">F2200</f>
        <v>83833.750000000015</v>
      </c>
      <c r="G2210" s="611">
        <f>F2210*E2210</f>
        <v>34581.421875000007</v>
      </c>
    </row>
    <row r="2211" spans="1:10" ht="15.75" hidden="1" customHeight="1" outlineLevel="2">
      <c r="A2211" s="613"/>
      <c r="B2211" s="612"/>
      <c r="C2211" s="613" t="s">
        <v>1176</v>
      </c>
      <c r="D2211" s="612" t="s">
        <v>4288</v>
      </c>
      <c r="E2211" s="613">
        <f>E2210</f>
        <v>0.41250000000000003</v>
      </c>
      <c r="F2211" s="611">
        <f t="shared" si="19"/>
        <v>62462.950000000012</v>
      </c>
      <c r="G2211" s="611">
        <f>F2211*E2211</f>
        <v>25765.966875000006</v>
      </c>
    </row>
    <row r="2212" spans="1:10" ht="15.75" hidden="1" customHeight="1" outlineLevel="2">
      <c r="A2212" s="613"/>
      <c r="B2212" s="612"/>
      <c r="C2212" s="613" t="s">
        <v>1175</v>
      </c>
      <c r="D2212" s="612" t="s">
        <v>4288</v>
      </c>
      <c r="E2212" s="613">
        <f>0.55*1*0.1</f>
        <v>5.5000000000000007E-2</v>
      </c>
      <c r="F2212" s="611">
        <f t="shared" si="19"/>
        <v>404738.95</v>
      </c>
      <c r="G2212" s="611">
        <f>F2212*E2212</f>
        <v>22260.642250000004</v>
      </c>
    </row>
    <row r="2213" spans="1:10" ht="15.75" hidden="1" customHeight="1" outlineLevel="2">
      <c r="A2213" s="613"/>
      <c r="B2213" s="612"/>
      <c r="C2213" s="613" t="s">
        <v>1174</v>
      </c>
      <c r="D2213" s="612" t="s">
        <v>4288</v>
      </c>
      <c r="E2213" s="613">
        <f>0.55*1*0.05</f>
        <v>2.7500000000000004E-2</v>
      </c>
      <c r="F2213" s="611">
        <f t="shared" si="19"/>
        <v>710224.707936508</v>
      </c>
      <c r="G2213" s="611">
        <f>F2213*E2213</f>
        <v>19531.179468253973</v>
      </c>
    </row>
    <row r="2214" spans="1:10" ht="15.75" hidden="1" customHeight="1" outlineLevel="2">
      <c r="A2214" s="613"/>
      <c r="B2214" s="612"/>
      <c r="C2214" s="613" t="s">
        <v>1182</v>
      </c>
      <c r="D2214" s="612" t="s">
        <v>4288</v>
      </c>
      <c r="E2214" s="613">
        <f>((0.6*2)+(0.55))*0.1*1</f>
        <v>0.17500000000000002</v>
      </c>
      <c r="F2214" s="611">
        <f t="shared" si="19"/>
        <v>3019694.0923809526</v>
      </c>
      <c r="G2214" s="611">
        <f>F2214*E2214</f>
        <v>528446.46616666671</v>
      </c>
    </row>
    <row r="2215" spans="1:10" ht="15.75" hidden="1" customHeight="1" outlineLevel="2">
      <c r="A2215" s="613"/>
      <c r="B2215" s="612"/>
      <c r="C2215" s="613" t="s">
        <v>1181</v>
      </c>
      <c r="D2215" s="612" t="s">
        <v>1</v>
      </c>
      <c r="E2215" s="613">
        <f>0.55*1*0.08</f>
        <v>4.4000000000000004E-2</v>
      </c>
      <c r="F2215" s="611">
        <f t="shared" si="19"/>
        <v>3019694.0923809526</v>
      </c>
      <c r="G2215" s="611">
        <f>E2215*F2215</f>
        <v>132866.54006476194</v>
      </c>
      <c r="J2215" s="633">
        <v>22.62</v>
      </c>
    </row>
    <row r="2216" spans="1:10" ht="15.75" hidden="1" customHeight="1" outlineLevel="2">
      <c r="A2216" s="613"/>
      <c r="B2216" s="612"/>
      <c r="C2216" s="613"/>
      <c r="D2216" s="612"/>
      <c r="E2216" s="613"/>
      <c r="F2216" s="611"/>
      <c r="G2216" s="611">
        <f>SUM(G2210:G2215)</f>
        <v>763452.21669968264</v>
      </c>
    </row>
    <row r="2217" spans="1:10" ht="15.75" hidden="1" customHeight="1" outlineLevel="2">
      <c r="A2217" s="613"/>
      <c r="B2217" s="612"/>
      <c r="C2217" s="613"/>
      <c r="D2217" s="612"/>
      <c r="E2217" s="613"/>
      <c r="F2217" s="611"/>
      <c r="G2217" s="611"/>
    </row>
    <row r="2218" spans="1:10" ht="15.75" customHeight="1" outlineLevel="1" collapsed="1">
      <c r="A2218" s="613" t="s">
        <v>2074</v>
      </c>
      <c r="B2218" s="612">
        <f>B2208+1</f>
        <v>9</v>
      </c>
      <c r="C2218" s="613" t="s">
        <v>1982</v>
      </c>
      <c r="D2218" s="612" t="s">
        <v>194</v>
      </c>
      <c r="E2218" s="613"/>
      <c r="F2218" s="611"/>
      <c r="G2218" s="605">
        <f>G2231</f>
        <v>3161555.916476191</v>
      </c>
    </row>
    <row r="2219" spans="1:10" ht="15.75" hidden="1" customHeight="1" outlineLevel="2">
      <c r="A2219" s="613"/>
      <c r="B2219" s="612"/>
      <c r="C2219" s="613" t="s">
        <v>31</v>
      </c>
      <c r="D2219" s="612"/>
      <c r="E2219" s="613"/>
      <c r="F2219" s="611"/>
      <c r="G2219" s="611"/>
    </row>
    <row r="2220" spans="1:10" ht="15.75" hidden="1" customHeight="1" outlineLevel="2">
      <c r="A2220" s="613"/>
      <c r="B2220" s="612"/>
      <c r="C2220" s="613" t="s">
        <v>1178</v>
      </c>
      <c r="D2220" s="612" t="s">
        <v>33</v>
      </c>
      <c r="E2220" s="613">
        <v>0.9</v>
      </c>
      <c r="F2220" s="611">
        <f>worker</f>
        <v>107800.00000000001</v>
      </c>
      <c r="G2220" s="611">
        <v>30876</v>
      </c>
    </row>
    <row r="2221" spans="1:10" ht="15.75" hidden="1" customHeight="1" outlineLevel="2">
      <c r="A2221" s="613"/>
      <c r="B2221" s="612"/>
      <c r="C2221" s="613" t="s">
        <v>127</v>
      </c>
      <c r="D2221" s="612" t="s">
        <v>33</v>
      </c>
      <c r="E2221" s="613">
        <v>4.4999999999999998E-2</v>
      </c>
      <c r="F2221" s="611">
        <f>supervisor</f>
        <v>119350.00000000001</v>
      </c>
      <c r="G2221" s="611">
        <v>1579.01</v>
      </c>
    </row>
    <row r="2222" spans="1:10" ht="15.75" hidden="1" customHeight="1" outlineLevel="2">
      <c r="A2222" s="613"/>
      <c r="B2222" s="612"/>
      <c r="C2222" s="613"/>
      <c r="D2222" s="612"/>
      <c r="E2222" s="613"/>
      <c r="F2222" s="611"/>
      <c r="G2222" s="611"/>
    </row>
    <row r="2223" spans="1:10" ht="15.75" hidden="1" customHeight="1" outlineLevel="2">
      <c r="A2223" s="613"/>
      <c r="B2223" s="612"/>
      <c r="C2223" s="613" t="s">
        <v>1177</v>
      </c>
      <c r="D2223" s="612" t="s">
        <v>4288</v>
      </c>
      <c r="E2223" s="613">
        <f>1.25*1.2*1</f>
        <v>1.5</v>
      </c>
      <c r="F2223" s="611">
        <f>F2210</f>
        <v>83833.750000000015</v>
      </c>
      <c r="G2223" s="611">
        <f t="shared" ref="G2223:G2228" si="20">F2223*E2223</f>
        <v>125750.62500000003</v>
      </c>
    </row>
    <row r="2224" spans="1:10" ht="15.75" hidden="1" customHeight="1" outlineLevel="2">
      <c r="A2224" s="613"/>
      <c r="B2224" s="612"/>
      <c r="C2224" s="613" t="s">
        <v>1176</v>
      </c>
      <c r="D2224" s="612" t="s">
        <v>4288</v>
      </c>
      <c r="E2224" s="613">
        <f>E2223</f>
        <v>1.5</v>
      </c>
      <c r="F2224" s="611">
        <f>F2211</f>
        <v>62462.950000000012</v>
      </c>
      <c r="G2224" s="611">
        <f t="shared" si="20"/>
        <v>93694.425000000017</v>
      </c>
    </row>
    <row r="2225" spans="1:14" ht="15.75" hidden="1" customHeight="1" outlineLevel="2">
      <c r="A2225" s="613"/>
      <c r="B2225" s="612"/>
      <c r="C2225" s="613" t="s">
        <v>1175</v>
      </c>
      <c r="D2225" s="612" t="s">
        <v>4288</v>
      </c>
      <c r="E2225" s="613">
        <f>1.2*1*0.1</f>
        <v>0.12</v>
      </c>
      <c r="F2225" s="611">
        <f>F2212</f>
        <v>404738.95</v>
      </c>
      <c r="G2225" s="611">
        <f t="shared" si="20"/>
        <v>48568.673999999999</v>
      </c>
    </row>
    <row r="2226" spans="1:14" ht="15.75" hidden="1" customHeight="1" outlineLevel="2">
      <c r="A2226" s="613"/>
      <c r="B2226" s="612"/>
      <c r="C2226" s="613" t="s">
        <v>1174</v>
      </c>
      <c r="D2226" s="612" t="s">
        <v>4288</v>
      </c>
      <c r="E2226" s="613">
        <f>1.2*1*0.05</f>
        <v>0.06</v>
      </c>
      <c r="F2226" s="611">
        <f>F2213</f>
        <v>710224.707936508</v>
      </c>
      <c r="G2226" s="611">
        <f t="shared" si="20"/>
        <v>42613.482476190482</v>
      </c>
    </row>
    <row r="2227" spans="1:14" ht="15.75" hidden="1" customHeight="1" outlineLevel="2">
      <c r="A2227" s="613"/>
      <c r="B2227" s="612"/>
      <c r="C2227" s="613" t="s">
        <v>1180</v>
      </c>
      <c r="D2227" s="612" t="s">
        <v>2</v>
      </c>
      <c r="E2227" s="613">
        <v>0.8</v>
      </c>
      <c r="F2227" s="611">
        <f>U_ditch_1000.1000</f>
        <v>1881000.0000000002</v>
      </c>
      <c r="G2227" s="611">
        <f t="shared" si="20"/>
        <v>1504800.0000000002</v>
      </c>
    </row>
    <row r="2228" spans="1:14" ht="15.75" hidden="1" customHeight="1" outlineLevel="2">
      <c r="A2228" s="613"/>
      <c r="B2228" s="612"/>
      <c r="C2228" s="613" t="s">
        <v>1179</v>
      </c>
      <c r="D2228" s="612" t="s">
        <v>2</v>
      </c>
      <c r="E2228" s="613">
        <v>1.7</v>
      </c>
      <c r="F2228" s="611">
        <f>Cover_U_1000_LD</f>
        <v>564300</v>
      </c>
      <c r="G2228" s="611">
        <f t="shared" si="20"/>
        <v>959310</v>
      </c>
    </row>
    <row r="2229" spans="1:14" ht="15.75" hidden="1" customHeight="1" outlineLevel="2">
      <c r="A2229" s="613"/>
      <c r="B2229" s="612"/>
      <c r="C2229" s="613" t="s">
        <v>1171</v>
      </c>
      <c r="D2229" s="612" t="s">
        <v>194</v>
      </c>
      <c r="E2229" s="613">
        <v>1</v>
      </c>
      <c r="F2229" s="611">
        <f>G2146</f>
        <v>354363.70000000007</v>
      </c>
      <c r="G2229" s="611">
        <f>E2229*F2229</f>
        <v>354363.70000000007</v>
      </c>
    </row>
    <row r="2230" spans="1:14" ht="15.75" hidden="1" customHeight="1" outlineLevel="2">
      <c r="A2230" s="613"/>
      <c r="B2230" s="612"/>
      <c r="C2230" s="613"/>
      <c r="D2230" s="612"/>
      <c r="E2230" s="613"/>
      <c r="F2230" s="611"/>
      <c r="G2230" s="611"/>
    </row>
    <row r="2231" spans="1:14" ht="15.75" hidden="1" customHeight="1" outlineLevel="2">
      <c r="A2231" s="613"/>
      <c r="B2231" s="612"/>
      <c r="C2231" s="613"/>
      <c r="D2231" s="612"/>
      <c r="E2231" s="613"/>
      <c r="F2231" s="611"/>
      <c r="G2231" s="611">
        <f>SUM(G2220:G2229)</f>
        <v>3161555.916476191</v>
      </c>
    </row>
    <row r="2232" spans="1:14" ht="15.75" hidden="1" customHeight="1" outlineLevel="2">
      <c r="A2232" s="613"/>
      <c r="B2232" s="612"/>
      <c r="C2232" s="613"/>
      <c r="D2232" s="612"/>
      <c r="E2232" s="613"/>
      <c r="F2232" s="611"/>
      <c r="G2232" s="611"/>
    </row>
    <row r="2233" spans="1:14" ht="15.75" customHeight="1" outlineLevel="1" collapsed="1">
      <c r="A2233" s="613" t="s">
        <v>2074</v>
      </c>
      <c r="B2233" s="612">
        <f>B2218+1</f>
        <v>10</v>
      </c>
      <c r="C2233" s="613" t="s">
        <v>1983</v>
      </c>
      <c r="D2233" s="612" t="s">
        <v>194</v>
      </c>
      <c r="E2233" s="613"/>
      <c r="F2233" s="611"/>
      <c r="G2233" s="605">
        <f>G2245</f>
        <v>2434165.3753968258</v>
      </c>
    </row>
    <row r="2234" spans="1:14" ht="15.75" hidden="1" customHeight="1" outlineLevel="2">
      <c r="A2234" s="613"/>
      <c r="B2234" s="612"/>
      <c r="C2234" s="613" t="s">
        <v>31</v>
      </c>
      <c r="D2234" s="612"/>
      <c r="E2234" s="613"/>
      <c r="F2234" s="611"/>
      <c r="G2234" s="611"/>
    </row>
    <row r="2235" spans="1:14" ht="15.75" hidden="1" customHeight="1" outlineLevel="2">
      <c r="A2235" s="613"/>
      <c r="B2235" s="612"/>
      <c r="C2235" s="613" t="s">
        <v>1178</v>
      </c>
      <c r="D2235" s="612" t="s">
        <v>33</v>
      </c>
      <c r="E2235" s="613">
        <v>0.9</v>
      </c>
      <c r="F2235" s="611">
        <f>worker</f>
        <v>107800.00000000001</v>
      </c>
      <c r="G2235" s="611">
        <v>30876</v>
      </c>
    </row>
    <row r="2236" spans="1:14" ht="15.75" hidden="1" customHeight="1" outlineLevel="2">
      <c r="A2236" s="613"/>
      <c r="B2236" s="612"/>
      <c r="C2236" s="613" t="s">
        <v>127</v>
      </c>
      <c r="D2236" s="612" t="s">
        <v>33</v>
      </c>
      <c r="E2236" s="613">
        <v>4.4999999999999998E-2</v>
      </c>
      <c r="F2236" s="611">
        <f>supervisor</f>
        <v>119350.00000000001</v>
      </c>
      <c r="G2236" s="611">
        <v>1579.01</v>
      </c>
    </row>
    <row r="2237" spans="1:14" ht="15.75" hidden="1" customHeight="1" outlineLevel="2">
      <c r="A2237" s="613"/>
      <c r="B2237" s="612"/>
      <c r="C2237" s="613"/>
      <c r="D2237" s="612"/>
      <c r="E2237" s="613"/>
      <c r="F2237" s="611"/>
      <c r="G2237" s="611"/>
    </row>
    <row r="2238" spans="1:14" ht="15.75" hidden="1" customHeight="1" outlineLevel="2">
      <c r="A2238" s="613"/>
      <c r="B2238" s="612"/>
      <c r="C2238" s="613" t="s">
        <v>1177</v>
      </c>
      <c r="D2238" s="612" t="s">
        <v>4288</v>
      </c>
      <c r="E2238" s="613">
        <f>1.05*1</f>
        <v>1.05</v>
      </c>
      <c r="F2238" s="611">
        <f>F2223</f>
        <v>83833.750000000015</v>
      </c>
      <c r="G2238" s="611">
        <f t="shared" ref="G2238:G2243" si="21">F2238*E2238</f>
        <v>88025.437500000015</v>
      </c>
    </row>
    <row r="2239" spans="1:14" ht="15.75" hidden="1" customHeight="1" outlineLevel="2">
      <c r="A2239" s="613"/>
      <c r="B2239" s="612"/>
      <c r="C2239" s="613" t="s">
        <v>1176</v>
      </c>
      <c r="D2239" s="612" t="s">
        <v>4288</v>
      </c>
      <c r="E2239" s="613">
        <f>E2238</f>
        <v>1.05</v>
      </c>
      <c r="F2239" s="611">
        <f>F2224</f>
        <v>62462.950000000012</v>
      </c>
      <c r="G2239" s="611">
        <f t="shared" si="21"/>
        <v>65586.097500000018</v>
      </c>
    </row>
    <row r="2240" spans="1:14" ht="15.75" hidden="1" customHeight="1" outlineLevel="2">
      <c r="A2240" s="613"/>
      <c r="B2240" s="612"/>
      <c r="C2240" s="613" t="s">
        <v>1175</v>
      </c>
      <c r="D2240" s="612" t="s">
        <v>4288</v>
      </c>
      <c r="E2240" s="613">
        <f>1*1*0.1</f>
        <v>0.1</v>
      </c>
      <c r="F2240" s="611">
        <f>F2225</f>
        <v>404738.95</v>
      </c>
      <c r="G2240" s="611">
        <f t="shared" si="21"/>
        <v>40473.895000000004</v>
      </c>
      <c r="K2240" s="633">
        <f>1/0.6</f>
        <v>1.6666666666666667</v>
      </c>
      <c r="N2240" s="633">
        <v>22.62</v>
      </c>
    </row>
    <row r="2241" spans="1:14" ht="15.75" hidden="1" customHeight="1" outlineLevel="2">
      <c r="A2241" s="613"/>
      <c r="B2241" s="612"/>
      <c r="C2241" s="613" t="s">
        <v>1174</v>
      </c>
      <c r="D2241" s="612" t="s">
        <v>4288</v>
      </c>
      <c r="E2241" s="613">
        <f>1*1*0.05</f>
        <v>0.05</v>
      </c>
      <c r="F2241" s="611">
        <f>F2226</f>
        <v>710224.707936508</v>
      </c>
      <c r="G2241" s="611">
        <f t="shared" si="21"/>
        <v>35511.235396825403</v>
      </c>
      <c r="N2241" s="633">
        <v>90</v>
      </c>
    </row>
    <row r="2242" spans="1:14" ht="15.75" hidden="1" customHeight="1" outlineLevel="2">
      <c r="A2242" s="613"/>
      <c r="B2242" s="612"/>
      <c r="C2242" s="613" t="s">
        <v>1173</v>
      </c>
      <c r="D2242" s="612" t="s">
        <v>2</v>
      </c>
      <c r="E2242" s="613">
        <v>0.8</v>
      </c>
      <c r="F2242" s="611">
        <f>U_ditch_800.800</f>
        <v>1288100</v>
      </c>
      <c r="G2242" s="611">
        <f t="shared" si="21"/>
        <v>1030480</v>
      </c>
      <c r="N2242" s="633" t="s">
        <v>1166</v>
      </c>
    </row>
    <row r="2243" spans="1:14" ht="15.75" hidden="1" customHeight="1" outlineLevel="2">
      <c r="A2243" s="613"/>
      <c r="B2243" s="612"/>
      <c r="C2243" s="613" t="s">
        <v>1172</v>
      </c>
      <c r="D2243" s="612" t="s">
        <v>2</v>
      </c>
      <c r="E2243" s="613">
        <v>1.7</v>
      </c>
      <c r="F2243" s="611">
        <f>Cover_U_800_LD</f>
        <v>463100.00000000006</v>
      </c>
      <c r="G2243" s="611">
        <f t="shared" si="21"/>
        <v>787270.00000000012</v>
      </c>
      <c r="N2243" s="633">
        <f>145/(1.22*2.44)</f>
        <v>48.710024187046493</v>
      </c>
    </row>
    <row r="2244" spans="1:14" ht="15.75" hidden="1" customHeight="1" outlineLevel="2">
      <c r="A2244" s="613"/>
      <c r="B2244" s="612"/>
      <c r="C2244" s="613" t="s">
        <v>1171</v>
      </c>
      <c r="D2244" s="612" t="s">
        <v>194</v>
      </c>
      <c r="E2244" s="613">
        <v>1</v>
      </c>
      <c r="F2244" s="611">
        <f>F2229</f>
        <v>354363.70000000007</v>
      </c>
      <c r="G2244" s="611">
        <f>E2244*F2244</f>
        <v>354363.70000000007</v>
      </c>
    </row>
    <row r="2245" spans="1:14" ht="15.75" hidden="1" customHeight="1" outlineLevel="2">
      <c r="A2245" s="613"/>
      <c r="B2245" s="612"/>
      <c r="C2245" s="613"/>
      <c r="D2245" s="612"/>
      <c r="E2245" s="613" t="s">
        <v>1170</v>
      </c>
      <c r="F2245" s="611"/>
      <c r="G2245" s="611">
        <f>SUM(G2235:G2244)</f>
        <v>2434165.3753968258</v>
      </c>
      <c r="I2245" s="633" t="s">
        <v>124</v>
      </c>
      <c r="M2245" s="633" t="s">
        <v>124</v>
      </c>
    </row>
    <row r="2246" spans="1:14" ht="15.75" hidden="1" customHeight="1" outlineLevel="2">
      <c r="A2246" s="613"/>
      <c r="B2246" s="612"/>
      <c r="C2246" s="613"/>
      <c r="D2246" s="612"/>
      <c r="E2246" s="613"/>
      <c r="F2246" s="611"/>
      <c r="G2246" s="611"/>
    </row>
    <row r="2247" spans="1:14" ht="15.75" customHeight="1" outlineLevel="1" collapsed="1">
      <c r="A2247" s="613"/>
      <c r="B2247" s="605" t="s">
        <v>1169</v>
      </c>
      <c r="C2247" s="605"/>
      <c r="D2247" s="605"/>
      <c r="E2247" s="605"/>
      <c r="F2247" s="605"/>
      <c r="G2247" s="605"/>
    </row>
    <row r="2248" spans="1:14" ht="15.75" customHeight="1" outlineLevel="1">
      <c r="A2248" s="613" t="s">
        <v>2074</v>
      </c>
      <c r="B2248" s="612">
        <f>B2227+1</f>
        <v>1</v>
      </c>
      <c r="C2248" s="613" t="s">
        <v>1984</v>
      </c>
      <c r="D2248" s="612" t="s">
        <v>194</v>
      </c>
      <c r="E2248" s="613"/>
      <c r="F2248" s="611"/>
      <c r="G2248" s="604">
        <f>G2257</f>
        <v>6542304.5522161918</v>
      </c>
    </row>
    <row r="2249" spans="1:14" ht="15.75" hidden="1" customHeight="1" outlineLevel="2">
      <c r="A2249" s="613"/>
      <c r="B2249" s="612"/>
      <c r="C2249" s="613"/>
      <c r="D2249" s="612"/>
      <c r="E2249" s="613"/>
      <c r="F2249" s="611"/>
      <c r="G2249" s="611"/>
    </row>
    <row r="2250" spans="1:14" ht="15.75" hidden="1" customHeight="1" outlineLevel="2">
      <c r="A2250" s="613"/>
      <c r="B2250" s="612"/>
      <c r="C2250" s="613" t="s">
        <v>1151</v>
      </c>
      <c r="D2250" s="612" t="s">
        <v>4288</v>
      </c>
      <c r="E2250" s="613">
        <v>3.7035</v>
      </c>
      <c r="F2250" s="611">
        <f>G138</f>
        <v>102390.75000000001</v>
      </c>
      <c r="G2250" s="611">
        <f>F2250*E2250</f>
        <v>379204.14262500004</v>
      </c>
    </row>
    <row r="2251" spans="1:14" ht="15.75" hidden="1" customHeight="1" outlineLevel="2">
      <c r="A2251" s="613"/>
      <c r="B2251" s="612"/>
      <c r="C2251" s="613" t="s">
        <v>1150</v>
      </c>
      <c r="D2251" s="612" t="s">
        <v>4288</v>
      </c>
      <c r="E2251" s="613">
        <f>E2250-(E2252+E2253+E2254)</f>
        <v>2.16</v>
      </c>
      <c r="F2251" s="611">
        <f>ahs_back_filling</f>
        <v>62462.950000000012</v>
      </c>
      <c r="G2251" s="611">
        <f>F2251*E2251</f>
        <v>134919.97200000004</v>
      </c>
    </row>
    <row r="2252" spans="1:14" ht="15.75" hidden="1" customHeight="1" outlineLevel="2">
      <c r="A2252" s="613"/>
      <c r="B2252" s="612"/>
      <c r="C2252" s="613" t="s">
        <v>1149</v>
      </c>
      <c r="D2252" s="612" t="s">
        <v>4288</v>
      </c>
      <c r="E2252" s="613">
        <v>0.255</v>
      </c>
      <c r="F2252" s="611">
        <f>G267</f>
        <v>40473.895000000004</v>
      </c>
      <c r="G2252" s="611">
        <f>F2252*E2252</f>
        <v>10320.843225000001</v>
      </c>
    </row>
    <row r="2253" spans="1:14" ht="15.75" hidden="1" customHeight="1" outlineLevel="2">
      <c r="A2253" s="613"/>
      <c r="B2253" s="612"/>
      <c r="C2253" s="613" t="s">
        <v>1160</v>
      </c>
      <c r="D2253" s="612" t="s">
        <v>4288</v>
      </c>
      <c r="E2253" s="613">
        <v>0.1275</v>
      </c>
      <c r="F2253" s="611">
        <f>F2226</f>
        <v>710224.707936508</v>
      </c>
      <c r="G2253" s="611">
        <f>F2253*E2253</f>
        <v>90553.650261904768</v>
      </c>
    </row>
    <row r="2254" spans="1:14" ht="15.75" hidden="1" customHeight="1" outlineLevel="2">
      <c r="A2254" s="613"/>
      <c r="B2254" s="612"/>
      <c r="C2254" s="613" t="s">
        <v>1168</v>
      </c>
      <c r="D2254" s="612" t="s">
        <v>4288</v>
      </c>
      <c r="E2254" s="613">
        <v>1.161</v>
      </c>
      <c r="F2254" s="611">
        <f>K_175+100*ahs_besi_ulir_kg</f>
        <v>3019694.0923809526</v>
      </c>
      <c r="G2254" s="611">
        <f>F2254*E2254</f>
        <v>3505864.841254286</v>
      </c>
    </row>
    <row r="2255" spans="1:14" ht="15.75" hidden="1" customHeight="1" outlineLevel="2">
      <c r="A2255" s="613"/>
      <c r="B2255" s="612"/>
      <c r="C2255" s="613" t="s">
        <v>1158</v>
      </c>
      <c r="D2255" s="612" t="s">
        <v>1</v>
      </c>
      <c r="E2255" s="613">
        <f>(6+2+2)*3.78</f>
        <v>37.799999999999997</v>
      </c>
      <c r="F2255" s="611">
        <f>profil_siku_kg</f>
        <v>15950.000000000002</v>
      </c>
      <c r="G2255" s="611">
        <f>E2255*F2255</f>
        <v>602910</v>
      </c>
    </row>
    <row r="2256" spans="1:14" ht="15.75" hidden="1" customHeight="1" outlineLevel="2">
      <c r="A2256" s="613"/>
      <c r="B2256" s="612"/>
      <c r="C2256" s="613" t="s">
        <v>1157</v>
      </c>
      <c r="D2256" s="612" t="s">
        <v>1</v>
      </c>
      <c r="E2256" s="613">
        <f>2*1*48.71</f>
        <v>97.42</v>
      </c>
      <c r="F2256" s="611">
        <f>G853</f>
        <v>18666.917500000003</v>
      </c>
      <c r="G2256" s="611">
        <f>E2256*F2256</f>
        <v>1818531.1028500004</v>
      </c>
    </row>
    <row r="2257" spans="1:9" ht="15.75" hidden="1" customHeight="1" outlineLevel="2">
      <c r="A2257" s="613"/>
      <c r="B2257" s="612"/>
      <c r="C2257" s="613"/>
      <c r="D2257" s="612"/>
      <c r="E2257" s="613"/>
      <c r="F2257" s="611"/>
      <c r="G2257" s="611">
        <f>SUM(G2250:G2256)</f>
        <v>6542304.5522161918</v>
      </c>
      <c r="I2257" s="633" t="s">
        <v>124</v>
      </c>
    </row>
    <row r="2258" spans="1:9" ht="15.75" hidden="1" customHeight="1" outlineLevel="2">
      <c r="A2258" s="613"/>
      <c r="B2258" s="612"/>
      <c r="C2258" s="613"/>
      <c r="D2258" s="612"/>
      <c r="E2258" s="613"/>
      <c r="F2258" s="611"/>
      <c r="G2258" s="611"/>
    </row>
    <row r="2259" spans="1:9" ht="15.75" customHeight="1" outlineLevel="1" collapsed="1">
      <c r="A2259" s="613" t="s">
        <v>2074</v>
      </c>
      <c r="B2259" s="612">
        <f>B2248+1</f>
        <v>2</v>
      </c>
      <c r="C2259" s="613" t="s">
        <v>1985</v>
      </c>
      <c r="D2259" s="612" t="s">
        <v>194</v>
      </c>
      <c r="E2259" s="613"/>
      <c r="F2259" s="611"/>
      <c r="G2259" s="604">
        <f>G2268</f>
        <v>2257016.2291678572</v>
      </c>
    </row>
    <row r="2260" spans="1:9" ht="15.75" customHeight="1" outlineLevel="2">
      <c r="A2260" s="613"/>
      <c r="B2260" s="612"/>
      <c r="C2260" s="613"/>
      <c r="D2260" s="612"/>
      <c r="E2260" s="613"/>
      <c r="F2260" s="611"/>
      <c r="G2260" s="611"/>
    </row>
    <row r="2261" spans="1:9" ht="15.75" customHeight="1" outlineLevel="2">
      <c r="A2261" s="613"/>
      <c r="B2261" s="612"/>
      <c r="C2261" s="613" t="s">
        <v>1151</v>
      </c>
      <c r="D2261" s="612" t="s">
        <v>4288</v>
      </c>
      <c r="E2261" s="613">
        <v>1.47</v>
      </c>
      <c r="F2261" s="611">
        <f>F2250</f>
        <v>102390.75000000001</v>
      </c>
      <c r="G2261" s="611">
        <f>F2261*E2261</f>
        <v>150514.40250000003</v>
      </c>
    </row>
    <row r="2262" spans="1:9" ht="15.75" customHeight="1" outlineLevel="2">
      <c r="A2262" s="613"/>
      <c r="B2262" s="612"/>
      <c r="C2262" s="613" t="s">
        <v>1150</v>
      </c>
      <c r="D2262" s="612" t="s">
        <v>4288</v>
      </c>
      <c r="E2262" s="613">
        <f>E2261-(E2263+E2264+E2265)</f>
        <v>1.01</v>
      </c>
      <c r="F2262" s="611">
        <f>F2251</f>
        <v>62462.950000000012</v>
      </c>
      <c r="G2262" s="611">
        <f>F2262*E2262</f>
        <v>63087.579500000014</v>
      </c>
    </row>
    <row r="2263" spans="1:9" ht="15.75" customHeight="1" outlineLevel="2">
      <c r="A2263" s="613"/>
      <c r="B2263" s="612"/>
      <c r="C2263" s="613" t="s">
        <v>1149</v>
      </c>
      <c r="D2263" s="612" t="s">
        <v>4288</v>
      </c>
      <c r="E2263" s="613">
        <v>0.12</v>
      </c>
      <c r="F2263" s="611">
        <f>F2252</f>
        <v>40473.895000000004</v>
      </c>
      <c r="G2263" s="611">
        <f>F2263*E2263</f>
        <v>4856.8674000000001</v>
      </c>
    </row>
    <row r="2264" spans="1:9" ht="15.75" customHeight="1" outlineLevel="2">
      <c r="A2264" s="613"/>
      <c r="B2264" s="612"/>
      <c r="C2264" s="613" t="s">
        <v>1160</v>
      </c>
      <c r="D2264" s="612" t="s">
        <v>4288</v>
      </c>
      <c r="E2264" s="613">
        <v>0.06</v>
      </c>
      <c r="F2264" s="611">
        <f>F2253</f>
        <v>710224.707936508</v>
      </c>
      <c r="G2264" s="611">
        <f>F2264*E2264</f>
        <v>42613.482476190482</v>
      </c>
    </row>
    <row r="2265" spans="1:9" ht="15.75" customHeight="1" outlineLevel="2">
      <c r="A2265" s="613"/>
      <c r="B2265" s="612"/>
      <c r="C2265" s="613" t="s">
        <v>1167</v>
      </c>
      <c r="D2265" s="612" t="s">
        <v>4288</v>
      </c>
      <c r="E2265" s="613">
        <v>0.28000000000000003</v>
      </c>
      <c r="F2265" s="611">
        <f>G$534+100*G$869</f>
        <v>3019694.0923809526</v>
      </c>
      <c r="G2265" s="611">
        <f>F2265*E2265</f>
        <v>845514.34586666676</v>
      </c>
    </row>
    <row r="2266" spans="1:9" ht="15.75" customHeight="1" outlineLevel="2">
      <c r="A2266" s="613"/>
      <c r="B2266" s="612"/>
      <c r="C2266" s="613" t="s">
        <v>1158</v>
      </c>
      <c r="D2266" s="612" t="s">
        <v>1</v>
      </c>
      <c r="E2266" s="613">
        <f>4*3.78</f>
        <v>15.12</v>
      </c>
      <c r="F2266" s="611">
        <f>F2255</f>
        <v>15950.000000000002</v>
      </c>
      <c r="G2266" s="611">
        <f>E2266*F2266</f>
        <v>241164.00000000003</v>
      </c>
      <c r="I2266" s="633" t="s">
        <v>124</v>
      </c>
    </row>
    <row r="2267" spans="1:9" ht="15.75" customHeight="1" outlineLevel="2">
      <c r="A2267" s="613"/>
      <c r="B2267" s="612"/>
      <c r="C2267" s="613" t="s">
        <v>1157</v>
      </c>
      <c r="D2267" s="612" t="s">
        <v>1</v>
      </c>
      <c r="E2267" s="613">
        <f>1*48.71</f>
        <v>48.71</v>
      </c>
      <c r="F2267" s="611">
        <f>F2256</f>
        <v>18666.917500000003</v>
      </c>
      <c r="G2267" s="611">
        <f>E2267*F2267</f>
        <v>909265.55142500019</v>
      </c>
    </row>
    <row r="2268" spans="1:9" ht="15.75" customHeight="1" outlineLevel="2">
      <c r="A2268" s="613"/>
      <c r="B2268" s="612"/>
      <c r="C2268" s="613"/>
      <c r="D2268" s="612"/>
      <c r="E2268" s="613"/>
      <c r="F2268" s="611"/>
      <c r="G2268" s="611">
        <f>SUM(G2261:G2267)</f>
        <v>2257016.2291678572</v>
      </c>
    </row>
    <row r="2269" spans="1:9" ht="15.75" customHeight="1" outlineLevel="1">
      <c r="A2269" s="613" t="s">
        <v>2074</v>
      </c>
      <c r="B2269" s="612">
        <f>B2259+1</f>
        <v>3</v>
      </c>
      <c r="C2269" s="613" t="s">
        <v>1986</v>
      </c>
      <c r="D2269" s="612" t="s">
        <v>194</v>
      </c>
      <c r="E2269" s="613"/>
      <c r="F2269" s="611"/>
      <c r="G2269" s="604">
        <f>G2278</f>
        <v>1494213.750248651</v>
      </c>
    </row>
    <row r="2270" spans="1:9" ht="15.75" hidden="1" customHeight="1" outlineLevel="2">
      <c r="A2270" s="613"/>
      <c r="B2270" s="612"/>
      <c r="C2270" s="613"/>
      <c r="D2270" s="612"/>
      <c r="E2270" s="613"/>
      <c r="F2270" s="611"/>
      <c r="G2270" s="611"/>
    </row>
    <row r="2271" spans="1:9" ht="15.75" hidden="1" customHeight="1" outlineLevel="2">
      <c r="A2271" s="613"/>
      <c r="B2271" s="612"/>
      <c r="C2271" s="613" t="s">
        <v>1151</v>
      </c>
      <c r="D2271" s="612" t="s">
        <v>4288</v>
      </c>
      <c r="E2271" s="613">
        <v>0.85</v>
      </c>
      <c r="F2271" s="611">
        <f>F2261</f>
        <v>102390.75000000001</v>
      </c>
      <c r="G2271" s="611">
        <f>F2271*E2271</f>
        <v>87032.137500000012</v>
      </c>
    </row>
    <row r="2272" spans="1:9" ht="15.75" hidden="1" customHeight="1" outlineLevel="2">
      <c r="A2272" s="613"/>
      <c r="B2272" s="612"/>
      <c r="C2272" s="613" t="s">
        <v>1150</v>
      </c>
      <c r="D2272" s="612" t="s">
        <v>4288</v>
      </c>
      <c r="E2272" s="613">
        <f>E2271-(E2273+E2274+E2275)</f>
        <v>0.53</v>
      </c>
      <c r="F2272" s="611">
        <f>F2262</f>
        <v>62462.950000000012</v>
      </c>
      <c r="G2272" s="611">
        <f>F2272*E2272</f>
        <v>33105.363500000007</v>
      </c>
    </row>
    <row r="2273" spans="1:9" ht="15.75" hidden="1" customHeight="1" outlineLevel="2">
      <c r="A2273" s="613"/>
      <c r="B2273" s="612"/>
      <c r="C2273" s="613" t="s">
        <v>1149</v>
      </c>
      <c r="D2273" s="612" t="s">
        <v>4288</v>
      </c>
      <c r="E2273" s="613">
        <v>0.08</v>
      </c>
      <c r="F2273" s="611">
        <f>F2263</f>
        <v>40473.895000000004</v>
      </c>
      <c r="G2273" s="611">
        <f>F2273*E2273</f>
        <v>3237.9116000000004</v>
      </c>
    </row>
    <row r="2274" spans="1:9" ht="15.75" hidden="1" customHeight="1" outlineLevel="2">
      <c r="A2274" s="613"/>
      <c r="B2274" s="612"/>
      <c r="C2274" s="613" t="s">
        <v>1160</v>
      </c>
      <c r="D2274" s="612" t="s">
        <v>4288</v>
      </c>
      <c r="E2274" s="613">
        <v>0.04</v>
      </c>
      <c r="F2274" s="611">
        <f>F2264</f>
        <v>710224.707936508</v>
      </c>
      <c r="G2274" s="611">
        <f>F2274*E2274</f>
        <v>28408.98831746032</v>
      </c>
    </row>
    <row r="2275" spans="1:9" ht="15.75" hidden="1" customHeight="1" outlineLevel="2">
      <c r="A2275" s="613"/>
      <c r="B2275" s="612"/>
      <c r="C2275" s="613" t="s">
        <v>1167</v>
      </c>
      <c r="D2275" s="612" t="s">
        <v>4288</v>
      </c>
      <c r="E2275" s="613">
        <v>0.2</v>
      </c>
      <c r="F2275" s="611">
        <f>G$534+100*G$869</f>
        <v>3019694.0923809526</v>
      </c>
      <c r="G2275" s="611">
        <f>F2275*E2275</f>
        <v>603938.81847619056</v>
      </c>
    </row>
    <row r="2276" spans="1:9" ht="15.75" hidden="1" customHeight="1" outlineLevel="2">
      <c r="A2276" s="613"/>
      <c r="B2276" s="612"/>
      <c r="C2276" s="613" t="s">
        <v>1158</v>
      </c>
      <c r="D2276" s="612" t="s">
        <v>1</v>
      </c>
      <c r="E2276" s="613">
        <f>3.2*3.78</f>
        <v>12.096</v>
      </c>
      <c r="F2276" s="611">
        <f>F2266</f>
        <v>15950.000000000002</v>
      </c>
      <c r="G2276" s="611">
        <f>E2276*F2276</f>
        <v>192931.20000000001</v>
      </c>
      <c r="I2276" s="633" t="s">
        <v>124</v>
      </c>
    </row>
    <row r="2277" spans="1:9" ht="15.75" hidden="1" customHeight="1" outlineLevel="2">
      <c r="A2277" s="613"/>
      <c r="B2277" s="612"/>
      <c r="C2277" s="613" t="s">
        <v>1157</v>
      </c>
      <c r="D2277" s="612" t="s">
        <v>1</v>
      </c>
      <c r="E2277" s="613">
        <f>0.6*48.71</f>
        <v>29.225999999999999</v>
      </c>
      <c r="F2277" s="611">
        <f>F2267</f>
        <v>18666.917500000003</v>
      </c>
      <c r="G2277" s="611">
        <f>E2277*F2277</f>
        <v>545559.33085500007</v>
      </c>
    </row>
    <row r="2278" spans="1:9" ht="15.75" hidden="1" customHeight="1" outlineLevel="2">
      <c r="A2278" s="613"/>
      <c r="B2278" s="612"/>
      <c r="C2278" s="613"/>
      <c r="D2278" s="612"/>
      <c r="E2278" s="613"/>
      <c r="F2278" s="611"/>
      <c r="G2278" s="611">
        <f>SUM(G2271:G2277)</f>
        <v>1494213.750248651</v>
      </c>
    </row>
    <row r="2279" spans="1:9" ht="15.75" customHeight="1" outlineLevel="1" collapsed="1">
      <c r="A2279" s="613" t="s">
        <v>2074</v>
      </c>
      <c r="B2279" s="612">
        <f>B2269+1</f>
        <v>4</v>
      </c>
      <c r="C2279" s="613" t="s">
        <v>1987</v>
      </c>
      <c r="D2279" s="612" t="s">
        <v>194</v>
      </c>
      <c r="E2279" s="613"/>
      <c r="F2279" s="611"/>
      <c r="G2279" s="604">
        <f>G2288</f>
        <v>1746787.0546971429</v>
      </c>
    </row>
    <row r="2280" spans="1:9" ht="15.75" hidden="1" customHeight="1" outlineLevel="2">
      <c r="A2280" s="613"/>
      <c r="B2280" s="612"/>
      <c r="C2280" s="613"/>
      <c r="D2280" s="612"/>
      <c r="E2280" s="613"/>
      <c r="F2280" s="611"/>
      <c r="G2280" s="611"/>
    </row>
    <row r="2281" spans="1:9" ht="15.75" hidden="1" customHeight="1" outlineLevel="2">
      <c r="A2281" s="613"/>
      <c r="B2281" s="612"/>
      <c r="C2281" s="613" t="s">
        <v>1151</v>
      </c>
      <c r="D2281" s="612" t="s">
        <v>4288</v>
      </c>
      <c r="E2281" s="613">
        <v>0.93500000000000005</v>
      </c>
      <c r="F2281" s="611">
        <f>F2271</f>
        <v>102390.75000000001</v>
      </c>
      <c r="G2281" s="611">
        <f>F2281*E2281</f>
        <v>95735.351250000022</v>
      </c>
    </row>
    <row r="2282" spans="1:9" ht="15.75" hidden="1" customHeight="1" outlineLevel="2">
      <c r="A2282" s="613"/>
      <c r="B2282" s="612"/>
      <c r="C2282" s="613" t="s">
        <v>1150</v>
      </c>
      <c r="D2282" s="612" t="s">
        <v>4288</v>
      </c>
      <c r="E2282" s="613">
        <f>E2281-(E2283+E2284+E2285)</f>
        <v>0.59000000000000008</v>
      </c>
      <c r="F2282" s="611">
        <f>F2272</f>
        <v>62462.950000000012</v>
      </c>
      <c r="G2282" s="611">
        <f>F2282*E2282</f>
        <v>36853.140500000009</v>
      </c>
    </row>
    <row r="2283" spans="1:9" ht="15.75" hidden="1" customHeight="1" outlineLevel="2">
      <c r="A2283" s="613"/>
      <c r="B2283" s="612"/>
      <c r="C2283" s="613" t="s">
        <v>1149</v>
      </c>
      <c r="D2283" s="612" t="s">
        <v>4288</v>
      </c>
      <c r="E2283" s="613">
        <v>0.09</v>
      </c>
      <c r="F2283" s="611">
        <f>F2273</f>
        <v>40473.895000000004</v>
      </c>
      <c r="G2283" s="611">
        <f>F2283*E2283</f>
        <v>3642.6505500000003</v>
      </c>
    </row>
    <row r="2284" spans="1:9" ht="15.75" hidden="1" customHeight="1" outlineLevel="2">
      <c r="A2284" s="613"/>
      <c r="B2284" s="612"/>
      <c r="C2284" s="613" t="s">
        <v>1160</v>
      </c>
      <c r="D2284" s="612" t="s">
        <v>4288</v>
      </c>
      <c r="E2284" s="613">
        <v>4.4999999999999998E-2</v>
      </c>
      <c r="F2284" s="611">
        <f>F2274</f>
        <v>710224.707936508</v>
      </c>
      <c r="G2284" s="611">
        <f>F2284*E2284</f>
        <v>31960.11185714286</v>
      </c>
    </row>
    <row r="2285" spans="1:9" ht="15.75" hidden="1" customHeight="1" outlineLevel="2">
      <c r="A2285" s="613"/>
      <c r="B2285" s="612"/>
      <c r="C2285" s="613" t="s">
        <v>1167</v>
      </c>
      <c r="D2285" s="612" t="s">
        <v>4288</v>
      </c>
      <c r="E2285" s="613">
        <v>0.21</v>
      </c>
      <c r="F2285" s="611">
        <f>G$534+100*G$869</f>
        <v>3019694.0923809526</v>
      </c>
      <c r="G2285" s="611">
        <f>F2285*E2285</f>
        <v>634135.75939999998</v>
      </c>
    </row>
    <row r="2286" spans="1:9" ht="15.75" hidden="1" customHeight="1" outlineLevel="2">
      <c r="A2286" s="613"/>
      <c r="B2286" s="612"/>
      <c r="C2286" s="613" t="s">
        <v>1158</v>
      </c>
      <c r="D2286" s="612" t="s">
        <v>1</v>
      </c>
      <c r="E2286" s="613">
        <f>3.6*3.78</f>
        <v>13.607999999999999</v>
      </c>
      <c r="F2286" s="611">
        <f>F2276</f>
        <v>15950.000000000002</v>
      </c>
      <c r="G2286" s="611">
        <f>E2286*F2286</f>
        <v>217047.6</v>
      </c>
    </row>
    <row r="2287" spans="1:9" ht="15.75" hidden="1" customHeight="1" outlineLevel="2">
      <c r="A2287" s="613"/>
      <c r="B2287" s="612"/>
      <c r="C2287" s="613" t="s">
        <v>1157</v>
      </c>
      <c r="D2287" s="612" t="s">
        <v>1</v>
      </c>
      <c r="E2287" s="613">
        <f>0.8*48.71</f>
        <v>38.968000000000004</v>
      </c>
      <c r="F2287" s="611">
        <f>F2277</f>
        <v>18666.917500000003</v>
      </c>
      <c r="G2287" s="611">
        <f>E2287*F2287</f>
        <v>727412.44114000024</v>
      </c>
      <c r="I2287" s="633" t="s">
        <v>124</v>
      </c>
    </row>
    <row r="2288" spans="1:9" ht="15.75" hidden="1" customHeight="1" outlineLevel="2">
      <c r="A2288" s="613"/>
      <c r="B2288" s="612"/>
      <c r="C2288" s="613"/>
      <c r="D2288" s="612"/>
      <c r="E2288" s="613"/>
      <c r="F2288" s="611"/>
      <c r="G2288" s="611">
        <f>SUM(G2281:G2287)</f>
        <v>1746787.0546971429</v>
      </c>
    </row>
    <row r="2289" spans="1:13" ht="15.75" customHeight="1" outlineLevel="1" collapsed="1">
      <c r="A2289" s="613" t="s">
        <v>2074</v>
      </c>
      <c r="B2289" s="612">
        <f>B2279+1</f>
        <v>5</v>
      </c>
      <c r="C2289" s="613" t="s">
        <v>1988</v>
      </c>
      <c r="D2289" s="612" t="s">
        <v>194</v>
      </c>
      <c r="E2289" s="613"/>
      <c r="F2289" s="611"/>
      <c r="G2289" s="604">
        <f>G2298</f>
        <v>1176119.0179671431</v>
      </c>
    </row>
    <row r="2290" spans="1:13" ht="15.75" hidden="1" customHeight="1" outlineLevel="2">
      <c r="A2290" s="613"/>
      <c r="B2290" s="612"/>
      <c r="C2290" s="613"/>
      <c r="D2290" s="612"/>
      <c r="E2290" s="613"/>
      <c r="F2290" s="611"/>
      <c r="G2290" s="611"/>
    </row>
    <row r="2291" spans="1:13" ht="15.75" hidden="1" customHeight="1" outlineLevel="2">
      <c r="A2291" s="613"/>
      <c r="B2291" s="612"/>
      <c r="C2291" s="613" t="s">
        <v>1151</v>
      </c>
      <c r="D2291" s="612" t="s">
        <v>4288</v>
      </c>
      <c r="E2291" s="613">
        <v>0.63700000000000001</v>
      </c>
      <c r="F2291" s="611">
        <f>F2281</f>
        <v>102390.75000000001</v>
      </c>
      <c r="G2291" s="611">
        <f>F2291*E2291</f>
        <v>65222.907750000013</v>
      </c>
    </row>
    <row r="2292" spans="1:13" ht="15.75" hidden="1" customHeight="1" outlineLevel="2">
      <c r="A2292" s="613"/>
      <c r="B2292" s="612"/>
      <c r="C2292" s="613" t="s">
        <v>1150</v>
      </c>
      <c r="D2292" s="612" t="s">
        <v>4288</v>
      </c>
      <c r="E2292" s="613">
        <f>E2291-(E2293+E2294+E2295)</f>
        <v>0.371</v>
      </c>
      <c r="F2292" s="611">
        <f>F2282</f>
        <v>62462.950000000012</v>
      </c>
      <c r="G2292" s="611">
        <f>F2292*E2292</f>
        <v>23173.754450000004</v>
      </c>
    </row>
    <row r="2293" spans="1:13" ht="15.75" hidden="1" customHeight="1" outlineLevel="2">
      <c r="A2293" s="613"/>
      <c r="B2293" s="612"/>
      <c r="C2293" s="613" t="s">
        <v>1149</v>
      </c>
      <c r="D2293" s="612" t="s">
        <v>4288</v>
      </c>
      <c r="E2293" s="613">
        <v>0.06</v>
      </c>
      <c r="F2293" s="611">
        <f>F2283</f>
        <v>40473.895000000004</v>
      </c>
      <c r="G2293" s="611">
        <f>F2293*E2293</f>
        <v>2428.4337</v>
      </c>
      <c r="J2293" s="633">
        <v>22.62</v>
      </c>
    </row>
    <row r="2294" spans="1:13" ht="15.75" hidden="1" customHeight="1" outlineLevel="2">
      <c r="A2294" s="613"/>
      <c r="B2294" s="612"/>
      <c r="C2294" s="613" t="s">
        <v>1160</v>
      </c>
      <c r="D2294" s="612" t="s">
        <v>4288</v>
      </c>
      <c r="E2294" s="613">
        <v>0.03</v>
      </c>
      <c r="F2294" s="611">
        <f>F2284</f>
        <v>710224.707936508</v>
      </c>
      <c r="G2294" s="611">
        <f>F2294*E2294</f>
        <v>21306.741238095241</v>
      </c>
      <c r="J2294" s="633">
        <v>90</v>
      </c>
    </row>
    <row r="2295" spans="1:13" ht="15.75" hidden="1" customHeight="1" outlineLevel="2">
      <c r="A2295" s="613"/>
      <c r="B2295" s="612"/>
      <c r="C2295" s="613" t="s">
        <v>1167</v>
      </c>
      <c r="D2295" s="612" t="s">
        <v>4288</v>
      </c>
      <c r="E2295" s="613">
        <v>0.17599999999999999</v>
      </c>
      <c r="F2295" s="611">
        <f>G$534+100*G$869</f>
        <v>3019694.0923809526</v>
      </c>
      <c r="G2295" s="611">
        <f>F2295*E2295</f>
        <v>531466.16025904764</v>
      </c>
    </row>
    <row r="2296" spans="1:13" ht="15.75" hidden="1" customHeight="1" outlineLevel="2">
      <c r="A2296" s="613"/>
      <c r="B2296" s="612"/>
      <c r="C2296" s="613" t="s">
        <v>1158</v>
      </c>
      <c r="D2296" s="612" t="s">
        <v>1</v>
      </c>
      <c r="E2296" s="613">
        <f>2.8*3.78</f>
        <v>10.584</v>
      </c>
      <c r="F2296" s="611">
        <f>F2286</f>
        <v>15950.000000000002</v>
      </c>
      <c r="G2296" s="611">
        <f>E2296*F2296</f>
        <v>168814.80000000002</v>
      </c>
      <c r="J2296" s="633" t="s">
        <v>1166</v>
      </c>
    </row>
    <row r="2297" spans="1:13" ht="15.75" hidden="1" customHeight="1" outlineLevel="2">
      <c r="A2297" s="613"/>
      <c r="B2297" s="612"/>
      <c r="C2297" s="613" t="s">
        <v>1157</v>
      </c>
      <c r="D2297" s="612" t="s">
        <v>1</v>
      </c>
      <c r="E2297" s="613">
        <f>0.4*48.71</f>
        <v>19.484000000000002</v>
      </c>
      <c r="F2297" s="611">
        <f>F2287</f>
        <v>18666.917500000003</v>
      </c>
      <c r="G2297" s="611">
        <f>E2297*F2297</f>
        <v>363706.22057000012</v>
      </c>
      <c r="J2297" s="633">
        <f>145/(1.22*2.44)</f>
        <v>48.710024187046493</v>
      </c>
    </row>
    <row r="2298" spans="1:13" ht="15.75" hidden="1" customHeight="1" outlineLevel="2">
      <c r="A2298" s="613"/>
      <c r="B2298" s="612"/>
      <c r="C2298" s="613"/>
      <c r="D2298" s="612"/>
      <c r="E2298" s="613"/>
      <c r="F2298" s="611"/>
      <c r="G2298" s="611">
        <f>SUM(G2291:G2297)</f>
        <v>1176119.0179671431</v>
      </c>
    </row>
    <row r="2299" spans="1:13" ht="15.75" customHeight="1" outlineLevel="1" collapsed="1">
      <c r="A2299" s="613" t="s">
        <v>2074</v>
      </c>
      <c r="B2299" s="612">
        <f>B2233+1</f>
        <v>11</v>
      </c>
      <c r="C2299" s="613" t="s">
        <v>1989</v>
      </c>
      <c r="D2299" s="612" t="s">
        <v>194</v>
      </c>
      <c r="E2299" s="613"/>
      <c r="F2299" s="611"/>
      <c r="G2299" s="604">
        <f>G2319</f>
        <v>2164983.3384920638</v>
      </c>
      <c r="I2299" s="633" t="s">
        <v>124</v>
      </c>
    </row>
    <row r="2300" spans="1:13" ht="15.75" hidden="1" customHeight="1" outlineLevel="2">
      <c r="A2300" s="613"/>
      <c r="B2300" s="612"/>
      <c r="C2300" s="613"/>
      <c r="D2300" s="612"/>
      <c r="E2300" s="613"/>
      <c r="F2300" s="611"/>
      <c r="G2300" s="611"/>
    </row>
    <row r="2301" spans="1:13" ht="15.75" hidden="1" customHeight="1" outlineLevel="2">
      <c r="A2301" s="613"/>
      <c r="B2301" s="612"/>
      <c r="C2301" s="613" t="s">
        <v>70</v>
      </c>
      <c r="D2301" s="612"/>
      <c r="E2301" s="613"/>
      <c r="F2301" s="611"/>
      <c r="G2301" s="611"/>
    </row>
    <row r="2302" spans="1:13" ht="15.75" hidden="1" customHeight="1" outlineLevel="2">
      <c r="A2302" s="613"/>
      <c r="B2302" s="612"/>
      <c r="C2302" s="613" t="s">
        <v>1165</v>
      </c>
      <c r="D2302" s="612" t="s">
        <v>130</v>
      </c>
      <c r="E2302" s="613">
        <v>0.08</v>
      </c>
      <c r="F2302" s="611">
        <f>hand_bor_machine</f>
        <v>379500.00000000006</v>
      </c>
      <c r="G2302" s="611">
        <f>E2302*F2302</f>
        <v>30360.000000000004</v>
      </c>
      <c r="J2302" s="633">
        <v>2</v>
      </c>
      <c r="K2302" s="633">
        <f>K2298*J2302</f>
        <v>0</v>
      </c>
      <c r="L2302" s="633" t="s">
        <v>1</v>
      </c>
      <c r="M2302" s="633" t="s">
        <v>1164</v>
      </c>
    </row>
    <row r="2303" spans="1:13" ht="15.75" hidden="1" customHeight="1" outlineLevel="2">
      <c r="A2303" s="613"/>
      <c r="B2303" s="612"/>
      <c r="C2303" s="613" t="s">
        <v>189</v>
      </c>
      <c r="D2303" s="612" t="s">
        <v>130</v>
      </c>
      <c r="E2303" s="613">
        <v>0.05</v>
      </c>
      <c r="F2303" s="611">
        <f>welding_machine_day</f>
        <v>891000.00000000012</v>
      </c>
      <c r="G2303" s="611">
        <f>E2303*F2303</f>
        <v>44550.000000000007</v>
      </c>
    </row>
    <row r="2304" spans="1:13" ht="15.75" hidden="1" customHeight="1" outlineLevel="2">
      <c r="A2304" s="613"/>
      <c r="B2304" s="612"/>
      <c r="C2304" s="613" t="s">
        <v>1163</v>
      </c>
      <c r="D2304" s="612" t="s">
        <v>210</v>
      </c>
      <c r="E2304" s="613">
        <v>1</v>
      </c>
      <c r="F2304" s="611">
        <f>F2140</f>
        <v>20000</v>
      </c>
      <c r="G2304" s="611">
        <f>E2304*F2304</f>
        <v>20000</v>
      </c>
    </row>
    <row r="2305" spans="1:9" ht="15.75" hidden="1" customHeight="1" outlineLevel="2">
      <c r="A2305" s="613"/>
      <c r="B2305" s="612"/>
      <c r="C2305" s="613"/>
      <c r="D2305" s="612"/>
      <c r="E2305" s="613"/>
      <c r="F2305" s="611"/>
      <c r="G2305" s="611"/>
    </row>
    <row r="2306" spans="1:9" ht="15.75" hidden="1" customHeight="1" outlineLevel="2">
      <c r="A2306" s="613"/>
      <c r="B2306" s="612"/>
      <c r="C2306" s="613" t="s">
        <v>31</v>
      </c>
      <c r="D2306" s="612"/>
      <c r="E2306" s="613"/>
      <c r="F2306" s="611"/>
      <c r="G2306" s="611"/>
    </row>
    <row r="2307" spans="1:9" ht="15.75" hidden="1" customHeight="1" outlineLevel="2">
      <c r="A2307" s="613"/>
      <c r="B2307" s="612"/>
      <c r="C2307" s="613" t="s">
        <v>1162</v>
      </c>
      <c r="D2307" s="612" t="s">
        <v>33</v>
      </c>
      <c r="E2307" s="613">
        <v>0.3</v>
      </c>
      <c r="F2307" s="611">
        <f>steel_worker</f>
        <v>119350.00000000001</v>
      </c>
      <c r="G2307" s="611">
        <f>E2307*F2307</f>
        <v>35805</v>
      </c>
    </row>
    <row r="2308" spans="1:9" ht="15.75" hidden="1" customHeight="1" outlineLevel="2">
      <c r="A2308" s="613"/>
      <c r="B2308" s="612"/>
      <c r="C2308" s="613" t="s">
        <v>1161</v>
      </c>
      <c r="D2308" s="612" t="s">
        <v>33</v>
      </c>
      <c r="E2308" s="613">
        <v>0.01</v>
      </c>
      <c r="F2308" s="611">
        <f>steel_worker_chief</f>
        <v>107800.00000000001</v>
      </c>
      <c r="G2308" s="611">
        <f>E2308*F2308</f>
        <v>1078.0000000000002</v>
      </c>
    </row>
    <row r="2309" spans="1:9" ht="15.75" hidden="1" customHeight="1" outlineLevel="2">
      <c r="A2309" s="613"/>
      <c r="B2309" s="612"/>
      <c r="C2309" s="613" t="s">
        <v>127</v>
      </c>
      <c r="D2309" s="612" t="s">
        <v>33</v>
      </c>
      <c r="E2309" s="613">
        <v>4.0000000000000001E-3</v>
      </c>
      <c r="F2309" s="611">
        <f>supervisor</f>
        <v>119350.00000000001</v>
      </c>
      <c r="G2309" s="611">
        <f>E2309*F2309</f>
        <v>477.40000000000009</v>
      </c>
    </row>
    <row r="2310" spans="1:9" ht="15.75" hidden="1" customHeight="1" outlineLevel="2">
      <c r="A2310" s="613"/>
      <c r="B2310" s="612"/>
      <c r="C2310" s="613"/>
      <c r="D2310" s="612"/>
      <c r="E2310" s="613"/>
      <c r="F2310" s="611"/>
      <c r="G2310" s="611"/>
    </row>
    <row r="2311" spans="1:9" ht="15.75" hidden="1" customHeight="1" outlineLevel="2">
      <c r="A2311" s="613"/>
      <c r="B2311" s="612"/>
      <c r="C2311" s="613" t="s">
        <v>1151</v>
      </c>
      <c r="D2311" s="612" t="s">
        <v>4288</v>
      </c>
      <c r="E2311" s="613">
        <f>E2150</f>
        <v>1.05</v>
      </c>
      <c r="F2311" s="611">
        <f>ahs_excavation_manual_2m</f>
        <v>102390.75000000001</v>
      </c>
      <c r="G2311" s="611">
        <f>F2311*E2311</f>
        <v>107510.28750000002</v>
      </c>
    </row>
    <row r="2312" spans="1:9" ht="15.75" hidden="1" customHeight="1" outlineLevel="2">
      <c r="A2312" s="613"/>
      <c r="B2312" s="612"/>
      <c r="C2312" s="613" t="s">
        <v>1150</v>
      </c>
      <c r="D2312" s="612" t="s">
        <v>4288</v>
      </c>
      <c r="E2312" s="613">
        <f>E2151</f>
        <v>1.05</v>
      </c>
      <c r="F2312" s="611">
        <f>ahs_back_filling</f>
        <v>62462.950000000012</v>
      </c>
      <c r="G2312" s="611">
        <f>F2312*E2312</f>
        <v>65586.097500000018</v>
      </c>
    </row>
    <row r="2313" spans="1:9" ht="15.75" hidden="1" customHeight="1" outlineLevel="2">
      <c r="A2313" s="613"/>
      <c r="B2313" s="612"/>
      <c r="C2313" s="613" t="s">
        <v>1149</v>
      </c>
      <c r="D2313" s="612" t="s">
        <v>4288</v>
      </c>
      <c r="E2313" s="613">
        <f>E2152</f>
        <v>0.1</v>
      </c>
      <c r="F2313" s="611">
        <f>ahs_compacted_sand_layer_m3</f>
        <v>404738.95</v>
      </c>
      <c r="G2313" s="611">
        <f>F2313*E2313</f>
        <v>40473.895000000004</v>
      </c>
    </row>
    <row r="2314" spans="1:9" ht="15.75" hidden="1" customHeight="1" outlineLevel="2">
      <c r="A2314" s="613"/>
      <c r="B2314" s="612"/>
      <c r="C2314" s="613" t="s">
        <v>1160</v>
      </c>
      <c r="D2314" s="612" t="s">
        <v>4288</v>
      </c>
      <c r="E2314" s="613">
        <f>E2153</f>
        <v>0.05</v>
      </c>
      <c r="F2314" s="611">
        <f>K_100</f>
        <v>710224.707936508</v>
      </c>
      <c r="G2314" s="611">
        <f>F2314*E2314</f>
        <v>35511.235396825403</v>
      </c>
    </row>
    <row r="2315" spans="1:9" ht="15.75" hidden="1" customHeight="1" outlineLevel="2">
      <c r="A2315" s="613"/>
      <c r="B2315" s="612"/>
      <c r="C2315" s="613" t="s">
        <v>1159</v>
      </c>
      <c r="D2315" s="612" t="s">
        <v>4288</v>
      </c>
      <c r="E2315" s="613">
        <f>E2154</f>
        <v>0.25</v>
      </c>
      <c r="F2315" s="611">
        <f>K_175+100*ahs_besi_ulir_kg</f>
        <v>3019694.0923809526</v>
      </c>
      <c r="G2315" s="611">
        <f>F2315*E2315</f>
        <v>754923.52309523814</v>
      </c>
    </row>
    <row r="2316" spans="1:9" ht="15.75" hidden="1" customHeight="1" outlineLevel="2">
      <c r="A2316" s="613"/>
      <c r="B2316" s="612"/>
      <c r="C2316" s="613" t="s">
        <v>1158</v>
      </c>
      <c r="D2316" s="612" t="s">
        <v>1</v>
      </c>
      <c r="E2316" s="613">
        <f>(2+(0.3*6))+(0.15*6)*3.78</f>
        <v>7.202</v>
      </c>
      <c r="F2316" s="611">
        <f>profil_siku_kg</f>
        <v>15950.000000000002</v>
      </c>
      <c r="G2316" s="611">
        <f>E2316*F2316</f>
        <v>114871.90000000001</v>
      </c>
    </row>
    <row r="2317" spans="1:9" ht="15.75" hidden="1" customHeight="1" outlineLevel="2">
      <c r="A2317" s="613"/>
      <c r="B2317" s="612"/>
      <c r="C2317" s="613" t="s">
        <v>1157</v>
      </c>
      <c r="D2317" s="612" t="s">
        <v>1</v>
      </c>
      <c r="E2317" s="613">
        <f>0.8*1*0.006*7850</f>
        <v>37.680000000000007</v>
      </c>
      <c r="F2317" s="611">
        <f>Besi_Pelat_kg</f>
        <v>21450</v>
      </c>
      <c r="G2317" s="611">
        <f>E2317*F2317</f>
        <v>808236.00000000012</v>
      </c>
    </row>
    <row r="2318" spans="1:9" ht="15.75" hidden="1" customHeight="1" outlineLevel="2">
      <c r="A2318" s="613"/>
      <c r="B2318" s="612"/>
      <c r="C2318" s="613" t="s">
        <v>1156</v>
      </c>
      <c r="D2318" s="612" t="s">
        <v>226</v>
      </c>
      <c r="E2318" s="613">
        <v>12</v>
      </c>
      <c r="F2318" s="611">
        <f>dyna_bolt_M10</f>
        <v>8800</v>
      </c>
      <c r="G2318" s="611">
        <f>E2318*F2318</f>
        <v>105600</v>
      </c>
    </row>
    <row r="2319" spans="1:9" ht="15.75" hidden="1" customHeight="1" outlineLevel="2">
      <c r="A2319" s="613"/>
      <c r="B2319" s="612"/>
      <c r="C2319" s="613"/>
      <c r="D2319" s="612"/>
      <c r="E2319" s="613"/>
      <c r="F2319" s="611"/>
      <c r="G2319" s="611">
        <f>SUM(G2302:G2318)</f>
        <v>2164983.3384920638</v>
      </c>
    </row>
    <row r="2320" spans="1:9" ht="15.75" hidden="1" customHeight="1" outlineLevel="2">
      <c r="A2320" s="613"/>
      <c r="B2320" s="612"/>
      <c r="C2320" s="613"/>
      <c r="D2320" s="612"/>
      <c r="E2320" s="613"/>
      <c r="F2320" s="611"/>
      <c r="G2320" s="611"/>
      <c r="I2320" s="633" t="s">
        <v>124</v>
      </c>
    </row>
    <row r="2321" spans="1:13" ht="15.75" customHeight="1" outlineLevel="1" collapsed="1">
      <c r="A2321" s="613" t="s">
        <v>2074</v>
      </c>
      <c r="B2321" s="612">
        <f>B2299+1</f>
        <v>12</v>
      </c>
      <c r="C2321" s="613" t="s">
        <v>1990</v>
      </c>
      <c r="D2321" s="612" t="s">
        <v>194</v>
      </c>
      <c r="E2321" s="613"/>
      <c r="F2321" s="611"/>
      <c r="G2321" s="604">
        <f>G2341</f>
        <v>1285016.0863301589</v>
      </c>
    </row>
    <row r="2322" spans="1:13" ht="15.75" hidden="1" customHeight="1" outlineLevel="2">
      <c r="A2322" s="613"/>
      <c r="B2322" s="612"/>
      <c r="C2322" s="613"/>
      <c r="D2322" s="612"/>
      <c r="E2322" s="613"/>
      <c r="F2322" s="611"/>
      <c r="G2322" s="611"/>
    </row>
    <row r="2323" spans="1:13" ht="15.75" hidden="1" customHeight="1" outlineLevel="2">
      <c r="A2323" s="613"/>
      <c r="B2323" s="612"/>
      <c r="C2323" s="613" t="s">
        <v>70</v>
      </c>
      <c r="D2323" s="612"/>
      <c r="E2323" s="613"/>
      <c r="F2323" s="611"/>
      <c r="G2323" s="611"/>
    </row>
    <row r="2324" spans="1:13" ht="15.75" hidden="1" customHeight="1" outlineLevel="2">
      <c r="A2324" s="613"/>
      <c r="B2324" s="612"/>
      <c r="C2324" s="613" t="s">
        <v>1165</v>
      </c>
      <c r="D2324" s="612" t="s">
        <v>130</v>
      </c>
      <c r="E2324" s="613">
        <f>E2302</f>
        <v>0.08</v>
      </c>
      <c r="F2324" s="611">
        <f>hand_bor_machine</f>
        <v>379500.00000000006</v>
      </c>
      <c r="G2324" s="611">
        <f>G2302</f>
        <v>30360.000000000004</v>
      </c>
      <c r="J2324" s="633">
        <v>2</v>
      </c>
      <c r="K2324" s="633">
        <f>K2320*J2324</f>
        <v>0</v>
      </c>
      <c r="L2324" s="633" t="s">
        <v>1</v>
      </c>
      <c r="M2324" s="633" t="s">
        <v>1164</v>
      </c>
    </row>
    <row r="2325" spans="1:13" ht="15.75" hidden="1" customHeight="1" outlineLevel="2">
      <c r="A2325" s="613"/>
      <c r="B2325" s="612"/>
      <c r="C2325" s="613" t="s">
        <v>189</v>
      </c>
      <c r="D2325" s="612" t="s">
        <v>130</v>
      </c>
      <c r="E2325" s="613">
        <f>E2303</f>
        <v>0.05</v>
      </c>
      <c r="F2325" s="611">
        <f>welding_machine_day</f>
        <v>891000.00000000012</v>
      </c>
      <c r="G2325" s="611">
        <f>G2303</f>
        <v>44550.000000000007</v>
      </c>
    </row>
    <row r="2326" spans="1:13" ht="15.75" hidden="1" customHeight="1" outlineLevel="2">
      <c r="A2326" s="613"/>
      <c r="B2326" s="612"/>
      <c r="C2326" s="613" t="s">
        <v>1163</v>
      </c>
      <c r="D2326" s="612" t="s">
        <v>210</v>
      </c>
      <c r="E2326" s="613">
        <f>E2304</f>
        <v>1</v>
      </c>
      <c r="F2326" s="611">
        <f>F2304</f>
        <v>20000</v>
      </c>
      <c r="G2326" s="611">
        <f>G2304</f>
        <v>20000</v>
      </c>
    </row>
    <row r="2327" spans="1:13" ht="15.75" hidden="1" customHeight="1" outlineLevel="2">
      <c r="A2327" s="613"/>
      <c r="B2327" s="612"/>
      <c r="C2327" s="613"/>
      <c r="D2327" s="612"/>
      <c r="E2327" s="613"/>
      <c r="F2327" s="611"/>
      <c r="G2327" s="611"/>
    </row>
    <row r="2328" spans="1:13" ht="15.75" hidden="1" customHeight="1" outlineLevel="2">
      <c r="A2328" s="613"/>
      <c r="B2328" s="612"/>
      <c r="C2328" s="613" t="s">
        <v>31</v>
      </c>
      <c r="D2328" s="612"/>
      <c r="E2328" s="613"/>
      <c r="F2328" s="611"/>
      <c r="G2328" s="611"/>
    </row>
    <row r="2329" spans="1:13" ht="15.75" hidden="1" customHeight="1" outlineLevel="2">
      <c r="A2329" s="613"/>
      <c r="B2329" s="612"/>
      <c r="C2329" s="613" t="s">
        <v>1162</v>
      </c>
      <c r="D2329" s="612" t="s">
        <v>33</v>
      </c>
      <c r="E2329" s="613">
        <f>E2307</f>
        <v>0.3</v>
      </c>
      <c r="F2329" s="611">
        <f>steel_worker</f>
        <v>119350.00000000001</v>
      </c>
      <c r="G2329" s="611">
        <f>G2307</f>
        <v>35805</v>
      </c>
    </row>
    <row r="2330" spans="1:13" ht="15.75" hidden="1" customHeight="1" outlineLevel="2">
      <c r="A2330" s="613"/>
      <c r="B2330" s="612"/>
      <c r="C2330" s="613" t="s">
        <v>1161</v>
      </c>
      <c r="D2330" s="612" t="s">
        <v>33</v>
      </c>
      <c r="E2330" s="613">
        <f>E2308</f>
        <v>0.01</v>
      </c>
      <c r="F2330" s="611">
        <f>steel_worker_chief</f>
        <v>107800.00000000001</v>
      </c>
      <c r="G2330" s="611">
        <f>G2308</f>
        <v>1078.0000000000002</v>
      </c>
    </row>
    <row r="2331" spans="1:13" ht="15.75" hidden="1" customHeight="1" outlineLevel="2">
      <c r="A2331" s="613"/>
      <c r="B2331" s="612"/>
      <c r="C2331" s="613" t="s">
        <v>127</v>
      </c>
      <c r="D2331" s="612" t="s">
        <v>33</v>
      </c>
      <c r="E2331" s="613">
        <f>E2309</f>
        <v>4.0000000000000001E-3</v>
      </c>
      <c r="F2331" s="611">
        <f>supervisor</f>
        <v>119350.00000000001</v>
      </c>
      <c r="G2331" s="611">
        <f>G2309</f>
        <v>477.40000000000009</v>
      </c>
    </row>
    <row r="2332" spans="1:13" ht="15.75" hidden="1" customHeight="1" outlineLevel="2">
      <c r="A2332" s="613"/>
      <c r="B2332" s="612"/>
      <c r="C2332" s="613"/>
      <c r="D2332" s="612"/>
      <c r="E2332" s="613"/>
      <c r="F2332" s="611"/>
      <c r="G2332" s="611"/>
    </row>
    <row r="2333" spans="1:13" ht="15.75" hidden="1" customHeight="1" outlineLevel="2">
      <c r="A2333" s="613"/>
      <c r="B2333" s="612"/>
      <c r="C2333" s="613" t="s">
        <v>1151</v>
      </c>
      <c r="D2333" s="612" t="s">
        <v>4288</v>
      </c>
      <c r="E2333" s="613">
        <f>E2200</f>
        <v>0.52499999999999991</v>
      </c>
      <c r="F2333" s="611">
        <f>ahs_excavation_manual_1m</f>
        <v>83833.750000000015</v>
      </c>
      <c r="G2333" s="611">
        <f>F2333*E2333</f>
        <v>44012.71875</v>
      </c>
    </row>
    <row r="2334" spans="1:13" ht="15.75" hidden="1" customHeight="1" outlineLevel="2">
      <c r="A2334" s="613"/>
      <c r="B2334" s="612"/>
      <c r="C2334" s="613" t="s">
        <v>1150</v>
      </c>
      <c r="D2334" s="612" t="s">
        <v>4288</v>
      </c>
      <c r="E2334" s="613">
        <f>E2201</f>
        <v>0.52499999999999991</v>
      </c>
      <c r="F2334" s="611">
        <f>ahs_back_filling</f>
        <v>62462.950000000012</v>
      </c>
      <c r="G2334" s="611">
        <f>F2334*E2334</f>
        <v>32793.048750000002</v>
      </c>
    </row>
    <row r="2335" spans="1:13" ht="15.75" hidden="1" customHeight="1" outlineLevel="2">
      <c r="A2335" s="613"/>
      <c r="B2335" s="612"/>
      <c r="C2335" s="613" t="s">
        <v>1149</v>
      </c>
      <c r="D2335" s="612" t="s">
        <v>4288</v>
      </c>
      <c r="E2335" s="613">
        <f>E2202</f>
        <v>6.9999999999999993E-2</v>
      </c>
      <c r="F2335" s="611">
        <f>ahs_compacted_sand_layer_m3</f>
        <v>404738.95</v>
      </c>
      <c r="G2335" s="611">
        <f>F2335*E2335</f>
        <v>28331.726499999997</v>
      </c>
    </row>
    <row r="2336" spans="1:13" ht="15.75" hidden="1" customHeight="1" outlineLevel="2">
      <c r="A2336" s="613"/>
      <c r="B2336" s="612"/>
      <c r="C2336" s="613" t="s">
        <v>1160</v>
      </c>
      <c r="D2336" s="612" t="s">
        <v>4288</v>
      </c>
      <c r="E2336" s="613">
        <f>E2203</f>
        <v>3.4999999999999996E-2</v>
      </c>
      <c r="F2336" s="611">
        <f>K_100</f>
        <v>710224.707936508</v>
      </c>
      <c r="G2336" s="611">
        <f>F2336*E2336</f>
        <v>24857.864777777777</v>
      </c>
    </row>
    <row r="2337" spans="1:9" ht="15.75" hidden="1" customHeight="1" outlineLevel="2">
      <c r="A2337" s="613"/>
      <c r="B2337" s="612"/>
      <c r="C2337" s="613" t="s">
        <v>1159</v>
      </c>
      <c r="D2337" s="612" t="s">
        <v>4288</v>
      </c>
      <c r="E2337" s="613">
        <f>E2204</f>
        <v>0.19</v>
      </c>
      <c r="F2337" s="611">
        <f>K_175+100*ahs_besi_ulir_kg</f>
        <v>3019694.0923809526</v>
      </c>
      <c r="G2337" s="611">
        <f>F2337*E2337</f>
        <v>573741.87755238102</v>
      </c>
    </row>
    <row r="2338" spans="1:9" ht="15.75" hidden="1" customHeight="1" outlineLevel="2">
      <c r="A2338" s="613"/>
      <c r="B2338" s="612"/>
      <c r="C2338" s="613" t="s">
        <v>1158</v>
      </c>
      <c r="D2338" s="612" t="s">
        <v>1</v>
      </c>
      <c r="E2338" s="613">
        <f>(2+(0.3*3))+(0.15*3)*3.78</f>
        <v>4.601</v>
      </c>
      <c r="F2338" s="611">
        <f>profil_siku_kg</f>
        <v>15950.000000000002</v>
      </c>
      <c r="G2338" s="611">
        <f>E2338*F2338</f>
        <v>73385.950000000012</v>
      </c>
    </row>
    <row r="2339" spans="1:9" ht="15.75" hidden="1" customHeight="1" outlineLevel="2">
      <c r="A2339" s="613"/>
      <c r="B2339" s="612"/>
      <c r="C2339" s="613" t="s">
        <v>1157</v>
      </c>
      <c r="D2339" s="612" t="s">
        <v>1</v>
      </c>
      <c r="E2339" s="613">
        <f>0.5*1*0.006*7850</f>
        <v>23.55</v>
      </c>
      <c r="F2339" s="611">
        <f>profil_siku_kg</f>
        <v>15950.000000000002</v>
      </c>
      <c r="G2339" s="611">
        <f>E2339*F2339</f>
        <v>375622.50000000006</v>
      </c>
      <c r="I2339" s="633" t="s">
        <v>124</v>
      </c>
    </row>
    <row r="2340" spans="1:9" ht="15.75" hidden="1" customHeight="1" outlineLevel="2">
      <c r="A2340" s="613"/>
      <c r="B2340" s="612"/>
      <c r="C2340" s="613" t="s">
        <v>1156</v>
      </c>
      <c r="D2340" s="612" t="s">
        <v>226</v>
      </c>
      <c r="E2340" s="613">
        <v>6</v>
      </c>
      <c r="F2340" s="611">
        <f>dyna_bolt_M10</f>
        <v>8800</v>
      </c>
      <c r="G2340" s="611">
        <f>E2340*F2340</f>
        <v>52800</v>
      </c>
    </row>
    <row r="2341" spans="1:9" ht="15.75" hidden="1" customHeight="1" outlineLevel="2">
      <c r="A2341" s="613"/>
      <c r="B2341" s="612"/>
      <c r="C2341" s="613"/>
      <c r="D2341" s="612"/>
      <c r="E2341" s="613"/>
      <c r="F2341" s="611"/>
      <c r="G2341" s="611">
        <f>SUM(G2324:G2339)</f>
        <v>1285016.0863301589</v>
      </c>
    </row>
    <row r="2342" spans="1:9" ht="15.75" hidden="1" customHeight="1" outlineLevel="2">
      <c r="A2342" s="613"/>
      <c r="B2342" s="612"/>
      <c r="C2342" s="613"/>
      <c r="D2342" s="612"/>
      <c r="E2342" s="613"/>
      <c r="F2342" s="611"/>
      <c r="G2342" s="611"/>
    </row>
    <row r="2343" spans="1:9" ht="15.75" customHeight="1" outlineLevel="1" collapsed="1">
      <c r="A2343" s="613" t="s">
        <v>2074</v>
      </c>
      <c r="B2343" s="612">
        <f>B2321+1</f>
        <v>13</v>
      </c>
      <c r="C2343" s="613" t="s">
        <v>1991</v>
      </c>
      <c r="D2343" s="612" t="s">
        <v>194</v>
      </c>
      <c r="E2343" s="613"/>
      <c r="F2343" s="611"/>
      <c r="G2343" s="604">
        <f>G2350</f>
        <v>787777.05138000008</v>
      </c>
    </row>
    <row r="2344" spans="1:9" ht="15.75" customHeight="1" outlineLevel="2">
      <c r="A2344" s="613"/>
      <c r="B2344" s="612"/>
      <c r="C2344" s="613"/>
      <c r="D2344" s="612"/>
      <c r="E2344" s="613"/>
      <c r="F2344" s="611"/>
      <c r="G2344" s="611"/>
    </row>
    <row r="2345" spans="1:9" ht="15.75" customHeight="1" outlineLevel="2">
      <c r="A2345" s="613"/>
      <c r="B2345" s="612"/>
      <c r="C2345" s="613" t="s">
        <v>1151</v>
      </c>
      <c r="D2345" s="612" t="s">
        <v>4288</v>
      </c>
      <c r="E2345" s="613">
        <v>1.33</v>
      </c>
      <c r="F2345" s="611">
        <f>ahs_excavation_manual_1m</f>
        <v>83833.750000000015</v>
      </c>
      <c r="G2345" s="611">
        <f>F2345*E2345</f>
        <v>111498.88750000003</v>
      </c>
    </row>
    <row r="2346" spans="1:9" ht="15.75" customHeight="1" outlineLevel="2">
      <c r="A2346" s="613"/>
      <c r="B2346" s="612"/>
      <c r="C2346" s="613" t="s">
        <v>1150</v>
      </c>
      <c r="D2346" s="612" t="s">
        <v>4288</v>
      </c>
      <c r="E2346" s="613">
        <v>0.56000000000000005</v>
      </c>
      <c r="F2346" s="611">
        <f>ahs_back_filling</f>
        <v>62462.950000000012</v>
      </c>
      <c r="G2346" s="611">
        <f>F2346*E2346</f>
        <v>34979.252000000008</v>
      </c>
    </row>
    <row r="2347" spans="1:9" ht="15.75" customHeight="1" outlineLevel="2">
      <c r="A2347" s="613"/>
      <c r="B2347" s="612"/>
      <c r="C2347" s="613" t="s">
        <v>1149</v>
      </c>
      <c r="D2347" s="612" t="s">
        <v>4288</v>
      </c>
      <c r="E2347" s="613">
        <v>0.08</v>
      </c>
      <c r="F2347" s="611">
        <f>ahs_compacted_sand_layer_m3</f>
        <v>404738.95</v>
      </c>
      <c r="G2347" s="611">
        <f>F2347*E2347</f>
        <v>32379.116000000002</v>
      </c>
    </row>
    <row r="2348" spans="1:9" ht="15.75" customHeight="1" outlineLevel="2">
      <c r="A2348" s="613"/>
      <c r="B2348" s="612"/>
      <c r="C2348" s="613" t="s">
        <v>1154</v>
      </c>
      <c r="D2348" s="612" t="s">
        <v>4288</v>
      </c>
      <c r="E2348" s="613">
        <v>2.44</v>
      </c>
      <c r="F2348" s="611">
        <f>ahs_plester_1.4_tebal15mm</f>
        <v>78976.347999999998</v>
      </c>
      <c r="G2348" s="611">
        <f>F2348*E2348</f>
        <v>192702.28912</v>
      </c>
      <c r="I2348" s="633" t="s">
        <v>124</v>
      </c>
    </row>
    <row r="2349" spans="1:9" ht="15.75" customHeight="1" outlineLevel="2">
      <c r="A2349" s="613"/>
      <c r="B2349" s="612"/>
      <c r="C2349" s="613" t="s">
        <v>1155</v>
      </c>
      <c r="D2349" s="612" t="s">
        <v>4288</v>
      </c>
      <c r="E2349" s="613">
        <v>0.45</v>
      </c>
      <c r="F2349" s="611">
        <f>ahs_stone_masonry_1.3</f>
        <v>924927.79280000005</v>
      </c>
      <c r="G2349" s="611">
        <f>E2349*F2349</f>
        <v>416217.50676000002</v>
      </c>
    </row>
    <row r="2350" spans="1:9" ht="15.75" customHeight="1" outlineLevel="2">
      <c r="A2350" s="613"/>
      <c r="B2350" s="612"/>
      <c r="C2350" s="613"/>
      <c r="D2350" s="612"/>
      <c r="E2350" s="613"/>
      <c r="F2350" s="611"/>
      <c r="G2350" s="611">
        <f>SUM(G2345:G2349)</f>
        <v>787777.05138000008</v>
      </c>
    </row>
    <row r="2351" spans="1:9" ht="15.75" customHeight="1" outlineLevel="2">
      <c r="A2351" s="613"/>
      <c r="B2351" s="612"/>
      <c r="C2351" s="613"/>
      <c r="D2351" s="612"/>
      <c r="E2351" s="613"/>
      <c r="F2351" s="611"/>
      <c r="G2351" s="611"/>
    </row>
    <row r="2352" spans="1:9" ht="15.75" customHeight="1" outlineLevel="1">
      <c r="A2352" s="613" t="s">
        <v>2074</v>
      </c>
      <c r="B2352" s="612">
        <f>B2343+1</f>
        <v>14</v>
      </c>
      <c r="C2352" s="613" t="s">
        <v>1992</v>
      </c>
      <c r="D2352" s="612" t="s">
        <v>194</v>
      </c>
      <c r="E2352" s="613"/>
      <c r="F2352" s="611"/>
      <c r="G2352" s="604">
        <f>G2359</f>
        <v>483946.59962000005</v>
      </c>
    </row>
    <row r="2353" spans="1:9" ht="15.75" customHeight="1" outlineLevel="2">
      <c r="A2353" s="613"/>
      <c r="B2353" s="612"/>
      <c r="C2353" s="613"/>
      <c r="D2353" s="612"/>
      <c r="E2353" s="613"/>
      <c r="F2353" s="611"/>
      <c r="G2353" s="611"/>
    </row>
    <row r="2354" spans="1:9" ht="15.75" customHeight="1" outlineLevel="2">
      <c r="A2354" s="613"/>
      <c r="B2354" s="612"/>
      <c r="C2354" s="613" t="s">
        <v>1151</v>
      </c>
      <c r="D2354" s="612" t="s">
        <v>4288</v>
      </c>
      <c r="E2354" s="613">
        <v>0.6</v>
      </c>
      <c r="F2354" s="611">
        <f>F2345</f>
        <v>83833.750000000015</v>
      </c>
      <c r="G2354" s="611">
        <f>F2354*E2354</f>
        <v>50300.250000000007</v>
      </c>
    </row>
    <row r="2355" spans="1:9" ht="15.75" customHeight="1" outlineLevel="2">
      <c r="A2355" s="613"/>
      <c r="B2355" s="612"/>
      <c r="C2355" s="613" t="s">
        <v>1150</v>
      </c>
      <c r="D2355" s="612" t="s">
        <v>4288</v>
      </c>
      <c r="E2355" s="613">
        <v>0.37</v>
      </c>
      <c r="F2355" s="611">
        <f>F2346</f>
        <v>62462.950000000012</v>
      </c>
      <c r="G2355" s="611">
        <f>F2355*E2355</f>
        <v>23111.291500000003</v>
      </c>
    </row>
    <row r="2356" spans="1:9" ht="15.75" customHeight="1" outlineLevel="2">
      <c r="A2356" s="613"/>
      <c r="B2356" s="612"/>
      <c r="C2356" s="613" t="s">
        <v>1149</v>
      </c>
      <c r="D2356" s="612" t="s">
        <v>4288</v>
      </c>
      <c r="E2356" s="613">
        <v>0.06</v>
      </c>
      <c r="F2356" s="611">
        <f>F2347</f>
        <v>404738.95</v>
      </c>
      <c r="G2356" s="611">
        <f>F2356*E2356</f>
        <v>24284.337</v>
      </c>
    </row>
    <row r="2357" spans="1:9" ht="15.75" customHeight="1" outlineLevel="2">
      <c r="A2357" s="613"/>
      <c r="B2357" s="612"/>
      <c r="C2357" s="613" t="s">
        <v>1154</v>
      </c>
      <c r="D2357" s="612" t="s">
        <v>4288</v>
      </c>
      <c r="E2357" s="613">
        <v>2.44</v>
      </c>
      <c r="F2357" s="611">
        <f>F2348</f>
        <v>78976.347999999998</v>
      </c>
      <c r="G2357" s="611">
        <f>F2357*E2357</f>
        <v>192702.28912</v>
      </c>
    </row>
    <row r="2358" spans="1:9" ht="15.75" customHeight="1" outlineLevel="2">
      <c r="A2358" s="613"/>
      <c r="B2358" s="612"/>
      <c r="C2358" s="613" t="s">
        <v>1153</v>
      </c>
      <c r="D2358" s="612" t="s">
        <v>4288</v>
      </c>
      <c r="E2358" s="613">
        <v>1.4</v>
      </c>
      <c r="F2358" s="611">
        <f>ahs_half_brick_1.4</f>
        <v>138248.88000000003</v>
      </c>
      <c r="G2358" s="611">
        <f>E2358*F2358</f>
        <v>193548.43200000003</v>
      </c>
      <c r="I2358" s="633" t="s">
        <v>1152</v>
      </c>
    </row>
    <row r="2359" spans="1:9" ht="15.75" customHeight="1" outlineLevel="2">
      <c r="A2359" s="613"/>
      <c r="B2359" s="612"/>
      <c r="C2359" s="613"/>
      <c r="D2359" s="612"/>
      <c r="E2359" s="613"/>
      <c r="F2359" s="611"/>
      <c r="G2359" s="611">
        <f>SUM(G2354:G2358)</f>
        <v>483946.59962000005</v>
      </c>
    </row>
    <row r="2360" spans="1:9" ht="15.75" customHeight="1" outlineLevel="2">
      <c r="A2360" s="613"/>
      <c r="B2360" s="612"/>
      <c r="C2360" s="613"/>
      <c r="D2360" s="612"/>
      <c r="E2360" s="613"/>
      <c r="F2360" s="611"/>
      <c r="G2360" s="611"/>
    </row>
    <row r="2361" spans="1:9" ht="15.75" customHeight="1" outlineLevel="1">
      <c r="A2361" s="613" t="s">
        <v>2074</v>
      </c>
      <c r="B2361" s="612">
        <f>B2352+1</f>
        <v>15</v>
      </c>
      <c r="C2361" s="613" t="s">
        <v>1993</v>
      </c>
      <c r="D2361" s="612" t="s">
        <v>194</v>
      </c>
      <c r="E2361" s="613"/>
      <c r="F2361" s="611"/>
      <c r="G2361" s="604">
        <f>G2369</f>
        <v>447606.005</v>
      </c>
    </row>
    <row r="2362" spans="1:9" ht="15.75" hidden="1" customHeight="1" outlineLevel="2">
      <c r="A2362" s="613"/>
      <c r="B2362" s="612"/>
      <c r="C2362" s="613"/>
      <c r="D2362" s="612"/>
      <c r="E2362" s="613"/>
      <c r="F2362" s="611"/>
      <c r="G2362" s="611"/>
    </row>
    <row r="2363" spans="1:9" ht="15.75" hidden="1" customHeight="1" outlineLevel="2">
      <c r="A2363" s="613"/>
      <c r="B2363" s="612"/>
      <c r="C2363" s="613" t="s">
        <v>1151</v>
      </c>
      <c r="D2363" s="612" t="s">
        <v>4288</v>
      </c>
      <c r="E2363" s="613">
        <v>0.7</v>
      </c>
      <c r="F2363" s="611">
        <f>F2345</f>
        <v>83833.750000000015</v>
      </c>
      <c r="G2363" s="611">
        <f>F2363*E2363</f>
        <v>58683.625000000007</v>
      </c>
    </row>
    <row r="2364" spans="1:9" ht="15.75" hidden="1" customHeight="1" outlineLevel="2">
      <c r="A2364" s="613"/>
      <c r="B2364" s="612"/>
      <c r="C2364" s="613" t="s">
        <v>1150</v>
      </c>
      <c r="D2364" s="612" t="s">
        <v>4288</v>
      </c>
      <c r="E2364" s="613">
        <v>0.2</v>
      </c>
      <c r="F2364" s="611">
        <f>F2346</f>
        <v>62462.950000000012</v>
      </c>
      <c r="G2364" s="611">
        <f>F2364*E2364</f>
        <v>12492.590000000004</v>
      </c>
    </row>
    <row r="2365" spans="1:9" ht="15.75" hidden="1" customHeight="1" outlineLevel="2">
      <c r="A2365" s="613"/>
      <c r="B2365" s="612"/>
      <c r="C2365" s="613" t="s">
        <v>1149</v>
      </c>
      <c r="D2365" s="612" t="s">
        <v>4288</v>
      </c>
      <c r="E2365" s="613">
        <v>0.2</v>
      </c>
      <c r="F2365" s="611">
        <f>F2347</f>
        <v>404738.95</v>
      </c>
      <c r="G2365" s="611">
        <f>F2365*E2365</f>
        <v>80947.790000000008</v>
      </c>
    </row>
    <row r="2366" spans="1:9" ht="15.75" hidden="1" customHeight="1" outlineLevel="2">
      <c r="A2366" s="613"/>
      <c r="B2366" s="612"/>
      <c r="C2366" s="613" t="s">
        <v>1148</v>
      </c>
      <c r="D2366" s="612" t="s">
        <v>194</v>
      </c>
      <c r="E2366" s="613">
        <v>1</v>
      </c>
      <c r="F2366" s="611">
        <f>pipe_concrete_30cm</f>
        <v>69630</v>
      </c>
      <c r="G2366" s="611">
        <f>F2366*E2366</f>
        <v>69630</v>
      </c>
    </row>
    <row r="2367" spans="1:9" ht="15.75" hidden="1" customHeight="1" outlineLevel="2">
      <c r="A2367" s="613"/>
      <c r="B2367" s="612"/>
      <c r="C2367" s="613" t="s">
        <v>1147</v>
      </c>
      <c r="D2367" s="612" t="s">
        <v>1</v>
      </c>
      <c r="E2367" s="613">
        <v>5</v>
      </c>
      <c r="F2367" s="611">
        <f>palm_fibre</f>
        <v>24640.000000000004</v>
      </c>
      <c r="G2367" s="611">
        <f>F2367*E2367</f>
        <v>123200.00000000001</v>
      </c>
    </row>
    <row r="2368" spans="1:9" ht="15.75" hidden="1" customHeight="1" outlineLevel="2">
      <c r="A2368" s="613"/>
      <c r="B2368" s="612"/>
      <c r="C2368" s="613" t="s">
        <v>123</v>
      </c>
      <c r="D2368" s="612" t="s">
        <v>4288</v>
      </c>
      <c r="E2368" s="613">
        <v>0.4</v>
      </c>
      <c r="F2368" s="611">
        <f>gravel</f>
        <v>256630.00000000003</v>
      </c>
      <c r="G2368" s="611">
        <f>E2368*F2368</f>
        <v>102652.00000000001</v>
      </c>
    </row>
    <row r="2369" spans="1:9" ht="15.75" hidden="1" customHeight="1" outlineLevel="2">
      <c r="A2369" s="613"/>
      <c r="B2369" s="612"/>
      <c r="C2369" s="613"/>
      <c r="D2369" s="612"/>
      <c r="E2369" s="613"/>
      <c r="F2369" s="611"/>
      <c r="G2369" s="611">
        <f>SUM(G2363:G2368)</f>
        <v>447606.005</v>
      </c>
    </row>
    <row r="2370" spans="1:9" ht="15.75" hidden="1" customHeight="1" outlineLevel="2">
      <c r="A2370" s="613"/>
      <c r="B2370" s="612"/>
      <c r="C2370" s="613"/>
      <c r="D2370" s="612"/>
      <c r="E2370" s="613"/>
      <c r="F2370" s="611"/>
      <c r="G2370" s="611"/>
    </row>
    <row r="2371" spans="1:9" ht="15.75" customHeight="1" outlineLevel="1" collapsed="1">
      <c r="A2371" s="613" t="s">
        <v>2074</v>
      </c>
      <c r="B2371" s="612">
        <f>B2361+1</f>
        <v>16</v>
      </c>
      <c r="C2371" s="613" t="s">
        <v>1994</v>
      </c>
      <c r="D2371" s="612" t="s">
        <v>673</v>
      </c>
      <c r="E2371" s="613"/>
      <c r="F2371" s="611"/>
      <c r="G2371" s="604">
        <f>G2386</f>
        <v>892999.17987499991</v>
      </c>
    </row>
    <row r="2372" spans="1:9" ht="15.75" hidden="1" customHeight="1" outlineLevel="2">
      <c r="A2372" s="613"/>
      <c r="B2372" s="612"/>
      <c r="C2372" s="613"/>
      <c r="D2372" s="612"/>
      <c r="E2372" s="613"/>
      <c r="F2372" s="611"/>
      <c r="G2372" s="611"/>
    </row>
    <row r="2373" spans="1:9" ht="15.6" hidden="1" customHeight="1" outlineLevel="2">
      <c r="A2373" s="613"/>
      <c r="B2373" s="612"/>
      <c r="C2373" s="613" t="s">
        <v>20</v>
      </c>
      <c r="D2373" s="612"/>
      <c r="E2373" s="613"/>
      <c r="F2373" s="611"/>
      <c r="G2373" s="611"/>
    </row>
    <row r="2374" spans="1:9" ht="15.75" hidden="1" customHeight="1" outlineLevel="2">
      <c r="A2374" s="613"/>
      <c r="B2374" s="612"/>
      <c r="C2374" s="613" t="s">
        <v>384</v>
      </c>
      <c r="D2374" s="612" t="s">
        <v>204</v>
      </c>
      <c r="E2374" s="613">
        <v>123</v>
      </c>
      <c r="F2374" s="611">
        <f>red_brick</f>
        <v>990.00000000000011</v>
      </c>
      <c r="G2374" s="611">
        <f t="shared" ref="G2374:G2379" si="22">F2374*E2374</f>
        <v>121770.00000000001</v>
      </c>
    </row>
    <row r="2375" spans="1:9" ht="15.75" hidden="1" customHeight="1" outlineLevel="2">
      <c r="A2375" s="613"/>
      <c r="B2375" s="612"/>
      <c r="C2375" s="613" t="s">
        <v>143</v>
      </c>
      <c r="D2375" s="612" t="s">
        <v>1</v>
      </c>
      <c r="E2375" s="613">
        <v>114</v>
      </c>
      <c r="F2375" s="611">
        <f>PC</f>
        <v>1348.6000000000001</v>
      </c>
      <c r="G2375" s="611">
        <f t="shared" si="22"/>
        <v>153740.40000000002</v>
      </c>
      <c r="I2375" s="633" t="s">
        <v>385</v>
      </c>
    </row>
    <row r="2376" spans="1:9" ht="15.75" hidden="1" customHeight="1" outlineLevel="2">
      <c r="A2376" s="613"/>
      <c r="B2376" s="612"/>
      <c r="C2376" s="613" t="s">
        <v>144</v>
      </c>
      <c r="D2376" s="612" t="s">
        <v>4288</v>
      </c>
      <c r="E2376" s="613">
        <v>0.184</v>
      </c>
      <c r="F2376" s="611">
        <f>sand_pasang</f>
        <v>170610</v>
      </c>
      <c r="G2376" s="611">
        <f t="shared" si="22"/>
        <v>31392.239999999998</v>
      </c>
    </row>
    <row r="2377" spans="1:9" ht="15.75" hidden="1" customHeight="1" outlineLevel="2">
      <c r="A2377" s="613"/>
      <c r="B2377" s="612"/>
      <c r="C2377" s="613" t="s">
        <v>386</v>
      </c>
      <c r="D2377" s="612" t="s">
        <v>4288</v>
      </c>
      <c r="E2377" s="613">
        <v>0.12</v>
      </c>
      <c r="F2377" s="611">
        <f>sand_beton</f>
        <v>117700.00000000001</v>
      </c>
      <c r="G2377" s="611">
        <f t="shared" si="22"/>
        <v>14124.000000000002</v>
      </c>
    </row>
    <row r="2378" spans="1:9" ht="15.75" hidden="1" customHeight="1" outlineLevel="2">
      <c r="A2378" s="613"/>
      <c r="B2378" s="612"/>
      <c r="C2378" s="613" t="s">
        <v>153</v>
      </c>
      <c r="D2378" s="612" t="s">
        <v>4288</v>
      </c>
      <c r="E2378" s="613">
        <v>3.3000000000000002E-2</v>
      </c>
      <c r="F2378" s="611">
        <f>split_2.3</f>
        <v>281380</v>
      </c>
      <c r="G2378" s="611">
        <f t="shared" si="22"/>
        <v>9285.5400000000009</v>
      </c>
    </row>
    <row r="2379" spans="1:9" ht="15.75" hidden="1" customHeight="1" outlineLevel="2">
      <c r="A2379" s="613"/>
      <c r="B2379" s="612"/>
      <c r="C2379" s="613" t="s">
        <v>387</v>
      </c>
      <c r="D2379" s="612" t="s">
        <v>1</v>
      </c>
      <c r="E2379" s="613">
        <v>4.8499999999999996</v>
      </c>
      <c r="F2379" s="611">
        <f>ahs_besi_polos_kg</f>
        <v>18666.917500000003</v>
      </c>
      <c r="G2379" s="611">
        <f t="shared" si="22"/>
        <v>90534.549875000012</v>
      </c>
    </row>
    <row r="2380" spans="1:9" ht="15.75" hidden="1" customHeight="1" outlineLevel="2">
      <c r="A2380" s="613"/>
      <c r="B2380" s="612"/>
      <c r="C2380" s="613"/>
      <c r="D2380" s="612"/>
      <c r="E2380" s="613"/>
      <c r="F2380" s="611"/>
      <c r="G2380" s="611"/>
    </row>
    <row r="2381" spans="1:9" ht="15.75" hidden="1" customHeight="1" outlineLevel="2">
      <c r="A2381" s="613"/>
      <c r="B2381" s="612"/>
      <c r="C2381" s="613" t="s">
        <v>31</v>
      </c>
      <c r="D2381" s="612"/>
      <c r="E2381" s="613"/>
      <c r="F2381" s="611"/>
      <c r="G2381" s="611"/>
    </row>
    <row r="2382" spans="1:9" ht="15.75" hidden="1" customHeight="1" outlineLevel="2">
      <c r="A2382" s="613"/>
      <c r="B2382" s="612"/>
      <c r="C2382" s="613" t="s">
        <v>145</v>
      </c>
      <c r="D2382" s="612" t="s">
        <v>33</v>
      </c>
      <c r="E2382" s="613">
        <v>1.1499999999999999</v>
      </c>
      <c r="F2382" s="611">
        <f>brick_layer</f>
        <v>107800.00000000001</v>
      </c>
      <c r="G2382" s="611">
        <f>F2382*E2382</f>
        <v>123970</v>
      </c>
    </row>
    <row r="2383" spans="1:9" ht="15.75" hidden="1" customHeight="1" outlineLevel="2">
      <c r="A2383" s="613"/>
      <c r="B2383" s="612"/>
      <c r="C2383" s="613" t="s">
        <v>32</v>
      </c>
      <c r="D2383" s="612" t="s">
        <v>33</v>
      </c>
      <c r="E2383" s="613">
        <v>3.2</v>
      </c>
      <c r="F2383" s="611">
        <f>worker</f>
        <v>107800.00000000001</v>
      </c>
      <c r="G2383" s="611">
        <f>F2383*E2383</f>
        <v>344960.00000000006</v>
      </c>
    </row>
    <row r="2384" spans="1:9" ht="15.75" hidden="1" customHeight="1" outlineLevel="2">
      <c r="A2384" s="613"/>
      <c r="B2384" s="612"/>
      <c r="C2384" s="613" t="s">
        <v>36</v>
      </c>
      <c r="D2384" s="612" t="s">
        <v>33</v>
      </c>
      <c r="E2384" s="613">
        <v>1.6E-2</v>
      </c>
      <c r="F2384" s="611">
        <f>supervisor</f>
        <v>119350.00000000001</v>
      </c>
      <c r="G2384" s="611">
        <f>F2384*E2384</f>
        <v>1909.6000000000004</v>
      </c>
    </row>
    <row r="2385" spans="1:9" ht="15.75" hidden="1" customHeight="1" outlineLevel="2">
      <c r="A2385" s="613"/>
      <c r="B2385" s="612"/>
      <c r="C2385" s="613" t="s">
        <v>159</v>
      </c>
      <c r="D2385" s="612" t="s">
        <v>33</v>
      </c>
      <c r="E2385" s="613">
        <v>1.0999999999999999E-2</v>
      </c>
      <c r="F2385" s="611">
        <f>brick_layer_chief</f>
        <v>119350.00000000001</v>
      </c>
      <c r="G2385" s="611">
        <f>F2385*E2385</f>
        <v>1312.8500000000001</v>
      </c>
    </row>
    <row r="2386" spans="1:9" ht="15.75" hidden="1" customHeight="1" outlineLevel="2">
      <c r="A2386" s="613"/>
      <c r="B2386" s="612"/>
      <c r="C2386" s="613"/>
      <c r="D2386" s="612"/>
      <c r="E2386" s="613"/>
      <c r="F2386" s="611"/>
      <c r="G2386" s="611">
        <f>SUM(G2374:G2385)</f>
        <v>892999.17987499991</v>
      </c>
    </row>
    <row r="2387" spans="1:9" ht="15.75" customHeight="1" outlineLevel="1" collapsed="1" thickBot="1">
      <c r="A2387" s="608" t="s">
        <v>2074</v>
      </c>
      <c r="B2387" s="607"/>
      <c r="C2387" s="608"/>
      <c r="D2387" s="607"/>
      <c r="E2387" s="608"/>
      <c r="F2387" s="606"/>
      <c r="G2387" s="606"/>
      <c r="I2387" s="633" t="s">
        <v>388</v>
      </c>
    </row>
    <row r="2388" spans="1:9" ht="15.75" customHeight="1" thickBot="1">
      <c r="A2388" s="1213" t="s">
        <v>1422</v>
      </c>
      <c r="B2388" s="1214"/>
      <c r="C2388" s="1214"/>
      <c r="D2388" s="1214"/>
      <c r="E2388" s="1214"/>
      <c r="F2388" s="1214"/>
      <c r="G2388" s="1215"/>
    </row>
    <row r="2389" spans="1:9" ht="15.75" customHeight="1" outlineLevel="1">
      <c r="A2389" s="616" t="s">
        <v>2074</v>
      </c>
      <c r="B2389" s="615">
        <v>1</v>
      </c>
      <c r="C2389" s="616" t="s">
        <v>2006</v>
      </c>
      <c r="D2389" s="615" t="s">
        <v>40</v>
      </c>
      <c r="E2389" s="616"/>
      <c r="F2389" s="614"/>
      <c r="G2389" s="614">
        <f>G2399</f>
        <v>2361489.9</v>
      </c>
    </row>
    <row r="2390" spans="1:9" ht="15.75" hidden="1" customHeight="1" outlineLevel="2">
      <c r="A2390" s="613"/>
      <c r="B2390" s="612"/>
      <c r="C2390" s="613" t="s">
        <v>237</v>
      </c>
      <c r="D2390" s="612"/>
      <c r="E2390" s="613"/>
      <c r="F2390" s="611"/>
      <c r="G2390" s="611"/>
    </row>
    <row r="2391" spans="1:9" ht="15.75" hidden="1" customHeight="1" outlineLevel="2">
      <c r="A2391" s="613"/>
      <c r="B2391" s="612"/>
      <c r="C2391" s="613" t="s">
        <v>389</v>
      </c>
      <c r="D2391" s="612" t="s">
        <v>4288</v>
      </c>
      <c r="E2391" s="613">
        <v>4.2</v>
      </c>
      <c r="F2391" s="611">
        <f>crushed_stone</f>
        <v>178640</v>
      </c>
      <c r="G2391" s="611">
        <f>F2391*E2391</f>
        <v>750288</v>
      </c>
    </row>
    <row r="2392" spans="1:9" ht="15.75" hidden="1" customHeight="1" outlineLevel="2">
      <c r="A2392" s="613"/>
      <c r="B2392" s="612"/>
      <c r="C2392" s="613" t="s">
        <v>390</v>
      </c>
      <c r="D2392" s="612" t="s">
        <v>52</v>
      </c>
      <c r="E2392" s="613">
        <v>31.358000000000001</v>
      </c>
      <c r="F2392" s="611">
        <f>galvanis_wiremesh_4mm</f>
        <v>19250</v>
      </c>
      <c r="G2392" s="611">
        <f>F2392*E2392</f>
        <v>603641.5</v>
      </c>
    </row>
    <row r="2393" spans="1:9" ht="15.75" hidden="1" customHeight="1" outlineLevel="2">
      <c r="A2393" s="613"/>
      <c r="B2393" s="612"/>
      <c r="C2393" s="613"/>
      <c r="D2393" s="612"/>
      <c r="E2393" s="613"/>
      <c r="F2393" s="611"/>
      <c r="G2393" s="611"/>
    </row>
    <row r="2394" spans="1:9" ht="15.75" hidden="1" customHeight="1" outlineLevel="2">
      <c r="A2394" s="613"/>
      <c r="B2394" s="612"/>
      <c r="C2394" s="613" t="s">
        <v>78</v>
      </c>
      <c r="D2394" s="612"/>
      <c r="E2394" s="613"/>
      <c r="F2394" s="611"/>
      <c r="G2394" s="611"/>
    </row>
    <row r="2395" spans="1:9" ht="15.75" hidden="1" customHeight="1" outlineLevel="2">
      <c r="A2395" s="613"/>
      <c r="B2395" s="612"/>
      <c r="C2395" s="613" t="s">
        <v>391</v>
      </c>
      <c r="D2395" s="612" t="s">
        <v>33</v>
      </c>
      <c r="E2395" s="613">
        <v>2.1</v>
      </c>
      <c r="F2395" s="611">
        <f>worker</f>
        <v>107800.00000000001</v>
      </c>
      <c r="G2395" s="611">
        <f>F2395*E2395</f>
        <v>226380.00000000003</v>
      </c>
    </row>
    <row r="2396" spans="1:9" ht="15.75" hidden="1" customHeight="1" outlineLevel="2">
      <c r="A2396" s="613"/>
      <c r="B2396" s="612"/>
      <c r="C2396" s="613" t="s">
        <v>392</v>
      </c>
      <c r="D2396" s="612" t="s">
        <v>33</v>
      </c>
      <c r="E2396" s="613">
        <v>4.74</v>
      </c>
      <c r="F2396" s="611">
        <f>worker</f>
        <v>107800.00000000001</v>
      </c>
      <c r="G2396" s="611">
        <f>F2396*E2396</f>
        <v>510972.00000000012</v>
      </c>
    </row>
    <row r="2397" spans="1:9" ht="15.75" hidden="1" customHeight="1" outlineLevel="2">
      <c r="A2397" s="613"/>
      <c r="B2397" s="612"/>
      <c r="C2397" s="613" t="s">
        <v>393</v>
      </c>
      <c r="D2397" s="612" t="s">
        <v>33</v>
      </c>
      <c r="E2397" s="613">
        <v>0.68400000000000005</v>
      </c>
      <c r="F2397" s="611">
        <f>supervisor</f>
        <v>119350.00000000001</v>
      </c>
      <c r="G2397" s="611">
        <f>E2397*F2397</f>
        <v>81635.400000000023</v>
      </c>
    </row>
    <row r="2398" spans="1:9" ht="15.75" hidden="1" customHeight="1" outlineLevel="2">
      <c r="A2398" s="613"/>
      <c r="B2398" s="612"/>
      <c r="C2398" s="613" t="s">
        <v>394</v>
      </c>
      <c r="D2398" s="612" t="s">
        <v>33</v>
      </c>
      <c r="E2398" s="613">
        <v>1.58</v>
      </c>
      <c r="F2398" s="611">
        <f>steel_worker</f>
        <v>119350.00000000001</v>
      </c>
      <c r="G2398" s="611">
        <f>E2398*F2398</f>
        <v>188573.00000000003</v>
      </c>
    </row>
    <row r="2399" spans="1:9" ht="15.75" hidden="1" customHeight="1" outlineLevel="2">
      <c r="A2399" s="613"/>
      <c r="B2399" s="612"/>
      <c r="C2399" s="613"/>
      <c r="D2399" s="612"/>
      <c r="E2399" s="613"/>
      <c r="F2399" s="611"/>
      <c r="G2399" s="611">
        <f>SUM(G2391:G2398)</f>
        <v>2361489.9</v>
      </c>
    </row>
    <row r="2400" spans="1:9" ht="15.75" hidden="1" customHeight="1" outlineLevel="2">
      <c r="A2400" s="613"/>
      <c r="B2400" s="612"/>
      <c r="C2400" s="613"/>
      <c r="D2400" s="612"/>
      <c r="E2400" s="613"/>
      <c r="F2400" s="611"/>
      <c r="G2400" s="611"/>
    </row>
    <row r="2401" spans="1:9" ht="15.75" customHeight="1" outlineLevel="1" collapsed="1">
      <c r="A2401" s="613" t="s">
        <v>2074</v>
      </c>
      <c r="B2401" s="612">
        <f>B2389+1</f>
        <v>2</v>
      </c>
      <c r="C2401" s="613" t="s">
        <v>2008</v>
      </c>
      <c r="D2401" s="612" t="s">
        <v>194</v>
      </c>
      <c r="E2401" s="613"/>
      <c r="F2401" s="611"/>
      <c r="G2401" s="611">
        <f>G2415</f>
        <v>2033480.8324619047</v>
      </c>
    </row>
    <row r="2402" spans="1:9" ht="15.75" hidden="1" customHeight="1" outlineLevel="2">
      <c r="A2402" s="613"/>
      <c r="B2402" s="612"/>
      <c r="C2402" s="613" t="s">
        <v>93</v>
      </c>
      <c r="D2402" s="612"/>
      <c r="E2402" s="613"/>
      <c r="F2402" s="611"/>
      <c r="G2402" s="611"/>
    </row>
    <row r="2403" spans="1:9" ht="15.75" hidden="1" customHeight="1" outlineLevel="2">
      <c r="A2403" s="613"/>
      <c r="B2403" s="612"/>
      <c r="C2403" s="613" t="s">
        <v>396</v>
      </c>
      <c r="D2403" s="612" t="s">
        <v>3</v>
      </c>
      <c r="E2403" s="613">
        <v>1</v>
      </c>
      <c r="F2403" s="611">
        <f>fence_BRC_1.9m_L2.4m/2</f>
        <v>877800</v>
      </c>
      <c r="G2403" s="611">
        <f>F2403*E2403</f>
        <v>877800</v>
      </c>
      <c r="I2403" s="633" t="s">
        <v>124</v>
      </c>
    </row>
    <row r="2404" spans="1:9" ht="15.75" hidden="1" customHeight="1" outlineLevel="2">
      <c r="A2404" s="613"/>
      <c r="B2404" s="612"/>
      <c r="C2404" s="613" t="s">
        <v>397</v>
      </c>
      <c r="D2404" s="612" t="s">
        <v>3</v>
      </c>
      <c r="E2404" s="613">
        <v>1.33</v>
      </c>
      <c r="F2404" s="611">
        <f>tiang_BRC_1.9/1.9</f>
        <v>156315.78947368421</v>
      </c>
      <c r="G2404" s="611">
        <f>F2404*E2404</f>
        <v>207900.00000000003</v>
      </c>
    </row>
    <row r="2405" spans="1:9" ht="15.75" hidden="1" customHeight="1" outlineLevel="2">
      <c r="A2405" s="613"/>
      <c r="B2405" s="612"/>
      <c r="C2405" s="613" t="s">
        <v>398</v>
      </c>
      <c r="D2405" s="612" t="s">
        <v>1</v>
      </c>
      <c r="E2405" s="613">
        <f>(57.21/30)*4</f>
        <v>7.6280000000000001</v>
      </c>
      <c r="F2405" s="611">
        <f>barbed_wire</f>
        <v>20438</v>
      </c>
      <c r="G2405" s="611">
        <f>F2405*E2405</f>
        <v>155901.06400000001</v>
      </c>
    </row>
    <row r="2406" spans="1:9" ht="15.75" hidden="1" customHeight="1" outlineLevel="2">
      <c r="A2406" s="613"/>
      <c r="B2406" s="612"/>
      <c r="C2406" s="613" t="s">
        <v>4298</v>
      </c>
      <c r="D2406" s="612" t="s">
        <v>40</v>
      </c>
      <c r="E2406" s="613">
        <v>0.08</v>
      </c>
      <c r="F2406" s="611">
        <f>K_175+100*ahs_besi_polos_kg+ahs_formwork_multiplex12.18mm</f>
        <v>3150846.8723809524</v>
      </c>
      <c r="G2406" s="611">
        <f>F2406*E2406</f>
        <v>252067.7497904762</v>
      </c>
    </row>
    <row r="2407" spans="1:9" ht="15.75" hidden="1" customHeight="1" outlineLevel="2">
      <c r="A2407" s="613"/>
      <c r="B2407" s="612"/>
      <c r="C2407" s="613" t="s">
        <v>4299</v>
      </c>
      <c r="D2407" s="612"/>
      <c r="E2407" s="613"/>
      <c r="F2407" s="611"/>
      <c r="G2407" s="611"/>
    </row>
    <row r="2408" spans="1:9" ht="15.75" hidden="1" customHeight="1" outlineLevel="2">
      <c r="A2408" s="613"/>
      <c r="B2408" s="612"/>
      <c r="C2408" s="613" t="s">
        <v>399</v>
      </c>
      <c r="D2408" s="612" t="s">
        <v>40</v>
      </c>
      <c r="E2408" s="613">
        <v>0.03</v>
      </c>
      <c r="F2408" s="611">
        <f>K_175+100*ahs_besi_polos_kg+ahs_formwork_multiplex12.18mm</f>
        <v>3150846.8723809524</v>
      </c>
      <c r="G2408" s="611">
        <f>F2408*E2408</f>
        <v>94525.406171428564</v>
      </c>
    </row>
    <row r="2409" spans="1:9" ht="15.75" hidden="1" customHeight="1" outlineLevel="2">
      <c r="A2409" s="613"/>
      <c r="B2409" s="612"/>
      <c r="C2409" s="613" t="s">
        <v>4299</v>
      </c>
      <c r="D2409" s="612"/>
      <c r="E2409" s="613"/>
      <c r="F2409" s="611"/>
      <c r="G2409" s="611"/>
    </row>
    <row r="2410" spans="1:9" ht="15.75" hidden="1" customHeight="1" outlineLevel="2">
      <c r="A2410" s="613"/>
      <c r="B2410" s="612"/>
      <c r="C2410" s="613"/>
      <c r="D2410" s="612"/>
      <c r="E2410" s="613"/>
      <c r="F2410" s="611"/>
      <c r="G2410" s="611"/>
    </row>
    <row r="2411" spans="1:9" ht="15.75" hidden="1" customHeight="1" outlineLevel="2">
      <c r="A2411" s="613"/>
      <c r="B2411" s="612"/>
      <c r="C2411" s="613" t="s">
        <v>78</v>
      </c>
      <c r="D2411" s="612"/>
      <c r="E2411" s="613"/>
      <c r="F2411" s="611"/>
      <c r="G2411" s="611"/>
    </row>
    <row r="2412" spans="1:9" ht="15.75" hidden="1" customHeight="1" outlineLevel="2">
      <c r="A2412" s="613"/>
      <c r="B2412" s="612"/>
      <c r="C2412" s="613" t="s">
        <v>400</v>
      </c>
      <c r="D2412" s="612" t="s">
        <v>40</v>
      </c>
      <c r="E2412" s="613">
        <v>2.25</v>
      </c>
      <c r="F2412" s="611">
        <f>ahs_excavation_manual_2m</f>
        <v>102390.75000000001</v>
      </c>
      <c r="G2412" s="611">
        <f>F2412*E2412</f>
        <v>230379.18750000003</v>
      </c>
    </row>
    <row r="2413" spans="1:9" ht="15.75" hidden="1" customHeight="1" outlineLevel="2">
      <c r="A2413" s="613"/>
      <c r="B2413" s="612"/>
      <c r="C2413" s="613" t="s">
        <v>401</v>
      </c>
      <c r="D2413" s="612" t="s">
        <v>40</v>
      </c>
      <c r="E2413" s="613">
        <v>1.5</v>
      </c>
      <c r="F2413" s="611">
        <f>ahs_back_filling</f>
        <v>62462.950000000012</v>
      </c>
      <c r="G2413" s="611">
        <f>F2413*E2413</f>
        <v>93694.425000000017</v>
      </c>
    </row>
    <row r="2414" spans="1:9" ht="15.75" hidden="1" customHeight="1" outlineLevel="2">
      <c r="A2414" s="613"/>
      <c r="B2414" s="612"/>
      <c r="C2414" s="613" t="s">
        <v>402</v>
      </c>
      <c r="D2414" s="612" t="s">
        <v>210</v>
      </c>
      <c r="E2414" s="613">
        <v>1</v>
      </c>
      <c r="F2414" s="611">
        <f>'[54]Basic price '!E219</f>
        <v>121213</v>
      </c>
      <c r="G2414" s="611">
        <f>E2414*F2414</f>
        <v>121213</v>
      </c>
    </row>
    <row r="2415" spans="1:9" ht="15.75" hidden="1" customHeight="1" outlineLevel="2">
      <c r="A2415" s="613"/>
      <c r="B2415" s="612"/>
      <c r="C2415" s="613"/>
      <c r="D2415" s="612"/>
      <c r="E2415" s="613"/>
      <c r="F2415" s="611"/>
      <c r="G2415" s="611">
        <f>SUM(G2403:G2414)</f>
        <v>2033480.8324619047</v>
      </c>
    </row>
    <row r="2416" spans="1:9" ht="15.75" customHeight="1" outlineLevel="1" collapsed="1">
      <c r="A2416" s="613" t="s">
        <v>2074</v>
      </c>
      <c r="B2416" s="612">
        <f>B2401+1</f>
        <v>3</v>
      </c>
      <c r="C2416" s="613" t="s">
        <v>2007</v>
      </c>
      <c r="D2416" s="612" t="s">
        <v>194</v>
      </c>
      <c r="E2416" s="613"/>
      <c r="F2416" s="611"/>
      <c r="G2416" s="611">
        <f>G2429</f>
        <v>1573128.4716619046</v>
      </c>
    </row>
    <row r="2417" spans="1:9" ht="15.75" hidden="1" customHeight="1" outlineLevel="2">
      <c r="A2417" s="613"/>
      <c r="B2417" s="612"/>
      <c r="C2417" s="613" t="s">
        <v>93</v>
      </c>
      <c r="D2417" s="612"/>
      <c r="E2417" s="613"/>
      <c r="F2417" s="611"/>
      <c r="G2417" s="611"/>
      <c r="I2417" s="633" t="s">
        <v>124</v>
      </c>
    </row>
    <row r="2418" spans="1:9" ht="15.75" hidden="1" customHeight="1" outlineLevel="2">
      <c r="A2418" s="613"/>
      <c r="B2418" s="612"/>
      <c r="C2418" s="613" t="s">
        <v>403</v>
      </c>
      <c r="D2418" s="612" t="s">
        <v>3</v>
      </c>
      <c r="E2418" s="613">
        <v>1</v>
      </c>
      <c r="F2418" s="611">
        <f>fence_BRC_1.5m_L2.4m/2.4</f>
        <v>577499.99999999988</v>
      </c>
      <c r="G2418" s="611">
        <f>F2418*E2418</f>
        <v>577499.99999999988</v>
      </c>
    </row>
    <row r="2419" spans="1:9" ht="15.75" hidden="1" customHeight="1" outlineLevel="2">
      <c r="A2419" s="613"/>
      <c r="B2419" s="612"/>
      <c r="C2419" s="613" t="s">
        <v>397</v>
      </c>
      <c r="D2419" s="612" t="s">
        <v>3</v>
      </c>
      <c r="E2419" s="613">
        <v>1.17</v>
      </c>
      <c r="F2419" s="611">
        <f>tiang_BRC_1.5/1.5</f>
        <v>179666.66666666666</v>
      </c>
      <c r="G2419" s="611">
        <f>F2419*E2419</f>
        <v>210209.99999999997</v>
      </c>
    </row>
    <row r="2420" spans="1:9" ht="15.75" hidden="1" customHeight="1" outlineLevel="2">
      <c r="A2420" s="613"/>
      <c r="B2420" s="612"/>
      <c r="C2420" s="613" t="s">
        <v>4300</v>
      </c>
      <c r="D2420" s="612" t="s">
        <v>40</v>
      </c>
      <c r="E2420" s="613">
        <v>0.08</v>
      </c>
      <c r="F2420" s="611">
        <f>K_175+100*ahs_besi_polos_kg+G749</f>
        <v>3070080.6623809524</v>
      </c>
      <c r="G2420" s="611">
        <f>F2420*E2420</f>
        <v>245606.45299047619</v>
      </c>
    </row>
    <row r="2421" spans="1:9" ht="15.75" hidden="1" customHeight="1" outlineLevel="2">
      <c r="A2421" s="613"/>
      <c r="B2421" s="612"/>
      <c r="C2421" s="613" t="s">
        <v>4299</v>
      </c>
      <c r="D2421" s="612"/>
      <c r="E2421" s="613"/>
      <c r="F2421" s="611"/>
      <c r="G2421" s="611"/>
    </row>
    <row r="2422" spans="1:9" ht="15.75" hidden="1" customHeight="1" outlineLevel="2">
      <c r="A2422" s="613"/>
      <c r="B2422" s="612"/>
      <c r="C2422" s="613" t="s">
        <v>399</v>
      </c>
      <c r="D2422" s="612" t="s">
        <v>40</v>
      </c>
      <c r="E2422" s="613">
        <v>0.03</v>
      </c>
      <c r="F2422" s="611">
        <f>K_175+100*ahs_besi_polos_kg+ahs_formwork_multiplex12.18mm</f>
        <v>3150846.8723809524</v>
      </c>
      <c r="G2422" s="611">
        <f>F2422*E2422</f>
        <v>94525.406171428564</v>
      </c>
    </row>
    <row r="2423" spans="1:9" ht="15.75" hidden="1" customHeight="1" outlineLevel="2">
      <c r="A2423" s="613"/>
      <c r="B2423" s="612"/>
      <c r="C2423" s="613" t="s">
        <v>4299</v>
      </c>
      <c r="D2423" s="612"/>
      <c r="E2423" s="613"/>
      <c r="F2423" s="611"/>
      <c r="G2423" s="611"/>
    </row>
    <row r="2424" spans="1:9" ht="15.75" hidden="1" customHeight="1" outlineLevel="2">
      <c r="A2424" s="613"/>
      <c r="B2424" s="612"/>
      <c r="C2424" s="613"/>
      <c r="D2424" s="612"/>
      <c r="E2424" s="613"/>
      <c r="F2424" s="611"/>
      <c r="G2424" s="611"/>
    </row>
    <row r="2425" spans="1:9" ht="15.75" hidden="1" customHeight="1" outlineLevel="2">
      <c r="A2425" s="613"/>
      <c r="B2425" s="612"/>
      <c r="C2425" s="613" t="s">
        <v>78</v>
      </c>
      <c r="D2425" s="612"/>
      <c r="E2425" s="613"/>
      <c r="F2425" s="611"/>
      <c r="G2425" s="611"/>
    </row>
    <row r="2426" spans="1:9" ht="15.75" hidden="1" customHeight="1" outlineLevel="2">
      <c r="A2426" s="613"/>
      <c r="B2426" s="612"/>
      <c r="C2426" s="613" t="s">
        <v>400</v>
      </c>
      <c r="D2426" s="612" t="s">
        <v>40</v>
      </c>
      <c r="E2426" s="613">
        <v>2.25</v>
      </c>
      <c r="F2426" s="611">
        <f>F2412</f>
        <v>102390.75000000001</v>
      </c>
      <c r="G2426" s="611">
        <f>F2426*E2426</f>
        <v>230379.18750000003</v>
      </c>
    </row>
    <row r="2427" spans="1:9" ht="15.75" hidden="1" customHeight="1" outlineLevel="2">
      <c r="A2427" s="613"/>
      <c r="B2427" s="612"/>
      <c r="C2427" s="613" t="s">
        <v>401</v>
      </c>
      <c r="D2427" s="612" t="s">
        <v>40</v>
      </c>
      <c r="E2427" s="613">
        <v>1.5</v>
      </c>
      <c r="F2427" s="611">
        <f>F2413</f>
        <v>62462.950000000012</v>
      </c>
      <c r="G2427" s="611">
        <f>F2427*E2427</f>
        <v>93694.425000000017</v>
      </c>
    </row>
    <row r="2428" spans="1:9" ht="15.75" hidden="1" customHeight="1" outlineLevel="2">
      <c r="A2428" s="613"/>
      <c r="B2428" s="612"/>
      <c r="C2428" s="613" t="s">
        <v>402</v>
      </c>
      <c r="D2428" s="612" t="s">
        <v>210</v>
      </c>
      <c r="E2428" s="613">
        <v>1</v>
      </c>
      <c r="F2428" s="611">
        <f>F2414</f>
        <v>121213</v>
      </c>
      <c r="G2428" s="611">
        <f>E2428*F2428</f>
        <v>121213</v>
      </c>
    </row>
    <row r="2429" spans="1:9" ht="15.75" hidden="1" customHeight="1" outlineLevel="2">
      <c r="A2429" s="613"/>
      <c r="B2429" s="612"/>
      <c r="C2429" s="613"/>
      <c r="D2429" s="612"/>
      <c r="E2429" s="613"/>
      <c r="F2429" s="611"/>
      <c r="G2429" s="611">
        <f>SUM(G2418:G2428)</f>
        <v>1573128.4716619046</v>
      </c>
    </row>
    <row r="2430" spans="1:9" ht="15.75" customHeight="1" outlineLevel="1" collapsed="1">
      <c r="A2430" s="613" t="s">
        <v>2074</v>
      </c>
      <c r="B2430" s="612">
        <f>B2416+1</f>
        <v>4</v>
      </c>
      <c r="C2430" s="613" t="s">
        <v>2009</v>
      </c>
      <c r="D2430" s="612" t="s">
        <v>194</v>
      </c>
      <c r="E2430" s="613"/>
      <c r="F2430" s="611"/>
      <c r="G2430" s="611">
        <f>G2444</f>
        <v>808796.71585714282</v>
      </c>
    </row>
    <row r="2431" spans="1:9" ht="15.75" hidden="1" customHeight="1" outlineLevel="2">
      <c r="A2431" s="613"/>
      <c r="B2431" s="612"/>
      <c r="C2431" s="613" t="s">
        <v>93</v>
      </c>
      <c r="D2431" s="612"/>
      <c r="E2431" s="613"/>
      <c r="F2431" s="611"/>
      <c r="G2431" s="611"/>
    </row>
    <row r="2432" spans="1:9" ht="15.75" hidden="1" customHeight="1" outlineLevel="2">
      <c r="A2432" s="613"/>
      <c r="B2432" s="612"/>
      <c r="C2432" s="613" t="s">
        <v>404</v>
      </c>
      <c r="D2432" s="612" t="s">
        <v>3</v>
      </c>
      <c r="E2432" s="613">
        <v>1</v>
      </c>
      <c r="F2432" s="611">
        <f>'[54]Basic price '!E55</f>
        <v>22300</v>
      </c>
      <c r="G2432" s="611">
        <f>F2432*E2432</f>
        <v>22300</v>
      </c>
    </row>
    <row r="2433" spans="1:10" ht="15.75" hidden="1" customHeight="1" outlineLevel="2">
      <c r="A2433" s="613"/>
      <c r="B2433" s="612"/>
      <c r="C2433" s="613" t="s">
        <v>405</v>
      </c>
      <c r="D2433" s="612" t="s">
        <v>1</v>
      </c>
      <c r="E2433" s="613">
        <f>(2.97*9)/2.5</f>
        <v>10.692</v>
      </c>
      <c r="F2433" s="611">
        <f>'[54]Basic price '!E26</f>
        <v>12266</v>
      </c>
      <c r="G2433" s="611">
        <f>F2433*E2433</f>
        <v>131148.07200000001</v>
      </c>
      <c r="I2433" s="633" t="s">
        <v>124</v>
      </c>
    </row>
    <row r="2434" spans="1:10" ht="15.75" hidden="1" customHeight="1" outlineLevel="2">
      <c r="A2434" s="613"/>
      <c r="B2434" s="612"/>
      <c r="C2434" s="613" t="s">
        <v>406</v>
      </c>
      <c r="D2434" s="612" t="s">
        <v>1</v>
      </c>
      <c r="E2434" s="613">
        <f>(0.468*9)/2.5</f>
        <v>1.6848000000000003</v>
      </c>
      <c r="F2434" s="611">
        <f>'[54]Basic price '!E35</f>
        <v>13500</v>
      </c>
      <c r="G2434" s="611">
        <f>F2434*E2434</f>
        <v>22744.800000000003</v>
      </c>
    </row>
    <row r="2435" spans="1:10" ht="15.75" hidden="1" customHeight="1" outlineLevel="2">
      <c r="A2435" s="613"/>
      <c r="B2435" s="612"/>
      <c r="C2435" s="613" t="s">
        <v>4301</v>
      </c>
      <c r="D2435" s="612" t="s">
        <v>40</v>
      </c>
      <c r="E2435" s="613">
        <v>0.12</v>
      </c>
      <c r="F2435" s="611">
        <f>K_175+100*ahs_besi_polos_kg+ahs_formwork_foundation_multiplex</f>
        <v>3047622.6523809526</v>
      </c>
      <c r="G2435" s="611">
        <f>F2435*E2435</f>
        <v>365714.71828571428</v>
      </c>
    </row>
    <row r="2436" spans="1:10" ht="15.75" hidden="1" customHeight="1" outlineLevel="2">
      <c r="A2436" s="613"/>
      <c r="B2436" s="612"/>
      <c r="C2436" s="613" t="s">
        <v>4299</v>
      </c>
      <c r="D2436" s="612"/>
      <c r="E2436" s="613"/>
      <c r="F2436" s="611"/>
      <c r="G2436" s="611"/>
    </row>
    <row r="2437" spans="1:10" ht="15.75" hidden="1" customHeight="1" outlineLevel="2">
      <c r="A2437" s="613"/>
      <c r="B2437" s="612"/>
      <c r="C2437" s="613" t="s">
        <v>399</v>
      </c>
      <c r="D2437" s="612" t="s">
        <v>40</v>
      </c>
      <c r="E2437" s="613">
        <v>0.03</v>
      </c>
      <c r="F2437" s="611">
        <f>K_175+100*ahs_besi_polos_kg+ahs_formwork_foundation_multiplex</f>
        <v>3047622.6523809526</v>
      </c>
      <c r="G2437" s="611">
        <f>F2437*E2437</f>
        <v>91428.679571428569</v>
      </c>
    </row>
    <row r="2438" spans="1:10" ht="15.75" hidden="1" customHeight="1" outlineLevel="2">
      <c r="A2438" s="613"/>
      <c r="B2438" s="612"/>
      <c r="C2438" s="613" t="s">
        <v>4299</v>
      </c>
      <c r="D2438" s="612"/>
      <c r="E2438" s="613"/>
      <c r="F2438" s="611"/>
      <c r="G2438" s="611"/>
      <c r="J2438" s="633">
        <v>0.09</v>
      </c>
    </row>
    <row r="2439" spans="1:10" ht="15.75" hidden="1" customHeight="1" outlineLevel="2">
      <c r="A2439" s="613"/>
      <c r="B2439" s="612"/>
      <c r="C2439" s="613"/>
      <c r="D2439" s="612"/>
      <c r="E2439" s="613"/>
      <c r="F2439" s="611"/>
      <c r="G2439" s="611"/>
    </row>
    <row r="2440" spans="1:10" ht="15.75" hidden="1" customHeight="1" outlineLevel="2">
      <c r="A2440" s="613"/>
      <c r="B2440" s="612"/>
      <c r="C2440" s="613" t="s">
        <v>78</v>
      </c>
      <c r="D2440" s="612"/>
      <c r="E2440" s="613"/>
      <c r="F2440" s="611"/>
      <c r="G2440" s="611"/>
    </row>
    <row r="2441" spans="1:10" ht="15.75" hidden="1" customHeight="1" outlineLevel="2">
      <c r="A2441" s="613"/>
      <c r="B2441" s="612"/>
      <c r="C2441" s="613" t="s">
        <v>400</v>
      </c>
      <c r="D2441" s="612" t="s">
        <v>40</v>
      </c>
      <c r="E2441" s="613">
        <v>0.42</v>
      </c>
      <c r="F2441" s="611">
        <f>F2426</f>
        <v>102390.75000000001</v>
      </c>
      <c r="G2441" s="611">
        <f>F2441*E2441</f>
        <v>43004.115000000005</v>
      </c>
    </row>
    <row r="2442" spans="1:10" ht="15.75" hidden="1" customHeight="1" outlineLevel="2">
      <c r="A2442" s="613"/>
      <c r="B2442" s="612"/>
      <c r="C2442" s="613" t="s">
        <v>401</v>
      </c>
      <c r="D2442" s="612" t="s">
        <v>40</v>
      </c>
      <c r="E2442" s="613">
        <v>0.18</v>
      </c>
      <c r="F2442" s="611">
        <f>F2427</f>
        <v>62462.950000000012</v>
      </c>
      <c r="G2442" s="611">
        <f>F2442*E2442</f>
        <v>11243.331000000002</v>
      </c>
    </row>
    <row r="2443" spans="1:10" ht="15.75" hidden="1" customHeight="1" outlineLevel="2">
      <c r="A2443" s="613"/>
      <c r="B2443" s="612"/>
      <c r="C2443" s="613" t="s">
        <v>402</v>
      </c>
      <c r="D2443" s="612" t="s">
        <v>210</v>
      </c>
      <c r="E2443" s="613">
        <v>1</v>
      </c>
      <c r="F2443" s="611">
        <f>'[54]Basic price '!E219</f>
        <v>121213</v>
      </c>
      <c r="G2443" s="611">
        <f>E2443*F2443</f>
        <v>121213</v>
      </c>
    </row>
    <row r="2444" spans="1:10" ht="15.75" hidden="1" customHeight="1" outlineLevel="2">
      <c r="A2444" s="613"/>
      <c r="B2444" s="612"/>
      <c r="C2444" s="613"/>
      <c r="D2444" s="612"/>
      <c r="E2444" s="613"/>
      <c r="F2444" s="611"/>
      <c r="G2444" s="611">
        <f>SUM(G2432:G2443)</f>
        <v>808796.71585714282</v>
      </c>
    </row>
    <row r="2445" spans="1:10" ht="15.75" hidden="1" customHeight="1" outlineLevel="2">
      <c r="A2445" s="613"/>
      <c r="B2445" s="612"/>
      <c r="C2445" s="613"/>
      <c r="D2445" s="612"/>
      <c r="E2445" s="613"/>
      <c r="F2445" s="611"/>
      <c r="G2445" s="611"/>
    </row>
    <row r="2446" spans="1:10" ht="15.75" customHeight="1" outlineLevel="1" collapsed="1">
      <c r="A2446" s="613" t="s">
        <v>2074</v>
      </c>
      <c r="B2446" s="612">
        <f>B2430+1</f>
        <v>5</v>
      </c>
      <c r="C2446" s="613" t="s">
        <v>407</v>
      </c>
      <c r="D2446" s="612" t="s">
        <v>673</v>
      </c>
      <c r="E2446" s="613"/>
      <c r="F2446" s="611"/>
      <c r="G2446" s="611">
        <f>G2460</f>
        <v>7465171.927695238</v>
      </c>
    </row>
    <row r="2447" spans="1:10" ht="15.75" hidden="1" customHeight="1" outlineLevel="2">
      <c r="A2447" s="613"/>
      <c r="B2447" s="612"/>
      <c r="C2447" s="613" t="s">
        <v>93</v>
      </c>
      <c r="D2447" s="612"/>
      <c r="E2447" s="613"/>
      <c r="F2447" s="611"/>
      <c r="G2447" s="611"/>
    </row>
    <row r="2448" spans="1:10" ht="15.75" hidden="1" customHeight="1" outlineLevel="2">
      <c r="A2448" s="613"/>
      <c r="B2448" s="612"/>
      <c r="C2448" s="613" t="s">
        <v>403</v>
      </c>
      <c r="D2448" s="612" t="s">
        <v>3</v>
      </c>
      <c r="E2448" s="613">
        <v>6.3</v>
      </c>
      <c r="F2448" s="611">
        <f>fence_BRC_1.5m_L2.4m/2.4</f>
        <v>577499.99999999988</v>
      </c>
      <c r="G2448" s="611">
        <f>F2448*E2448</f>
        <v>3638249.9999999991</v>
      </c>
    </row>
    <row r="2449" spans="1:9" ht="15.75" hidden="1" customHeight="1" outlineLevel="2">
      <c r="A2449" s="613"/>
      <c r="B2449" s="612"/>
      <c r="C2449" s="613" t="s">
        <v>408</v>
      </c>
      <c r="D2449" s="612" t="s">
        <v>3</v>
      </c>
      <c r="E2449" s="613">
        <v>3.2</v>
      </c>
      <c r="F2449" s="611">
        <f>steel_pipe_3in_6m/6</f>
        <v>186083.33333333334</v>
      </c>
      <c r="G2449" s="611">
        <f>F2449*E2449</f>
        <v>595466.66666666674</v>
      </c>
      <c r="I2449" s="633" t="s">
        <v>124</v>
      </c>
    </row>
    <row r="2450" spans="1:9" ht="15.75" hidden="1" customHeight="1" outlineLevel="2">
      <c r="A2450" s="613"/>
      <c r="B2450" s="612"/>
      <c r="C2450" s="613" t="s">
        <v>409</v>
      </c>
      <c r="D2450" s="612" t="s">
        <v>3</v>
      </c>
      <c r="E2450" s="613">
        <v>20.34</v>
      </c>
      <c r="F2450" s="611">
        <f>steel_pipe_2in_6m/6</f>
        <v>112750</v>
      </c>
      <c r="G2450" s="611">
        <f>F2450*E2450</f>
        <v>2293335</v>
      </c>
    </row>
    <row r="2451" spans="1:9" ht="15.75" hidden="1" customHeight="1" outlineLevel="2">
      <c r="A2451" s="613"/>
      <c r="B2451" s="612"/>
      <c r="C2451" s="613" t="s">
        <v>4298</v>
      </c>
      <c r="D2451" s="612" t="s">
        <v>40</v>
      </c>
      <c r="E2451" s="613">
        <v>0.09</v>
      </c>
      <c r="F2451" s="611">
        <f>K_175+100*ahs_besi_polos_kg+ahs_formwork_multiplex12.18mm</f>
        <v>3150846.8723809524</v>
      </c>
      <c r="G2451" s="611">
        <f>F2451*E2451</f>
        <v>283576.21851428569</v>
      </c>
    </row>
    <row r="2452" spans="1:9" ht="15.75" hidden="1" customHeight="1" outlineLevel="2">
      <c r="A2452" s="613"/>
      <c r="B2452" s="612"/>
      <c r="C2452" s="613" t="s">
        <v>4299</v>
      </c>
      <c r="D2452" s="612"/>
      <c r="E2452" s="613"/>
      <c r="F2452" s="611"/>
      <c r="G2452" s="611"/>
    </row>
    <row r="2453" spans="1:9" ht="15.75" hidden="1" customHeight="1" outlineLevel="2">
      <c r="A2453" s="613"/>
      <c r="B2453" s="612"/>
      <c r="C2453" s="613" t="s">
        <v>410</v>
      </c>
      <c r="D2453" s="612" t="s">
        <v>40</v>
      </c>
      <c r="E2453" s="613">
        <v>0.09</v>
      </c>
      <c r="F2453" s="611">
        <f>F2451</f>
        <v>3150846.8723809524</v>
      </c>
      <c r="G2453" s="611">
        <f>F2453*E2453</f>
        <v>283576.21851428569</v>
      </c>
    </row>
    <row r="2454" spans="1:9" ht="15.75" hidden="1" customHeight="1" outlineLevel="2">
      <c r="A2454" s="613"/>
      <c r="B2454" s="612"/>
      <c r="C2454" s="613" t="s">
        <v>4299</v>
      </c>
      <c r="D2454" s="612"/>
      <c r="E2454" s="613"/>
      <c r="F2454" s="611"/>
      <c r="G2454" s="611"/>
    </row>
    <row r="2455" spans="1:9" ht="15.75" hidden="1" customHeight="1" outlineLevel="2">
      <c r="A2455" s="613"/>
      <c r="B2455" s="612"/>
      <c r="C2455" s="613"/>
      <c r="D2455" s="612"/>
      <c r="E2455" s="613"/>
      <c r="F2455" s="611"/>
      <c r="G2455" s="611"/>
    </row>
    <row r="2456" spans="1:9" ht="15.75" hidden="1" customHeight="1" outlineLevel="2">
      <c r="A2456" s="613"/>
      <c r="B2456" s="612"/>
      <c r="C2456" s="613" t="s">
        <v>78</v>
      </c>
      <c r="D2456" s="612"/>
      <c r="E2456" s="613"/>
      <c r="F2456" s="611"/>
      <c r="G2456" s="611"/>
    </row>
    <row r="2457" spans="1:9" ht="15.75" hidden="1" customHeight="1" outlineLevel="2">
      <c r="A2457" s="613"/>
      <c r="B2457" s="612"/>
      <c r="C2457" s="613" t="s">
        <v>400</v>
      </c>
      <c r="D2457" s="612" t="s">
        <v>40</v>
      </c>
      <c r="E2457" s="613">
        <v>2</v>
      </c>
      <c r="F2457" s="611">
        <f>ahs_excavation_manual_2m</f>
        <v>102390.75000000001</v>
      </c>
      <c r="G2457" s="611">
        <f>F2457*E2457</f>
        <v>204781.50000000003</v>
      </c>
    </row>
    <row r="2458" spans="1:9" ht="15.75" hidden="1" customHeight="1" outlineLevel="2">
      <c r="A2458" s="613"/>
      <c r="B2458" s="612"/>
      <c r="C2458" s="613" t="s">
        <v>401</v>
      </c>
      <c r="D2458" s="612" t="s">
        <v>40</v>
      </c>
      <c r="E2458" s="613">
        <v>0.72</v>
      </c>
      <c r="F2458" s="611">
        <f>ahs_back_filling</f>
        <v>62462.950000000012</v>
      </c>
      <c r="G2458" s="611">
        <f>F2458*E2458</f>
        <v>44973.324000000008</v>
      </c>
    </row>
    <row r="2459" spans="1:9" ht="15.75" hidden="1" customHeight="1" outlineLevel="2">
      <c r="A2459" s="613"/>
      <c r="B2459" s="612"/>
      <c r="C2459" s="613" t="s">
        <v>411</v>
      </c>
      <c r="D2459" s="612" t="s">
        <v>210</v>
      </c>
      <c r="E2459" s="613">
        <v>1</v>
      </c>
      <c r="F2459" s="611">
        <f>F2443</f>
        <v>121213</v>
      </c>
      <c r="G2459" s="611">
        <f>E2459*F2459</f>
        <v>121213</v>
      </c>
    </row>
    <row r="2460" spans="1:9" ht="15.75" hidden="1" customHeight="1" outlineLevel="2">
      <c r="A2460" s="613"/>
      <c r="B2460" s="612"/>
      <c r="C2460" s="613"/>
      <c r="D2460" s="612"/>
      <c r="E2460" s="613"/>
      <c r="F2460" s="611"/>
      <c r="G2460" s="611">
        <f>SUM(G2448:G2459)</f>
        <v>7465171.927695238</v>
      </c>
    </row>
    <row r="2461" spans="1:9" ht="15.75" hidden="1" customHeight="1" outlineLevel="2">
      <c r="A2461" s="613"/>
      <c r="B2461" s="612"/>
      <c r="C2461" s="613"/>
      <c r="D2461" s="612"/>
      <c r="E2461" s="613"/>
      <c r="F2461" s="611"/>
      <c r="G2461" s="611"/>
    </row>
    <row r="2462" spans="1:9" ht="15.75" customHeight="1" outlineLevel="1" collapsed="1">
      <c r="A2462" s="613" t="s">
        <v>2074</v>
      </c>
      <c r="B2462" s="612">
        <f>B2446+1</f>
        <v>6</v>
      </c>
      <c r="C2462" s="613" t="s">
        <v>2010</v>
      </c>
      <c r="D2462" s="612" t="s">
        <v>194</v>
      </c>
      <c r="E2462" s="613"/>
      <c r="F2462" s="611"/>
      <c r="G2462" s="611">
        <f>G2477</f>
        <v>5137130.647714287</v>
      </c>
    </row>
    <row r="2463" spans="1:9" ht="15.75" hidden="1" customHeight="1" outlineLevel="2">
      <c r="A2463" s="613"/>
      <c r="B2463" s="612"/>
      <c r="C2463" s="613" t="s">
        <v>93</v>
      </c>
      <c r="D2463" s="612"/>
      <c r="E2463" s="613"/>
      <c r="F2463" s="611"/>
      <c r="G2463" s="611"/>
    </row>
    <row r="2464" spans="1:9" ht="15.75" hidden="1" customHeight="1" outlineLevel="2">
      <c r="A2464" s="613"/>
      <c r="B2464" s="612"/>
      <c r="C2464" s="613" t="s">
        <v>412</v>
      </c>
      <c r="D2464" s="612" t="s">
        <v>40</v>
      </c>
      <c r="E2464" s="613">
        <v>0.2</v>
      </c>
      <c r="F2464" s="611">
        <f>F2453</f>
        <v>3150846.8723809524</v>
      </c>
      <c r="G2464" s="611">
        <f>F2464*E2464</f>
        <v>630169.37447619054</v>
      </c>
    </row>
    <row r="2465" spans="1:9" ht="15.75" hidden="1" customHeight="1" outlineLevel="2">
      <c r="A2465" s="613"/>
      <c r="B2465" s="612"/>
      <c r="C2465" s="613" t="s">
        <v>4302</v>
      </c>
      <c r="D2465" s="612"/>
      <c r="E2465" s="613"/>
      <c r="F2465" s="611"/>
      <c r="G2465" s="611"/>
    </row>
    <row r="2466" spans="1:9" ht="15.75" hidden="1" customHeight="1" outlineLevel="2">
      <c r="A2466" s="613"/>
      <c r="B2466" s="612"/>
      <c r="C2466" s="613" t="s">
        <v>4303</v>
      </c>
      <c r="D2466" s="612" t="s">
        <v>40</v>
      </c>
      <c r="E2466" s="613">
        <v>0.45</v>
      </c>
      <c r="F2466" s="611">
        <f>K_175+120*G853+ahs_formwork_foundation_multiplex</f>
        <v>3420961.0023809532</v>
      </c>
      <c r="G2466" s="611">
        <f>F2466*E2466</f>
        <v>1539432.4510714291</v>
      </c>
      <c r="I2466" s="633" t="s">
        <v>124</v>
      </c>
    </row>
    <row r="2467" spans="1:9" ht="15.75" hidden="1" customHeight="1" outlineLevel="2">
      <c r="A2467" s="613"/>
      <c r="B2467" s="612"/>
      <c r="C2467" s="613" t="s">
        <v>4304</v>
      </c>
      <c r="D2467" s="612"/>
      <c r="E2467" s="613"/>
      <c r="F2467" s="611"/>
      <c r="G2467" s="611"/>
    </row>
    <row r="2468" spans="1:9" ht="15.75" hidden="1" customHeight="1" outlineLevel="2">
      <c r="A2468" s="613"/>
      <c r="B2468" s="612"/>
      <c r="C2468" s="613" t="s">
        <v>413</v>
      </c>
      <c r="D2468" s="612" t="s">
        <v>40</v>
      </c>
      <c r="E2468" s="613">
        <v>0.64</v>
      </c>
      <c r="F2468" s="611">
        <f>F2466</f>
        <v>3420961.0023809532</v>
      </c>
      <c r="G2468" s="611">
        <f>F2468*E2468</f>
        <v>2189415.04152381</v>
      </c>
    </row>
    <row r="2469" spans="1:9" ht="15.75" hidden="1" customHeight="1" outlineLevel="2">
      <c r="A2469" s="613"/>
      <c r="B2469" s="612"/>
      <c r="C2469" s="613" t="s">
        <v>4304</v>
      </c>
      <c r="D2469" s="612"/>
      <c r="E2469" s="613"/>
      <c r="F2469" s="611"/>
      <c r="G2469" s="611"/>
    </row>
    <row r="2470" spans="1:9" ht="15.75" hidden="1" customHeight="1" outlineLevel="2">
      <c r="A2470" s="613"/>
      <c r="B2470" s="612"/>
      <c r="C2470" s="613" t="s">
        <v>414</v>
      </c>
      <c r="D2470" s="612" t="s">
        <v>40</v>
      </c>
      <c r="E2470" s="613">
        <v>0.06</v>
      </c>
      <c r="F2470" s="611">
        <f>F2468</f>
        <v>3420961.0023809532</v>
      </c>
      <c r="G2470" s="611">
        <f>F2470*E2470</f>
        <v>205257.66014285717</v>
      </c>
    </row>
    <row r="2471" spans="1:9" ht="15.75" hidden="1" customHeight="1" outlineLevel="2">
      <c r="A2471" s="613"/>
      <c r="B2471" s="612"/>
      <c r="C2471" s="613" t="s">
        <v>4304</v>
      </c>
      <c r="D2471" s="612"/>
      <c r="E2471" s="613"/>
      <c r="F2471" s="611"/>
      <c r="G2471" s="611"/>
    </row>
    <row r="2472" spans="1:9" ht="15.75" hidden="1" customHeight="1" outlineLevel="2">
      <c r="A2472" s="613"/>
      <c r="B2472" s="612"/>
      <c r="C2472" s="613"/>
      <c r="D2472" s="612"/>
      <c r="E2472" s="613"/>
      <c r="F2472" s="611"/>
      <c r="G2472" s="611"/>
    </row>
    <row r="2473" spans="1:9" ht="15.75" hidden="1" customHeight="1" outlineLevel="2">
      <c r="A2473" s="613"/>
      <c r="B2473" s="612"/>
      <c r="C2473" s="613" t="s">
        <v>78</v>
      </c>
      <c r="D2473" s="612"/>
      <c r="E2473" s="613"/>
      <c r="F2473" s="611"/>
      <c r="G2473" s="611"/>
    </row>
    <row r="2474" spans="1:9" ht="15.75" hidden="1" customHeight="1" outlineLevel="2">
      <c r="A2474" s="613"/>
      <c r="B2474" s="612"/>
      <c r="C2474" s="613" t="s">
        <v>400</v>
      </c>
      <c r="D2474" s="612" t="s">
        <v>40</v>
      </c>
      <c r="E2474" s="613">
        <v>3.38</v>
      </c>
      <c r="F2474" s="611">
        <f>F2457</f>
        <v>102390.75000000001</v>
      </c>
      <c r="G2474" s="611">
        <f>F2474*E2474</f>
        <v>346080.73500000004</v>
      </c>
    </row>
    <row r="2475" spans="1:9" ht="15.75" hidden="1" customHeight="1" outlineLevel="2">
      <c r="A2475" s="613"/>
      <c r="B2475" s="612"/>
      <c r="C2475" s="613" t="s">
        <v>401</v>
      </c>
      <c r="D2475" s="612" t="s">
        <v>40</v>
      </c>
      <c r="E2475" s="613">
        <v>1.69</v>
      </c>
      <c r="F2475" s="611">
        <f>F2458</f>
        <v>62462.950000000012</v>
      </c>
      <c r="G2475" s="611">
        <f>F2475*E2475</f>
        <v>105562.38550000002</v>
      </c>
    </row>
    <row r="2476" spans="1:9" ht="15.75" hidden="1" customHeight="1" outlineLevel="2">
      <c r="A2476" s="613"/>
      <c r="B2476" s="612"/>
      <c r="C2476" s="613" t="s">
        <v>402</v>
      </c>
      <c r="D2476" s="612" t="s">
        <v>210</v>
      </c>
      <c r="E2476" s="613">
        <v>1</v>
      </c>
      <c r="F2476" s="611">
        <f>'[54]Basic price '!E219</f>
        <v>121213</v>
      </c>
      <c r="G2476" s="611">
        <f>E2476*F2476</f>
        <v>121213</v>
      </c>
    </row>
    <row r="2477" spans="1:9" ht="15.75" hidden="1" customHeight="1" outlineLevel="2">
      <c r="A2477" s="613"/>
      <c r="B2477" s="612"/>
      <c r="C2477" s="613"/>
      <c r="D2477" s="612"/>
      <c r="E2477" s="613"/>
      <c r="F2477" s="611"/>
      <c r="G2477" s="611">
        <f>SUM(G2464:G2476)</f>
        <v>5137130.647714287</v>
      </c>
    </row>
    <row r="2478" spans="1:9" ht="15.75" hidden="1" customHeight="1" outlineLevel="2">
      <c r="A2478" s="613"/>
      <c r="B2478" s="612"/>
      <c r="C2478" s="613"/>
      <c r="D2478" s="612"/>
      <c r="E2478" s="613"/>
      <c r="F2478" s="611"/>
      <c r="G2478" s="611"/>
    </row>
    <row r="2479" spans="1:9" ht="15.75" customHeight="1" outlineLevel="1" collapsed="1">
      <c r="A2479" s="613" t="s">
        <v>2074</v>
      </c>
      <c r="B2479" s="612">
        <f>B2462+1</f>
        <v>7</v>
      </c>
      <c r="C2479" s="613" t="s">
        <v>2011</v>
      </c>
      <c r="D2479" s="612" t="s">
        <v>194</v>
      </c>
      <c r="E2479" s="613"/>
      <c r="F2479" s="611"/>
      <c r="G2479" s="611">
        <f>G2495</f>
        <v>4387309.7486428581</v>
      </c>
    </row>
    <row r="2480" spans="1:9" ht="15.75" hidden="1" customHeight="1" outlineLevel="2">
      <c r="A2480" s="613"/>
      <c r="B2480" s="612"/>
      <c r="C2480" s="613" t="s">
        <v>93</v>
      </c>
      <c r="D2480" s="612"/>
      <c r="E2480" s="613"/>
      <c r="F2480" s="611"/>
      <c r="G2480" s="611"/>
    </row>
    <row r="2481" spans="1:9" ht="15.75" hidden="1" customHeight="1" outlineLevel="2">
      <c r="A2481" s="613"/>
      <c r="B2481" s="612"/>
      <c r="C2481" s="613" t="s">
        <v>415</v>
      </c>
      <c r="D2481" s="612" t="s">
        <v>40</v>
      </c>
      <c r="E2481" s="613">
        <v>0.72</v>
      </c>
      <c r="F2481" s="611">
        <f>G370</f>
        <v>138248.88000000003</v>
      </c>
      <c r="G2481" s="611">
        <f>F2481*E2481</f>
        <v>99539.193600000028</v>
      </c>
    </row>
    <row r="2482" spans="1:9" ht="15.75" hidden="1" customHeight="1" outlineLevel="2">
      <c r="A2482" s="613"/>
      <c r="B2482" s="612"/>
      <c r="C2482" s="613" t="s">
        <v>416</v>
      </c>
      <c r="D2482" s="612" t="s">
        <v>4</v>
      </c>
      <c r="E2482" s="613">
        <v>4.8</v>
      </c>
      <c r="F2482" s="611">
        <f>ahs_plester_1.4_tebal15mm</f>
        <v>78976.347999999998</v>
      </c>
      <c r="G2482" s="611">
        <f>F2482*E2482</f>
        <v>379086.47039999999</v>
      </c>
    </row>
    <row r="2483" spans="1:9" ht="15.75" hidden="1" customHeight="1" outlineLevel="2">
      <c r="A2483" s="613"/>
      <c r="B2483" s="612"/>
      <c r="C2483" s="613" t="s">
        <v>4305</v>
      </c>
      <c r="D2483" s="612" t="s">
        <v>40</v>
      </c>
      <c r="E2483" s="613">
        <v>0.3</v>
      </c>
      <c r="F2483" s="611">
        <f>K_175+120*ahs_besi_polos_kg+ahs_formwork_multiplex12.18mm</f>
        <v>3524185.2223809529</v>
      </c>
      <c r="G2483" s="611">
        <f>F2483*E2483</f>
        <v>1057255.5667142859</v>
      </c>
    </row>
    <row r="2484" spans="1:9" ht="15.75" hidden="1" customHeight="1" outlineLevel="2">
      <c r="A2484" s="613"/>
      <c r="B2484" s="612"/>
      <c r="C2484" s="613" t="s">
        <v>4304</v>
      </c>
      <c r="D2484" s="612"/>
      <c r="E2484" s="613"/>
      <c r="F2484" s="611"/>
      <c r="G2484" s="611"/>
    </row>
    <row r="2485" spans="1:9" ht="15.75" hidden="1" customHeight="1" outlineLevel="2">
      <c r="A2485" s="613"/>
      <c r="B2485" s="612"/>
      <c r="C2485" s="613" t="s">
        <v>417</v>
      </c>
      <c r="D2485" s="612" t="s">
        <v>40</v>
      </c>
      <c r="E2485" s="613">
        <v>0.3</v>
      </c>
      <c r="F2485" s="611">
        <f>F2483</f>
        <v>3524185.2223809529</v>
      </c>
      <c r="G2485" s="611">
        <f>F2485*E2485</f>
        <v>1057255.5667142859</v>
      </c>
    </row>
    <row r="2486" spans="1:9" ht="15.75" hidden="1" customHeight="1" outlineLevel="2">
      <c r="A2486" s="613"/>
      <c r="B2486" s="612"/>
      <c r="C2486" s="613" t="s">
        <v>4304</v>
      </c>
      <c r="D2486" s="612"/>
      <c r="E2486" s="613"/>
      <c r="F2486" s="611"/>
      <c r="G2486" s="611"/>
    </row>
    <row r="2487" spans="1:9" ht="15.75" hidden="1" customHeight="1" outlineLevel="2">
      <c r="A2487" s="613"/>
      <c r="B2487" s="612"/>
      <c r="C2487" s="613" t="s">
        <v>399</v>
      </c>
      <c r="D2487" s="612" t="s">
        <v>40</v>
      </c>
      <c r="E2487" s="613">
        <v>0.3</v>
      </c>
      <c r="F2487" s="611">
        <f>F2485</f>
        <v>3524185.2223809529</v>
      </c>
      <c r="G2487" s="611">
        <f>F2487*E2487</f>
        <v>1057255.5667142859</v>
      </c>
    </row>
    <row r="2488" spans="1:9" ht="15.75" hidden="1" customHeight="1" outlineLevel="2">
      <c r="A2488" s="613"/>
      <c r="B2488" s="612"/>
      <c r="C2488" s="613" t="s">
        <v>4304</v>
      </c>
      <c r="D2488" s="612"/>
      <c r="E2488" s="613"/>
      <c r="F2488" s="611"/>
      <c r="G2488" s="611"/>
    </row>
    <row r="2489" spans="1:9" ht="15.75" hidden="1" customHeight="1" outlineLevel="2">
      <c r="A2489" s="613"/>
      <c r="B2489" s="612"/>
      <c r="C2489" s="613" t="s">
        <v>405</v>
      </c>
      <c r="D2489" s="612" t="s">
        <v>1</v>
      </c>
      <c r="E2489" s="613">
        <f>(2.97*9)/5</f>
        <v>5.3460000000000001</v>
      </c>
      <c r="F2489" s="611">
        <f>Galvanis_steel_angle_HTS</f>
        <v>24200.000000000004</v>
      </c>
      <c r="G2489" s="611">
        <f>F2489*E2489</f>
        <v>129373.20000000003</v>
      </c>
    </row>
    <row r="2490" spans="1:9" ht="15.75" hidden="1" customHeight="1" outlineLevel="2">
      <c r="A2490" s="613"/>
      <c r="B2490" s="612"/>
      <c r="C2490" s="613" t="s">
        <v>398</v>
      </c>
      <c r="D2490" s="612" t="s">
        <v>1</v>
      </c>
      <c r="E2490" s="613">
        <f>(57.21/30)*4</f>
        <v>7.6280000000000001</v>
      </c>
      <c r="F2490" s="611">
        <f>barbed_wire</f>
        <v>20438</v>
      </c>
      <c r="G2490" s="611">
        <f>F2490*E2490</f>
        <v>155901.06400000001</v>
      </c>
    </row>
    <row r="2491" spans="1:9" ht="15.75" hidden="1" customHeight="1" outlineLevel="2">
      <c r="A2491" s="613"/>
      <c r="B2491" s="612"/>
      <c r="C2491" s="613"/>
      <c r="D2491" s="612"/>
      <c r="E2491" s="613"/>
      <c r="F2491" s="611"/>
      <c r="G2491" s="611"/>
    </row>
    <row r="2492" spans="1:9" ht="15.75" hidden="1" customHeight="1" outlineLevel="2">
      <c r="A2492" s="613"/>
      <c r="B2492" s="612"/>
      <c r="C2492" s="613" t="s">
        <v>78</v>
      </c>
      <c r="D2492" s="612"/>
      <c r="E2492" s="613"/>
      <c r="F2492" s="611"/>
      <c r="G2492" s="611"/>
    </row>
    <row r="2493" spans="1:9" ht="15.75" hidden="1" customHeight="1" outlineLevel="2">
      <c r="A2493" s="613"/>
      <c r="B2493" s="612"/>
      <c r="C2493" s="613" t="s">
        <v>400</v>
      </c>
      <c r="D2493" s="612" t="s">
        <v>40</v>
      </c>
      <c r="E2493" s="613">
        <v>3.38</v>
      </c>
      <c r="F2493" s="611">
        <f>ahs_excavation_manual_2m</f>
        <v>102390.75000000001</v>
      </c>
      <c r="G2493" s="611">
        <f>F2493*E2493</f>
        <v>346080.73500000004</v>
      </c>
    </row>
    <row r="2494" spans="1:9" ht="15.75" hidden="1" customHeight="1" outlineLevel="2">
      <c r="A2494" s="613"/>
      <c r="B2494" s="612"/>
      <c r="C2494" s="613" t="s">
        <v>401</v>
      </c>
      <c r="D2494" s="612" t="s">
        <v>40</v>
      </c>
      <c r="E2494" s="613">
        <v>1.69</v>
      </c>
      <c r="F2494" s="611">
        <f>ahs_back_filling</f>
        <v>62462.950000000012</v>
      </c>
      <c r="G2494" s="611">
        <f>F2494*E2494</f>
        <v>105562.38550000002</v>
      </c>
      <c r="I2494" s="633" t="s">
        <v>124</v>
      </c>
    </row>
    <row r="2495" spans="1:9" ht="15.75" hidden="1" customHeight="1" outlineLevel="2">
      <c r="A2495" s="613"/>
      <c r="B2495" s="612"/>
      <c r="C2495" s="613"/>
      <c r="D2495" s="612"/>
      <c r="E2495" s="613"/>
      <c r="F2495" s="611"/>
      <c r="G2495" s="611">
        <f>SUM(G2481:G2494)</f>
        <v>4387309.7486428581</v>
      </c>
      <c r="I2495" s="633" t="s">
        <v>125</v>
      </c>
    </row>
    <row r="2496" spans="1:9" ht="15.75" hidden="1" customHeight="1" outlineLevel="2">
      <c r="A2496" s="613"/>
      <c r="B2496" s="612"/>
      <c r="C2496" s="613"/>
      <c r="D2496" s="612"/>
      <c r="E2496" s="613"/>
      <c r="F2496" s="611"/>
      <c r="G2496" s="611"/>
    </row>
    <row r="2497" spans="1:9" ht="15.75" customHeight="1" outlineLevel="1" collapsed="1">
      <c r="A2497" s="613" t="s">
        <v>2074</v>
      </c>
      <c r="B2497" s="612">
        <f>B2479+1</f>
        <v>8</v>
      </c>
      <c r="C2497" s="613" t="s">
        <v>591</v>
      </c>
      <c r="D2497" s="612" t="s">
        <v>194</v>
      </c>
      <c r="E2497" s="613"/>
      <c r="F2497" s="611"/>
      <c r="G2497" s="611">
        <f>G2508</f>
        <v>111145.83333333334</v>
      </c>
      <c r="I2497" s="633" t="s">
        <v>418</v>
      </c>
    </row>
    <row r="2498" spans="1:9" ht="15.75" hidden="1" customHeight="1" outlineLevel="2">
      <c r="A2498" s="613"/>
      <c r="B2498" s="612"/>
      <c r="C2498" s="613"/>
      <c r="D2498" s="612"/>
      <c r="E2498" s="613"/>
      <c r="F2498" s="611"/>
      <c r="G2498" s="611"/>
    </row>
    <row r="2499" spans="1:9" ht="15.75" hidden="1" customHeight="1" outlineLevel="2">
      <c r="A2499" s="613"/>
      <c r="B2499" s="612"/>
      <c r="C2499" s="613" t="s">
        <v>20</v>
      </c>
      <c r="D2499" s="612"/>
      <c r="E2499" s="613"/>
      <c r="F2499" s="611"/>
      <c r="G2499" s="611"/>
    </row>
    <row r="2500" spans="1:9" ht="15.75" hidden="1" customHeight="1" outlineLevel="2">
      <c r="A2500" s="613"/>
      <c r="B2500" s="612"/>
      <c r="C2500" s="613" t="s">
        <v>419</v>
      </c>
      <c r="D2500" s="612" t="s">
        <v>194</v>
      </c>
      <c r="E2500" s="613">
        <v>1.1000000000000001</v>
      </c>
      <c r="F2500" s="611">
        <f>listplank_GRC/2.4</f>
        <v>60179.166666666672</v>
      </c>
      <c r="G2500" s="611">
        <f>F2500*E2500</f>
        <v>66197.083333333343</v>
      </c>
    </row>
    <row r="2501" spans="1:9" ht="15.75" hidden="1" customHeight="1" outlineLevel="2">
      <c r="A2501" s="613"/>
      <c r="B2501" s="612"/>
      <c r="C2501" s="613" t="s">
        <v>24</v>
      </c>
      <c r="D2501" s="612" t="s">
        <v>1</v>
      </c>
      <c r="E2501" s="613">
        <v>0.1</v>
      </c>
      <c r="F2501" s="611">
        <f>nail</f>
        <v>96250.000000000015</v>
      </c>
      <c r="G2501" s="611">
        <f>F2501*E2501</f>
        <v>9625.0000000000018</v>
      </c>
    </row>
    <row r="2502" spans="1:9" ht="15.75" hidden="1" customHeight="1" outlineLevel="2">
      <c r="A2502" s="613"/>
      <c r="B2502" s="612"/>
      <c r="C2502" s="613"/>
      <c r="D2502" s="612"/>
      <c r="E2502" s="613"/>
      <c r="F2502" s="611"/>
      <c r="G2502" s="611"/>
    </row>
    <row r="2503" spans="1:9" ht="15.75" hidden="1" customHeight="1" outlineLevel="2">
      <c r="A2503" s="613"/>
      <c r="B2503" s="612"/>
      <c r="C2503" s="613" t="s">
        <v>31</v>
      </c>
      <c r="D2503" s="612"/>
      <c r="E2503" s="613"/>
      <c r="F2503" s="611"/>
      <c r="G2503" s="611"/>
    </row>
    <row r="2504" spans="1:9" ht="15.75" hidden="1" customHeight="1" outlineLevel="2">
      <c r="A2504" s="613"/>
      <c r="B2504" s="612"/>
      <c r="C2504" s="613" t="s">
        <v>32</v>
      </c>
      <c r="D2504" s="612" t="s">
        <v>33</v>
      </c>
      <c r="E2504" s="613">
        <v>0.1</v>
      </c>
      <c r="F2504" s="611">
        <f>worker</f>
        <v>107800.00000000001</v>
      </c>
      <c r="G2504" s="611">
        <f>F2504*E2504</f>
        <v>10780.000000000002</v>
      </c>
    </row>
    <row r="2505" spans="1:9" ht="15.75" hidden="1" customHeight="1" outlineLevel="2">
      <c r="A2505" s="613"/>
      <c r="B2505" s="612"/>
      <c r="C2505" s="613" t="s">
        <v>36</v>
      </c>
      <c r="D2505" s="612" t="s">
        <v>33</v>
      </c>
      <c r="E2505" s="613">
        <v>5.0000000000000001E-3</v>
      </c>
      <c r="F2505" s="611">
        <f>supervisor</f>
        <v>119350.00000000001</v>
      </c>
      <c r="G2505" s="611">
        <f>F2505*E2505</f>
        <v>596.75000000000011</v>
      </c>
    </row>
    <row r="2506" spans="1:9" ht="15.75" hidden="1" customHeight="1" outlineLevel="2">
      <c r="A2506" s="613"/>
      <c r="B2506" s="612"/>
      <c r="C2506" s="613" t="s">
        <v>45</v>
      </c>
      <c r="D2506" s="612" t="s">
        <v>33</v>
      </c>
      <c r="E2506" s="613">
        <v>0.2</v>
      </c>
      <c r="F2506" s="611">
        <f>carpenter</f>
        <v>107800.00000000001</v>
      </c>
      <c r="G2506" s="611">
        <f>F2506*E2506</f>
        <v>21560.000000000004</v>
      </c>
    </row>
    <row r="2507" spans="1:9" ht="15.75" hidden="1" customHeight="1" outlineLevel="2">
      <c r="A2507" s="613"/>
      <c r="B2507" s="612"/>
      <c r="C2507" s="613" t="s">
        <v>61</v>
      </c>
      <c r="D2507" s="612" t="s">
        <v>33</v>
      </c>
      <c r="E2507" s="613">
        <v>0.02</v>
      </c>
      <c r="F2507" s="611">
        <f>carpenter_chief</f>
        <v>119350.00000000001</v>
      </c>
      <c r="G2507" s="611">
        <f>F2507*E2507</f>
        <v>2387.0000000000005</v>
      </c>
    </row>
    <row r="2508" spans="1:9" ht="15.75" hidden="1" customHeight="1" outlineLevel="2">
      <c r="A2508" s="613"/>
      <c r="B2508" s="612"/>
      <c r="C2508" s="613"/>
      <c r="D2508" s="612"/>
      <c r="E2508" s="613"/>
      <c r="F2508" s="611"/>
      <c r="G2508" s="611">
        <f>SUM(G2500:G2507)</f>
        <v>111145.83333333334</v>
      </c>
    </row>
    <row r="2509" spans="1:9" ht="15.75" hidden="1" customHeight="1" outlineLevel="2">
      <c r="A2509" s="613"/>
      <c r="B2509" s="612"/>
      <c r="C2509" s="613"/>
      <c r="D2509" s="612"/>
      <c r="E2509" s="613"/>
      <c r="F2509" s="611"/>
      <c r="G2509" s="611"/>
    </row>
    <row r="2510" spans="1:9" ht="15.75" customHeight="1" outlineLevel="1" collapsed="1">
      <c r="A2510" s="613" t="s">
        <v>2074</v>
      </c>
      <c r="B2510" s="612">
        <f>B2497+1</f>
        <v>9</v>
      </c>
      <c r="C2510" s="613" t="s">
        <v>2012</v>
      </c>
      <c r="D2510" s="612" t="s">
        <v>52</v>
      </c>
      <c r="E2510" s="613"/>
      <c r="F2510" s="611"/>
      <c r="G2510" s="611">
        <f>G2524</f>
        <v>57464.510399999999</v>
      </c>
    </row>
    <row r="2511" spans="1:9" ht="15.75" hidden="1" customHeight="1" outlineLevel="2">
      <c r="A2511" s="613"/>
      <c r="B2511" s="612"/>
      <c r="C2511" s="613"/>
      <c r="D2511" s="612"/>
      <c r="E2511" s="613"/>
      <c r="F2511" s="611"/>
      <c r="G2511" s="611"/>
    </row>
    <row r="2512" spans="1:9" ht="15.75" hidden="1" customHeight="1" outlineLevel="2">
      <c r="A2512" s="613"/>
      <c r="B2512" s="612"/>
      <c r="C2512" s="613" t="s">
        <v>20</v>
      </c>
      <c r="D2512" s="612"/>
      <c r="E2512" s="613"/>
      <c r="F2512" s="611"/>
      <c r="G2512" s="611"/>
    </row>
    <row r="2513" spans="1:9" ht="15.75" hidden="1" customHeight="1" outlineLevel="2">
      <c r="A2513" s="613"/>
      <c r="B2513" s="612"/>
      <c r="C2513" s="613" t="s">
        <v>420</v>
      </c>
      <c r="D2513" s="612" t="s">
        <v>1</v>
      </c>
      <c r="E2513" s="613">
        <v>1.1499999999999999</v>
      </c>
      <c r="F2513" s="611">
        <f>Profil_kanal</f>
        <v>15950.000000000002</v>
      </c>
      <c r="G2513" s="611">
        <f>F2513*E2513</f>
        <v>18342.5</v>
      </c>
    </row>
    <row r="2514" spans="1:9" ht="15.75" hidden="1" customHeight="1" outlineLevel="2">
      <c r="A2514" s="613"/>
      <c r="B2514" s="612"/>
      <c r="C2514" s="613" t="s">
        <v>186</v>
      </c>
      <c r="D2514" s="612" t="s">
        <v>1</v>
      </c>
      <c r="E2514" s="613">
        <v>0.08</v>
      </c>
      <c r="F2514" s="611">
        <f>ahs_painting_steel_m2</f>
        <v>76298.255000000005</v>
      </c>
      <c r="G2514" s="611">
        <f>F2514*E2514</f>
        <v>6103.8604000000005</v>
      </c>
    </row>
    <row r="2515" spans="1:9" ht="15.75" hidden="1" customHeight="1" outlineLevel="2">
      <c r="A2515" s="613"/>
      <c r="B2515" s="612"/>
      <c r="C2515" s="613"/>
      <c r="D2515" s="612"/>
      <c r="E2515" s="613"/>
      <c r="F2515" s="611"/>
      <c r="G2515" s="611"/>
    </row>
    <row r="2516" spans="1:9" ht="15.75" hidden="1" customHeight="1" outlineLevel="2">
      <c r="A2516" s="613"/>
      <c r="B2516" s="612"/>
      <c r="C2516" s="613" t="s">
        <v>31</v>
      </c>
      <c r="D2516" s="612"/>
      <c r="E2516" s="613"/>
      <c r="F2516" s="611"/>
      <c r="G2516" s="611"/>
    </row>
    <row r="2517" spans="1:9" ht="15.75" hidden="1" customHeight="1" outlineLevel="2">
      <c r="A2517" s="613"/>
      <c r="B2517" s="612"/>
      <c r="C2517" s="613" t="s">
        <v>32</v>
      </c>
      <c r="D2517" s="612" t="s">
        <v>33</v>
      </c>
      <c r="E2517" s="613">
        <v>0.06</v>
      </c>
      <c r="F2517" s="611">
        <f>worker</f>
        <v>107800.00000000001</v>
      </c>
      <c r="G2517" s="611">
        <f>F2517*E2517</f>
        <v>6468.0000000000009</v>
      </c>
    </row>
    <row r="2518" spans="1:9" ht="15.75" hidden="1" customHeight="1" outlineLevel="2">
      <c r="A2518" s="613"/>
      <c r="B2518" s="612"/>
      <c r="C2518" s="613" t="s">
        <v>36</v>
      </c>
      <c r="D2518" s="612" t="s">
        <v>33</v>
      </c>
      <c r="E2518" s="613">
        <v>3.0000000000000001E-3</v>
      </c>
      <c r="F2518" s="611">
        <f>supervisor</f>
        <v>119350.00000000001</v>
      </c>
      <c r="G2518" s="611">
        <f>F2518*E2518</f>
        <v>358.05000000000007</v>
      </c>
    </row>
    <row r="2519" spans="1:9" ht="15.75" hidden="1" customHeight="1" outlineLevel="2">
      <c r="A2519" s="613"/>
      <c r="B2519" s="612"/>
      <c r="C2519" s="613" t="s">
        <v>187</v>
      </c>
      <c r="D2519" s="612" t="s">
        <v>33</v>
      </c>
      <c r="E2519" s="613">
        <v>0.06</v>
      </c>
      <c r="F2519" s="611">
        <f>welder</f>
        <v>127600.00000000001</v>
      </c>
      <c r="G2519" s="611">
        <f>F2519*E2519</f>
        <v>7656.0000000000009</v>
      </c>
    </row>
    <row r="2520" spans="1:9" ht="15.75" hidden="1" customHeight="1" outlineLevel="2">
      <c r="A2520" s="613"/>
      <c r="B2520" s="612"/>
      <c r="C2520" s="613" t="s">
        <v>188</v>
      </c>
      <c r="D2520" s="612" t="s">
        <v>33</v>
      </c>
      <c r="E2520" s="613">
        <v>6.0000000000000001E-3</v>
      </c>
      <c r="F2520" s="611">
        <f>brick_layer_chief</f>
        <v>119350.00000000001</v>
      </c>
      <c r="G2520" s="611">
        <f>F2520*E2520</f>
        <v>716.10000000000014</v>
      </c>
    </row>
    <row r="2521" spans="1:9" ht="15.75" hidden="1" customHeight="1" outlineLevel="2">
      <c r="A2521" s="613"/>
      <c r="B2521" s="612"/>
      <c r="C2521" s="613"/>
      <c r="D2521" s="612"/>
      <c r="E2521" s="613"/>
      <c r="F2521" s="611"/>
      <c r="G2521" s="611"/>
    </row>
    <row r="2522" spans="1:9" ht="15.75" hidden="1" customHeight="1" outlineLevel="2">
      <c r="A2522" s="613"/>
      <c r="B2522" s="612"/>
      <c r="C2522" s="613" t="s">
        <v>70</v>
      </c>
      <c r="D2522" s="612"/>
      <c r="E2522" s="613"/>
      <c r="F2522" s="611"/>
      <c r="G2522" s="611"/>
    </row>
    <row r="2523" spans="1:9" ht="15.75" hidden="1" customHeight="1" outlineLevel="2">
      <c r="A2523" s="613"/>
      <c r="B2523" s="612"/>
      <c r="C2523" s="613" t="s">
        <v>189</v>
      </c>
      <c r="D2523" s="612" t="s">
        <v>65</v>
      </c>
      <c r="E2523" s="613">
        <v>0.02</v>
      </c>
      <c r="F2523" s="611">
        <f>welding_machine_day</f>
        <v>891000.00000000012</v>
      </c>
      <c r="G2523" s="611">
        <f>F2523*E2523</f>
        <v>17820.000000000004</v>
      </c>
    </row>
    <row r="2524" spans="1:9" ht="15.75" hidden="1" customHeight="1" outlineLevel="2">
      <c r="A2524" s="613"/>
      <c r="B2524" s="612"/>
      <c r="C2524" s="613"/>
      <c r="D2524" s="612"/>
      <c r="E2524" s="613"/>
      <c r="F2524" s="611"/>
      <c r="G2524" s="611">
        <f>SUM(G2513:G2523)</f>
        <v>57464.510399999999</v>
      </c>
    </row>
    <row r="2525" spans="1:9" ht="15.75" hidden="1" customHeight="1" outlineLevel="2">
      <c r="A2525" s="613"/>
      <c r="B2525" s="612"/>
      <c r="C2525" s="613"/>
      <c r="D2525" s="612"/>
      <c r="E2525" s="613"/>
      <c r="F2525" s="611"/>
      <c r="G2525" s="611"/>
    </row>
    <row r="2526" spans="1:9" ht="15.75" customHeight="1" outlineLevel="1" collapsed="1">
      <c r="A2526" s="613" t="s">
        <v>2074</v>
      </c>
      <c r="B2526" s="612">
        <f>B2510+1</f>
        <v>10</v>
      </c>
      <c r="C2526" s="613" t="s">
        <v>2013</v>
      </c>
      <c r="D2526" s="612" t="s">
        <v>52</v>
      </c>
      <c r="E2526" s="613"/>
      <c r="F2526" s="611"/>
      <c r="G2526" s="611">
        <f>G2536</f>
        <v>30905.450400000002</v>
      </c>
    </row>
    <row r="2527" spans="1:9" ht="15.75" hidden="1" customHeight="1" outlineLevel="2">
      <c r="A2527" s="613"/>
      <c r="B2527" s="612"/>
      <c r="C2527" s="613"/>
      <c r="D2527" s="612"/>
      <c r="E2527" s="613"/>
      <c r="F2527" s="611"/>
      <c r="G2527" s="611"/>
      <c r="I2527" s="633" t="s">
        <v>124</v>
      </c>
    </row>
    <row r="2528" spans="1:9" ht="15.75" hidden="1" customHeight="1" outlineLevel="2">
      <c r="A2528" s="613"/>
      <c r="B2528" s="612"/>
      <c r="C2528" s="613" t="s">
        <v>20</v>
      </c>
      <c r="D2528" s="612"/>
      <c r="E2528" s="613"/>
      <c r="F2528" s="611"/>
      <c r="G2528" s="611"/>
    </row>
    <row r="2529" spans="1:9" ht="15.75" hidden="1" customHeight="1" outlineLevel="2">
      <c r="A2529" s="613"/>
      <c r="B2529" s="612"/>
      <c r="C2529" s="613" t="s">
        <v>421</v>
      </c>
      <c r="D2529" s="612" t="s">
        <v>1</v>
      </c>
      <c r="E2529" s="613">
        <v>1.1499999999999999</v>
      </c>
      <c r="F2529" s="611">
        <f>besi_polos</f>
        <v>15537.500000000002</v>
      </c>
      <c r="G2529" s="611">
        <f>F2529*E2529</f>
        <v>17868.125</v>
      </c>
    </row>
    <row r="2530" spans="1:9" ht="15.75" hidden="1" customHeight="1" outlineLevel="2">
      <c r="A2530" s="613"/>
      <c r="B2530" s="612"/>
      <c r="C2530" s="613" t="s">
        <v>186</v>
      </c>
      <c r="D2530" s="612" t="s">
        <v>1</v>
      </c>
      <c r="E2530" s="613">
        <v>0.08</v>
      </c>
      <c r="F2530" s="611">
        <f>ahs_painting_steel_m2</f>
        <v>76298.255000000005</v>
      </c>
      <c r="G2530" s="611">
        <f>F2530*E2530</f>
        <v>6103.8604000000005</v>
      </c>
    </row>
    <row r="2531" spans="1:9" ht="15.75" hidden="1" customHeight="1" outlineLevel="2">
      <c r="A2531" s="613"/>
      <c r="B2531" s="612"/>
      <c r="C2531" s="613"/>
      <c r="D2531" s="612"/>
      <c r="E2531" s="613"/>
      <c r="F2531" s="611">
        <f>F2515</f>
        <v>0</v>
      </c>
      <c r="G2531" s="611"/>
    </row>
    <row r="2532" spans="1:9" ht="15.75" hidden="1" customHeight="1" outlineLevel="2">
      <c r="A2532" s="613"/>
      <c r="B2532" s="612"/>
      <c r="C2532" s="613" t="s">
        <v>31</v>
      </c>
      <c r="D2532" s="612"/>
      <c r="E2532" s="613"/>
      <c r="F2532" s="611">
        <f>F2516</f>
        <v>0</v>
      </c>
      <c r="G2532" s="611"/>
    </row>
    <row r="2533" spans="1:9" ht="15.75" hidden="1" customHeight="1" outlineLevel="2">
      <c r="A2533" s="613"/>
      <c r="B2533" s="612"/>
      <c r="C2533" s="613" t="s">
        <v>32</v>
      </c>
      <c r="D2533" s="612" t="s">
        <v>33</v>
      </c>
      <c r="E2533" s="613">
        <v>0.06</v>
      </c>
      <c r="F2533" s="611">
        <f>worker</f>
        <v>107800.00000000001</v>
      </c>
      <c r="G2533" s="611">
        <f>F2533*E2533</f>
        <v>6468.0000000000009</v>
      </c>
    </row>
    <row r="2534" spans="1:9" ht="15.75" hidden="1" customHeight="1" outlineLevel="2">
      <c r="A2534" s="613"/>
      <c r="B2534" s="612"/>
      <c r="C2534" s="613" t="s">
        <v>36</v>
      </c>
      <c r="D2534" s="612" t="s">
        <v>33</v>
      </c>
      <c r="E2534" s="613">
        <v>3.0000000000000001E-3</v>
      </c>
      <c r="F2534" s="611">
        <f>supervisor_Asli</f>
        <v>155155</v>
      </c>
      <c r="G2534" s="611">
        <f>F2534*E2534</f>
        <v>465.46500000000003</v>
      </c>
    </row>
    <row r="2535" spans="1:9" ht="15.75" hidden="1" customHeight="1" outlineLevel="2">
      <c r="A2535" s="613"/>
      <c r="B2535" s="612"/>
      <c r="C2535" s="613"/>
      <c r="D2535" s="612"/>
      <c r="E2535" s="613"/>
      <c r="F2535" s="611"/>
      <c r="G2535" s="611"/>
    </row>
    <row r="2536" spans="1:9" ht="15.75" hidden="1" customHeight="1" outlineLevel="2">
      <c r="A2536" s="613"/>
      <c r="B2536" s="612"/>
      <c r="C2536" s="613"/>
      <c r="D2536" s="612"/>
      <c r="E2536" s="613"/>
      <c r="F2536" s="611"/>
      <c r="G2536" s="611">
        <f>SUM(G2529:G2535)</f>
        <v>30905.450400000002</v>
      </c>
    </row>
    <row r="2537" spans="1:9" ht="15.75" hidden="1" customHeight="1" outlineLevel="2">
      <c r="A2537" s="613"/>
      <c r="B2537" s="612"/>
      <c r="C2537" s="613"/>
      <c r="D2537" s="612"/>
      <c r="E2537" s="613"/>
      <c r="F2537" s="611"/>
      <c r="G2537" s="611"/>
      <c r="I2537" s="633" t="s">
        <v>422</v>
      </c>
    </row>
    <row r="2538" spans="1:9" ht="15.75" hidden="1" customHeight="1" outlineLevel="2">
      <c r="A2538" s="613"/>
      <c r="B2538" s="612"/>
      <c r="C2538" s="613"/>
      <c r="D2538" s="612"/>
      <c r="E2538" s="613"/>
      <c r="F2538" s="611"/>
      <c r="G2538" s="611"/>
    </row>
    <row r="2539" spans="1:9" ht="15.75" hidden="1" customHeight="1" outlineLevel="2">
      <c r="A2539" s="613"/>
      <c r="B2539" s="612"/>
      <c r="C2539" s="613"/>
      <c r="D2539" s="612"/>
      <c r="E2539" s="613"/>
      <c r="F2539" s="611"/>
      <c r="G2539" s="611"/>
    </row>
    <row r="2540" spans="1:9" ht="15.75" customHeight="1" outlineLevel="1" collapsed="1">
      <c r="A2540" s="613" t="s">
        <v>2074</v>
      </c>
      <c r="B2540" s="612">
        <f>B2526+1</f>
        <v>11</v>
      </c>
      <c r="C2540" s="613" t="s">
        <v>634</v>
      </c>
      <c r="D2540" s="612" t="s">
        <v>424</v>
      </c>
      <c r="E2540" s="613"/>
      <c r="F2540" s="611"/>
      <c r="G2540" s="611">
        <f>G2548</f>
        <v>991067.00000000012</v>
      </c>
    </row>
    <row r="2541" spans="1:9" ht="15.75" hidden="1" customHeight="1" outlineLevel="2">
      <c r="A2541" s="613"/>
      <c r="B2541" s="612"/>
      <c r="C2541" s="613" t="s">
        <v>75</v>
      </c>
      <c r="D2541" s="612"/>
      <c r="E2541" s="613"/>
      <c r="F2541" s="611"/>
      <c r="G2541" s="611"/>
    </row>
    <row r="2542" spans="1:9" ht="15.75" hidden="1" customHeight="1" outlineLevel="2">
      <c r="A2542" s="613"/>
      <c r="B2542" s="612"/>
      <c r="C2542" s="613" t="s">
        <v>423</v>
      </c>
      <c r="D2542" s="612" t="s">
        <v>424</v>
      </c>
      <c r="E2542" s="613">
        <v>1</v>
      </c>
      <c r="F2542" s="611">
        <f>raised_floor</f>
        <v>924000.00000000012</v>
      </c>
      <c r="G2542" s="611">
        <f>F2542*E2542</f>
        <v>924000.00000000012</v>
      </c>
    </row>
    <row r="2543" spans="1:9" ht="15.75" hidden="1" customHeight="1" outlineLevel="2">
      <c r="A2543" s="613"/>
      <c r="B2543" s="612"/>
      <c r="C2543" s="613"/>
      <c r="D2543" s="612"/>
      <c r="E2543" s="613"/>
      <c r="F2543" s="611"/>
      <c r="G2543" s="611"/>
    </row>
    <row r="2544" spans="1:9" ht="15.75" hidden="1" customHeight="1" outlineLevel="2">
      <c r="A2544" s="613"/>
      <c r="B2544" s="612"/>
      <c r="C2544" s="613" t="s">
        <v>214</v>
      </c>
      <c r="D2544" s="612"/>
      <c r="E2544" s="613"/>
      <c r="F2544" s="611"/>
      <c r="G2544" s="611"/>
    </row>
    <row r="2545" spans="1:9" ht="15.75" hidden="1" customHeight="1" outlineLevel="2">
      <c r="A2545" s="613"/>
      <c r="B2545" s="612"/>
      <c r="C2545" s="613" t="s">
        <v>425</v>
      </c>
      <c r="D2545" s="612" t="s">
        <v>33</v>
      </c>
      <c r="E2545" s="613">
        <v>0.4</v>
      </c>
      <c r="F2545" s="611">
        <f>worker</f>
        <v>107800.00000000001</v>
      </c>
      <c r="G2545" s="611">
        <f>F2545*E2545</f>
        <v>43120.000000000007</v>
      </c>
    </row>
    <row r="2546" spans="1:9" ht="15.75" hidden="1" customHeight="1" outlineLevel="2">
      <c r="A2546" s="613"/>
      <c r="B2546" s="612"/>
      <c r="C2546" s="613" t="s">
        <v>426</v>
      </c>
      <c r="D2546" s="612" t="s">
        <v>33</v>
      </c>
      <c r="E2546" s="613">
        <v>0.2</v>
      </c>
      <c r="F2546" s="611">
        <f>brick_layer</f>
        <v>107800.00000000001</v>
      </c>
      <c r="G2546" s="611">
        <f>F2546*E2546</f>
        <v>21560.000000000004</v>
      </c>
      <c r="I2546" s="633" t="s">
        <v>427</v>
      </c>
    </row>
    <row r="2547" spans="1:9" ht="15.75" hidden="1" customHeight="1" outlineLevel="2">
      <c r="A2547" s="613"/>
      <c r="B2547" s="612"/>
      <c r="C2547" s="613" t="s">
        <v>2043</v>
      </c>
      <c r="D2547" s="612" t="s">
        <v>33</v>
      </c>
      <c r="E2547" s="613">
        <v>0.02</v>
      </c>
      <c r="F2547" s="611">
        <f>supervisor</f>
        <v>119350.00000000001</v>
      </c>
      <c r="G2547" s="611">
        <f>F2547*E2547</f>
        <v>2387.0000000000005</v>
      </c>
    </row>
    <row r="2548" spans="1:9" ht="15.75" hidden="1" customHeight="1" outlineLevel="2">
      <c r="A2548" s="613"/>
      <c r="B2548" s="612"/>
      <c r="C2548" s="613"/>
      <c r="D2548" s="612"/>
      <c r="E2548" s="613"/>
      <c r="F2548" s="611"/>
      <c r="G2548" s="611">
        <f>SUM(G2542:G2547)</f>
        <v>991067.00000000012</v>
      </c>
    </row>
    <row r="2549" spans="1:9" ht="15.75" hidden="1" customHeight="1" outlineLevel="2">
      <c r="A2549" s="613"/>
      <c r="B2549" s="612"/>
      <c r="C2549" s="613"/>
      <c r="D2549" s="612"/>
      <c r="E2549" s="613"/>
      <c r="F2549" s="611"/>
      <c r="G2549" s="611"/>
    </row>
    <row r="2550" spans="1:9" ht="15.75" customHeight="1" outlineLevel="1" collapsed="1">
      <c r="A2550" s="613" t="s">
        <v>2074</v>
      </c>
      <c r="B2550" s="612">
        <f>B2540+1</f>
        <v>12</v>
      </c>
      <c r="C2550" s="613" t="s">
        <v>2091</v>
      </c>
      <c r="D2550" s="612" t="s">
        <v>194</v>
      </c>
      <c r="E2550" s="613"/>
      <c r="F2550" s="611"/>
      <c r="G2550" s="611">
        <f>SUM(G2552:G2557)</f>
        <v>4583.9750000000004</v>
      </c>
    </row>
    <row r="2551" spans="1:9" ht="15.75" hidden="1" customHeight="1" outlineLevel="2">
      <c r="A2551" s="613"/>
      <c r="B2551" s="612"/>
      <c r="C2551" s="613" t="s">
        <v>214</v>
      </c>
      <c r="D2551" s="612"/>
      <c r="E2551" s="613"/>
      <c r="F2551" s="611"/>
      <c r="G2551" s="611"/>
    </row>
    <row r="2552" spans="1:9" ht="15.75" hidden="1" customHeight="1" outlineLevel="2">
      <c r="A2552" s="613"/>
      <c r="B2552" s="612"/>
      <c r="C2552" s="613" t="s">
        <v>32</v>
      </c>
      <c r="D2552" s="612" t="s">
        <v>33</v>
      </c>
      <c r="E2552" s="613">
        <v>0.01</v>
      </c>
      <c r="F2552" s="611">
        <f>worker</f>
        <v>107800.00000000001</v>
      </c>
      <c r="G2552" s="611">
        <f>F2552*E2552</f>
        <v>1078.0000000000002</v>
      </c>
    </row>
    <row r="2553" spans="1:9" ht="15.75" hidden="1" customHeight="1" outlineLevel="2">
      <c r="A2553" s="613"/>
      <c r="B2553" s="612"/>
      <c r="C2553" s="613" t="s">
        <v>393</v>
      </c>
      <c r="D2553" s="612" t="s">
        <v>921</v>
      </c>
      <c r="E2553" s="613">
        <v>5.0000000000000001E-3</v>
      </c>
      <c r="F2553" s="611">
        <f>supervisor_Asli</f>
        <v>155155</v>
      </c>
      <c r="G2553" s="611">
        <f>E2553*F2553</f>
        <v>775.77499999999998</v>
      </c>
    </row>
    <row r="2554" spans="1:9" ht="15.75" hidden="1" customHeight="1" outlineLevel="2">
      <c r="A2554" s="613"/>
      <c r="B2554" s="612"/>
      <c r="C2554" s="613"/>
      <c r="D2554" s="612"/>
      <c r="E2554" s="613"/>
      <c r="F2554" s="611"/>
      <c r="G2554" s="611"/>
    </row>
    <row r="2555" spans="1:9" ht="15.75" hidden="1" customHeight="1" outlineLevel="2">
      <c r="A2555" s="613"/>
      <c r="B2555" s="612"/>
      <c r="C2555" s="613" t="s">
        <v>429</v>
      </c>
      <c r="D2555" s="612"/>
      <c r="E2555" s="613"/>
      <c r="F2555" s="611"/>
      <c r="G2555" s="611"/>
    </row>
    <row r="2556" spans="1:9" ht="15.75" hidden="1" customHeight="1" outlineLevel="2">
      <c r="A2556" s="613"/>
      <c r="B2556" s="612"/>
      <c r="C2556" s="613" t="s">
        <v>1289</v>
      </c>
      <c r="D2556" s="612" t="s">
        <v>50</v>
      </c>
      <c r="E2556" s="613">
        <v>0.125</v>
      </c>
      <c r="F2556" s="611">
        <f>pvc_dia2</f>
        <v>15400.000000000002</v>
      </c>
      <c r="G2556" s="611">
        <f>F2556*E2556</f>
        <v>1925.0000000000002</v>
      </c>
    </row>
    <row r="2557" spans="1:9" ht="15.75" hidden="1" customHeight="1" outlineLevel="2">
      <c r="A2557" s="613"/>
      <c r="B2557" s="612"/>
      <c r="C2557" s="613" t="s">
        <v>2090</v>
      </c>
      <c r="D2557" s="612" t="s">
        <v>52</v>
      </c>
      <c r="E2557" s="613">
        <v>0.01</v>
      </c>
      <c r="F2557" s="611">
        <f>ijuk_kg</f>
        <v>80520</v>
      </c>
      <c r="G2557" s="611">
        <f>F2557*E2557</f>
        <v>805.2</v>
      </c>
    </row>
    <row r="2558" spans="1:9" ht="15.75" hidden="1" customHeight="1" outlineLevel="2">
      <c r="A2558" s="613"/>
      <c r="B2558" s="612"/>
      <c r="C2558" s="613"/>
      <c r="D2558" s="612"/>
      <c r="E2558" s="613"/>
      <c r="F2558" s="611"/>
      <c r="G2558" s="611"/>
    </row>
    <row r="2559" spans="1:9" ht="15.75" customHeight="1" outlineLevel="1" collapsed="1">
      <c r="A2559" s="613" t="s">
        <v>2074</v>
      </c>
      <c r="B2559" s="612">
        <f>B2550+1</f>
        <v>13</v>
      </c>
      <c r="C2559" s="613" t="s">
        <v>2014</v>
      </c>
      <c r="D2559" s="612" t="s">
        <v>194</v>
      </c>
      <c r="E2559" s="613"/>
      <c r="F2559" s="611"/>
      <c r="G2559" s="611">
        <f>G2573</f>
        <v>118515.75000000001</v>
      </c>
    </row>
    <row r="2560" spans="1:9" ht="15.75" hidden="1" customHeight="1" outlineLevel="2">
      <c r="A2560" s="613"/>
      <c r="B2560" s="612"/>
      <c r="C2560" s="613" t="s">
        <v>214</v>
      </c>
      <c r="D2560" s="612"/>
      <c r="E2560" s="613"/>
      <c r="F2560" s="611"/>
      <c r="G2560" s="611"/>
    </row>
    <row r="2561" spans="1:10" ht="15.75" hidden="1" customHeight="1" outlineLevel="2">
      <c r="A2561" s="613"/>
      <c r="B2561" s="612"/>
      <c r="C2561" s="613" t="s">
        <v>32</v>
      </c>
      <c r="D2561" s="612" t="s">
        <v>33</v>
      </c>
      <c r="E2561" s="613">
        <v>0.9</v>
      </c>
      <c r="F2561" s="611">
        <f>worker</f>
        <v>107800.00000000001</v>
      </c>
      <c r="G2561" s="611">
        <f>F2561*E2561</f>
        <v>97020.000000000015</v>
      </c>
    </row>
    <row r="2562" spans="1:10" ht="15.75" hidden="1" customHeight="1" outlineLevel="2">
      <c r="A2562" s="613"/>
      <c r="B2562" s="612"/>
      <c r="C2562" s="613" t="s">
        <v>36</v>
      </c>
      <c r="D2562" s="612" t="s">
        <v>33</v>
      </c>
      <c r="E2562" s="613">
        <v>4.4999999999999998E-2</v>
      </c>
      <c r="F2562" s="611">
        <f>supervisor</f>
        <v>119350.00000000001</v>
      </c>
      <c r="G2562" s="611">
        <f>F2562*E2562</f>
        <v>5370.7500000000009</v>
      </c>
      <c r="I2562" s="633" t="s">
        <v>225</v>
      </c>
    </row>
    <row r="2563" spans="1:10" ht="15.75" hidden="1" customHeight="1" outlineLevel="2">
      <c r="A2563" s="613"/>
      <c r="B2563" s="612"/>
      <c r="C2563" s="613"/>
      <c r="D2563" s="612"/>
      <c r="E2563" s="613"/>
      <c r="F2563" s="611"/>
      <c r="G2563" s="611"/>
    </row>
    <row r="2564" spans="1:10" ht="15.75" hidden="1" customHeight="1" outlineLevel="2">
      <c r="A2564" s="613"/>
      <c r="B2564" s="612"/>
      <c r="C2564" s="613" t="s">
        <v>70</v>
      </c>
      <c r="D2564" s="612"/>
      <c r="E2564" s="613"/>
      <c r="F2564" s="611"/>
      <c r="G2564" s="611"/>
    </row>
    <row r="2565" spans="1:10" ht="15.75" hidden="1" customHeight="1" outlineLevel="2">
      <c r="A2565" s="613"/>
      <c r="B2565" s="612"/>
      <c r="C2565" s="613" t="s">
        <v>428</v>
      </c>
      <c r="D2565" s="612" t="s">
        <v>65</v>
      </c>
      <c r="E2565" s="613">
        <v>0.05</v>
      </c>
      <c r="F2565" s="611">
        <v>50500</v>
      </c>
      <c r="G2565" s="611">
        <f>F2565*E2565</f>
        <v>2525</v>
      </c>
    </row>
    <row r="2566" spans="1:10" ht="15.75" hidden="1" customHeight="1" outlineLevel="2">
      <c r="A2566" s="613"/>
      <c r="B2566" s="612"/>
      <c r="C2566" s="613"/>
      <c r="D2566" s="612"/>
      <c r="E2566" s="613"/>
      <c r="F2566" s="611"/>
      <c r="G2566" s="611"/>
    </row>
    <row r="2567" spans="1:10" ht="15.75" hidden="1" customHeight="1" outlineLevel="2">
      <c r="A2567" s="613"/>
      <c r="B2567" s="612"/>
      <c r="C2567" s="613" t="s">
        <v>429</v>
      </c>
      <c r="D2567" s="612"/>
      <c r="E2567" s="613"/>
      <c r="F2567" s="611"/>
      <c r="G2567" s="611"/>
    </row>
    <row r="2568" spans="1:10" ht="15.75" hidden="1" customHeight="1" outlineLevel="2">
      <c r="A2568" s="613"/>
      <c r="B2568" s="612"/>
      <c r="C2568" s="613" t="s">
        <v>430</v>
      </c>
      <c r="D2568" s="612" t="s">
        <v>50</v>
      </c>
      <c r="E2568" s="613">
        <v>0.25</v>
      </c>
      <c r="F2568" s="611">
        <f>pvc_dia4</f>
        <v>33000</v>
      </c>
      <c r="G2568" s="611">
        <f>F2568*E2568</f>
        <v>8250</v>
      </c>
      <c r="J2568" s="633">
        <f>150000-G2579</f>
        <v>150000</v>
      </c>
    </row>
    <row r="2569" spans="1:10" ht="15.75" hidden="1" customHeight="1" outlineLevel="2">
      <c r="A2569" s="613"/>
      <c r="B2569" s="612"/>
      <c r="C2569" s="613" t="s">
        <v>431</v>
      </c>
      <c r="D2569" s="612" t="s">
        <v>50</v>
      </c>
      <c r="E2569" s="613">
        <v>0.25</v>
      </c>
      <c r="F2569" s="611">
        <f>pvc_dia1</f>
        <v>12100.000000000002</v>
      </c>
      <c r="G2569" s="611">
        <f>F2569*E2569</f>
        <v>3025.0000000000005</v>
      </c>
    </row>
    <row r="2570" spans="1:10" ht="15.75" hidden="1" customHeight="1" outlineLevel="2">
      <c r="A2570" s="613"/>
      <c r="B2570" s="612"/>
      <c r="C2570" s="613" t="s">
        <v>432</v>
      </c>
      <c r="D2570" s="612" t="s">
        <v>226</v>
      </c>
      <c r="E2570" s="613">
        <f>1/4</f>
        <v>0.25</v>
      </c>
      <c r="F2570" s="611">
        <f>knee_1</f>
        <v>3500</v>
      </c>
      <c r="G2570" s="611">
        <f>F2570*E2570</f>
        <v>875</v>
      </c>
    </row>
    <row r="2571" spans="1:10" ht="15.75" hidden="1" customHeight="1" outlineLevel="2">
      <c r="A2571" s="613"/>
      <c r="B2571" s="612"/>
      <c r="C2571" s="613" t="s">
        <v>433</v>
      </c>
      <c r="D2571" s="612" t="s">
        <v>226</v>
      </c>
      <c r="E2571" s="613">
        <f>1/5</f>
        <v>0.2</v>
      </c>
      <c r="F2571" s="611">
        <f>pipa_tape</f>
        <v>3500</v>
      </c>
      <c r="G2571" s="611">
        <f>F2571*E2571</f>
        <v>700</v>
      </c>
    </row>
    <row r="2572" spans="1:10" ht="15.75" hidden="1" customHeight="1" outlineLevel="2">
      <c r="A2572" s="613"/>
      <c r="B2572" s="612"/>
      <c r="C2572" s="613" t="s">
        <v>434</v>
      </c>
      <c r="D2572" s="612" t="s">
        <v>435</v>
      </c>
      <c r="E2572" s="613">
        <f>1/50</f>
        <v>0.02</v>
      </c>
      <c r="F2572" s="611">
        <f>lem_pipa</f>
        <v>37500</v>
      </c>
      <c r="G2572" s="611">
        <f>F2572*E2572</f>
        <v>750</v>
      </c>
    </row>
    <row r="2573" spans="1:10" ht="15.75" hidden="1" customHeight="1" outlineLevel="2">
      <c r="A2573" s="613"/>
      <c r="B2573" s="612"/>
      <c r="C2573" s="613"/>
      <c r="D2573" s="612"/>
      <c r="E2573" s="613"/>
      <c r="F2573" s="611"/>
      <c r="G2573" s="611">
        <f>G2561+G2562+G2565+G2568+G2569+G2570+G2571+G2572</f>
        <v>118515.75000000001</v>
      </c>
    </row>
    <row r="2574" spans="1:10" ht="16.5" hidden="1" customHeight="1" outlineLevel="2">
      <c r="A2574" s="613"/>
      <c r="B2574" s="612"/>
      <c r="C2574" s="613"/>
      <c r="D2574" s="612"/>
      <c r="E2574" s="613"/>
      <c r="F2574" s="611"/>
      <c r="G2574" s="611"/>
    </row>
    <row r="2575" spans="1:10" ht="15.75" customHeight="1" outlineLevel="1" collapsed="1">
      <c r="A2575" s="613" t="s">
        <v>2074</v>
      </c>
      <c r="B2575" s="612">
        <f>B2559+1</f>
        <v>14</v>
      </c>
      <c r="C2575" s="613" t="s">
        <v>2015</v>
      </c>
      <c r="D2575" s="612" t="s">
        <v>194</v>
      </c>
      <c r="E2575" s="613"/>
      <c r="F2575" s="611"/>
      <c r="G2575" s="611">
        <f>G2589</f>
        <v>110248.25000000001</v>
      </c>
    </row>
    <row r="2576" spans="1:10" ht="15.75" hidden="1" customHeight="1" outlineLevel="2">
      <c r="A2576" s="613"/>
      <c r="B2576" s="612"/>
      <c r="C2576" s="613" t="s">
        <v>214</v>
      </c>
      <c r="D2576" s="612"/>
      <c r="E2576" s="613"/>
      <c r="F2576" s="611"/>
      <c r="G2576" s="611"/>
    </row>
    <row r="2577" spans="1:10" ht="15.75" hidden="1" customHeight="1" outlineLevel="2">
      <c r="A2577" s="613"/>
      <c r="B2577" s="612"/>
      <c r="C2577" s="613" t="s">
        <v>32</v>
      </c>
      <c r="D2577" s="612" t="s">
        <v>33</v>
      </c>
      <c r="E2577" s="613">
        <v>0.9</v>
      </c>
      <c r="F2577" s="611">
        <f>worker</f>
        <v>107800.00000000001</v>
      </c>
      <c r="G2577" s="611">
        <f>F2577*E2577</f>
        <v>97020.000000000015</v>
      </c>
    </row>
    <row r="2578" spans="1:10" ht="15.75" hidden="1" customHeight="1" outlineLevel="2">
      <c r="A2578" s="613"/>
      <c r="B2578" s="612"/>
      <c r="C2578" s="613" t="s">
        <v>36</v>
      </c>
      <c r="D2578" s="612" t="s">
        <v>33</v>
      </c>
      <c r="E2578" s="613">
        <v>4.4999999999999998E-2</v>
      </c>
      <c r="F2578" s="611">
        <f>supervisor</f>
        <v>119350.00000000001</v>
      </c>
      <c r="G2578" s="611">
        <f>F2578*E2578</f>
        <v>5370.7500000000009</v>
      </c>
      <c r="I2578" s="633" t="s">
        <v>225</v>
      </c>
    </row>
    <row r="2579" spans="1:10" ht="15.75" hidden="1" customHeight="1" outlineLevel="2">
      <c r="A2579" s="613"/>
      <c r="B2579" s="612"/>
      <c r="C2579" s="613"/>
      <c r="D2579" s="612"/>
      <c r="E2579" s="613"/>
      <c r="F2579" s="611"/>
      <c r="G2579" s="611"/>
    </row>
    <row r="2580" spans="1:10" ht="15.75" hidden="1" customHeight="1" outlineLevel="2">
      <c r="A2580" s="613"/>
      <c r="B2580" s="612"/>
      <c r="C2580" s="613" t="s">
        <v>70</v>
      </c>
      <c r="D2580" s="612"/>
      <c r="E2580" s="613"/>
      <c r="F2580" s="611"/>
      <c r="G2580" s="611"/>
    </row>
    <row r="2581" spans="1:10" ht="15.75" hidden="1" customHeight="1" outlineLevel="2">
      <c r="A2581" s="613"/>
      <c r="B2581" s="612"/>
      <c r="C2581" s="613" t="s">
        <v>428</v>
      </c>
      <c r="D2581" s="612" t="s">
        <v>65</v>
      </c>
      <c r="E2581" s="613">
        <v>0.05</v>
      </c>
      <c r="F2581" s="611">
        <v>50500</v>
      </c>
      <c r="G2581" s="611">
        <f>F2581*E2581</f>
        <v>2525</v>
      </c>
    </row>
    <row r="2582" spans="1:10" ht="15.75" hidden="1" customHeight="1" outlineLevel="2">
      <c r="A2582" s="613"/>
      <c r="B2582" s="612"/>
      <c r="C2582" s="613"/>
      <c r="D2582" s="612"/>
      <c r="E2582" s="613"/>
      <c r="F2582" s="611"/>
      <c r="G2582" s="611"/>
    </row>
    <row r="2583" spans="1:10" ht="15.75" hidden="1" customHeight="1" outlineLevel="2">
      <c r="A2583" s="613"/>
      <c r="B2583" s="612"/>
      <c r="C2583" s="613" t="s">
        <v>429</v>
      </c>
      <c r="D2583" s="612"/>
      <c r="E2583" s="613"/>
      <c r="F2583" s="611"/>
      <c r="G2583" s="611"/>
    </row>
    <row r="2584" spans="1:10" ht="15.75" hidden="1" customHeight="1" outlineLevel="2">
      <c r="A2584" s="613"/>
      <c r="B2584" s="612"/>
      <c r="C2584" s="613" t="s">
        <v>436</v>
      </c>
      <c r="D2584" s="612" t="s">
        <v>50</v>
      </c>
      <c r="E2584" s="613">
        <v>0.25</v>
      </c>
      <c r="F2584" s="611">
        <f>pvc_dia0.5</f>
        <v>5390</v>
      </c>
      <c r="G2584" s="611">
        <f>F2584*E2584</f>
        <v>1347.5</v>
      </c>
      <c r="J2584" s="633">
        <f>150000-G2626</f>
        <v>150000</v>
      </c>
    </row>
    <row r="2585" spans="1:10" ht="15.75" hidden="1" customHeight="1" outlineLevel="2">
      <c r="A2585" s="613"/>
      <c r="B2585" s="612"/>
      <c r="C2585" s="613" t="s">
        <v>437</v>
      </c>
      <c r="D2585" s="612" t="s">
        <v>226</v>
      </c>
      <c r="E2585" s="613">
        <v>0.25</v>
      </c>
      <c r="F2585" s="611">
        <f>Elbow_0.5</f>
        <v>8140.0000000000009</v>
      </c>
      <c r="G2585" s="611">
        <f>F2585*E2585</f>
        <v>2035.0000000000002</v>
      </c>
    </row>
    <row r="2586" spans="1:10" ht="15.75" hidden="1" customHeight="1" outlineLevel="2">
      <c r="A2586" s="613"/>
      <c r="B2586" s="612"/>
      <c r="C2586" s="613" t="s">
        <v>438</v>
      </c>
      <c r="D2586" s="612" t="s">
        <v>226</v>
      </c>
      <c r="E2586" s="613">
        <f>1/4</f>
        <v>0.25</v>
      </c>
      <c r="F2586" s="611">
        <f>knee_0.5</f>
        <v>2000</v>
      </c>
      <c r="G2586" s="611">
        <f>F2586*E2586</f>
        <v>500</v>
      </c>
    </row>
    <row r="2587" spans="1:10" ht="15.75" hidden="1" customHeight="1" outlineLevel="2">
      <c r="A2587" s="613"/>
      <c r="B2587" s="612"/>
      <c r="C2587" s="613" t="s">
        <v>433</v>
      </c>
      <c r="D2587" s="612" t="s">
        <v>226</v>
      </c>
      <c r="E2587" s="613">
        <f>1/5</f>
        <v>0.2</v>
      </c>
      <c r="F2587" s="611">
        <f>pipa_tape</f>
        <v>3500</v>
      </c>
      <c r="G2587" s="611">
        <f>F2587*E2587</f>
        <v>700</v>
      </c>
    </row>
    <row r="2588" spans="1:10" ht="15.75" hidden="1" customHeight="1" outlineLevel="2">
      <c r="A2588" s="613"/>
      <c r="B2588" s="612"/>
      <c r="C2588" s="613" t="s">
        <v>434</v>
      </c>
      <c r="D2588" s="612" t="s">
        <v>435</v>
      </c>
      <c r="E2588" s="613">
        <f>1/50</f>
        <v>0.02</v>
      </c>
      <c r="F2588" s="611">
        <f>lem_pipa</f>
        <v>37500</v>
      </c>
      <c r="G2588" s="611">
        <f>F2588*E2588</f>
        <v>750</v>
      </c>
    </row>
    <row r="2589" spans="1:10" ht="15.75" hidden="1" customHeight="1" outlineLevel="2">
      <c r="A2589" s="613"/>
      <c r="B2589" s="612"/>
      <c r="C2589" s="613"/>
      <c r="D2589" s="612"/>
      <c r="E2589" s="613"/>
      <c r="F2589" s="611"/>
      <c r="G2589" s="611">
        <f>G2577+G2578+G2581+G2584+G2585+G2586+G2587+G2588</f>
        <v>110248.25000000001</v>
      </c>
    </row>
    <row r="2590" spans="1:10" ht="15.75" hidden="1" customHeight="1" outlineLevel="2">
      <c r="A2590" s="613"/>
      <c r="B2590" s="612"/>
      <c r="C2590" s="613"/>
      <c r="D2590" s="612"/>
      <c r="E2590" s="613"/>
      <c r="F2590" s="611"/>
      <c r="G2590" s="611"/>
    </row>
    <row r="2591" spans="1:10" ht="15.75" customHeight="1" outlineLevel="1" collapsed="1">
      <c r="A2591" s="613" t="s">
        <v>2074</v>
      </c>
      <c r="B2591" s="612">
        <f>B2575+1</f>
        <v>15</v>
      </c>
      <c r="C2591" s="613" t="s">
        <v>2016</v>
      </c>
      <c r="D2591" s="612" t="s">
        <v>194</v>
      </c>
      <c r="E2591" s="613"/>
      <c r="F2591" s="611"/>
      <c r="G2591" s="611">
        <f>G2605</f>
        <v>113290.75000000001</v>
      </c>
    </row>
    <row r="2592" spans="1:10" ht="15.75" hidden="1" customHeight="1" outlineLevel="2">
      <c r="A2592" s="613"/>
      <c r="B2592" s="612"/>
      <c r="C2592" s="613" t="s">
        <v>214</v>
      </c>
      <c r="D2592" s="612"/>
      <c r="E2592" s="613"/>
      <c r="F2592" s="611"/>
      <c r="G2592" s="611"/>
    </row>
    <row r="2593" spans="1:10" ht="15.75" hidden="1" customHeight="1" outlineLevel="2">
      <c r="A2593" s="613"/>
      <c r="B2593" s="612"/>
      <c r="C2593" s="613" t="s">
        <v>32</v>
      </c>
      <c r="D2593" s="612" t="s">
        <v>33</v>
      </c>
      <c r="E2593" s="613">
        <v>0.9</v>
      </c>
      <c r="F2593" s="611">
        <f>worker</f>
        <v>107800.00000000001</v>
      </c>
      <c r="G2593" s="611">
        <f>F2593*E2593</f>
        <v>97020.000000000015</v>
      </c>
    </row>
    <row r="2594" spans="1:10" ht="15.75" hidden="1" customHeight="1" outlineLevel="2">
      <c r="A2594" s="613"/>
      <c r="B2594" s="612"/>
      <c r="C2594" s="613" t="s">
        <v>36</v>
      </c>
      <c r="D2594" s="612" t="s">
        <v>33</v>
      </c>
      <c r="E2594" s="613">
        <v>4.4999999999999998E-2</v>
      </c>
      <c r="F2594" s="611">
        <f>supervisor</f>
        <v>119350.00000000001</v>
      </c>
      <c r="G2594" s="611">
        <f>F2594*E2594</f>
        <v>5370.7500000000009</v>
      </c>
      <c r="I2594" s="633" t="s">
        <v>225</v>
      </c>
    </row>
    <row r="2595" spans="1:10" ht="15.75" hidden="1" customHeight="1" outlineLevel="2">
      <c r="A2595" s="613"/>
      <c r="B2595" s="612"/>
      <c r="C2595" s="613"/>
      <c r="D2595" s="612"/>
      <c r="E2595" s="613"/>
      <c r="F2595" s="611"/>
      <c r="G2595" s="611"/>
    </row>
    <row r="2596" spans="1:10" ht="15.75" hidden="1" customHeight="1" outlineLevel="2">
      <c r="A2596" s="613"/>
      <c r="B2596" s="612"/>
      <c r="C2596" s="613" t="s">
        <v>70</v>
      </c>
      <c r="D2596" s="612"/>
      <c r="E2596" s="613"/>
      <c r="F2596" s="611"/>
      <c r="G2596" s="611"/>
    </row>
    <row r="2597" spans="1:10" ht="15.75" hidden="1" customHeight="1" outlineLevel="2">
      <c r="A2597" s="613"/>
      <c r="B2597" s="612"/>
      <c r="C2597" s="613" t="s">
        <v>428</v>
      </c>
      <c r="D2597" s="612" t="s">
        <v>65</v>
      </c>
      <c r="E2597" s="613">
        <v>0.05</v>
      </c>
      <c r="F2597" s="611">
        <v>50500</v>
      </c>
      <c r="G2597" s="611">
        <f>F2597*E2597</f>
        <v>2525</v>
      </c>
    </row>
    <row r="2598" spans="1:10" ht="15.75" hidden="1" customHeight="1" outlineLevel="2">
      <c r="A2598" s="613"/>
      <c r="B2598" s="612"/>
      <c r="C2598" s="613"/>
      <c r="D2598" s="612"/>
      <c r="E2598" s="613"/>
      <c r="F2598" s="611"/>
      <c r="G2598" s="611"/>
    </row>
    <row r="2599" spans="1:10" ht="15.75" hidden="1" customHeight="1" outlineLevel="2">
      <c r="A2599" s="613"/>
      <c r="B2599" s="612"/>
      <c r="C2599" s="613" t="s">
        <v>429</v>
      </c>
      <c r="D2599" s="612"/>
      <c r="E2599" s="613"/>
      <c r="F2599" s="611"/>
      <c r="G2599" s="611"/>
    </row>
    <row r="2600" spans="1:10" ht="15.75" hidden="1" customHeight="1" outlineLevel="2">
      <c r="A2600" s="613"/>
      <c r="B2600" s="612"/>
      <c r="C2600" s="613" t="s">
        <v>431</v>
      </c>
      <c r="D2600" s="612" t="s">
        <v>50</v>
      </c>
      <c r="E2600" s="613">
        <v>0.25</v>
      </c>
      <c r="F2600" s="611">
        <f>pvc_dia1</f>
        <v>12100.000000000002</v>
      </c>
      <c r="G2600" s="611">
        <f>F2600*E2600</f>
        <v>3025.0000000000005</v>
      </c>
      <c r="J2600" s="633">
        <f>150000-G2642</f>
        <v>150000</v>
      </c>
    </row>
    <row r="2601" spans="1:10" ht="15.75" hidden="1" customHeight="1" outlineLevel="2">
      <c r="A2601" s="613"/>
      <c r="B2601" s="612"/>
      <c r="C2601" s="613" t="s">
        <v>1309</v>
      </c>
      <c r="D2601" s="612" t="s">
        <v>226</v>
      </c>
      <c r="E2601" s="613">
        <v>0.25</v>
      </c>
      <c r="F2601" s="611">
        <f>Elbow_1</f>
        <v>12100.000000000002</v>
      </c>
      <c r="G2601" s="611">
        <f>F2601*E2601</f>
        <v>3025.0000000000005</v>
      </c>
    </row>
    <row r="2602" spans="1:10" ht="15.75" hidden="1" customHeight="1" outlineLevel="2">
      <c r="A2602" s="613"/>
      <c r="B2602" s="612"/>
      <c r="C2602" s="613" t="s">
        <v>1310</v>
      </c>
      <c r="D2602" s="612" t="s">
        <v>226</v>
      </c>
      <c r="E2602" s="613">
        <f>1/4</f>
        <v>0.25</v>
      </c>
      <c r="F2602" s="611">
        <f>knee_1</f>
        <v>3500</v>
      </c>
      <c r="G2602" s="611">
        <f>F2602*E2602</f>
        <v>875</v>
      </c>
    </row>
    <row r="2603" spans="1:10" ht="15.75" hidden="1" customHeight="1" outlineLevel="2">
      <c r="A2603" s="613"/>
      <c r="B2603" s="612"/>
      <c r="C2603" s="613" t="s">
        <v>433</v>
      </c>
      <c r="D2603" s="612" t="s">
        <v>226</v>
      </c>
      <c r="E2603" s="613">
        <f>1/5</f>
        <v>0.2</v>
      </c>
      <c r="F2603" s="611">
        <f>pipa_tape</f>
        <v>3500</v>
      </c>
      <c r="G2603" s="611">
        <f>F2603*E2603</f>
        <v>700</v>
      </c>
    </row>
    <row r="2604" spans="1:10" ht="15.75" hidden="1" customHeight="1" outlineLevel="2">
      <c r="A2604" s="613"/>
      <c r="B2604" s="612"/>
      <c r="C2604" s="613" t="s">
        <v>434</v>
      </c>
      <c r="D2604" s="612" t="s">
        <v>435</v>
      </c>
      <c r="E2604" s="613">
        <f>1/50</f>
        <v>0.02</v>
      </c>
      <c r="F2604" s="611">
        <f>lem_pipa</f>
        <v>37500</v>
      </c>
      <c r="G2604" s="611">
        <f>F2604*E2604</f>
        <v>750</v>
      </c>
    </row>
    <row r="2605" spans="1:10" ht="15.75" hidden="1" customHeight="1" outlineLevel="2">
      <c r="A2605" s="613"/>
      <c r="B2605" s="612"/>
      <c r="C2605" s="613"/>
      <c r="D2605" s="612"/>
      <c r="E2605" s="613"/>
      <c r="F2605" s="611"/>
      <c r="G2605" s="611">
        <f>G2593+G2594+G2597+G2600+G2601+G2602+G2603+G2604</f>
        <v>113290.75000000001</v>
      </c>
    </row>
    <row r="2606" spans="1:10" ht="15.75" hidden="1" customHeight="1" outlineLevel="2">
      <c r="A2606" s="613"/>
      <c r="B2606" s="612"/>
      <c r="C2606" s="613"/>
      <c r="D2606" s="612"/>
      <c r="E2606" s="613"/>
      <c r="F2606" s="611"/>
      <c r="G2606" s="611"/>
    </row>
    <row r="2607" spans="1:10" ht="15.75" customHeight="1" outlineLevel="1" collapsed="1">
      <c r="A2607" s="613" t="s">
        <v>2074</v>
      </c>
      <c r="B2607" s="612">
        <f>B2591+1</f>
        <v>16</v>
      </c>
      <c r="C2607" s="613" t="s">
        <v>2017</v>
      </c>
      <c r="D2607" s="612" t="s">
        <v>194</v>
      </c>
      <c r="E2607" s="613"/>
      <c r="F2607" s="611"/>
      <c r="G2607" s="611">
        <f>G2621</f>
        <v>116815.75000000001</v>
      </c>
    </row>
    <row r="2608" spans="1:10" ht="15.75" hidden="1" customHeight="1" outlineLevel="2">
      <c r="A2608" s="613"/>
      <c r="B2608" s="612"/>
      <c r="C2608" s="613" t="s">
        <v>214</v>
      </c>
      <c r="D2608" s="612"/>
      <c r="E2608" s="613"/>
      <c r="F2608" s="611"/>
      <c r="G2608" s="611"/>
    </row>
    <row r="2609" spans="1:10" ht="15.75" hidden="1" customHeight="1" outlineLevel="2">
      <c r="A2609" s="613"/>
      <c r="B2609" s="612"/>
      <c r="C2609" s="613" t="s">
        <v>32</v>
      </c>
      <c r="D2609" s="612" t="s">
        <v>33</v>
      </c>
      <c r="E2609" s="613">
        <v>0.9</v>
      </c>
      <c r="F2609" s="611">
        <f>worker</f>
        <v>107800.00000000001</v>
      </c>
      <c r="G2609" s="611">
        <f>F2609*E2609</f>
        <v>97020.000000000015</v>
      </c>
      <c r="I2609" s="633" t="s">
        <v>103</v>
      </c>
    </row>
    <row r="2610" spans="1:10" ht="15.75" hidden="1" customHeight="1" outlineLevel="2">
      <c r="A2610" s="613"/>
      <c r="B2610" s="612"/>
      <c r="C2610" s="613" t="s">
        <v>36</v>
      </c>
      <c r="D2610" s="612" t="s">
        <v>33</v>
      </c>
      <c r="E2610" s="613">
        <v>4.4999999999999998E-2</v>
      </c>
      <c r="F2610" s="611">
        <f>supervisor</f>
        <v>119350.00000000001</v>
      </c>
      <c r="G2610" s="611">
        <f>F2610*E2610</f>
        <v>5370.7500000000009</v>
      </c>
    </row>
    <row r="2611" spans="1:10" ht="15.75" hidden="1" customHeight="1" outlineLevel="2">
      <c r="A2611" s="613"/>
      <c r="B2611" s="612"/>
      <c r="C2611" s="613"/>
      <c r="D2611" s="612"/>
      <c r="E2611" s="613"/>
      <c r="F2611" s="611"/>
      <c r="G2611" s="611"/>
    </row>
    <row r="2612" spans="1:10" ht="15.75" hidden="1" customHeight="1" outlineLevel="2">
      <c r="A2612" s="613"/>
      <c r="B2612" s="612"/>
      <c r="C2612" s="613" t="s">
        <v>70</v>
      </c>
      <c r="D2612" s="612"/>
      <c r="E2612" s="613"/>
      <c r="F2612" s="611"/>
      <c r="G2612" s="611"/>
    </row>
    <row r="2613" spans="1:10" ht="15.75" hidden="1" customHeight="1" outlineLevel="2">
      <c r="A2613" s="613"/>
      <c r="B2613" s="612"/>
      <c r="C2613" s="613" t="s">
        <v>428</v>
      </c>
      <c r="D2613" s="612" t="s">
        <v>65</v>
      </c>
      <c r="E2613" s="613">
        <v>0.05</v>
      </c>
      <c r="F2613" s="611">
        <v>50500</v>
      </c>
      <c r="G2613" s="611">
        <f>F2613*E2613</f>
        <v>2525</v>
      </c>
    </row>
    <row r="2614" spans="1:10" ht="15.75" hidden="1" customHeight="1" outlineLevel="2">
      <c r="A2614" s="613"/>
      <c r="B2614" s="612"/>
      <c r="C2614" s="613"/>
      <c r="D2614" s="612"/>
      <c r="E2614" s="613"/>
      <c r="F2614" s="611"/>
      <c r="G2614" s="611"/>
    </row>
    <row r="2615" spans="1:10" ht="12.75" hidden="1" outlineLevel="2">
      <c r="A2615" s="613"/>
      <c r="B2615" s="612"/>
      <c r="C2615" s="613" t="s">
        <v>429</v>
      </c>
      <c r="D2615" s="612"/>
      <c r="E2615" s="613"/>
      <c r="F2615" s="611"/>
      <c r="G2615" s="611"/>
    </row>
    <row r="2616" spans="1:10" ht="12.75" hidden="1" outlineLevel="2">
      <c r="A2616" s="613"/>
      <c r="B2616" s="612"/>
      <c r="C2616" s="613" t="s">
        <v>1289</v>
      </c>
      <c r="D2616" s="612" t="s">
        <v>50</v>
      </c>
      <c r="E2616" s="613">
        <v>0.25</v>
      </c>
      <c r="F2616" s="611">
        <f>pvc_dia2</f>
        <v>15400.000000000002</v>
      </c>
      <c r="G2616" s="611">
        <f>F2616*E2616</f>
        <v>3850.0000000000005</v>
      </c>
    </row>
    <row r="2617" spans="1:10" ht="15.75" hidden="1" customHeight="1" outlineLevel="2">
      <c r="A2617" s="613"/>
      <c r="B2617" s="612"/>
      <c r="C2617" s="613" t="s">
        <v>1290</v>
      </c>
      <c r="D2617" s="612" t="s">
        <v>226</v>
      </c>
      <c r="E2617" s="613">
        <v>0.25</v>
      </c>
      <c r="F2617" s="611">
        <f>Elbow_2</f>
        <v>9900</v>
      </c>
      <c r="G2617" s="611">
        <f>F2617*E2617</f>
        <v>2475</v>
      </c>
    </row>
    <row r="2618" spans="1:10" ht="15.75" hidden="1" customHeight="1" outlineLevel="2">
      <c r="A2618" s="613"/>
      <c r="B2618" s="612"/>
      <c r="C2618" s="613" t="s">
        <v>1291</v>
      </c>
      <c r="D2618" s="612" t="s">
        <v>226</v>
      </c>
      <c r="E2618" s="613">
        <f>1/4</f>
        <v>0.25</v>
      </c>
      <c r="F2618" s="611">
        <f>knee_2in</f>
        <v>16500</v>
      </c>
      <c r="G2618" s="611">
        <f>F2618*E2618</f>
        <v>4125</v>
      </c>
    </row>
    <row r="2619" spans="1:10" ht="15.75" hidden="1" customHeight="1" outlineLevel="2">
      <c r="A2619" s="613"/>
      <c r="B2619" s="612"/>
      <c r="C2619" s="613" t="s">
        <v>433</v>
      </c>
      <c r="D2619" s="612" t="s">
        <v>226</v>
      </c>
      <c r="E2619" s="613">
        <f>1/5</f>
        <v>0.2</v>
      </c>
      <c r="F2619" s="611">
        <f>pipa_tape</f>
        <v>3500</v>
      </c>
      <c r="G2619" s="611">
        <f>F2619*E2619</f>
        <v>700</v>
      </c>
    </row>
    <row r="2620" spans="1:10" ht="15.75" hidden="1" customHeight="1" outlineLevel="2">
      <c r="A2620" s="613"/>
      <c r="B2620" s="612"/>
      <c r="C2620" s="613" t="s">
        <v>434</v>
      </c>
      <c r="D2620" s="612" t="s">
        <v>435</v>
      </c>
      <c r="E2620" s="613">
        <f>1/50</f>
        <v>0.02</v>
      </c>
      <c r="F2620" s="611">
        <f>lem_pipa</f>
        <v>37500</v>
      </c>
      <c r="G2620" s="611">
        <f>F2620*E2620</f>
        <v>750</v>
      </c>
      <c r="J2620" s="633">
        <f>14285.71/4179.23</f>
        <v>3.4182636514381839</v>
      </c>
    </row>
    <row r="2621" spans="1:10" ht="15.75" hidden="1" customHeight="1" outlineLevel="2">
      <c r="A2621" s="613"/>
      <c r="B2621" s="612"/>
      <c r="C2621" s="613"/>
      <c r="D2621" s="612"/>
      <c r="E2621" s="613"/>
      <c r="F2621" s="611"/>
      <c r="G2621" s="611">
        <f>G2609+G2610+G2613+G2616+G2617+G2618+G2619+G2620</f>
        <v>116815.75000000001</v>
      </c>
    </row>
    <row r="2622" spans="1:10" ht="15.75" customHeight="1" outlineLevel="1" collapsed="1">
      <c r="A2622" s="613" t="s">
        <v>2074</v>
      </c>
      <c r="B2622" s="612">
        <f>B2607+1</f>
        <v>17</v>
      </c>
      <c r="C2622" s="613" t="s">
        <v>2018</v>
      </c>
      <c r="D2622" s="612" t="s">
        <v>194</v>
      </c>
      <c r="E2622" s="613"/>
      <c r="F2622" s="611"/>
      <c r="G2622" s="611">
        <f>G2636</f>
        <v>169698.25000000003</v>
      </c>
    </row>
    <row r="2623" spans="1:10" ht="15.75" hidden="1" customHeight="1" outlineLevel="2">
      <c r="A2623" s="613"/>
      <c r="B2623" s="612"/>
      <c r="C2623" s="613" t="s">
        <v>214</v>
      </c>
      <c r="D2623" s="612"/>
      <c r="E2623" s="613"/>
      <c r="F2623" s="611"/>
      <c r="G2623" s="611"/>
    </row>
    <row r="2624" spans="1:10" ht="15.75" hidden="1" customHeight="1" outlineLevel="2">
      <c r="A2624" s="613"/>
      <c r="B2624" s="612"/>
      <c r="C2624" s="613" t="s">
        <v>32</v>
      </c>
      <c r="D2624" s="612" t="s">
        <v>33</v>
      </c>
      <c r="E2624" s="613">
        <v>0.9</v>
      </c>
      <c r="F2624" s="611">
        <f>worker</f>
        <v>107800.00000000001</v>
      </c>
      <c r="G2624" s="611">
        <f>F2624*E2624</f>
        <v>97020.000000000015</v>
      </c>
      <c r="I2624" s="633" t="s">
        <v>103</v>
      </c>
    </row>
    <row r="2625" spans="1:10" ht="15.75" hidden="1" customHeight="1" outlineLevel="2">
      <c r="A2625" s="613"/>
      <c r="B2625" s="612"/>
      <c r="C2625" s="613" t="s">
        <v>36</v>
      </c>
      <c r="D2625" s="612" t="s">
        <v>33</v>
      </c>
      <c r="E2625" s="613">
        <v>4.4999999999999998E-2</v>
      </c>
      <c r="F2625" s="611">
        <f>supervisor</f>
        <v>119350.00000000001</v>
      </c>
      <c r="G2625" s="611">
        <f>F2625*E2625</f>
        <v>5370.7500000000009</v>
      </c>
    </row>
    <row r="2626" spans="1:10" ht="15.75" hidden="1" customHeight="1" outlineLevel="2">
      <c r="A2626" s="613"/>
      <c r="B2626" s="612"/>
      <c r="C2626" s="613"/>
      <c r="D2626" s="612"/>
      <c r="E2626" s="613"/>
      <c r="F2626" s="611"/>
      <c r="G2626" s="611"/>
    </row>
    <row r="2627" spans="1:10" ht="15.75" hidden="1" customHeight="1" outlineLevel="2">
      <c r="A2627" s="613"/>
      <c r="B2627" s="612"/>
      <c r="C2627" s="613" t="s">
        <v>70</v>
      </c>
      <c r="D2627" s="612"/>
      <c r="E2627" s="613"/>
      <c r="F2627" s="611"/>
      <c r="G2627" s="611"/>
    </row>
    <row r="2628" spans="1:10" ht="15.75" hidden="1" customHeight="1" outlineLevel="2">
      <c r="A2628" s="613"/>
      <c r="B2628" s="612"/>
      <c r="C2628" s="613" t="s">
        <v>428</v>
      </c>
      <c r="D2628" s="612" t="s">
        <v>65</v>
      </c>
      <c r="E2628" s="613">
        <v>0.05</v>
      </c>
      <c r="F2628" s="611">
        <v>50500</v>
      </c>
      <c r="G2628" s="611">
        <f>F2628*E2628</f>
        <v>2525</v>
      </c>
    </row>
    <row r="2629" spans="1:10" ht="15.75" hidden="1" customHeight="1" outlineLevel="2">
      <c r="A2629" s="613"/>
      <c r="B2629" s="612"/>
      <c r="C2629" s="613"/>
      <c r="D2629" s="612"/>
      <c r="E2629" s="613"/>
      <c r="F2629" s="611"/>
      <c r="G2629" s="611"/>
    </row>
    <row r="2630" spans="1:10" ht="12.75" hidden="1" outlineLevel="2">
      <c r="A2630" s="613"/>
      <c r="B2630" s="612"/>
      <c r="C2630" s="613" t="s">
        <v>429</v>
      </c>
      <c r="D2630" s="612"/>
      <c r="E2630" s="613"/>
      <c r="F2630" s="611"/>
      <c r="G2630" s="611"/>
    </row>
    <row r="2631" spans="1:10" ht="12.75" hidden="1" outlineLevel="2">
      <c r="A2631" s="613"/>
      <c r="B2631" s="612"/>
      <c r="C2631" s="613" t="s">
        <v>439</v>
      </c>
      <c r="D2631" s="612" t="s">
        <v>50</v>
      </c>
      <c r="E2631" s="613">
        <v>0.25</v>
      </c>
      <c r="F2631" s="611">
        <f>pvc_dia3</f>
        <v>27500.000000000004</v>
      </c>
      <c r="G2631" s="611">
        <f>F2631*E2631</f>
        <v>6875.0000000000009</v>
      </c>
    </row>
    <row r="2632" spans="1:10" ht="15.75" hidden="1" customHeight="1" outlineLevel="2">
      <c r="A2632" s="613"/>
      <c r="B2632" s="612"/>
      <c r="C2632" s="613" t="s">
        <v>440</v>
      </c>
      <c r="D2632" s="612" t="s">
        <v>226</v>
      </c>
      <c r="E2632" s="613">
        <v>0.25</v>
      </c>
      <c r="F2632" s="611">
        <f>Elbow_3</f>
        <v>188100.00000000003</v>
      </c>
      <c r="G2632" s="611">
        <f>F2632*E2632</f>
        <v>47025.000000000007</v>
      </c>
    </row>
    <row r="2633" spans="1:10" ht="15.75" hidden="1" customHeight="1" outlineLevel="2">
      <c r="A2633" s="613"/>
      <c r="B2633" s="612"/>
      <c r="C2633" s="613" t="s">
        <v>441</v>
      </c>
      <c r="D2633" s="612" t="s">
        <v>226</v>
      </c>
      <c r="E2633" s="613">
        <f>1/4</f>
        <v>0.25</v>
      </c>
      <c r="F2633" s="611">
        <f>knee_3</f>
        <v>37730</v>
      </c>
      <c r="G2633" s="611">
        <f>F2633*E2633</f>
        <v>9432.5</v>
      </c>
    </row>
    <row r="2634" spans="1:10" ht="15.75" hidden="1" customHeight="1" outlineLevel="2">
      <c r="A2634" s="613"/>
      <c r="B2634" s="612"/>
      <c r="C2634" s="613" t="s">
        <v>433</v>
      </c>
      <c r="D2634" s="612" t="s">
        <v>226</v>
      </c>
      <c r="E2634" s="613">
        <f>1/5</f>
        <v>0.2</v>
      </c>
      <c r="F2634" s="611">
        <f>pipa_tape</f>
        <v>3500</v>
      </c>
      <c r="G2634" s="611">
        <f>F2634*E2634</f>
        <v>700</v>
      </c>
    </row>
    <row r="2635" spans="1:10" ht="15.75" hidden="1" customHeight="1" outlineLevel="2">
      <c r="A2635" s="613"/>
      <c r="B2635" s="612"/>
      <c r="C2635" s="613" t="s">
        <v>434</v>
      </c>
      <c r="D2635" s="612" t="s">
        <v>435</v>
      </c>
      <c r="E2635" s="613">
        <f>1/50</f>
        <v>0.02</v>
      </c>
      <c r="F2635" s="611">
        <f>lem_pipa</f>
        <v>37500</v>
      </c>
      <c r="G2635" s="611">
        <f>F2635*E2635</f>
        <v>750</v>
      </c>
      <c r="J2635" s="633">
        <f>14285.71/4179.23</f>
        <v>3.4182636514381839</v>
      </c>
    </row>
    <row r="2636" spans="1:10" ht="15.75" hidden="1" customHeight="1" outlineLevel="2">
      <c r="A2636" s="613"/>
      <c r="B2636" s="612"/>
      <c r="C2636" s="613"/>
      <c r="D2636" s="612"/>
      <c r="E2636" s="613"/>
      <c r="F2636" s="611"/>
      <c r="G2636" s="611">
        <f>G2624+G2625+G2628+G2631+G2632+G2633+G2634+G2635</f>
        <v>169698.25000000003</v>
      </c>
    </row>
    <row r="2637" spans="1:10" ht="15.75" customHeight="1" outlineLevel="1" collapsed="1">
      <c r="A2637" s="613" t="s">
        <v>2074</v>
      </c>
      <c r="B2637" s="612">
        <f>B2622+1</f>
        <v>18</v>
      </c>
      <c r="C2637" s="613" t="s">
        <v>2019</v>
      </c>
      <c r="D2637" s="612" t="s">
        <v>194</v>
      </c>
      <c r="E2637" s="613"/>
      <c r="F2637" s="611"/>
      <c r="G2637" s="611">
        <f>G2651</f>
        <v>243920.75000000003</v>
      </c>
    </row>
    <row r="2638" spans="1:10" ht="15.75" hidden="1" customHeight="1" outlineLevel="2">
      <c r="A2638" s="613"/>
      <c r="B2638" s="612"/>
      <c r="C2638" s="613" t="s">
        <v>214</v>
      </c>
      <c r="D2638" s="612"/>
      <c r="E2638" s="613"/>
      <c r="F2638" s="611"/>
      <c r="G2638" s="611"/>
    </row>
    <row r="2639" spans="1:10" ht="15.75" hidden="1" customHeight="1" outlineLevel="2">
      <c r="A2639" s="613"/>
      <c r="B2639" s="612"/>
      <c r="C2639" s="613" t="s">
        <v>32</v>
      </c>
      <c r="D2639" s="612" t="s">
        <v>33</v>
      </c>
      <c r="E2639" s="613">
        <v>0.9</v>
      </c>
      <c r="F2639" s="611">
        <f>worker</f>
        <v>107800.00000000001</v>
      </c>
      <c r="G2639" s="611">
        <f>F2639*E2639</f>
        <v>97020.000000000015</v>
      </c>
      <c r="I2639" s="633" t="s">
        <v>103</v>
      </c>
    </row>
    <row r="2640" spans="1:10" ht="15.75" hidden="1" customHeight="1" outlineLevel="2">
      <c r="A2640" s="613"/>
      <c r="B2640" s="612"/>
      <c r="C2640" s="613" t="s">
        <v>36</v>
      </c>
      <c r="D2640" s="612" t="s">
        <v>33</v>
      </c>
      <c r="E2640" s="613">
        <v>4.4999999999999998E-2</v>
      </c>
      <c r="F2640" s="611">
        <f>supervisor</f>
        <v>119350.00000000001</v>
      </c>
      <c r="G2640" s="611">
        <f>F2640*E2640</f>
        <v>5370.7500000000009</v>
      </c>
    </row>
    <row r="2641" spans="1:10" ht="15.75" hidden="1" customHeight="1" outlineLevel="2">
      <c r="A2641" s="613"/>
      <c r="B2641" s="612"/>
      <c r="C2641" s="613"/>
      <c r="D2641" s="612"/>
      <c r="E2641" s="613"/>
      <c r="F2641" s="611"/>
      <c r="G2641" s="611"/>
    </row>
    <row r="2642" spans="1:10" ht="15.75" hidden="1" customHeight="1" outlineLevel="2">
      <c r="A2642" s="613"/>
      <c r="B2642" s="612"/>
      <c r="C2642" s="613" t="s">
        <v>70</v>
      </c>
      <c r="D2642" s="612"/>
      <c r="E2642" s="613"/>
      <c r="F2642" s="611"/>
      <c r="G2642" s="611"/>
    </row>
    <row r="2643" spans="1:10" ht="15.75" hidden="1" customHeight="1" outlineLevel="2">
      <c r="A2643" s="613"/>
      <c r="B2643" s="612"/>
      <c r="C2643" s="613" t="s">
        <v>428</v>
      </c>
      <c r="D2643" s="612" t="s">
        <v>65</v>
      </c>
      <c r="E2643" s="613">
        <v>0.05</v>
      </c>
      <c r="F2643" s="611">
        <v>50500</v>
      </c>
      <c r="G2643" s="611">
        <f>F2643*E2643</f>
        <v>2525</v>
      </c>
    </row>
    <row r="2644" spans="1:10" ht="15.75" hidden="1" customHeight="1" outlineLevel="2">
      <c r="A2644" s="613"/>
      <c r="B2644" s="612"/>
      <c r="C2644" s="613"/>
      <c r="D2644" s="612"/>
      <c r="E2644" s="613"/>
      <c r="F2644" s="611"/>
      <c r="G2644" s="611"/>
    </row>
    <row r="2645" spans="1:10" ht="12.75" hidden="1" outlineLevel="2">
      <c r="A2645" s="613"/>
      <c r="B2645" s="612"/>
      <c r="C2645" s="613" t="s">
        <v>429</v>
      </c>
      <c r="D2645" s="612"/>
      <c r="E2645" s="613"/>
      <c r="F2645" s="611"/>
      <c r="G2645" s="611"/>
    </row>
    <row r="2646" spans="1:10" ht="12.75" hidden="1" outlineLevel="2">
      <c r="A2646" s="613"/>
      <c r="B2646" s="612"/>
      <c r="C2646" s="613" t="s">
        <v>811</v>
      </c>
      <c r="D2646" s="612" t="s">
        <v>50</v>
      </c>
      <c r="E2646" s="613">
        <v>0.25</v>
      </c>
      <c r="F2646" s="611">
        <f>pvc_dia4</f>
        <v>33000</v>
      </c>
      <c r="G2646" s="611">
        <f>F2646*E2646</f>
        <v>8250</v>
      </c>
    </row>
    <row r="2647" spans="1:10" ht="15.75" hidden="1" customHeight="1" outlineLevel="2">
      <c r="A2647" s="613"/>
      <c r="B2647" s="612"/>
      <c r="C2647" s="613" t="s">
        <v>812</v>
      </c>
      <c r="D2647" s="612" t="s">
        <v>226</v>
      </c>
      <c r="E2647" s="613">
        <v>0.25</v>
      </c>
      <c r="F2647" s="611">
        <f>elbow_4in</f>
        <v>446600.00000000006</v>
      </c>
      <c r="G2647" s="611">
        <f>F2647*E2647</f>
        <v>111650.00000000001</v>
      </c>
    </row>
    <row r="2648" spans="1:10" ht="15.75" hidden="1" customHeight="1" outlineLevel="2">
      <c r="A2648" s="613"/>
      <c r="B2648" s="612"/>
      <c r="C2648" s="613" t="s">
        <v>813</v>
      </c>
      <c r="D2648" s="612" t="s">
        <v>226</v>
      </c>
      <c r="E2648" s="613">
        <f>1/4</f>
        <v>0.25</v>
      </c>
      <c r="F2648" s="611">
        <f>knee_4in</f>
        <v>70620</v>
      </c>
      <c r="G2648" s="611">
        <f>F2648*E2648</f>
        <v>17655</v>
      </c>
    </row>
    <row r="2649" spans="1:10" ht="15.75" hidden="1" customHeight="1" outlineLevel="2">
      <c r="A2649" s="613"/>
      <c r="B2649" s="612"/>
      <c r="C2649" s="613" t="s">
        <v>433</v>
      </c>
      <c r="D2649" s="612" t="s">
        <v>226</v>
      </c>
      <c r="E2649" s="613">
        <f>1/5</f>
        <v>0.2</v>
      </c>
      <c r="F2649" s="611">
        <f>pipa_tape</f>
        <v>3500</v>
      </c>
      <c r="G2649" s="611">
        <f>F2649*E2649</f>
        <v>700</v>
      </c>
    </row>
    <row r="2650" spans="1:10" ht="15.75" hidden="1" customHeight="1" outlineLevel="2">
      <c r="A2650" s="613"/>
      <c r="B2650" s="612"/>
      <c r="C2650" s="613" t="s">
        <v>434</v>
      </c>
      <c r="D2650" s="612" t="s">
        <v>435</v>
      </c>
      <c r="E2650" s="613">
        <f>1/50</f>
        <v>0.02</v>
      </c>
      <c r="F2650" s="611">
        <f>lem_pipa</f>
        <v>37500</v>
      </c>
      <c r="G2650" s="611">
        <f>F2650*E2650</f>
        <v>750</v>
      </c>
      <c r="J2650" s="633">
        <f>14285.71/4179.23</f>
        <v>3.4182636514381839</v>
      </c>
    </row>
    <row r="2651" spans="1:10" ht="15.75" hidden="1" customHeight="1" outlineLevel="2">
      <c r="A2651" s="613"/>
      <c r="B2651" s="612"/>
      <c r="C2651" s="613"/>
      <c r="D2651" s="612"/>
      <c r="E2651" s="613"/>
      <c r="F2651" s="611"/>
      <c r="G2651" s="611">
        <f>G2639+G2640+G2643+G2646+G2647+G2648+G2649+G2650</f>
        <v>243920.75000000003</v>
      </c>
    </row>
    <row r="2652" spans="1:10" ht="15.75" customHeight="1" outlineLevel="1" collapsed="1">
      <c r="A2652" s="613" t="s">
        <v>2074</v>
      </c>
      <c r="B2652" s="612">
        <f>B2637+1</f>
        <v>19</v>
      </c>
      <c r="C2652" s="613" t="s">
        <v>2020</v>
      </c>
      <c r="D2652" s="612" t="s">
        <v>194</v>
      </c>
      <c r="E2652" s="613"/>
      <c r="F2652" s="611"/>
      <c r="G2652" s="611">
        <f>G2665</f>
        <v>349245.75000000006</v>
      </c>
    </row>
    <row r="2653" spans="1:10" ht="15.75" hidden="1" customHeight="1" outlineLevel="2">
      <c r="A2653" s="613"/>
      <c r="B2653" s="612"/>
      <c r="C2653" s="613" t="s">
        <v>214</v>
      </c>
      <c r="D2653" s="612"/>
      <c r="E2653" s="613"/>
      <c r="F2653" s="611"/>
      <c r="G2653" s="611"/>
    </row>
    <row r="2654" spans="1:10" ht="15.75" hidden="1" customHeight="1" outlineLevel="2">
      <c r="A2654" s="613"/>
      <c r="B2654" s="612"/>
      <c r="C2654" s="613" t="s">
        <v>32</v>
      </c>
      <c r="D2654" s="612" t="s">
        <v>33</v>
      </c>
      <c r="E2654" s="613">
        <v>0.9</v>
      </c>
      <c r="F2654" s="611">
        <f>worker</f>
        <v>107800.00000000001</v>
      </c>
      <c r="G2654" s="611">
        <f>F2654*E2654</f>
        <v>97020.000000000015</v>
      </c>
      <c r="I2654" s="633" t="s">
        <v>103</v>
      </c>
    </row>
    <row r="2655" spans="1:10" ht="15.75" hidden="1" customHeight="1" outlineLevel="2">
      <c r="A2655" s="613"/>
      <c r="B2655" s="612"/>
      <c r="C2655" s="613" t="s">
        <v>36</v>
      </c>
      <c r="D2655" s="612" t="s">
        <v>33</v>
      </c>
      <c r="E2655" s="613">
        <v>4.4999999999999998E-2</v>
      </c>
      <c r="F2655" s="611">
        <f>supervisor</f>
        <v>119350.00000000001</v>
      </c>
      <c r="G2655" s="611">
        <f>F2655*E2655</f>
        <v>5370.7500000000009</v>
      </c>
    </row>
    <row r="2656" spans="1:10" ht="15.75" hidden="1" customHeight="1" outlineLevel="2">
      <c r="A2656" s="613"/>
      <c r="B2656" s="612"/>
      <c r="C2656" s="613"/>
      <c r="D2656" s="612"/>
      <c r="E2656" s="613"/>
      <c r="F2656" s="611"/>
      <c r="G2656" s="611"/>
    </row>
    <row r="2657" spans="1:10" ht="15.75" hidden="1" customHeight="1" outlineLevel="2">
      <c r="A2657" s="613"/>
      <c r="B2657" s="612"/>
      <c r="C2657" s="613" t="s">
        <v>70</v>
      </c>
      <c r="D2657" s="612"/>
      <c r="E2657" s="613"/>
      <c r="F2657" s="611"/>
      <c r="G2657" s="611"/>
    </row>
    <row r="2658" spans="1:10" ht="15.75" hidden="1" customHeight="1" outlineLevel="2">
      <c r="A2658" s="613"/>
      <c r="B2658" s="612"/>
      <c r="C2658" s="613" t="s">
        <v>428</v>
      </c>
      <c r="D2658" s="612" t="s">
        <v>65</v>
      </c>
      <c r="E2658" s="613">
        <v>0.05</v>
      </c>
      <c r="F2658" s="611">
        <v>50500</v>
      </c>
      <c r="G2658" s="611">
        <f>F2658*E2658</f>
        <v>2525</v>
      </c>
    </row>
    <row r="2659" spans="1:10" ht="15.75" hidden="1" customHeight="1" outlineLevel="2">
      <c r="A2659" s="613"/>
      <c r="B2659" s="612"/>
      <c r="C2659" s="613"/>
      <c r="D2659" s="612"/>
      <c r="E2659" s="613"/>
      <c r="F2659" s="611"/>
      <c r="G2659" s="611"/>
    </row>
    <row r="2660" spans="1:10" ht="12.75" hidden="1" outlineLevel="2">
      <c r="A2660" s="613"/>
      <c r="B2660" s="612"/>
      <c r="C2660" s="613" t="s">
        <v>429</v>
      </c>
      <c r="D2660" s="612"/>
      <c r="E2660" s="613"/>
      <c r="F2660" s="611"/>
      <c r="G2660" s="611"/>
    </row>
    <row r="2661" spans="1:10" ht="12.75" hidden="1" outlineLevel="2">
      <c r="A2661" s="613"/>
      <c r="B2661" s="612"/>
      <c r="C2661" s="613" t="s">
        <v>1559</v>
      </c>
      <c r="D2661" s="612" t="s">
        <v>50</v>
      </c>
      <c r="E2661" s="613">
        <v>0.25</v>
      </c>
      <c r="F2661" s="611">
        <f>Pipa_GIP_2in_6m</f>
        <v>809600.00000000012</v>
      </c>
      <c r="G2661" s="611">
        <f>F2661*E2661</f>
        <v>202400.00000000003</v>
      </c>
    </row>
    <row r="2662" spans="1:10" ht="15.75" hidden="1" customHeight="1" outlineLevel="2">
      <c r="A2662" s="613"/>
      <c r="B2662" s="612"/>
      <c r="C2662" s="613" t="s">
        <v>1560</v>
      </c>
      <c r="D2662" s="612" t="s">
        <v>226</v>
      </c>
      <c r="E2662" s="613">
        <v>0.25</v>
      </c>
      <c r="F2662" s="611">
        <f>20%*F2661</f>
        <v>161920.00000000003</v>
      </c>
      <c r="G2662" s="611">
        <f>F2662*E2662</f>
        <v>40480.000000000007</v>
      </c>
    </row>
    <row r="2663" spans="1:10" ht="15.75" hidden="1" customHeight="1" outlineLevel="2">
      <c r="A2663" s="613"/>
      <c r="B2663" s="612"/>
      <c r="C2663" s="613" t="s">
        <v>433</v>
      </c>
      <c r="D2663" s="612" t="s">
        <v>226</v>
      </c>
      <c r="E2663" s="613">
        <f>1/5</f>
        <v>0.2</v>
      </c>
      <c r="F2663" s="611">
        <f>pipa_tape</f>
        <v>3500</v>
      </c>
      <c r="G2663" s="611">
        <f>F2663*E2663</f>
        <v>700</v>
      </c>
    </row>
    <row r="2664" spans="1:10" ht="15.75" hidden="1" customHeight="1" outlineLevel="2">
      <c r="A2664" s="613"/>
      <c r="B2664" s="612"/>
      <c r="C2664" s="613" t="s">
        <v>434</v>
      </c>
      <c r="D2664" s="612" t="s">
        <v>435</v>
      </c>
      <c r="E2664" s="613">
        <f>1/50</f>
        <v>0.02</v>
      </c>
      <c r="F2664" s="611">
        <f>lem_pipa</f>
        <v>37500</v>
      </c>
      <c r="G2664" s="611">
        <f>F2664*E2664</f>
        <v>750</v>
      </c>
      <c r="J2664" s="633">
        <f>14285.71/4179.23</f>
        <v>3.4182636514381839</v>
      </c>
    </row>
    <row r="2665" spans="1:10" ht="15.75" hidden="1" customHeight="1" outlineLevel="2">
      <c r="A2665" s="613"/>
      <c r="B2665" s="612"/>
      <c r="C2665" s="613"/>
      <c r="D2665" s="612"/>
      <c r="E2665" s="613"/>
      <c r="F2665" s="611"/>
      <c r="G2665" s="611">
        <f>SUM(G2653:G2664)</f>
        <v>349245.75000000006</v>
      </c>
    </row>
    <row r="2666" spans="1:10" ht="15.75" customHeight="1" outlineLevel="1" collapsed="1">
      <c r="A2666" s="613" t="s">
        <v>2074</v>
      </c>
      <c r="B2666" s="612">
        <f>B2652+1</f>
        <v>20</v>
      </c>
      <c r="C2666" s="613" t="s">
        <v>2021</v>
      </c>
      <c r="D2666" s="612" t="s">
        <v>2005</v>
      </c>
      <c r="E2666" s="613"/>
      <c r="F2666" s="611"/>
      <c r="G2666" s="611">
        <f>G2674</f>
        <v>1135669.2520000001</v>
      </c>
    </row>
    <row r="2667" spans="1:10" ht="15.75" hidden="1" customHeight="1" outlineLevel="2">
      <c r="A2667" s="613"/>
      <c r="B2667" s="612"/>
      <c r="C2667" s="613" t="s">
        <v>442</v>
      </c>
      <c r="D2667" s="612" t="s">
        <v>130</v>
      </c>
      <c r="E2667" s="613">
        <v>1</v>
      </c>
      <c r="F2667" s="611">
        <f>buldozer</f>
        <v>733263.3</v>
      </c>
      <c r="G2667" s="611">
        <f t="shared" ref="G2667:G2673" si="23">F2667*E2667</f>
        <v>733263.3</v>
      </c>
    </row>
    <row r="2668" spans="1:10" ht="15.75" hidden="1" customHeight="1" outlineLevel="2">
      <c r="A2668" s="613"/>
      <c r="B2668" s="612"/>
      <c r="C2668" s="613" t="s">
        <v>443</v>
      </c>
      <c r="D2668" s="612" t="s">
        <v>57</v>
      </c>
      <c r="E2668" s="613">
        <f>0.15*133</f>
        <v>19.95</v>
      </c>
      <c r="F2668" s="611">
        <f>solar_industri</f>
        <v>8392.4599999999991</v>
      </c>
      <c r="G2668" s="611">
        <f t="shared" si="23"/>
        <v>167429.57699999999</v>
      </c>
    </row>
    <row r="2669" spans="1:10" ht="15.75" hidden="1" customHeight="1" outlineLevel="2">
      <c r="A2669" s="613"/>
      <c r="B2669" s="612"/>
      <c r="C2669" s="613" t="s">
        <v>444</v>
      </c>
      <c r="D2669" s="612" t="s">
        <v>57</v>
      </c>
      <c r="E2669" s="613">
        <f>0.03*133</f>
        <v>3.9899999999999998</v>
      </c>
      <c r="F2669" s="611">
        <f>pelumas_alat_berat</f>
        <v>29000</v>
      </c>
      <c r="G2669" s="611">
        <f t="shared" si="23"/>
        <v>115710</v>
      </c>
    </row>
    <row r="2670" spans="1:10" ht="15.75" hidden="1" customHeight="1" outlineLevel="2">
      <c r="A2670" s="613"/>
      <c r="B2670" s="612"/>
      <c r="C2670" s="613" t="s">
        <v>445</v>
      </c>
      <c r="D2670" s="612" t="s">
        <v>210</v>
      </c>
      <c r="E2670" s="613">
        <v>1</v>
      </c>
      <c r="F2670" s="611">
        <v>28125</v>
      </c>
      <c r="G2670" s="611">
        <f t="shared" si="23"/>
        <v>28125</v>
      </c>
    </row>
    <row r="2671" spans="1:10" ht="15.75" hidden="1" customHeight="1" outlineLevel="2">
      <c r="A2671" s="613"/>
      <c r="B2671" s="612"/>
      <c r="C2671" s="613" t="s">
        <v>446</v>
      </c>
      <c r="D2671" s="612" t="s">
        <v>210</v>
      </c>
      <c r="E2671" s="613">
        <v>1</v>
      </c>
      <c r="F2671" s="611">
        <v>56250</v>
      </c>
      <c r="G2671" s="611">
        <f t="shared" si="23"/>
        <v>56250</v>
      </c>
    </row>
    <row r="2672" spans="1:10" ht="15.75" hidden="1" customHeight="1" outlineLevel="2">
      <c r="A2672" s="613"/>
      <c r="B2672" s="612"/>
      <c r="C2672" s="613" t="s">
        <v>447</v>
      </c>
      <c r="D2672" s="612" t="s">
        <v>67</v>
      </c>
      <c r="E2672" s="613">
        <f>1/8</f>
        <v>0.125</v>
      </c>
      <c r="F2672" s="611">
        <f>'[54]Basic price '!E214</f>
        <v>157901</v>
      </c>
      <c r="G2672" s="611">
        <f t="shared" si="23"/>
        <v>19737.625</v>
      </c>
    </row>
    <row r="2673" spans="1:10" ht="15.75" hidden="1" customHeight="1" outlineLevel="2">
      <c r="A2673" s="613"/>
      <c r="B2673" s="612"/>
      <c r="C2673" s="613" t="s">
        <v>448</v>
      </c>
      <c r="D2673" s="612" t="s">
        <v>67</v>
      </c>
      <c r="E2673" s="613">
        <f>1/8</f>
        <v>0.125</v>
      </c>
      <c r="F2673" s="611">
        <f>'[54]Basic price '!E215</f>
        <v>121230</v>
      </c>
      <c r="G2673" s="611">
        <f t="shared" si="23"/>
        <v>15153.75</v>
      </c>
    </row>
    <row r="2674" spans="1:10" ht="15.75" hidden="1" customHeight="1" outlineLevel="2">
      <c r="A2674" s="613"/>
      <c r="B2674" s="612"/>
      <c r="C2674" s="613"/>
      <c r="D2674" s="612"/>
      <c r="E2674" s="613"/>
      <c r="F2674" s="611"/>
      <c r="G2674" s="611">
        <f>SUM(G2667:G2673)</f>
        <v>1135669.2520000001</v>
      </c>
    </row>
    <row r="2675" spans="1:10" ht="17.25" hidden="1" customHeight="1" outlineLevel="2">
      <c r="A2675" s="613"/>
      <c r="B2675" s="612"/>
      <c r="C2675" s="613"/>
      <c r="D2675" s="612"/>
      <c r="E2675" s="613"/>
      <c r="F2675" s="611"/>
      <c r="G2675" s="611"/>
    </row>
    <row r="2676" spans="1:10" ht="12.75" outlineLevel="1" collapsed="1">
      <c r="A2676" s="613" t="s">
        <v>2074</v>
      </c>
      <c r="B2676" s="612">
        <f>B2666+1</f>
        <v>21</v>
      </c>
      <c r="C2676" s="613" t="s">
        <v>1696</v>
      </c>
      <c r="D2676" s="612" t="s">
        <v>673</v>
      </c>
      <c r="E2676" s="613"/>
      <c r="F2676" s="611"/>
      <c r="G2676" s="611">
        <f>SUM(G2678:G2689)</f>
        <v>17564820.847257141</v>
      </c>
    </row>
    <row r="2677" spans="1:10" ht="12.75" outlineLevel="2">
      <c r="A2677" s="613"/>
      <c r="B2677" s="612"/>
      <c r="C2677" s="613" t="s">
        <v>31</v>
      </c>
      <c r="D2677" s="612"/>
      <c r="E2677" s="613"/>
      <c r="F2677" s="611"/>
      <c r="G2677" s="611"/>
      <c r="I2677" s="633" t="s">
        <v>449</v>
      </c>
    </row>
    <row r="2678" spans="1:10" ht="12.75" outlineLevel="2">
      <c r="A2678" s="613"/>
      <c r="B2678" s="612"/>
      <c r="C2678" s="613" t="s">
        <v>450</v>
      </c>
      <c r="D2678" s="612" t="s">
        <v>33</v>
      </c>
      <c r="E2678" s="613">
        <f>3.333</f>
        <v>3.3330000000000002</v>
      </c>
      <c r="F2678" s="611">
        <f>installator</f>
        <v>180457.2</v>
      </c>
      <c r="G2678" s="611">
        <f>F2678*E2678</f>
        <v>601463.8476000001</v>
      </c>
    </row>
    <row r="2679" spans="1:10" ht="12.75" outlineLevel="2">
      <c r="A2679" s="613"/>
      <c r="B2679" s="612"/>
      <c r="C2679" s="613" t="s">
        <v>36</v>
      </c>
      <c r="D2679" s="612" t="s">
        <v>33</v>
      </c>
      <c r="E2679" s="613">
        <f>0.333</f>
        <v>0.33300000000000002</v>
      </c>
      <c r="F2679" s="611">
        <f>supervisor</f>
        <v>119350.00000000001</v>
      </c>
      <c r="G2679" s="611">
        <f>F2679*E2679</f>
        <v>39743.55000000001</v>
      </c>
    </row>
    <row r="2680" spans="1:10" ht="12.75" outlineLevel="2">
      <c r="A2680" s="613"/>
      <c r="B2680" s="612"/>
      <c r="C2680" s="613"/>
      <c r="D2680" s="612"/>
      <c r="E2680" s="613"/>
      <c r="F2680" s="611"/>
      <c r="G2680" s="611"/>
      <c r="J2680" s="633">
        <f>G2689+G2709</f>
        <v>867173.34691428579</v>
      </c>
    </row>
    <row r="2681" spans="1:10" ht="12.75" outlineLevel="2">
      <c r="A2681" s="613"/>
      <c r="B2681" s="612"/>
      <c r="C2681" s="613" t="s">
        <v>1693</v>
      </c>
      <c r="D2681" s="612"/>
      <c r="E2681" s="613"/>
      <c r="F2681" s="611"/>
      <c r="G2681" s="611"/>
    </row>
    <row r="2682" spans="1:10" ht="12.75" outlineLevel="2">
      <c r="A2682" s="613"/>
      <c r="B2682" s="612"/>
      <c r="C2682" s="613" t="s">
        <v>451</v>
      </c>
      <c r="D2682" s="612" t="s">
        <v>2</v>
      </c>
      <c r="E2682" s="613">
        <v>1</v>
      </c>
      <c r="F2682" s="611">
        <f>tiang_lampu_octogonal_9m</f>
        <v>4730000</v>
      </c>
      <c r="G2682" s="611">
        <f>F2682*E2682</f>
        <v>4730000</v>
      </c>
    </row>
    <row r="2683" spans="1:10" ht="12.75" outlineLevel="2">
      <c r="A2683" s="613"/>
      <c r="B2683" s="612"/>
      <c r="C2683" s="613" t="s">
        <v>452</v>
      </c>
      <c r="D2683" s="612" t="s">
        <v>2</v>
      </c>
      <c r="E2683" s="613">
        <v>1</v>
      </c>
      <c r="F2683" s="611">
        <f>lampu_sorot_250W</f>
        <v>1466300.0000000002</v>
      </c>
      <c r="G2683" s="611">
        <f>F2683*E2683</f>
        <v>1466300.0000000002</v>
      </c>
    </row>
    <row r="2684" spans="1:10" ht="12.75" outlineLevel="2">
      <c r="A2684" s="613"/>
      <c r="B2684" s="612"/>
      <c r="C2684" s="613" t="s">
        <v>453</v>
      </c>
      <c r="D2684" s="612" t="s">
        <v>3</v>
      </c>
      <c r="E2684" s="613">
        <v>0.15</v>
      </c>
      <c r="F2684" s="611">
        <f>kabel_NYM_3x2.5</f>
        <v>1133000</v>
      </c>
      <c r="G2684" s="611">
        <f>F2684*E2684</f>
        <v>169950</v>
      </c>
    </row>
    <row r="2685" spans="1:10" ht="12.75" outlineLevel="2">
      <c r="A2685" s="613"/>
      <c r="B2685" s="612"/>
      <c r="C2685" s="613" t="s">
        <v>454</v>
      </c>
      <c r="D2685" s="612" t="s">
        <v>455</v>
      </c>
      <c r="E2685" s="613">
        <v>1</v>
      </c>
      <c r="F2685" s="611">
        <f>10000000</f>
        <v>10000000</v>
      </c>
      <c r="G2685" s="611">
        <f>F2685*E2685</f>
        <v>10000000</v>
      </c>
    </row>
    <row r="2686" spans="1:10" ht="12.75" outlineLevel="2">
      <c r="A2686" s="613"/>
      <c r="B2686" s="612"/>
      <c r="C2686" s="613"/>
      <c r="D2686" s="612"/>
      <c r="E2686" s="613"/>
      <c r="F2686" s="611"/>
      <c r="G2686" s="611"/>
    </row>
    <row r="2687" spans="1:10" ht="12.75" outlineLevel="2">
      <c r="A2687" s="613"/>
      <c r="B2687" s="612"/>
      <c r="C2687" s="613" t="s">
        <v>1694</v>
      </c>
      <c r="D2687" s="612" t="s">
        <v>40</v>
      </c>
      <c r="E2687" s="613">
        <f>(0.3^2)*0.5</f>
        <v>4.4999999999999998E-2</v>
      </c>
      <c r="F2687" s="611">
        <f>ahs_excavation_manual_1m</f>
        <v>83833.750000000015</v>
      </c>
      <c r="G2687" s="611">
        <f>E2687*F2687</f>
        <v>3772.5187500000006</v>
      </c>
    </row>
    <row r="2688" spans="1:10" ht="12.75" outlineLevel="2">
      <c r="A2688" s="613"/>
      <c r="B2688" s="612"/>
      <c r="C2688" s="613" t="s">
        <v>856</v>
      </c>
      <c r="D2688" s="612" t="s">
        <v>40</v>
      </c>
      <c r="E2688" s="613">
        <f>E2687</f>
        <v>4.4999999999999998E-2</v>
      </c>
      <c r="F2688" s="611">
        <f>K_175</f>
        <v>1057576.2423809525</v>
      </c>
      <c r="G2688" s="611">
        <f>E2688*F2688</f>
        <v>47590.930907142858</v>
      </c>
    </row>
    <row r="2689" spans="1:10" ht="12.75" outlineLevel="2">
      <c r="A2689" s="613"/>
      <c r="B2689" s="612"/>
      <c r="C2689" s="613" t="s">
        <v>1695</v>
      </c>
      <c r="D2689" s="612" t="s">
        <v>141</v>
      </c>
      <c r="E2689" s="613">
        <v>4</v>
      </c>
      <c r="F2689" s="611">
        <f>anchor_bolt_24mm</f>
        <v>126500.00000000001</v>
      </c>
      <c r="G2689" s="611">
        <f>E2689*F2689</f>
        <v>506000.00000000006</v>
      </c>
    </row>
    <row r="2690" spans="1:10" ht="12.75" outlineLevel="2">
      <c r="A2690" s="613"/>
      <c r="B2690" s="612"/>
      <c r="C2690" s="613"/>
      <c r="D2690" s="612"/>
      <c r="E2690" s="613"/>
      <c r="F2690" s="611"/>
      <c r="G2690" s="611"/>
    </row>
    <row r="2691" spans="1:10" ht="12.75" outlineLevel="1">
      <c r="A2691" s="613" t="s">
        <v>2074</v>
      </c>
      <c r="B2691" s="612">
        <f>B2676+1</f>
        <v>22</v>
      </c>
      <c r="C2691" s="613" t="s">
        <v>2003</v>
      </c>
      <c r="D2691" s="612" t="s">
        <v>673</v>
      </c>
      <c r="E2691" s="613"/>
      <c r="F2691" s="611"/>
      <c r="G2691" s="611">
        <f>G2702</f>
        <v>7389457.3976000007</v>
      </c>
    </row>
    <row r="2692" spans="1:10" ht="12.75" hidden="1" outlineLevel="2">
      <c r="A2692" s="613"/>
      <c r="B2692" s="612"/>
      <c r="C2692" s="613" t="s">
        <v>31</v>
      </c>
      <c r="D2692" s="612"/>
      <c r="E2692" s="613"/>
      <c r="F2692" s="611"/>
      <c r="G2692" s="611"/>
      <c r="I2692" s="633" t="s">
        <v>449</v>
      </c>
    </row>
    <row r="2693" spans="1:10" ht="12.75" hidden="1" outlineLevel="2">
      <c r="A2693" s="613"/>
      <c r="B2693" s="612"/>
      <c r="C2693" s="613" t="s">
        <v>450</v>
      </c>
      <c r="D2693" s="612" t="s">
        <v>33</v>
      </c>
      <c r="E2693" s="613">
        <f>3.333</f>
        <v>3.3330000000000002</v>
      </c>
      <c r="F2693" s="611">
        <f>installator</f>
        <v>180457.2</v>
      </c>
      <c r="G2693" s="611">
        <f>F2693*E2693</f>
        <v>601463.8476000001</v>
      </c>
    </row>
    <row r="2694" spans="1:10" ht="12.75" hidden="1" outlineLevel="2">
      <c r="A2694" s="613"/>
      <c r="B2694" s="612"/>
      <c r="C2694" s="613" t="s">
        <v>36</v>
      </c>
      <c r="D2694" s="612" t="s">
        <v>33</v>
      </c>
      <c r="E2694" s="613">
        <f>0.333</f>
        <v>0.33300000000000002</v>
      </c>
      <c r="F2694" s="611">
        <f>supervisor</f>
        <v>119350.00000000001</v>
      </c>
      <c r="G2694" s="611">
        <f>F2694*E2694</f>
        <v>39743.55000000001</v>
      </c>
    </row>
    <row r="2695" spans="1:10" ht="12.75" hidden="1" outlineLevel="2">
      <c r="A2695" s="613"/>
      <c r="B2695" s="612"/>
      <c r="C2695" s="613"/>
      <c r="D2695" s="612"/>
      <c r="E2695" s="613"/>
      <c r="F2695" s="611"/>
      <c r="G2695" s="611"/>
      <c r="J2695" s="633">
        <f>G2702+G2722</f>
        <v>7389457.3976000007</v>
      </c>
    </row>
    <row r="2696" spans="1:10" ht="12.75" hidden="1" outlineLevel="2">
      <c r="A2696" s="613"/>
      <c r="B2696" s="612"/>
      <c r="C2696" s="613" t="s">
        <v>292</v>
      </c>
      <c r="D2696" s="612"/>
      <c r="E2696" s="613"/>
      <c r="F2696" s="611"/>
      <c r="G2696" s="611"/>
    </row>
    <row r="2697" spans="1:10" ht="12.75" hidden="1" outlineLevel="2">
      <c r="A2697" s="613"/>
      <c r="B2697" s="612"/>
      <c r="C2697" s="613" t="s">
        <v>456</v>
      </c>
      <c r="D2697" s="612" t="s">
        <v>2</v>
      </c>
      <c r="E2697" s="613">
        <v>1</v>
      </c>
      <c r="F2697" s="611">
        <f>Kap_lampu_jalan_cobra_250W</f>
        <v>660000</v>
      </c>
      <c r="G2697" s="611">
        <f>F2697*E2697</f>
        <v>660000</v>
      </c>
    </row>
    <row r="2698" spans="1:10" ht="12.75" hidden="1" outlineLevel="2">
      <c r="A2698" s="613"/>
      <c r="B2698" s="612"/>
      <c r="C2698" s="613" t="s">
        <v>457</v>
      </c>
      <c r="D2698" s="612" t="s">
        <v>2</v>
      </c>
      <c r="E2698" s="613">
        <v>1</v>
      </c>
      <c r="F2698" s="611">
        <f>tiang_lampu_octogonal_6m</f>
        <v>2750000</v>
      </c>
      <c r="G2698" s="611">
        <f>F2698*E2698</f>
        <v>2750000</v>
      </c>
    </row>
    <row r="2699" spans="1:10" ht="12.75" hidden="1" outlineLevel="2">
      <c r="A2699" s="613"/>
      <c r="B2699" s="612"/>
      <c r="C2699" s="613" t="s">
        <v>458</v>
      </c>
      <c r="D2699" s="612" t="s">
        <v>2</v>
      </c>
      <c r="E2699" s="613">
        <v>1</v>
      </c>
      <c r="F2699" s="611">
        <f>lampu_SON_T_150W</f>
        <v>168300</v>
      </c>
      <c r="G2699" s="611">
        <f>F2699*E2699</f>
        <v>168300</v>
      </c>
    </row>
    <row r="2700" spans="1:10" ht="12.75" hidden="1" outlineLevel="2">
      <c r="A2700" s="613"/>
      <c r="B2700" s="612"/>
      <c r="C2700" s="613" t="s">
        <v>453</v>
      </c>
      <c r="D2700" s="612" t="s">
        <v>3</v>
      </c>
      <c r="E2700" s="613">
        <v>0.15</v>
      </c>
      <c r="F2700" s="611">
        <f>kabel_NYM_3x2.5</f>
        <v>1133000</v>
      </c>
      <c r="G2700" s="611">
        <f>F2700*E2700</f>
        <v>169950</v>
      </c>
    </row>
    <row r="2701" spans="1:10" ht="12.75" hidden="1" outlineLevel="2">
      <c r="A2701" s="613"/>
      <c r="B2701" s="612"/>
      <c r="C2701" s="613" t="s">
        <v>454</v>
      </c>
      <c r="D2701" s="612" t="s">
        <v>455</v>
      </c>
      <c r="E2701" s="613">
        <v>1</v>
      </c>
      <c r="F2701" s="611">
        <v>3000000</v>
      </c>
      <c r="G2701" s="611">
        <f>F2701*E2701</f>
        <v>3000000</v>
      </c>
    </row>
    <row r="2702" spans="1:10" ht="12.75" hidden="1" outlineLevel="2">
      <c r="A2702" s="613"/>
      <c r="B2702" s="612"/>
      <c r="C2702" s="613"/>
      <c r="D2702" s="612"/>
      <c r="E2702" s="613"/>
      <c r="F2702" s="611"/>
      <c r="G2702" s="611">
        <f>SUM(G2693:G2701)</f>
        <v>7389457.3976000007</v>
      </c>
    </row>
    <row r="2703" spans="1:10" ht="15.75" customHeight="1" outlineLevel="1" collapsed="1">
      <c r="A2703" s="613" t="s">
        <v>2074</v>
      </c>
      <c r="B2703" s="612">
        <f>B2691+1</f>
        <v>23</v>
      </c>
      <c r="C2703" s="613" t="s">
        <v>2004</v>
      </c>
      <c r="D2703" s="612" t="s">
        <v>673</v>
      </c>
      <c r="E2703" s="613"/>
      <c r="F2703" s="611"/>
      <c r="G2703" s="611">
        <f>G2709</f>
        <v>361173.34691428568</v>
      </c>
    </row>
    <row r="2704" spans="1:10" ht="15.75" hidden="1" customHeight="1" outlineLevel="2">
      <c r="A2704" s="613"/>
      <c r="B2704" s="612"/>
      <c r="C2704" s="613" t="s">
        <v>459</v>
      </c>
      <c r="D2704" s="612" t="s">
        <v>40</v>
      </c>
      <c r="E2704" s="613">
        <v>0.6</v>
      </c>
      <c r="F2704" s="611">
        <f>ahs_excavation_manual_3m</f>
        <v>121186.45000000001</v>
      </c>
      <c r="G2704" s="611">
        <f>F2704*E2704</f>
        <v>72711.87000000001</v>
      </c>
    </row>
    <row r="2705" spans="1:7" ht="15.75" hidden="1" customHeight="1" outlineLevel="2">
      <c r="A2705" s="613"/>
      <c r="B2705" s="612"/>
      <c r="C2705" s="613" t="s">
        <v>460</v>
      </c>
      <c r="D2705" s="612" t="s">
        <v>40</v>
      </c>
      <c r="E2705" s="613">
        <v>0.6</v>
      </c>
      <c r="F2705" s="611">
        <f>ahs_compacted_sand_layer_m3</f>
        <v>404738.95</v>
      </c>
      <c r="G2705" s="611">
        <f>F2705*E2705</f>
        <v>242843.37</v>
      </c>
    </row>
    <row r="2706" spans="1:7" ht="15.75" hidden="1" customHeight="1" outlineLevel="2">
      <c r="A2706" s="613"/>
      <c r="B2706" s="612"/>
      <c r="C2706" s="613" t="s">
        <v>461</v>
      </c>
      <c r="D2706" s="612" t="s">
        <v>40</v>
      </c>
      <c r="E2706" s="613">
        <v>0.03</v>
      </c>
      <c r="F2706" s="611">
        <f>K_225</f>
        <v>1115864.6138095236</v>
      </c>
      <c r="G2706" s="611">
        <f>F2706*E2706</f>
        <v>33475.938414285709</v>
      </c>
    </row>
    <row r="2707" spans="1:7" ht="27.6" hidden="1" customHeight="1" outlineLevel="2">
      <c r="A2707" s="613"/>
      <c r="B2707" s="612"/>
      <c r="C2707" s="613" t="s">
        <v>462</v>
      </c>
      <c r="D2707" s="612" t="s">
        <v>40</v>
      </c>
      <c r="E2707" s="613">
        <v>0.03</v>
      </c>
      <c r="F2707" s="611">
        <f>ahs_compacted_sand_layer_m3</f>
        <v>404738.95</v>
      </c>
      <c r="G2707" s="611">
        <f>F2707*E2707</f>
        <v>12142.1685</v>
      </c>
    </row>
    <row r="2708" spans="1:7" ht="15.75" hidden="1" customHeight="1" outlineLevel="2">
      <c r="A2708" s="613"/>
      <c r="B2708" s="612"/>
      <c r="C2708" s="613"/>
      <c r="D2708" s="612"/>
      <c r="E2708" s="613"/>
      <c r="F2708" s="611"/>
      <c r="G2708" s="611"/>
    </row>
    <row r="2709" spans="1:7" ht="15.75" hidden="1" customHeight="1" outlineLevel="2">
      <c r="A2709" s="613"/>
      <c r="B2709" s="612"/>
      <c r="C2709" s="613"/>
      <c r="D2709" s="612"/>
      <c r="E2709" s="613"/>
      <c r="F2709" s="611"/>
      <c r="G2709" s="611">
        <f>SUM(G2704:G2708)</f>
        <v>361173.34691428568</v>
      </c>
    </row>
    <row r="2710" spans="1:7" ht="15.75" hidden="1" customHeight="1" outlineLevel="2">
      <c r="A2710" s="613"/>
      <c r="B2710" s="612"/>
      <c r="C2710" s="613"/>
      <c r="D2710" s="612"/>
      <c r="E2710" s="613"/>
      <c r="F2710" s="611"/>
      <c r="G2710" s="611"/>
    </row>
    <row r="2711" spans="1:7" ht="15.75" customHeight="1" outlineLevel="1" collapsed="1">
      <c r="A2711" s="613" t="s">
        <v>2074</v>
      </c>
      <c r="B2711" s="612">
        <f>B2703+1</f>
        <v>24</v>
      </c>
      <c r="C2711" s="613" t="s">
        <v>1697</v>
      </c>
      <c r="D2711" s="612" t="s">
        <v>673</v>
      </c>
      <c r="E2711" s="613"/>
      <c r="F2711" s="611"/>
      <c r="G2711" s="611">
        <f>G2721</f>
        <v>12937457.397600001</v>
      </c>
    </row>
    <row r="2712" spans="1:7" ht="15.75" hidden="1" customHeight="1" outlineLevel="2">
      <c r="A2712" s="613"/>
      <c r="B2712" s="612"/>
      <c r="C2712" s="613" t="s">
        <v>31</v>
      </c>
      <c r="D2712" s="612"/>
      <c r="E2712" s="613"/>
      <c r="F2712" s="611"/>
      <c r="G2712" s="611"/>
    </row>
    <row r="2713" spans="1:7" ht="15.75" hidden="1" customHeight="1" outlineLevel="2">
      <c r="A2713" s="613"/>
      <c r="B2713" s="612"/>
      <c r="C2713" s="613" t="s">
        <v>450</v>
      </c>
      <c r="D2713" s="612" t="s">
        <v>33</v>
      </c>
      <c r="E2713" s="613">
        <v>3.3330000000000002</v>
      </c>
      <c r="F2713" s="611">
        <f>installator</f>
        <v>180457.2</v>
      </c>
      <c r="G2713" s="611">
        <f t="shared" ref="G2713:G2720" si="24">E2713*F2713</f>
        <v>601463.8476000001</v>
      </c>
    </row>
    <row r="2714" spans="1:7" ht="15.75" hidden="1" customHeight="1" outlineLevel="2">
      <c r="A2714" s="613"/>
      <c r="B2714" s="612"/>
      <c r="C2714" s="613" t="s">
        <v>36</v>
      </c>
      <c r="D2714" s="612" t="s">
        <v>33</v>
      </c>
      <c r="E2714" s="613">
        <v>0.33300000000000002</v>
      </c>
      <c r="F2714" s="611">
        <f>supervisor</f>
        <v>119350.00000000001</v>
      </c>
      <c r="G2714" s="611">
        <f t="shared" si="24"/>
        <v>39743.55000000001</v>
      </c>
    </row>
    <row r="2715" spans="1:7" ht="15.75" hidden="1" customHeight="1" outlineLevel="2">
      <c r="A2715" s="613"/>
      <c r="B2715" s="612"/>
      <c r="C2715" s="613"/>
      <c r="D2715" s="612"/>
      <c r="E2715" s="613"/>
      <c r="F2715" s="611"/>
      <c r="G2715" s="611">
        <f t="shared" si="24"/>
        <v>0</v>
      </c>
    </row>
    <row r="2716" spans="1:7" ht="15.75" hidden="1" customHeight="1" outlineLevel="2">
      <c r="A2716" s="613"/>
      <c r="B2716" s="612"/>
      <c r="C2716" s="613" t="s">
        <v>292</v>
      </c>
      <c r="D2716" s="612"/>
      <c r="E2716" s="613"/>
      <c r="F2716" s="611"/>
      <c r="G2716" s="611">
        <f t="shared" si="24"/>
        <v>0</v>
      </c>
    </row>
    <row r="2717" spans="1:7" ht="15.75" hidden="1" customHeight="1" outlineLevel="2">
      <c r="A2717" s="613"/>
      <c r="B2717" s="612"/>
      <c r="C2717" s="613" t="s">
        <v>456</v>
      </c>
      <c r="D2717" s="612" t="s">
        <v>2</v>
      </c>
      <c r="E2717" s="613">
        <v>1</v>
      </c>
      <c r="F2717" s="611">
        <f>Kap_lampu_jalan_cobra_250W</f>
        <v>660000</v>
      </c>
      <c r="G2717" s="611">
        <f t="shared" si="24"/>
        <v>660000</v>
      </c>
    </row>
    <row r="2718" spans="1:7" ht="15.75" hidden="1" customHeight="1" outlineLevel="2">
      <c r="A2718" s="613"/>
      <c r="B2718" s="612"/>
      <c r="C2718" s="613" t="s">
        <v>452</v>
      </c>
      <c r="D2718" s="612" t="s">
        <v>2</v>
      </c>
      <c r="E2718" s="613">
        <v>1</v>
      </c>
      <c r="F2718" s="611">
        <f>lampu_sorot_250W</f>
        <v>1466300.0000000002</v>
      </c>
      <c r="G2718" s="611">
        <f t="shared" si="24"/>
        <v>1466300.0000000002</v>
      </c>
    </row>
    <row r="2719" spans="1:7" ht="15.75" hidden="1" customHeight="1" outlineLevel="2">
      <c r="A2719" s="613"/>
      <c r="B2719" s="612"/>
      <c r="C2719" s="613" t="s">
        <v>453</v>
      </c>
      <c r="D2719" s="612" t="s">
        <v>3</v>
      </c>
      <c r="E2719" s="613">
        <v>0.15</v>
      </c>
      <c r="F2719" s="611">
        <f>kabel_NYM_3x2.5</f>
        <v>1133000</v>
      </c>
      <c r="G2719" s="611">
        <f t="shared" si="24"/>
        <v>169950</v>
      </c>
    </row>
    <row r="2720" spans="1:7" ht="26.25" hidden="1" customHeight="1" outlineLevel="2">
      <c r="A2720" s="613"/>
      <c r="B2720" s="612"/>
      <c r="C2720" s="613" t="s">
        <v>454</v>
      </c>
      <c r="D2720" s="612" t="s">
        <v>455</v>
      </c>
      <c r="E2720" s="613">
        <v>1</v>
      </c>
      <c r="F2720" s="611">
        <f>F2685</f>
        <v>10000000</v>
      </c>
      <c r="G2720" s="611">
        <f t="shared" si="24"/>
        <v>10000000</v>
      </c>
    </row>
    <row r="2721" spans="1:7" ht="15.75" hidden="1" customHeight="1" outlineLevel="2">
      <c r="A2721" s="613"/>
      <c r="B2721" s="612"/>
      <c r="C2721" s="613"/>
      <c r="D2721" s="612"/>
      <c r="E2721" s="613"/>
      <c r="F2721" s="611"/>
      <c r="G2721" s="611">
        <f>SUM(G2713:G2720)</f>
        <v>12937457.397600001</v>
      </c>
    </row>
    <row r="2722" spans="1:7" ht="15.75" hidden="1" customHeight="1" outlineLevel="2">
      <c r="A2722" s="613"/>
      <c r="B2722" s="612"/>
      <c r="C2722" s="613"/>
      <c r="D2722" s="612"/>
      <c r="E2722" s="613"/>
      <c r="F2722" s="611"/>
      <c r="G2722" s="611"/>
    </row>
    <row r="2723" spans="1:7" ht="15.75" customHeight="1" outlineLevel="1" collapsed="1">
      <c r="A2723" s="613" t="s">
        <v>2074</v>
      </c>
      <c r="B2723" s="612">
        <f>B2711+1</f>
        <v>25</v>
      </c>
      <c r="C2723" s="613" t="s">
        <v>2002</v>
      </c>
      <c r="D2723" s="612" t="s">
        <v>673</v>
      </c>
      <c r="E2723" s="613"/>
      <c r="F2723" s="611"/>
      <c r="G2723" s="611">
        <f>SUM(G2725:G2733)</f>
        <v>10924477.841666669</v>
      </c>
    </row>
    <row r="2724" spans="1:7" ht="15.75" hidden="1" customHeight="1" outlineLevel="2">
      <c r="A2724" s="613"/>
      <c r="B2724" s="612"/>
      <c r="C2724" s="613" t="s">
        <v>31</v>
      </c>
      <c r="D2724" s="612"/>
      <c r="E2724" s="613"/>
      <c r="F2724" s="611"/>
      <c r="G2724" s="611"/>
    </row>
    <row r="2725" spans="1:7" ht="15.75" hidden="1" customHeight="1" outlineLevel="2">
      <c r="A2725" s="613"/>
      <c r="B2725" s="612"/>
      <c r="C2725" s="613" t="s">
        <v>450</v>
      </c>
      <c r="D2725" s="612" t="s">
        <v>33</v>
      </c>
      <c r="E2725" s="613">
        <v>3.3330000000000002</v>
      </c>
      <c r="F2725" s="611">
        <v>139574</v>
      </c>
      <c r="G2725" s="611">
        <f>F2725*E2725</f>
        <v>465200.14200000005</v>
      </c>
    </row>
    <row r="2726" spans="1:7" ht="15.75" hidden="1" customHeight="1" outlineLevel="2">
      <c r="A2726" s="613"/>
      <c r="B2726" s="612"/>
      <c r="C2726" s="613" t="s">
        <v>36</v>
      </c>
      <c r="D2726" s="612" t="s">
        <v>33</v>
      </c>
      <c r="E2726" s="613">
        <v>0.33300000000000002</v>
      </c>
      <c r="F2726" s="611">
        <v>157901</v>
      </c>
      <c r="G2726" s="611">
        <f>F2726*E2726</f>
        <v>52581.033000000003</v>
      </c>
    </row>
    <row r="2727" spans="1:7" ht="15.75" hidden="1" customHeight="1" outlineLevel="2">
      <c r="A2727" s="613"/>
      <c r="B2727" s="612"/>
      <c r="C2727" s="613"/>
      <c r="D2727" s="612"/>
      <c r="E2727" s="613"/>
      <c r="F2727" s="611"/>
      <c r="G2727" s="611"/>
    </row>
    <row r="2728" spans="1:7" ht="15.75" hidden="1" customHeight="1" outlineLevel="2">
      <c r="A2728" s="613"/>
      <c r="B2728" s="612"/>
      <c r="C2728" s="613" t="s">
        <v>292</v>
      </c>
      <c r="D2728" s="612"/>
      <c r="E2728" s="613"/>
      <c r="F2728" s="611"/>
      <c r="G2728" s="611"/>
    </row>
    <row r="2729" spans="1:7" ht="15.75" hidden="1" customHeight="1" outlineLevel="2">
      <c r="A2729" s="613"/>
      <c r="B2729" s="612"/>
      <c r="C2729" s="613" t="s">
        <v>463</v>
      </c>
      <c r="D2729" s="612" t="s">
        <v>2</v>
      </c>
      <c r="E2729" s="613">
        <v>1</v>
      </c>
      <c r="F2729" s="611">
        <f>Kap_lampu_jalan_setara_philip_son.T.70W</f>
        <v>880000.00000000012</v>
      </c>
      <c r="G2729" s="611">
        <f>F2729*E2729</f>
        <v>880000.00000000012</v>
      </c>
    </row>
    <row r="2730" spans="1:7" ht="33" hidden="1" customHeight="1" outlineLevel="2">
      <c r="A2730" s="613"/>
      <c r="B2730" s="612"/>
      <c r="C2730" s="613" t="s">
        <v>464</v>
      </c>
      <c r="D2730" s="612" t="s">
        <v>2</v>
      </c>
      <c r="E2730" s="613">
        <v>1</v>
      </c>
      <c r="F2730" s="611">
        <f>'[54]Basic price '!E174</f>
        <v>2500000</v>
      </c>
      <c r="G2730" s="611">
        <f>F2730*E2730</f>
        <v>2500000</v>
      </c>
    </row>
    <row r="2731" spans="1:7" ht="15.75" hidden="1" customHeight="1" outlineLevel="2">
      <c r="A2731" s="613"/>
      <c r="B2731" s="612"/>
      <c r="C2731" s="613" t="s">
        <v>465</v>
      </c>
      <c r="D2731" s="612" t="s">
        <v>2</v>
      </c>
      <c r="E2731" s="613">
        <v>1</v>
      </c>
      <c r="F2731" s="611">
        <f>lampu_SON.70.W_philip</f>
        <v>190080.00000000003</v>
      </c>
      <c r="G2731" s="611">
        <f>F2731*E2731</f>
        <v>190080.00000000003</v>
      </c>
    </row>
    <row r="2732" spans="1:7" ht="15.75" hidden="1" customHeight="1" outlineLevel="2">
      <c r="A2732" s="613"/>
      <c r="B2732" s="612"/>
      <c r="C2732" s="613" t="s">
        <v>453</v>
      </c>
      <c r="D2732" s="612" t="s">
        <v>3</v>
      </c>
      <c r="E2732" s="613">
        <v>0.15</v>
      </c>
      <c r="F2732" s="611">
        <f>kabel_NYM_3x2.5</f>
        <v>1133000</v>
      </c>
      <c r="G2732" s="611">
        <f>F2732*E2732</f>
        <v>169950</v>
      </c>
    </row>
    <row r="2733" spans="1:7" ht="15.75" hidden="1" customHeight="1" outlineLevel="2">
      <c r="A2733" s="613"/>
      <c r="B2733" s="612"/>
      <c r="C2733" s="613" t="s">
        <v>454</v>
      </c>
      <c r="D2733" s="612" t="s">
        <v>455</v>
      </c>
      <c r="E2733" s="613">
        <v>1</v>
      </c>
      <c r="F2733" s="611">
        <f>F2720/1.5</f>
        <v>6666666.666666667</v>
      </c>
      <c r="G2733" s="611">
        <f>F2733*E2733</f>
        <v>6666666.666666667</v>
      </c>
    </row>
    <row r="2734" spans="1:7" ht="15.75" hidden="1" customHeight="1" outlineLevel="2">
      <c r="A2734" s="613"/>
      <c r="B2734" s="612"/>
      <c r="C2734" s="613"/>
      <c r="D2734" s="612"/>
      <c r="E2734" s="613"/>
      <c r="F2734" s="611"/>
      <c r="G2734" s="611"/>
    </row>
    <row r="2735" spans="1:7" ht="15.75" customHeight="1" outlineLevel="1" collapsed="1">
      <c r="A2735" s="613" t="s">
        <v>2074</v>
      </c>
      <c r="B2735" s="612">
        <f>B2723+1</f>
        <v>26</v>
      </c>
      <c r="C2735" s="613" t="s">
        <v>2001</v>
      </c>
      <c r="D2735" s="612" t="s">
        <v>673</v>
      </c>
      <c r="E2735" s="613"/>
      <c r="F2735" s="611"/>
      <c r="G2735" s="611">
        <f>SUM(G2736:G2740)</f>
        <v>867173.34691428579</v>
      </c>
    </row>
    <row r="2736" spans="1:7" ht="15.75" hidden="1" customHeight="1" outlineLevel="2">
      <c r="A2736" s="613"/>
      <c r="B2736" s="612"/>
      <c r="C2736" s="613" t="s">
        <v>459</v>
      </c>
      <c r="D2736" s="612" t="s">
        <v>40</v>
      </c>
      <c r="E2736" s="613">
        <v>0.6</v>
      </c>
      <c r="F2736" s="611">
        <f>ahs_excavation_manual_3m</f>
        <v>121186.45000000001</v>
      </c>
      <c r="G2736" s="611">
        <f>E2736*F2736</f>
        <v>72711.87000000001</v>
      </c>
    </row>
    <row r="2737" spans="1:9" ht="15.75" hidden="1" customHeight="1" outlineLevel="2">
      <c r="A2737" s="613"/>
      <c r="B2737" s="612"/>
      <c r="C2737" s="613" t="s">
        <v>460</v>
      </c>
      <c r="D2737" s="612" t="s">
        <v>40</v>
      </c>
      <c r="E2737" s="613">
        <v>0.6</v>
      </c>
      <c r="F2737" s="611">
        <f>ahs_compacted_sand_layer_m3</f>
        <v>404738.95</v>
      </c>
      <c r="G2737" s="611">
        <f>E2737*F2737</f>
        <v>242843.37</v>
      </c>
    </row>
    <row r="2738" spans="1:9" ht="16.5" hidden="1" customHeight="1" outlineLevel="2">
      <c r="A2738" s="613"/>
      <c r="B2738" s="612"/>
      <c r="C2738" s="613" t="s">
        <v>461</v>
      </c>
      <c r="D2738" s="612" t="s">
        <v>40</v>
      </c>
      <c r="E2738" s="613">
        <v>0.03</v>
      </c>
      <c r="F2738" s="611">
        <f>K_225</f>
        <v>1115864.6138095236</v>
      </c>
      <c r="G2738" s="611">
        <f>E2738*F2738</f>
        <v>33475.938414285709</v>
      </c>
    </row>
    <row r="2739" spans="1:9" ht="16.5" hidden="1" customHeight="1" outlineLevel="2">
      <c r="A2739" s="613"/>
      <c r="B2739" s="612"/>
      <c r="C2739" s="613" t="s">
        <v>462</v>
      </c>
      <c r="D2739" s="612" t="s">
        <v>40</v>
      </c>
      <c r="E2739" s="613">
        <v>0.03</v>
      </c>
      <c r="F2739" s="611">
        <f>ahs_compacted_sand_layer_m3</f>
        <v>404738.95</v>
      </c>
      <c r="G2739" s="611">
        <f>E2739*F2739</f>
        <v>12142.1685</v>
      </c>
    </row>
    <row r="2740" spans="1:9" ht="16.5" hidden="1" customHeight="1" outlineLevel="2">
      <c r="A2740" s="613"/>
      <c r="B2740" s="612"/>
      <c r="C2740" s="613" t="s">
        <v>1695</v>
      </c>
      <c r="D2740" s="612" t="s">
        <v>141</v>
      </c>
      <c r="E2740" s="613">
        <v>4</v>
      </c>
      <c r="F2740" s="611">
        <f>anchor_bolt_24mm</f>
        <v>126500.00000000001</v>
      </c>
      <c r="G2740" s="611">
        <f>E2740*F2740</f>
        <v>506000.00000000006</v>
      </c>
    </row>
    <row r="2741" spans="1:9" ht="16.5" hidden="1" customHeight="1" outlineLevel="2">
      <c r="A2741" s="613"/>
      <c r="B2741" s="612"/>
      <c r="C2741" s="613"/>
      <c r="D2741" s="612"/>
      <c r="E2741" s="613"/>
      <c r="F2741" s="611"/>
      <c r="G2741" s="611"/>
    </row>
    <row r="2742" spans="1:9" ht="21.75" customHeight="1" outlineLevel="1" collapsed="1">
      <c r="A2742" s="613" t="s">
        <v>2074</v>
      </c>
      <c r="B2742" s="612">
        <f>B2735+1</f>
        <v>27</v>
      </c>
      <c r="C2742" s="613" t="s">
        <v>466</v>
      </c>
      <c r="D2742" s="612" t="s">
        <v>673</v>
      </c>
      <c r="E2742" s="613"/>
      <c r="F2742" s="611"/>
      <c r="G2742" s="611">
        <f>SUM(G2744:G2755)</f>
        <v>16030562.468355559</v>
      </c>
    </row>
    <row r="2743" spans="1:9" ht="15.75" hidden="1" customHeight="1" outlineLevel="2">
      <c r="A2743" s="613"/>
      <c r="B2743" s="612"/>
      <c r="C2743" s="613" t="s">
        <v>75</v>
      </c>
      <c r="D2743" s="612"/>
      <c r="E2743" s="613"/>
      <c r="F2743" s="611"/>
      <c r="G2743" s="611"/>
    </row>
    <row r="2744" spans="1:9" ht="15.75" hidden="1" customHeight="1" outlineLevel="2">
      <c r="A2744" s="613"/>
      <c r="B2744" s="612"/>
      <c r="C2744" s="613" t="s">
        <v>467</v>
      </c>
      <c r="D2744" s="612" t="s">
        <v>226</v>
      </c>
      <c r="E2744" s="613">
        <v>1</v>
      </c>
      <c r="F2744" s="611">
        <f>water_torn_2m3</f>
        <v>3575000.0000000005</v>
      </c>
      <c r="G2744" s="611">
        <f t="shared" ref="G2744:G2751" si="25">F2744*E2744</f>
        <v>3575000.0000000005</v>
      </c>
    </row>
    <row r="2745" spans="1:9" ht="15.75" hidden="1" customHeight="1" outlineLevel="2">
      <c r="A2745" s="613"/>
      <c r="B2745" s="612"/>
      <c r="C2745" s="613" t="s">
        <v>344</v>
      </c>
      <c r="D2745" s="612" t="s">
        <v>50</v>
      </c>
      <c r="E2745" s="613">
        <v>2.5</v>
      </c>
      <c r="F2745" s="611">
        <f>pvc_dia1</f>
        <v>12100.000000000002</v>
      </c>
      <c r="G2745" s="611">
        <f t="shared" si="25"/>
        <v>30250.000000000004</v>
      </c>
    </row>
    <row r="2746" spans="1:9" ht="15.75" hidden="1" customHeight="1" outlineLevel="2">
      <c r="A2746" s="613"/>
      <c r="B2746" s="612"/>
      <c r="C2746" s="613" t="s">
        <v>468</v>
      </c>
      <c r="D2746" s="612" t="s">
        <v>226</v>
      </c>
      <c r="E2746" s="613">
        <v>5</v>
      </c>
      <c r="F2746" s="611">
        <f>Elbow_1</f>
        <v>12100.000000000002</v>
      </c>
      <c r="G2746" s="611">
        <f t="shared" si="25"/>
        <v>60500.000000000007</v>
      </c>
    </row>
    <row r="2747" spans="1:9" ht="12.75" hidden="1" outlineLevel="2">
      <c r="A2747" s="613"/>
      <c r="B2747" s="612"/>
      <c r="C2747" s="613" t="s">
        <v>469</v>
      </c>
      <c r="D2747" s="612" t="s">
        <v>226</v>
      </c>
      <c r="E2747" s="613">
        <v>5</v>
      </c>
      <c r="F2747" s="611">
        <f>knee_1</f>
        <v>3500</v>
      </c>
      <c r="G2747" s="611">
        <f t="shared" si="25"/>
        <v>17500</v>
      </c>
    </row>
    <row r="2748" spans="1:9" ht="12.75" hidden="1" outlineLevel="2">
      <c r="A2748" s="613"/>
      <c r="B2748" s="612"/>
      <c r="C2748" s="613" t="s">
        <v>346</v>
      </c>
      <c r="D2748" s="612" t="s">
        <v>226</v>
      </c>
      <c r="E2748" s="613">
        <v>2</v>
      </c>
      <c r="F2748" s="611">
        <f>pipa_tape</f>
        <v>3500</v>
      </c>
      <c r="G2748" s="611">
        <f t="shared" si="25"/>
        <v>7000</v>
      </c>
    </row>
    <row r="2749" spans="1:9" ht="15.75" hidden="1" customHeight="1" outlineLevel="2">
      <c r="A2749" s="613"/>
      <c r="B2749" s="612"/>
      <c r="C2749" s="613" t="s">
        <v>347</v>
      </c>
      <c r="D2749" s="612" t="s">
        <v>348</v>
      </c>
      <c r="E2749" s="613">
        <v>1</v>
      </c>
      <c r="F2749" s="611">
        <f>lem_pipa</f>
        <v>37500</v>
      </c>
      <c r="G2749" s="611">
        <f t="shared" si="25"/>
        <v>37500</v>
      </c>
    </row>
    <row r="2750" spans="1:9" ht="15.75" hidden="1" customHeight="1" outlineLevel="2">
      <c r="A2750" s="613"/>
      <c r="B2750" s="612"/>
      <c r="C2750" s="613" t="s">
        <v>470</v>
      </c>
      <c r="D2750" s="612" t="s">
        <v>1</v>
      </c>
      <c r="E2750" s="613">
        <v>450</v>
      </c>
      <c r="F2750" s="611">
        <f>profil_siku_kg</f>
        <v>15950.000000000002</v>
      </c>
      <c r="G2750" s="611">
        <f t="shared" si="25"/>
        <v>7177500.0000000009</v>
      </c>
    </row>
    <row r="2751" spans="1:9" ht="15.75" hidden="1" customHeight="1" outlineLevel="2">
      <c r="A2751" s="613"/>
      <c r="B2751" s="612"/>
      <c r="C2751" s="613" t="s">
        <v>471</v>
      </c>
      <c r="D2751" s="612" t="s">
        <v>40</v>
      </c>
      <c r="E2751" s="613">
        <f>(0.2*2*2)+(4*(0.5*0.4*0.4))</f>
        <v>1.1200000000000001</v>
      </c>
      <c r="F2751" s="611">
        <f>K_300+150*ahs_besi_ulir_kg+ahs_formwork_foundation_wooden_plank</f>
        <v>4277109.3467460321</v>
      </c>
      <c r="G2751" s="611">
        <f t="shared" si="25"/>
        <v>4790362.468355556</v>
      </c>
      <c r="I2751" s="633">
        <f>0.5*0.5*1.5</f>
        <v>0.375</v>
      </c>
    </row>
    <row r="2752" spans="1:9" ht="15.75" hidden="1" customHeight="1" outlineLevel="2">
      <c r="A2752" s="613"/>
      <c r="B2752" s="612"/>
      <c r="C2752" s="613"/>
      <c r="D2752" s="612"/>
      <c r="E2752" s="613"/>
      <c r="F2752" s="611"/>
      <c r="G2752" s="611"/>
    </row>
    <row r="2753" spans="1:13" ht="15.75" hidden="1" customHeight="1" outlineLevel="2">
      <c r="A2753" s="613"/>
      <c r="B2753" s="612"/>
      <c r="C2753" s="613" t="s">
        <v>31</v>
      </c>
      <c r="D2753" s="612"/>
      <c r="E2753" s="613"/>
      <c r="F2753" s="611"/>
      <c r="G2753" s="611"/>
    </row>
    <row r="2754" spans="1:13" ht="15.75" hidden="1" customHeight="1" outlineLevel="2">
      <c r="A2754" s="613"/>
      <c r="B2754" s="612"/>
      <c r="C2754" s="613" t="s">
        <v>32</v>
      </c>
      <c r="D2754" s="612" t="s">
        <v>33</v>
      </c>
      <c r="E2754" s="613">
        <v>2</v>
      </c>
      <c r="F2754" s="611">
        <f>worker</f>
        <v>107800.00000000001</v>
      </c>
      <c r="G2754" s="611">
        <f>F2754*E2754</f>
        <v>215600.00000000003</v>
      </c>
    </row>
    <row r="2755" spans="1:13" ht="15.75" hidden="1" customHeight="1" outlineLevel="2">
      <c r="A2755" s="613"/>
      <c r="B2755" s="612"/>
      <c r="C2755" s="613" t="s">
        <v>233</v>
      </c>
      <c r="D2755" s="612" t="s">
        <v>33</v>
      </c>
      <c r="E2755" s="613">
        <v>1</v>
      </c>
      <c r="F2755" s="611">
        <f>steel_worker</f>
        <v>119350.00000000001</v>
      </c>
      <c r="G2755" s="611">
        <f>F2755*E2755</f>
        <v>119350.00000000001</v>
      </c>
      <c r="J2755" s="633">
        <v>1.2</v>
      </c>
      <c r="K2755" s="633" t="s">
        <v>306</v>
      </c>
      <c r="L2755" s="633">
        <v>2.2000000000000002</v>
      </c>
      <c r="M2755" s="633" t="s">
        <v>3</v>
      </c>
    </row>
    <row r="2756" spans="1:13" ht="12.75" hidden="1" outlineLevel="2">
      <c r="A2756" s="613"/>
      <c r="B2756" s="612"/>
      <c r="C2756" s="613"/>
      <c r="D2756" s="612"/>
      <c r="E2756" s="613"/>
      <c r="F2756" s="611"/>
      <c r="G2756" s="611"/>
    </row>
    <row r="2757" spans="1:13" ht="12.75" hidden="1" outlineLevel="2">
      <c r="A2757" s="613"/>
      <c r="B2757" s="612"/>
      <c r="C2757" s="613"/>
      <c r="D2757" s="612"/>
      <c r="E2757" s="613"/>
      <c r="F2757" s="611"/>
      <c r="G2757" s="611"/>
    </row>
    <row r="2758" spans="1:13" ht="21.75" customHeight="1" outlineLevel="1" collapsed="1">
      <c r="A2758" s="613" t="s">
        <v>2074</v>
      </c>
      <c r="B2758" s="612">
        <f>B2742+1</f>
        <v>28</v>
      </c>
      <c r="C2758" s="613" t="s">
        <v>1764</v>
      </c>
      <c r="D2758" s="612" t="s">
        <v>673</v>
      </c>
      <c r="E2758" s="613"/>
      <c r="F2758" s="611"/>
      <c r="G2758" s="611">
        <f>SUM(G2760:G2763)</f>
        <v>22339788.63474286</v>
      </c>
    </row>
    <row r="2759" spans="1:13" ht="15.75" hidden="1" customHeight="1" outlineLevel="2">
      <c r="A2759" s="613"/>
      <c r="B2759" s="612"/>
      <c r="C2759" s="613" t="s">
        <v>75</v>
      </c>
      <c r="D2759" s="612"/>
      <c r="E2759" s="613"/>
      <c r="F2759" s="611"/>
      <c r="G2759" s="611"/>
    </row>
    <row r="2760" spans="1:13" ht="15.75" hidden="1" customHeight="1" outlineLevel="2">
      <c r="A2760" s="613"/>
      <c r="B2760" s="612"/>
      <c r="C2760" s="613" t="s">
        <v>1762</v>
      </c>
      <c r="D2760" s="612" t="s">
        <v>40</v>
      </c>
      <c r="E2760" s="613">
        <v>12</v>
      </c>
      <c r="F2760" s="611">
        <f>ahs_excavation_manual_3m</f>
        <v>121186.45000000001</v>
      </c>
      <c r="G2760" s="611">
        <f>E2760*F2760</f>
        <v>1454237.4000000001</v>
      </c>
      <c r="I2760" s="633" t="s">
        <v>1761</v>
      </c>
      <c r="J2760" s="633">
        <v>2</v>
      </c>
    </row>
    <row r="2761" spans="1:13" ht="15.75" hidden="1" customHeight="1" outlineLevel="2">
      <c r="A2761" s="613"/>
      <c r="B2761" s="612"/>
      <c r="C2761" s="613" t="s">
        <v>1760</v>
      </c>
      <c r="D2761" s="612" t="s">
        <v>40</v>
      </c>
      <c r="E2761" s="613">
        <f>J2761*J2761*0.12*2+J2760*J2762*0.12*2+J2761*J2762*0.12*2</f>
        <v>3.84</v>
      </c>
      <c r="F2761" s="611">
        <f>K_175</f>
        <v>1057576.2423809525</v>
      </c>
      <c r="G2761" s="611">
        <f>F2761*E2761</f>
        <v>4061092.7707428574</v>
      </c>
      <c r="I2761" s="633" t="s">
        <v>829</v>
      </c>
      <c r="J2761" s="633">
        <v>2</v>
      </c>
    </row>
    <row r="2762" spans="1:13" ht="15.75" hidden="1" customHeight="1" outlineLevel="2">
      <c r="A2762" s="613"/>
      <c r="B2762" s="612"/>
      <c r="C2762" s="613" t="s">
        <v>1763</v>
      </c>
      <c r="D2762" s="612" t="s">
        <v>1</v>
      </c>
      <c r="E2762" s="613">
        <f>E2761*150</f>
        <v>576</v>
      </c>
      <c r="F2762" s="611">
        <f>ahs_besi_polos_kg</f>
        <v>18666.917500000003</v>
      </c>
      <c r="G2762" s="611">
        <f>F2762*E2762</f>
        <v>10752144.480000002</v>
      </c>
      <c r="I2762" s="633" t="s">
        <v>823</v>
      </c>
      <c r="J2762" s="633">
        <v>3</v>
      </c>
    </row>
    <row r="2763" spans="1:13" ht="15.75" hidden="1" customHeight="1" outlineLevel="2">
      <c r="A2763" s="613"/>
      <c r="B2763" s="612"/>
      <c r="C2763" s="613" t="s">
        <v>1352</v>
      </c>
      <c r="D2763" s="612" t="s">
        <v>4</v>
      </c>
      <c r="E2763" s="613">
        <f>J2760*0.14*2+J2761*0.14*2+J2762*0.14*4+J2762*J2760*2+J2762*J2761*2</f>
        <v>26.8</v>
      </c>
      <c r="F2763" s="611">
        <f>ahs_formwork_multiplex12.18mm</f>
        <v>226578.88</v>
      </c>
      <c r="G2763" s="611">
        <f>F2763*E2763</f>
        <v>6072313.9840000002</v>
      </c>
      <c r="J2763" s="633">
        <f>J2760*J2761*J2762</f>
        <v>12</v>
      </c>
    </row>
    <row r="2764" spans="1:13" ht="15.75" hidden="1" customHeight="1" outlineLevel="2">
      <c r="A2764" s="613"/>
      <c r="B2764" s="612"/>
      <c r="C2764" s="613"/>
      <c r="D2764" s="612"/>
      <c r="E2764" s="613"/>
      <c r="F2764" s="611"/>
      <c r="G2764" s="611"/>
    </row>
    <row r="2765" spans="1:13" ht="21.75" customHeight="1" outlineLevel="1" collapsed="1">
      <c r="A2765" s="613" t="s">
        <v>2074</v>
      </c>
      <c r="B2765" s="612">
        <f>B2758+1</f>
        <v>29</v>
      </c>
      <c r="C2765" s="613" t="s">
        <v>1565</v>
      </c>
      <c r="D2765" s="612" t="s">
        <v>673</v>
      </c>
      <c r="E2765" s="613"/>
      <c r="F2765" s="611"/>
      <c r="G2765" s="611">
        <f>G2774</f>
        <v>37529155.500000007</v>
      </c>
    </row>
    <row r="2766" spans="1:13" ht="15.75" hidden="1" customHeight="1" outlineLevel="2">
      <c r="A2766" s="613"/>
      <c r="B2766" s="612"/>
      <c r="C2766" s="613" t="s">
        <v>75</v>
      </c>
      <c r="D2766" s="612"/>
      <c r="E2766" s="613"/>
      <c r="F2766" s="611"/>
      <c r="G2766" s="611"/>
    </row>
    <row r="2767" spans="1:13" ht="15.75" hidden="1" customHeight="1" outlineLevel="2">
      <c r="A2767" s="613"/>
      <c r="B2767" s="612"/>
      <c r="C2767" s="613" t="s">
        <v>1562</v>
      </c>
      <c r="D2767" s="612" t="s">
        <v>226</v>
      </c>
      <c r="E2767" s="613">
        <v>1</v>
      </c>
      <c r="F2767" s="611">
        <f>Pompa_submersible_cap_150.ltr_menit_unit</f>
        <v>28880280.000000004</v>
      </c>
      <c r="G2767" s="611">
        <f>F2767*E2767</f>
        <v>28880280.000000004</v>
      </c>
    </row>
    <row r="2768" spans="1:13" ht="15.75" hidden="1" customHeight="1" outlineLevel="2">
      <c r="A2768" s="613"/>
      <c r="B2768" s="612"/>
      <c r="C2768" s="613" t="s">
        <v>1563</v>
      </c>
      <c r="D2768" s="612" t="s">
        <v>194</v>
      </c>
      <c r="E2768" s="613">
        <v>30</v>
      </c>
      <c r="F2768" s="611">
        <f>ahs_pvc_3_in</f>
        <v>169698.25000000003</v>
      </c>
      <c r="G2768" s="611">
        <f>F2768*E2768</f>
        <v>5090947.5000000009</v>
      </c>
    </row>
    <row r="2769" spans="1:13" ht="15.75" hidden="1" customHeight="1" outlineLevel="2">
      <c r="A2769" s="613"/>
      <c r="B2769" s="612"/>
      <c r="C2769" s="613" t="s">
        <v>1564</v>
      </c>
      <c r="D2769" s="612" t="s">
        <v>210</v>
      </c>
      <c r="E2769" s="613">
        <v>1</v>
      </c>
      <c r="F2769" s="611">
        <f>10%*F2767</f>
        <v>2888028.0000000005</v>
      </c>
      <c r="G2769" s="611">
        <f>F2769*E2769</f>
        <v>2888028.0000000005</v>
      </c>
    </row>
    <row r="2770" spans="1:13" ht="15.75" hidden="1" customHeight="1" outlineLevel="2">
      <c r="A2770" s="613"/>
      <c r="B2770" s="612"/>
      <c r="C2770" s="613"/>
      <c r="D2770" s="612"/>
      <c r="E2770" s="613"/>
      <c r="F2770" s="611"/>
      <c r="G2770" s="611"/>
    </row>
    <row r="2771" spans="1:13" ht="15.75" hidden="1" customHeight="1" outlineLevel="2">
      <c r="A2771" s="613"/>
      <c r="B2771" s="612"/>
      <c r="C2771" s="613" t="s">
        <v>31</v>
      </c>
      <c r="D2771" s="612"/>
      <c r="E2771" s="613"/>
      <c r="F2771" s="611"/>
      <c r="G2771" s="611"/>
      <c r="J2771" s="633" t="s">
        <v>1566</v>
      </c>
      <c r="K2771" s="633" t="s">
        <v>1567</v>
      </c>
    </row>
    <row r="2772" spans="1:13" ht="15.75" hidden="1" customHeight="1" outlineLevel="2">
      <c r="A2772" s="613"/>
      <c r="B2772" s="612"/>
      <c r="C2772" s="613" t="s">
        <v>32</v>
      </c>
      <c r="D2772" s="612" t="s">
        <v>33</v>
      </c>
      <c r="E2772" s="613">
        <f>J2772*K2772</f>
        <v>4</v>
      </c>
      <c r="F2772" s="611">
        <f>worker</f>
        <v>107800.00000000001</v>
      </c>
      <c r="G2772" s="611">
        <f>F2772*E2772</f>
        <v>431200.00000000006</v>
      </c>
      <c r="J2772" s="633">
        <v>2</v>
      </c>
      <c r="K2772" s="633">
        <v>2</v>
      </c>
    </row>
    <row r="2773" spans="1:13" ht="15.75" hidden="1" customHeight="1" outlineLevel="2">
      <c r="A2773" s="613"/>
      <c r="B2773" s="612"/>
      <c r="C2773" s="613" t="s">
        <v>233</v>
      </c>
      <c r="D2773" s="612" t="s">
        <v>33</v>
      </c>
      <c r="E2773" s="613">
        <f>J2773*K2773</f>
        <v>2</v>
      </c>
      <c r="F2773" s="611">
        <f>steel_worker</f>
        <v>119350.00000000001</v>
      </c>
      <c r="G2773" s="611">
        <f>F2773*E2773</f>
        <v>238700.00000000003</v>
      </c>
      <c r="J2773" s="633">
        <v>1</v>
      </c>
      <c r="K2773" s="633">
        <v>2</v>
      </c>
      <c r="L2773" s="633">
        <v>2.2000000000000002</v>
      </c>
      <c r="M2773" s="633" t="s">
        <v>3</v>
      </c>
    </row>
    <row r="2774" spans="1:13" ht="12.75" hidden="1" outlineLevel="2">
      <c r="A2774" s="613"/>
      <c r="B2774" s="612"/>
      <c r="C2774" s="613"/>
      <c r="D2774" s="612"/>
      <c r="E2774" s="613"/>
      <c r="F2774" s="611"/>
      <c r="G2774" s="611">
        <f>SUM(G2767:G2773)</f>
        <v>37529155.500000007</v>
      </c>
    </row>
    <row r="2775" spans="1:13" ht="15.75" customHeight="1" outlineLevel="1" collapsed="1">
      <c r="A2775" s="613" t="s">
        <v>2074</v>
      </c>
      <c r="B2775" s="612">
        <f>B2765+1</f>
        <v>30</v>
      </c>
      <c r="C2775" s="613" t="s">
        <v>2000</v>
      </c>
      <c r="D2775" s="612" t="s">
        <v>1964</v>
      </c>
      <c r="E2775" s="613"/>
      <c r="F2775" s="611"/>
      <c r="G2775" s="611">
        <f>G2786</f>
        <v>203871.66666666669</v>
      </c>
    </row>
    <row r="2776" spans="1:13" ht="15.75" hidden="1" customHeight="1" outlineLevel="2">
      <c r="A2776" s="613"/>
      <c r="B2776" s="612"/>
      <c r="C2776" s="613" t="s">
        <v>31</v>
      </c>
      <c r="D2776" s="612"/>
      <c r="E2776" s="613"/>
      <c r="F2776" s="611"/>
      <c r="G2776" s="611"/>
    </row>
    <row r="2777" spans="1:13" ht="15.75" hidden="1" customHeight="1" outlineLevel="2">
      <c r="A2777" s="613"/>
      <c r="B2777" s="612"/>
      <c r="C2777" s="613" t="s">
        <v>32</v>
      </c>
      <c r="D2777" s="612" t="s">
        <v>33</v>
      </c>
      <c r="E2777" s="613">
        <v>0.5</v>
      </c>
      <c r="F2777" s="611">
        <f>worker</f>
        <v>107800.00000000001</v>
      </c>
      <c r="G2777" s="611">
        <f>F2777*E2777</f>
        <v>53900.000000000007</v>
      </c>
    </row>
    <row r="2778" spans="1:13" ht="15.75" hidden="1" customHeight="1" outlineLevel="2">
      <c r="A2778" s="613"/>
      <c r="B2778" s="612"/>
      <c r="C2778" s="613" t="s">
        <v>472</v>
      </c>
      <c r="D2778" s="612" t="s">
        <v>33</v>
      </c>
      <c r="E2778" s="613">
        <v>0.1</v>
      </c>
      <c r="F2778" s="611">
        <f>electrical_technician</f>
        <v>366666.66666666669</v>
      </c>
      <c r="G2778" s="611">
        <f>F2778*E2778</f>
        <v>36666.666666666672</v>
      </c>
    </row>
    <row r="2779" spans="1:13" ht="15.75" hidden="1" customHeight="1" outlineLevel="2">
      <c r="A2779" s="613"/>
      <c r="B2779" s="612"/>
      <c r="C2779" s="613"/>
      <c r="D2779" s="612"/>
      <c r="E2779" s="613"/>
      <c r="F2779" s="611"/>
      <c r="G2779" s="611"/>
    </row>
    <row r="2780" spans="1:13" ht="15.75" hidden="1" customHeight="1" outlineLevel="2">
      <c r="A2780" s="613"/>
      <c r="B2780" s="612"/>
      <c r="C2780" s="613" t="s">
        <v>157</v>
      </c>
      <c r="D2780" s="612"/>
      <c r="E2780" s="613"/>
      <c r="F2780" s="611"/>
      <c r="G2780" s="611"/>
    </row>
    <row r="2781" spans="1:13" ht="15.75" hidden="1" customHeight="1" outlineLevel="2">
      <c r="A2781" s="613"/>
      <c r="B2781" s="612"/>
      <c r="C2781" s="613" t="s">
        <v>473</v>
      </c>
      <c r="D2781" s="612" t="s">
        <v>474</v>
      </c>
      <c r="E2781" s="613">
        <v>1</v>
      </c>
      <c r="F2781" s="611">
        <v>50000</v>
      </c>
      <c r="G2781" s="611">
        <f>F2781*E2781</f>
        <v>50000</v>
      </c>
    </row>
    <row r="2782" spans="1:13" ht="15.75" hidden="1" customHeight="1" outlineLevel="2">
      <c r="A2782" s="613"/>
      <c r="B2782" s="612"/>
      <c r="C2782" s="613"/>
      <c r="D2782" s="612"/>
      <c r="E2782" s="613"/>
      <c r="F2782" s="611"/>
      <c r="G2782" s="611"/>
    </row>
    <row r="2783" spans="1:13" ht="15.75" hidden="1" customHeight="1" outlineLevel="2">
      <c r="A2783" s="613"/>
      <c r="B2783" s="612"/>
      <c r="C2783" s="613" t="s">
        <v>20</v>
      </c>
      <c r="D2783" s="612"/>
      <c r="E2783" s="613"/>
      <c r="F2783" s="611"/>
      <c r="G2783" s="611"/>
    </row>
    <row r="2784" spans="1:13" ht="15.75" hidden="1" customHeight="1" outlineLevel="2">
      <c r="A2784" s="613"/>
      <c r="B2784" s="612"/>
      <c r="C2784" s="613" t="s">
        <v>475</v>
      </c>
      <c r="D2784" s="612" t="s">
        <v>476</v>
      </c>
      <c r="E2784" s="613">
        <f>5/100</f>
        <v>0.05</v>
      </c>
      <c r="F2784" s="611">
        <f>kabel_NYM_3x2.5</f>
        <v>1133000</v>
      </c>
      <c r="G2784" s="611">
        <f>F2784*E2784</f>
        <v>56650</v>
      </c>
    </row>
    <row r="2785" spans="1:7" ht="15.75" hidden="1" customHeight="1" outlineLevel="2">
      <c r="A2785" s="613"/>
      <c r="B2785" s="612"/>
      <c r="C2785" s="613" t="s">
        <v>477</v>
      </c>
      <c r="D2785" s="612" t="s">
        <v>478</v>
      </c>
      <c r="E2785" s="613">
        <v>0.5</v>
      </c>
      <c r="F2785" s="611">
        <f>clamp_kabel_no.4</f>
        <v>13310.000000000002</v>
      </c>
      <c r="G2785" s="611">
        <f>F2785*E2785</f>
        <v>6655.0000000000009</v>
      </c>
    </row>
    <row r="2786" spans="1:7" ht="15.75" hidden="1" customHeight="1" outlineLevel="2">
      <c r="A2786" s="613"/>
      <c r="B2786" s="612"/>
      <c r="C2786" s="613"/>
      <c r="D2786" s="612"/>
      <c r="E2786" s="613"/>
      <c r="F2786" s="611"/>
      <c r="G2786" s="611">
        <f>SUM(G2777:G2785)</f>
        <v>203871.66666666669</v>
      </c>
    </row>
    <row r="2787" spans="1:7" ht="15.75" hidden="1" customHeight="1" outlineLevel="2">
      <c r="A2787" s="613"/>
      <c r="B2787" s="612"/>
      <c r="C2787" s="613"/>
      <c r="D2787" s="612"/>
      <c r="E2787" s="613"/>
      <c r="F2787" s="611"/>
      <c r="G2787" s="611"/>
    </row>
    <row r="2788" spans="1:7" ht="15.75" customHeight="1" outlineLevel="1" collapsed="1">
      <c r="A2788" s="613" t="s">
        <v>2074</v>
      </c>
      <c r="B2788" s="612">
        <f>B2775+1</f>
        <v>31</v>
      </c>
      <c r="C2788" s="613" t="s">
        <v>1999</v>
      </c>
      <c r="D2788" s="612" t="s">
        <v>673</v>
      </c>
      <c r="E2788" s="613"/>
      <c r="F2788" s="611"/>
      <c r="G2788" s="611">
        <f>G2801</f>
        <v>910231.41</v>
      </c>
    </row>
    <row r="2789" spans="1:7" ht="15.75" hidden="1" customHeight="1" outlineLevel="2">
      <c r="A2789" s="613"/>
      <c r="B2789" s="612"/>
      <c r="C2789" s="613"/>
      <c r="D2789" s="612"/>
      <c r="E2789" s="613"/>
      <c r="F2789" s="611"/>
      <c r="G2789" s="611"/>
    </row>
    <row r="2790" spans="1:7" ht="15.75" hidden="1" customHeight="1" outlineLevel="2">
      <c r="A2790" s="613"/>
      <c r="B2790" s="612"/>
      <c r="C2790" s="613" t="s">
        <v>20</v>
      </c>
      <c r="D2790" s="612"/>
      <c r="E2790" s="613"/>
      <c r="F2790" s="611"/>
      <c r="G2790" s="611"/>
    </row>
    <row r="2791" spans="1:7" ht="15.75" hidden="1" customHeight="1" outlineLevel="2">
      <c r="A2791" s="613"/>
      <c r="B2791" s="612"/>
      <c r="C2791" s="613" t="s">
        <v>479</v>
      </c>
      <c r="D2791" s="612" t="s">
        <v>2</v>
      </c>
      <c r="E2791" s="613">
        <v>1</v>
      </c>
      <c r="F2791" s="611">
        <f>bath_basin_fiber</f>
        <v>831600.00000000012</v>
      </c>
      <c r="G2791" s="611">
        <f>F2791*E2791</f>
        <v>831600.00000000012</v>
      </c>
    </row>
    <row r="2792" spans="1:7" ht="15.75" hidden="1" customHeight="1" outlineLevel="2">
      <c r="A2792" s="613"/>
      <c r="B2792" s="612"/>
      <c r="C2792" s="613" t="s">
        <v>251</v>
      </c>
      <c r="D2792" s="612" t="s">
        <v>1</v>
      </c>
      <c r="E2792" s="613">
        <v>9.6</v>
      </c>
      <c r="F2792" s="611">
        <f>PC</f>
        <v>1348.6000000000001</v>
      </c>
      <c r="G2792" s="611">
        <f>F2792*E2792</f>
        <v>12946.560000000001</v>
      </c>
    </row>
    <row r="2793" spans="1:7" ht="15.75" hidden="1" customHeight="1" outlineLevel="2">
      <c r="A2793" s="613"/>
      <c r="B2793" s="612"/>
      <c r="C2793" s="613" t="s">
        <v>144</v>
      </c>
      <c r="D2793" s="612" t="s">
        <v>4288</v>
      </c>
      <c r="E2793" s="613">
        <v>4.4999999999999998E-2</v>
      </c>
      <c r="F2793" s="611">
        <f>sand_pasang</f>
        <v>170610</v>
      </c>
      <c r="G2793" s="611">
        <f>F2793*E2793</f>
        <v>7677.45</v>
      </c>
    </row>
    <row r="2794" spans="1:7" ht="15.75" hidden="1" customHeight="1" outlineLevel="2">
      <c r="A2794" s="613"/>
      <c r="B2794" s="612"/>
      <c r="C2794" s="613" t="s">
        <v>252</v>
      </c>
      <c r="D2794" s="612" t="s">
        <v>1</v>
      </c>
      <c r="E2794" s="613">
        <v>1.5</v>
      </c>
      <c r="F2794" s="611">
        <f>PC_Color</f>
        <v>10890</v>
      </c>
      <c r="G2794" s="611">
        <f>F2794*E2794</f>
        <v>16335</v>
      </c>
    </row>
    <row r="2795" spans="1:7" ht="15.75" hidden="1" customHeight="1" outlineLevel="2">
      <c r="A2795" s="613"/>
      <c r="B2795" s="612"/>
      <c r="C2795" s="613"/>
      <c r="D2795" s="612"/>
      <c r="E2795" s="613"/>
      <c r="F2795" s="611"/>
      <c r="G2795" s="611"/>
    </row>
    <row r="2796" spans="1:7" ht="15.75" hidden="1" customHeight="1" outlineLevel="2">
      <c r="A2796" s="613"/>
      <c r="B2796" s="612"/>
      <c r="C2796" s="613" t="s">
        <v>31</v>
      </c>
      <c r="D2796" s="612"/>
      <c r="E2796" s="613"/>
      <c r="F2796" s="611"/>
      <c r="G2796" s="611"/>
    </row>
    <row r="2797" spans="1:7" ht="15.75" hidden="1" customHeight="1" outlineLevel="2">
      <c r="A2797" s="613"/>
      <c r="B2797" s="612"/>
      <c r="C2797" s="613" t="s">
        <v>145</v>
      </c>
      <c r="D2797" s="612" t="s">
        <v>33</v>
      </c>
      <c r="E2797" s="613">
        <v>0.12</v>
      </c>
      <c r="F2797" s="611">
        <f>brick_layer</f>
        <v>107800.00000000001</v>
      </c>
      <c r="G2797" s="611">
        <f>F2797*E2797</f>
        <v>12936.000000000002</v>
      </c>
    </row>
    <row r="2798" spans="1:7" ht="15.75" hidden="1" customHeight="1" outlineLevel="2">
      <c r="A2798" s="613"/>
      <c r="B2798" s="612"/>
      <c r="C2798" s="613" t="s">
        <v>32</v>
      </c>
      <c r="D2798" s="612" t="s">
        <v>33</v>
      </c>
      <c r="E2798" s="613">
        <v>0.24</v>
      </c>
      <c r="F2798" s="611">
        <f>worker</f>
        <v>107800.00000000001</v>
      </c>
      <c r="G2798" s="611">
        <f>F2798*E2798</f>
        <v>25872.000000000004</v>
      </c>
    </row>
    <row r="2799" spans="1:7" ht="15.75" hidden="1" customHeight="1" outlineLevel="2">
      <c r="A2799" s="613"/>
      <c r="B2799" s="612"/>
      <c r="C2799" s="613" t="s">
        <v>36</v>
      </c>
      <c r="D2799" s="612" t="s">
        <v>33</v>
      </c>
      <c r="E2799" s="613">
        <f>0.012</f>
        <v>1.2E-2</v>
      </c>
      <c r="F2799" s="611">
        <f>supervisor</f>
        <v>119350.00000000001</v>
      </c>
      <c r="G2799" s="611">
        <f>F2799*E2799</f>
        <v>1432.2000000000003</v>
      </c>
    </row>
    <row r="2800" spans="1:7" ht="15.75" hidden="1" customHeight="1" outlineLevel="2">
      <c r="A2800" s="613"/>
      <c r="B2800" s="612"/>
      <c r="C2800" s="613" t="s">
        <v>159</v>
      </c>
      <c r="D2800" s="612" t="s">
        <v>33</v>
      </c>
      <c r="E2800" s="613">
        <f>0.012</f>
        <v>1.2E-2</v>
      </c>
      <c r="F2800" s="611">
        <f>brick_layer_chief</f>
        <v>119350.00000000001</v>
      </c>
      <c r="G2800" s="611">
        <f>F2800*E2800</f>
        <v>1432.2000000000003</v>
      </c>
    </row>
    <row r="2801" spans="1:10" ht="15.75" hidden="1" customHeight="1" outlineLevel="2">
      <c r="A2801" s="613"/>
      <c r="B2801" s="612"/>
      <c r="C2801" s="613"/>
      <c r="D2801" s="612"/>
      <c r="E2801" s="613"/>
      <c r="F2801" s="611"/>
      <c r="G2801" s="611">
        <f>SUM(G2791:G2800)</f>
        <v>910231.41</v>
      </c>
    </row>
    <row r="2802" spans="1:10" ht="15.75" hidden="1" customHeight="1" outlineLevel="2">
      <c r="A2802" s="613"/>
      <c r="B2802" s="612"/>
      <c r="C2802" s="613"/>
      <c r="D2802" s="612"/>
      <c r="E2802" s="613"/>
      <c r="F2802" s="611"/>
      <c r="G2802" s="611"/>
    </row>
    <row r="2803" spans="1:10" ht="15.75" customHeight="1" outlineLevel="1" collapsed="1">
      <c r="A2803" s="613" t="s">
        <v>2074</v>
      </c>
      <c r="B2803" s="612">
        <f>B2788+1</f>
        <v>32</v>
      </c>
      <c r="C2803" s="613" t="s">
        <v>1998</v>
      </c>
      <c r="D2803" s="612" t="s">
        <v>194</v>
      </c>
      <c r="E2803" s="613"/>
      <c r="F2803" s="611"/>
      <c r="G2803" s="611">
        <f>G2815</f>
        <v>170803.25000000003</v>
      </c>
    </row>
    <row r="2804" spans="1:10" ht="15.75" customHeight="1" outlineLevel="2">
      <c r="A2804" s="613"/>
      <c r="B2804" s="612"/>
      <c r="C2804" s="613" t="s">
        <v>214</v>
      </c>
      <c r="D2804" s="612"/>
      <c r="E2804" s="613"/>
      <c r="F2804" s="611"/>
      <c r="G2804" s="611"/>
    </row>
    <row r="2805" spans="1:10" ht="15.75" customHeight="1" outlineLevel="2">
      <c r="A2805" s="613"/>
      <c r="B2805" s="612"/>
      <c r="C2805" s="613" t="s">
        <v>32</v>
      </c>
      <c r="D2805" s="612" t="s">
        <v>33</v>
      </c>
      <c r="E2805" s="613">
        <v>0.9</v>
      </c>
      <c r="F2805" s="611">
        <f>worker</f>
        <v>107800.00000000001</v>
      </c>
      <c r="G2805" s="611">
        <f>F2805*E2805</f>
        <v>97020.000000000015</v>
      </c>
      <c r="I2805" s="633" t="s">
        <v>103</v>
      </c>
    </row>
    <row r="2806" spans="1:10" ht="15.75" customHeight="1" outlineLevel="2">
      <c r="A2806" s="613"/>
      <c r="B2806" s="612"/>
      <c r="C2806" s="613" t="s">
        <v>36</v>
      </c>
      <c r="D2806" s="612" t="s">
        <v>33</v>
      </c>
      <c r="E2806" s="613">
        <v>4.4999999999999998E-2</v>
      </c>
      <c r="F2806" s="611">
        <f>supervisor</f>
        <v>119350.00000000001</v>
      </c>
      <c r="G2806" s="611">
        <f>F2806*E2806</f>
        <v>5370.7500000000009</v>
      </c>
    </row>
    <row r="2807" spans="1:10" ht="15.75" customHeight="1" outlineLevel="2">
      <c r="A2807" s="613"/>
      <c r="B2807" s="612"/>
      <c r="C2807" s="613"/>
      <c r="D2807" s="612"/>
      <c r="E2807" s="613"/>
      <c r="F2807" s="611"/>
      <c r="G2807" s="611"/>
    </row>
    <row r="2808" spans="1:10" ht="12.75" outlineLevel="2">
      <c r="A2808" s="613"/>
      <c r="B2808" s="612"/>
      <c r="C2808" s="613" t="s">
        <v>429</v>
      </c>
      <c r="D2808" s="612"/>
      <c r="E2808" s="613"/>
      <c r="F2808" s="611"/>
      <c r="G2808" s="611"/>
    </row>
    <row r="2809" spans="1:10" ht="12.75" outlineLevel="2">
      <c r="A2809" s="613"/>
      <c r="B2809" s="612"/>
      <c r="C2809" s="613" t="s">
        <v>439</v>
      </c>
      <c r="D2809" s="612" t="s">
        <v>50</v>
      </c>
      <c r="E2809" s="613">
        <v>0.25</v>
      </c>
      <c r="F2809" s="611">
        <f>pvc_dia3</f>
        <v>27500.000000000004</v>
      </c>
      <c r="G2809" s="611">
        <f t="shared" ref="G2809:G2814" si="26">F2809*E2809</f>
        <v>6875.0000000000009</v>
      </c>
    </row>
    <row r="2810" spans="1:10" ht="15.75" customHeight="1" outlineLevel="2">
      <c r="A2810" s="613"/>
      <c r="B2810" s="612"/>
      <c r="C2810" s="613" t="s">
        <v>440</v>
      </c>
      <c r="D2810" s="612" t="s">
        <v>226</v>
      </c>
      <c r="E2810" s="613">
        <v>0.25</v>
      </c>
      <c r="F2810" s="611">
        <f>Elbow_3</f>
        <v>188100.00000000003</v>
      </c>
      <c r="G2810" s="611">
        <f t="shared" si="26"/>
        <v>47025.000000000007</v>
      </c>
    </row>
    <row r="2811" spans="1:10" ht="15.75" customHeight="1" outlineLevel="2">
      <c r="A2811" s="613"/>
      <c r="B2811" s="612"/>
      <c r="C2811" s="613" t="s">
        <v>441</v>
      </c>
      <c r="D2811" s="612" t="s">
        <v>226</v>
      </c>
      <c r="E2811" s="613">
        <f>1/4</f>
        <v>0.25</v>
      </c>
      <c r="F2811" s="611">
        <f>knee_3</f>
        <v>37730</v>
      </c>
      <c r="G2811" s="611">
        <f t="shared" si="26"/>
        <v>9432.5</v>
      </c>
    </row>
    <row r="2812" spans="1:10" ht="15.75" customHeight="1" outlineLevel="2">
      <c r="A2812" s="613"/>
      <c r="B2812" s="612"/>
      <c r="C2812" s="613" t="s">
        <v>433</v>
      </c>
      <c r="D2812" s="612" t="s">
        <v>226</v>
      </c>
      <c r="E2812" s="613">
        <f>1/5</f>
        <v>0.2</v>
      </c>
      <c r="F2812" s="611">
        <f>pipa_tape</f>
        <v>3500</v>
      </c>
      <c r="G2812" s="611">
        <f t="shared" si="26"/>
        <v>700</v>
      </c>
    </row>
    <row r="2813" spans="1:10" ht="15.75" customHeight="1" outlineLevel="2">
      <c r="A2813" s="613"/>
      <c r="B2813" s="612"/>
      <c r="C2813" s="613" t="s">
        <v>434</v>
      </c>
      <c r="D2813" s="612" t="s">
        <v>435</v>
      </c>
      <c r="E2813" s="613">
        <f>1/50</f>
        <v>0.02</v>
      </c>
      <c r="F2813" s="611">
        <f>lem_pipa</f>
        <v>37500</v>
      </c>
      <c r="G2813" s="611">
        <f t="shared" si="26"/>
        <v>750</v>
      </c>
      <c r="J2813" s="633">
        <f>14285.71/4179.23</f>
        <v>3.4182636514381839</v>
      </c>
    </row>
    <row r="2814" spans="1:10" ht="15.75" customHeight="1" outlineLevel="2">
      <c r="A2814" s="613"/>
      <c r="B2814" s="612"/>
      <c r="C2814" s="613" t="s">
        <v>480</v>
      </c>
      <c r="D2814" s="612" t="s">
        <v>2</v>
      </c>
      <c r="E2814" s="613">
        <v>0.2</v>
      </c>
      <c r="F2814" s="611">
        <f>clamp_pipa_pvc_3.4</f>
        <v>18150</v>
      </c>
      <c r="G2814" s="611">
        <f t="shared" si="26"/>
        <v>3630</v>
      </c>
    </row>
    <row r="2815" spans="1:10" ht="15.75" customHeight="1" outlineLevel="2">
      <c r="A2815" s="613"/>
      <c r="B2815" s="612"/>
      <c r="C2815" s="613"/>
      <c r="D2815" s="612"/>
      <c r="E2815" s="613"/>
      <c r="F2815" s="611"/>
      <c r="G2815" s="611">
        <f>SUM(G2805:G2814)</f>
        <v>170803.25000000003</v>
      </c>
    </row>
    <row r="2816" spans="1:10" ht="15.75" customHeight="1" outlineLevel="2">
      <c r="A2816" s="613"/>
      <c r="B2816" s="612"/>
      <c r="C2816" s="613"/>
      <c r="D2816" s="612"/>
      <c r="E2816" s="613"/>
      <c r="F2816" s="611"/>
      <c r="G2816" s="611"/>
    </row>
    <row r="2817" spans="1:9" ht="15.75" customHeight="1" outlineLevel="1">
      <c r="A2817" s="613" t="s">
        <v>2074</v>
      </c>
      <c r="B2817" s="612">
        <f>B2803+1</f>
        <v>33</v>
      </c>
      <c r="C2817" s="613" t="s">
        <v>1997</v>
      </c>
      <c r="D2817" s="612" t="s">
        <v>919</v>
      </c>
      <c r="E2817" s="613"/>
      <c r="F2817" s="611"/>
      <c r="G2817" s="611">
        <f>SUM(G2819:G2830)</f>
        <v>19979865.026416663</v>
      </c>
    </row>
    <row r="2818" spans="1:9" ht="15.75" hidden="1" customHeight="1" outlineLevel="2">
      <c r="A2818" s="613"/>
      <c r="B2818" s="612"/>
      <c r="C2818" s="613" t="s">
        <v>481</v>
      </c>
      <c r="D2818" s="612"/>
      <c r="E2818" s="613"/>
      <c r="F2818" s="611"/>
      <c r="G2818" s="611"/>
    </row>
    <row r="2819" spans="1:9" ht="15.75" hidden="1" customHeight="1" outlineLevel="2">
      <c r="A2819" s="613"/>
      <c r="B2819" s="612"/>
      <c r="C2819" s="613" t="s">
        <v>32</v>
      </c>
      <c r="D2819" s="612" t="s">
        <v>33</v>
      </c>
      <c r="E2819" s="613">
        <v>4</v>
      </c>
      <c r="F2819" s="611">
        <f>worker</f>
        <v>107800.00000000001</v>
      </c>
      <c r="G2819" s="611">
        <f>F2819*E2819</f>
        <v>431200.00000000006</v>
      </c>
    </row>
    <row r="2820" spans="1:9" ht="15.75" hidden="1" customHeight="1" outlineLevel="2">
      <c r="A2820" s="613"/>
      <c r="B2820" s="612"/>
      <c r="C2820" s="613" t="s">
        <v>472</v>
      </c>
      <c r="D2820" s="612" t="s">
        <v>33</v>
      </c>
      <c r="E2820" s="613">
        <v>1</v>
      </c>
      <c r="F2820" s="611">
        <f>electrical_technician</f>
        <v>366666.66666666669</v>
      </c>
      <c r="G2820" s="611">
        <f>F2820*E2820</f>
        <v>366666.66666666669</v>
      </c>
    </row>
    <row r="2821" spans="1:9" ht="15.75" hidden="1" customHeight="1" outlineLevel="2">
      <c r="A2821" s="613"/>
      <c r="B2821" s="612"/>
      <c r="C2821" s="613"/>
      <c r="D2821" s="612"/>
      <c r="E2821" s="613"/>
      <c r="F2821" s="611"/>
      <c r="G2821" s="611"/>
    </row>
    <row r="2822" spans="1:9" ht="15.75" hidden="1" customHeight="1" outlineLevel="2">
      <c r="A2822" s="613"/>
      <c r="B2822" s="612"/>
      <c r="C2822" s="613" t="s">
        <v>482</v>
      </c>
      <c r="D2822" s="612"/>
      <c r="E2822" s="613"/>
      <c r="F2822" s="611"/>
      <c r="G2822" s="611"/>
    </row>
    <row r="2823" spans="1:9" ht="15.75" hidden="1" customHeight="1" outlineLevel="2">
      <c r="A2823" s="613"/>
      <c r="B2823" s="612"/>
      <c r="C2823" s="613" t="s">
        <v>483</v>
      </c>
      <c r="D2823" s="612" t="s">
        <v>474</v>
      </c>
      <c r="E2823" s="613">
        <v>1</v>
      </c>
      <c r="F2823" s="611">
        <v>200000</v>
      </c>
      <c r="G2823" s="611">
        <f>F2823*E2823</f>
        <v>200000</v>
      </c>
    </row>
    <row r="2824" spans="1:9" ht="15.75" hidden="1" customHeight="1" outlineLevel="2">
      <c r="A2824" s="613"/>
      <c r="B2824" s="612"/>
      <c r="C2824" s="613"/>
      <c r="D2824" s="612"/>
      <c r="E2824" s="613"/>
      <c r="F2824" s="611"/>
      <c r="G2824" s="611"/>
    </row>
    <row r="2825" spans="1:9" ht="15.75" hidden="1" customHeight="1" outlineLevel="2">
      <c r="A2825" s="613"/>
      <c r="B2825" s="612"/>
      <c r="C2825" s="613" t="s">
        <v>484</v>
      </c>
      <c r="D2825" s="612"/>
      <c r="E2825" s="613"/>
      <c r="F2825" s="611"/>
      <c r="G2825" s="611"/>
    </row>
    <row r="2826" spans="1:9" ht="15.75" hidden="1" customHeight="1" outlineLevel="2">
      <c r="A2826" s="613"/>
      <c r="B2826" s="612"/>
      <c r="C2826" s="613" t="s">
        <v>485</v>
      </c>
      <c r="D2826" s="612" t="s">
        <v>2</v>
      </c>
      <c r="E2826" s="613">
        <v>50</v>
      </c>
      <c r="F2826" s="611">
        <f>1.2*160000</f>
        <v>192000</v>
      </c>
      <c r="G2826" s="611">
        <f>F2826*E2826</f>
        <v>9600000</v>
      </c>
      <c r="I2826" s="633" t="s">
        <v>486</v>
      </c>
    </row>
    <row r="2827" spans="1:9" ht="15.75" hidden="1" customHeight="1" outlineLevel="2">
      <c r="A2827" s="613"/>
      <c r="B2827" s="612"/>
      <c r="C2827" s="613" t="s">
        <v>487</v>
      </c>
      <c r="D2827" s="612" t="s">
        <v>194</v>
      </c>
      <c r="E2827" s="613">
        <v>100</v>
      </c>
      <c r="F2827" s="611">
        <f>1.2*20500</f>
        <v>24600</v>
      </c>
      <c r="G2827" s="611">
        <f>F2827*E2827</f>
        <v>2460000</v>
      </c>
      <c r="I2827" s="633" t="s">
        <v>488</v>
      </c>
    </row>
    <row r="2828" spans="1:9" ht="15.75" hidden="1" customHeight="1" outlineLevel="2">
      <c r="A2828" s="613"/>
      <c r="B2828" s="612"/>
      <c r="C2828" s="613" t="s">
        <v>489</v>
      </c>
      <c r="D2828" s="612" t="s">
        <v>2</v>
      </c>
      <c r="E2828" s="613">
        <v>10</v>
      </c>
      <c r="F2828" s="611">
        <f>1.2*28000</f>
        <v>33600</v>
      </c>
      <c r="G2828" s="611">
        <f>F2828*E2828</f>
        <v>336000</v>
      </c>
      <c r="I2828" s="633" t="s">
        <v>490</v>
      </c>
    </row>
    <row r="2829" spans="1:9" ht="15.75" hidden="1" customHeight="1" outlineLevel="2">
      <c r="A2829" s="613"/>
      <c r="B2829" s="612"/>
      <c r="C2829" s="613" t="s">
        <v>491</v>
      </c>
      <c r="D2829" s="612" t="s">
        <v>194</v>
      </c>
      <c r="E2829" s="613">
        <v>4</v>
      </c>
      <c r="F2829" s="611">
        <f>1.2*1000000</f>
        <v>1200000</v>
      </c>
      <c r="G2829" s="611">
        <f>F2829*E2829</f>
        <v>4800000</v>
      </c>
    </row>
    <row r="2830" spans="1:9" ht="15.75" hidden="1" customHeight="1" outlineLevel="2">
      <c r="A2830" s="613"/>
      <c r="B2830" s="612"/>
      <c r="C2830" s="613" t="s">
        <v>492</v>
      </c>
      <c r="D2830" s="612" t="s">
        <v>40</v>
      </c>
      <c r="E2830" s="613">
        <v>2</v>
      </c>
      <c r="F2830" s="611">
        <f>ahs_1unit_controlbox_brick_60x60x65</f>
        <v>892999.17987499991</v>
      </c>
      <c r="G2830" s="611">
        <f>F2830*E2830</f>
        <v>1785998.3597499998</v>
      </c>
    </row>
    <row r="2831" spans="1:9" ht="15.75" hidden="1" customHeight="1" outlineLevel="2">
      <c r="A2831" s="613"/>
      <c r="B2831" s="612"/>
      <c r="C2831" s="613"/>
      <c r="D2831" s="612"/>
      <c r="E2831" s="613"/>
      <c r="F2831" s="611"/>
      <c r="G2831" s="611"/>
    </row>
    <row r="2832" spans="1:9" ht="15.75" hidden="1" customHeight="1" outlineLevel="2">
      <c r="A2832" s="613"/>
      <c r="B2832" s="612"/>
      <c r="C2832" s="613"/>
      <c r="D2832" s="612"/>
      <c r="E2832" s="613"/>
      <c r="F2832" s="611"/>
      <c r="G2832" s="611">
        <f>SUM(G2819:G2830)</f>
        <v>19979865.026416663</v>
      </c>
    </row>
    <row r="2833" spans="1:9" ht="15.75" hidden="1" customHeight="1" outlineLevel="2">
      <c r="A2833" s="613"/>
      <c r="B2833" s="612"/>
      <c r="C2833" s="613"/>
      <c r="D2833" s="612"/>
      <c r="E2833" s="613"/>
      <c r="F2833" s="611"/>
      <c r="G2833" s="611"/>
    </row>
    <row r="2834" spans="1:9" ht="15.75" customHeight="1" outlineLevel="1" collapsed="1">
      <c r="A2834" s="613" t="s">
        <v>2074</v>
      </c>
      <c r="B2834" s="612">
        <f>B2817+1</f>
        <v>34</v>
      </c>
      <c r="C2834" s="613" t="s">
        <v>1996</v>
      </c>
      <c r="D2834" s="612" t="s">
        <v>919</v>
      </c>
      <c r="E2834" s="613"/>
      <c r="F2834" s="611"/>
      <c r="G2834" s="611">
        <f>G2848</f>
        <v>26127863.386166662</v>
      </c>
    </row>
    <row r="2835" spans="1:9" ht="15.75" hidden="1" customHeight="1" outlineLevel="2">
      <c r="A2835" s="613"/>
      <c r="B2835" s="612"/>
      <c r="C2835" s="613" t="s">
        <v>481</v>
      </c>
      <c r="D2835" s="612"/>
      <c r="E2835" s="613"/>
      <c r="F2835" s="611"/>
      <c r="G2835" s="611"/>
    </row>
    <row r="2836" spans="1:9" ht="15.75" hidden="1" customHeight="1" outlineLevel="2">
      <c r="A2836" s="613"/>
      <c r="B2836" s="612"/>
      <c r="C2836" s="613" t="s">
        <v>32</v>
      </c>
      <c r="D2836" s="612" t="s">
        <v>33</v>
      </c>
      <c r="E2836" s="613">
        <v>4</v>
      </c>
      <c r="F2836" s="611">
        <f>worker</f>
        <v>107800.00000000001</v>
      </c>
      <c r="G2836" s="611">
        <f>F2836*E2836</f>
        <v>431200.00000000006</v>
      </c>
    </row>
    <row r="2837" spans="1:9" ht="15.75" hidden="1" customHeight="1" outlineLevel="2">
      <c r="A2837" s="613"/>
      <c r="B2837" s="612"/>
      <c r="C2837" s="613" t="s">
        <v>472</v>
      </c>
      <c r="D2837" s="612" t="s">
        <v>33</v>
      </c>
      <c r="E2837" s="613">
        <v>1</v>
      </c>
      <c r="F2837" s="611">
        <f>electrical_technician</f>
        <v>366666.66666666669</v>
      </c>
      <c r="G2837" s="611">
        <f>F2837*E2837</f>
        <v>366666.66666666669</v>
      </c>
    </row>
    <row r="2838" spans="1:9" ht="15.75" hidden="1" customHeight="1" outlineLevel="2">
      <c r="A2838" s="613"/>
      <c r="B2838" s="612"/>
      <c r="C2838" s="613"/>
      <c r="D2838" s="612"/>
      <c r="E2838" s="613"/>
      <c r="F2838" s="611"/>
      <c r="G2838" s="611"/>
    </row>
    <row r="2839" spans="1:9" ht="15.75" hidden="1" customHeight="1" outlineLevel="2">
      <c r="A2839" s="613"/>
      <c r="B2839" s="612"/>
      <c r="C2839" s="613" t="s">
        <v>482</v>
      </c>
      <c r="D2839" s="612"/>
      <c r="E2839" s="613"/>
      <c r="F2839" s="611"/>
      <c r="G2839" s="611"/>
    </row>
    <row r="2840" spans="1:9" ht="15.75" hidden="1" customHeight="1" outlineLevel="2">
      <c r="A2840" s="613"/>
      <c r="B2840" s="612"/>
      <c r="C2840" s="613" t="s">
        <v>483</v>
      </c>
      <c r="D2840" s="612" t="s">
        <v>474</v>
      </c>
      <c r="E2840" s="613">
        <v>1</v>
      </c>
      <c r="F2840" s="611">
        <v>200000</v>
      </c>
      <c r="G2840" s="611">
        <f>F2840*E2840</f>
        <v>200000</v>
      </c>
    </row>
    <row r="2841" spans="1:9" ht="15.75" hidden="1" customHeight="1" outlineLevel="2">
      <c r="A2841" s="613"/>
      <c r="B2841" s="612"/>
      <c r="C2841" s="613"/>
      <c r="D2841" s="612"/>
      <c r="E2841" s="613"/>
      <c r="F2841" s="611"/>
      <c r="G2841" s="611"/>
    </row>
    <row r="2842" spans="1:9" ht="15.75" hidden="1" customHeight="1" outlineLevel="2">
      <c r="A2842" s="613"/>
      <c r="B2842" s="612"/>
      <c r="C2842" s="613" t="s">
        <v>484</v>
      </c>
      <c r="D2842" s="612"/>
      <c r="E2842" s="613"/>
      <c r="F2842" s="611"/>
      <c r="G2842" s="611"/>
    </row>
    <row r="2843" spans="1:9" ht="15.75" hidden="1" customHeight="1" outlineLevel="2">
      <c r="A2843" s="613"/>
      <c r="B2843" s="612"/>
      <c r="C2843" s="613" t="s">
        <v>485</v>
      </c>
      <c r="D2843" s="612" t="s">
        <v>2</v>
      </c>
      <c r="E2843" s="613">
        <v>50</v>
      </c>
      <c r="F2843" s="611">
        <f>1.2*160000</f>
        <v>192000</v>
      </c>
      <c r="G2843" s="611">
        <f>F2843*E2843</f>
        <v>9600000</v>
      </c>
      <c r="I2843" s="633" t="s">
        <v>486</v>
      </c>
    </row>
    <row r="2844" spans="1:9" ht="15.75" hidden="1" customHeight="1" outlineLevel="2">
      <c r="A2844" s="613"/>
      <c r="B2844" s="612"/>
      <c r="C2844" s="613" t="s">
        <v>487</v>
      </c>
      <c r="D2844" s="612" t="s">
        <v>194</v>
      </c>
      <c r="E2844" s="613">
        <v>250</v>
      </c>
      <c r="F2844" s="611">
        <f>1.2*20500</f>
        <v>24600</v>
      </c>
      <c r="G2844" s="611">
        <f>F2844*E2844</f>
        <v>6150000</v>
      </c>
      <c r="I2844" s="633" t="s">
        <v>488</v>
      </c>
    </row>
    <row r="2845" spans="1:9" ht="15.75" hidden="1" customHeight="1" outlineLevel="2">
      <c r="A2845" s="613"/>
      <c r="B2845" s="612"/>
      <c r="C2845" s="613" t="s">
        <v>489</v>
      </c>
      <c r="D2845" s="612" t="s">
        <v>2</v>
      </c>
      <c r="E2845" s="613">
        <v>30</v>
      </c>
      <c r="F2845" s="611">
        <f>1.2*28000</f>
        <v>33600</v>
      </c>
      <c r="G2845" s="611">
        <f>F2845*E2845</f>
        <v>1008000</v>
      </c>
      <c r="I2845" s="633" t="s">
        <v>490</v>
      </c>
    </row>
    <row r="2846" spans="1:9" ht="15.75" hidden="1" customHeight="1" outlineLevel="2">
      <c r="A2846" s="613"/>
      <c r="B2846" s="612"/>
      <c r="C2846" s="613" t="s">
        <v>491</v>
      </c>
      <c r="D2846" s="612" t="s">
        <v>194</v>
      </c>
      <c r="E2846" s="613">
        <v>4</v>
      </c>
      <c r="F2846" s="611">
        <f>1.2*1000000</f>
        <v>1200000</v>
      </c>
      <c r="G2846" s="611">
        <f>F2846*E2846</f>
        <v>4800000</v>
      </c>
    </row>
    <row r="2847" spans="1:9" ht="15.75" hidden="1" customHeight="1" outlineLevel="2">
      <c r="A2847" s="613"/>
      <c r="B2847" s="612"/>
      <c r="C2847" s="613" t="s">
        <v>492</v>
      </c>
      <c r="D2847" s="612" t="s">
        <v>40</v>
      </c>
      <c r="E2847" s="613">
        <v>4</v>
      </c>
      <c r="F2847" s="611">
        <f>ahs_1unit_controlbox_brick_60x60x65</f>
        <v>892999.17987499991</v>
      </c>
      <c r="G2847" s="611">
        <f>F2847*E2847</f>
        <v>3571996.7194999997</v>
      </c>
    </row>
    <row r="2848" spans="1:9" ht="15.75" hidden="1" customHeight="1" outlineLevel="2">
      <c r="A2848" s="613"/>
      <c r="B2848" s="612"/>
      <c r="C2848" s="613"/>
      <c r="D2848" s="612"/>
      <c r="E2848" s="613"/>
      <c r="F2848" s="611"/>
      <c r="G2848" s="611">
        <f>SUM(G2836:G2847)</f>
        <v>26127863.386166662</v>
      </c>
    </row>
    <row r="2849" spans="1:9" ht="15.75" customHeight="1" outlineLevel="1" collapsed="1">
      <c r="A2849" s="613" t="s">
        <v>2074</v>
      </c>
      <c r="B2849" s="612">
        <f>B2834+1</f>
        <v>35</v>
      </c>
      <c r="C2849" s="613" t="s">
        <v>1995</v>
      </c>
      <c r="D2849" s="612" t="s">
        <v>4</v>
      </c>
      <c r="E2849" s="613"/>
      <c r="F2849" s="611"/>
      <c r="G2849" s="611"/>
      <c r="I2849" s="633" t="s">
        <v>1146</v>
      </c>
    </row>
    <row r="2850" spans="1:9" ht="15.75" hidden="1" customHeight="1" outlineLevel="2">
      <c r="A2850" s="613"/>
      <c r="B2850" s="612"/>
      <c r="C2850" s="613" t="s">
        <v>93</v>
      </c>
      <c r="D2850" s="612"/>
      <c r="E2850" s="613"/>
      <c r="F2850" s="611"/>
      <c r="G2850" s="611"/>
    </row>
    <row r="2851" spans="1:9" ht="15.75" hidden="1" customHeight="1" outlineLevel="2">
      <c r="A2851" s="613"/>
      <c r="B2851" s="612"/>
      <c r="C2851" s="613" t="s">
        <v>1145</v>
      </c>
      <c r="D2851" s="612" t="s">
        <v>4</v>
      </c>
      <c r="E2851" s="613">
        <v>1.08</v>
      </c>
      <c r="F2851" s="611"/>
      <c r="G2851" s="611"/>
    </row>
    <row r="2852" spans="1:9" ht="15.75" hidden="1" customHeight="1" outlineLevel="2">
      <c r="A2852" s="613"/>
      <c r="B2852" s="612"/>
      <c r="C2852" s="613" t="s">
        <v>1144</v>
      </c>
      <c r="D2852" s="612" t="s">
        <v>4</v>
      </c>
      <c r="E2852" s="613">
        <v>1.08</v>
      </c>
      <c r="F2852" s="611"/>
      <c r="G2852" s="611"/>
    </row>
    <row r="2853" spans="1:9" ht="15.75" hidden="1" customHeight="1" outlineLevel="2">
      <c r="A2853" s="613"/>
      <c r="B2853" s="612"/>
      <c r="C2853" s="613"/>
      <c r="D2853" s="612"/>
      <c r="E2853" s="613"/>
      <c r="F2853" s="611"/>
      <c r="G2853" s="611"/>
    </row>
    <row r="2854" spans="1:9" ht="15.75" hidden="1" customHeight="1" outlineLevel="2">
      <c r="A2854" s="613"/>
      <c r="B2854" s="612"/>
      <c r="C2854" s="613" t="s">
        <v>92</v>
      </c>
      <c r="D2854" s="612"/>
      <c r="E2854" s="613"/>
      <c r="F2854" s="611"/>
      <c r="G2854" s="611"/>
    </row>
    <row r="2855" spans="1:9" ht="15.75" hidden="1" customHeight="1" outlineLevel="2">
      <c r="A2855" s="613"/>
      <c r="B2855" s="612"/>
      <c r="C2855" s="613" t="s">
        <v>493</v>
      </c>
      <c r="D2855" s="612" t="s">
        <v>921</v>
      </c>
      <c r="E2855" s="613">
        <v>0.16</v>
      </c>
      <c r="F2855" s="611"/>
      <c r="G2855" s="611"/>
    </row>
    <row r="2856" spans="1:9" ht="15.75" hidden="1" customHeight="1" outlineLevel="2">
      <c r="A2856" s="613"/>
      <c r="B2856" s="612"/>
      <c r="C2856" s="613" t="s">
        <v>494</v>
      </c>
      <c r="D2856" s="612" t="s">
        <v>921</v>
      </c>
      <c r="E2856" s="613">
        <v>3.2000000000000001E-2</v>
      </c>
      <c r="F2856" s="611"/>
      <c r="G2856" s="611"/>
    </row>
    <row r="2857" spans="1:9" ht="15.75" hidden="1" customHeight="1" outlineLevel="2">
      <c r="A2857" s="613"/>
      <c r="B2857" s="612"/>
      <c r="C2857" s="613" t="s">
        <v>495</v>
      </c>
      <c r="D2857" s="612" t="s">
        <v>921</v>
      </c>
      <c r="E2857" s="613">
        <v>1.6E-2</v>
      </c>
      <c r="F2857" s="611"/>
      <c r="G2857" s="611"/>
    </row>
    <row r="2858" spans="1:9" ht="15.75" hidden="1" customHeight="1" outlineLevel="2">
      <c r="A2858" s="613"/>
      <c r="B2858" s="612"/>
      <c r="C2858" s="613"/>
      <c r="D2858" s="612"/>
      <c r="E2858" s="613"/>
      <c r="F2858" s="611"/>
      <c r="G2858" s="611"/>
    </row>
    <row r="2859" spans="1:9" ht="15.75" customHeight="1" outlineLevel="1" collapsed="1">
      <c r="A2859" s="613" t="s">
        <v>2074</v>
      </c>
      <c r="B2859" s="612">
        <f>B2849+1</f>
        <v>36</v>
      </c>
      <c r="C2859" s="613" t="s">
        <v>4306</v>
      </c>
      <c r="D2859" s="612" t="s">
        <v>194</v>
      </c>
      <c r="E2859" s="613"/>
      <c r="F2859" s="611"/>
      <c r="G2859" s="611"/>
    </row>
    <row r="2860" spans="1:9" ht="15.75" hidden="1" customHeight="1" outlineLevel="2">
      <c r="A2860" s="613"/>
      <c r="B2860" s="612"/>
      <c r="C2860" s="613" t="s">
        <v>1052</v>
      </c>
      <c r="D2860" s="612"/>
      <c r="E2860" s="613"/>
      <c r="F2860" s="611"/>
      <c r="G2860" s="611"/>
    </row>
    <row r="2861" spans="1:9" ht="15.75" hidden="1" customHeight="1" outlineLevel="2">
      <c r="A2861" s="613"/>
      <c r="B2861" s="612"/>
      <c r="C2861" s="613" t="s">
        <v>32</v>
      </c>
      <c r="D2861" s="612" t="s">
        <v>33</v>
      </c>
      <c r="E2861" s="613">
        <v>0.499</v>
      </c>
      <c r="F2861" s="611">
        <f>worker</f>
        <v>107800.00000000001</v>
      </c>
      <c r="G2861" s="611"/>
    </row>
    <row r="2862" spans="1:9" ht="15.75" hidden="1" customHeight="1" outlineLevel="2">
      <c r="A2862" s="613"/>
      <c r="B2862" s="612"/>
      <c r="C2862" s="613" t="s">
        <v>187</v>
      </c>
      <c r="D2862" s="612" t="s">
        <v>33</v>
      </c>
      <c r="E2862" s="613">
        <v>0.2</v>
      </c>
      <c r="F2862" s="611">
        <f>welder</f>
        <v>127600.00000000001</v>
      </c>
      <c r="G2862" s="611"/>
    </row>
    <row r="2863" spans="1:9" ht="15.75" hidden="1" customHeight="1" outlineLevel="2">
      <c r="A2863" s="613"/>
      <c r="B2863" s="612"/>
      <c r="C2863" s="613" t="s">
        <v>1137</v>
      </c>
      <c r="D2863" s="612" t="s">
        <v>33</v>
      </c>
      <c r="E2863" s="613">
        <v>0.216</v>
      </c>
      <c r="F2863" s="611">
        <f>welder</f>
        <v>127600.00000000001</v>
      </c>
      <c r="G2863" s="611"/>
    </row>
    <row r="2864" spans="1:9" ht="15.75" hidden="1" customHeight="1" outlineLevel="2">
      <c r="A2864" s="613"/>
      <c r="B2864" s="612"/>
      <c r="C2864" s="613" t="s">
        <v>1136</v>
      </c>
      <c r="D2864" s="612" t="s">
        <v>33</v>
      </c>
      <c r="E2864" s="613">
        <f>E2863/2</f>
        <v>0.108</v>
      </c>
      <c r="F2864" s="611">
        <f>F2863</f>
        <v>127600.00000000001</v>
      </c>
      <c r="G2864" s="611"/>
    </row>
    <row r="2865" spans="1:7" ht="15.75" hidden="1" customHeight="1" outlineLevel="2">
      <c r="A2865" s="613"/>
      <c r="B2865" s="612"/>
      <c r="C2865" s="613" t="s">
        <v>1135</v>
      </c>
      <c r="D2865" s="612" t="s">
        <v>33</v>
      </c>
      <c r="E2865" s="613">
        <v>0.05</v>
      </c>
      <c r="F2865" s="611" t="e">
        <f>supervisor_pek_khusus</f>
        <v>#NAME?</v>
      </c>
      <c r="G2865" s="611"/>
    </row>
    <row r="2866" spans="1:7" ht="15.75" hidden="1" customHeight="1" outlineLevel="2">
      <c r="A2866" s="613"/>
      <c r="B2866" s="612"/>
      <c r="C2866" s="613" t="s">
        <v>1134</v>
      </c>
      <c r="D2866" s="612" t="s">
        <v>33</v>
      </c>
      <c r="E2866" s="613">
        <v>0.05</v>
      </c>
      <c r="F2866" s="611">
        <f>mechanic</f>
        <v>184800.00000000003</v>
      </c>
      <c r="G2866" s="611"/>
    </row>
    <row r="2867" spans="1:7" ht="15.75" hidden="1" customHeight="1" outlineLevel="2">
      <c r="A2867" s="613"/>
      <c r="B2867" s="612"/>
      <c r="C2867" s="613"/>
      <c r="D2867" s="612"/>
      <c r="E2867" s="613"/>
      <c r="F2867" s="611"/>
      <c r="G2867" s="611"/>
    </row>
    <row r="2868" spans="1:7" ht="15.75" hidden="1" customHeight="1" outlineLevel="2">
      <c r="A2868" s="613"/>
      <c r="B2868" s="612"/>
      <c r="C2868" s="613" t="s">
        <v>93</v>
      </c>
      <c r="D2868" s="612"/>
      <c r="E2868" s="613"/>
      <c r="F2868" s="611"/>
      <c r="G2868" s="611"/>
    </row>
    <row r="2869" spans="1:7" ht="15.75" hidden="1" customHeight="1" outlineLevel="2">
      <c r="A2869" s="613"/>
      <c r="B2869" s="612"/>
      <c r="C2869" s="613" t="s">
        <v>1133</v>
      </c>
      <c r="D2869" s="612" t="s">
        <v>52</v>
      </c>
      <c r="E2869" s="613">
        <v>0.35</v>
      </c>
      <c r="F2869" s="611" t="e">
        <f>electroda</f>
        <v>#NAME?</v>
      </c>
      <c r="G2869" s="611"/>
    </row>
    <row r="2870" spans="1:7" ht="15.75" hidden="1" customHeight="1" outlineLevel="2">
      <c r="A2870" s="613"/>
      <c r="B2870" s="612"/>
      <c r="C2870" s="613" t="s">
        <v>1132</v>
      </c>
      <c r="D2870" s="612" t="s">
        <v>1064</v>
      </c>
      <c r="E2870" s="613">
        <v>0.05</v>
      </c>
      <c r="F2870" s="611" t="e">
        <f>argon</f>
        <v>#NAME?</v>
      </c>
      <c r="G2870" s="611"/>
    </row>
    <row r="2871" spans="1:7" ht="15.75" hidden="1" customHeight="1" outlineLevel="2">
      <c r="A2871" s="613"/>
      <c r="B2871" s="612"/>
      <c r="C2871" s="613" t="s">
        <v>1131</v>
      </c>
      <c r="D2871" s="612" t="s">
        <v>141</v>
      </c>
      <c r="E2871" s="613">
        <v>0.15</v>
      </c>
      <c r="F2871" s="611" t="e">
        <f>grindind_disk</f>
        <v>#NAME?</v>
      </c>
      <c r="G2871" s="611"/>
    </row>
    <row r="2872" spans="1:7" ht="15.75" hidden="1" customHeight="1" outlineLevel="2">
      <c r="A2872" s="613"/>
      <c r="B2872" s="612"/>
      <c r="C2872" s="613"/>
      <c r="D2872" s="612"/>
      <c r="E2872" s="613"/>
      <c r="F2872" s="611"/>
      <c r="G2872" s="611"/>
    </row>
    <row r="2873" spans="1:7" ht="15.75" hidden="1" customHeight="1" outlineLevel="2">
      <c r="A2873" s="613"/>
      <c r="B2873" s="612"/>
      <c r="C2873" s="613" t="s">
        <v>63</v>
      </c>
      <c r="D2873" s="612"/>
      <c r="E2873" s="613"/>
      <c r="F2873" s="611"/>
      <c r="G2873" s="611"/>
    </row>
    <row r="2874" spans="1:7" ht="15.75" hidden="1" customHeight="1" outlineLevel="2">
      <c r="A2874" s="613"/>
      <c r="B2874" s="612"/>
      <c r="C2874" s="613" t="s">
        <v>1130</v>
      </c>
      <c r="D2874" s="612" t="s">
        <v>65</v>
      </c>
      <c r="E2874" s="613">
        <v>4.0000000000000001E-3</v>
      </c>
      <c r="F2874" s="611">
        <v>0</v>
      </c>
      <c r="G2874" s="611"/>
    </row>
    <row r="2875" spans="1:7" ht="15.75" hidden="1" customHeight="1" outlineLevel="2">
      <c r="A2875" s="613"/>
      <c r="B2875" s="612"/>
      <c r="C2875" s="613" t="s">
        <v>234</v>
      </c>
      <c r="D2875" s="612" t="s">
        <v>65</v>
      </c>
      <c r="E2875" s="613">
        <v>0.2</v>
      </c>
      <c r="F2875" s="611">
        <v>0</v>
      </c>
      <c r="G2875" s="611"/>
    </row>
    <row r="2876" spans="1:7" ht="15.75" hidden="1" customHeight="1" outlineLevel="2">
      <c r="A2876" s="613"/>
      <c r="B2876" s="612"/>
      <c r="C2876" s="613" t="s">
        <v>1129</v>
      </c>
      <c r="D2876" s="612" t="s">
        <v>2</v>
      </c>
      <c r="E2876" s="613">
        <v>1</v>
      </c>
      <c r="F2876" s="611">
        <f>Q2870/9000</f>
        <v>0</v>
      </c>
      <c r="G2876" s="611"/>
    </row>
    <row r="2877" spans="1:7" ht="15.75" hidden="1" customHeight="1" outlineLevel="2">
      <c r="A2877" s="613"/>
      <c r="B2877" s="612"/>
      <c r="C2877" s="613"/>
      <c r="D2877" s="612"/>
      <c r="E2877" s="613"/>
      <c r="F2877" s="611"/>
      <c r="G2877" s="611"/>
    </row>
    <row r="2878" spans="1:7" ht="15.75" customHeight="1" outlineLevel="1" collapsed="1">
      <c r="A2878" s="613" t="s">
        <v>2074</v>
      </c>
      <c r="B2878" s="612">
        <f>B2859+1</f>
        <v>37</v>
      </c>
      <c r="C2878" s="613" t="s">
        <v>4307</v>
      </c>
      <c r="D2878" s="612" t="s">
        <v>194</v>
      </c>
      <c r="E2878" s="613"/>
      <c r="F2878" s="611"/>
      <c r="G2878" s="611"/>
    </row>
    <row r="2879" spans="1:7" ht="15.75" hidden="1" customHeight="1" outlineLevel="2">
      <c r="A2879" s="613"/>
      <c r="B2879" s="612"/>
      <c r="C2879" s="613" t="s">
        <v>1052</v>
      </c>
      <c r="D2879" s="612"/>
      <c r="E2879" s="613"/>
      <c r="F2879" s="611"/>
      <c r="G2879" s="611"/>
    </row>
    <row r="2880" spans="1:7" ht="15.75" hidden="1" customHeight="1" outlineLevel="2">
      <c r="A2880" s="613"/>
      <c r="B2880" s="612"/>
      <c r="C2880" s="613" t="s">
        <v>32</v>
      </c>
      <c r="D2880" s="612" t="s">
        <v>33</v>
      </c>
      <c r="E2880" s="613">
        <v>0.499</v>
      </c>
      <c r="F2880" s="611">
        <f>worker</f>
        <v>107800.00000000001</v>
      </c>
      <c r="G2880" s="611"/>
    </row>
    <row r="2881" spans="1:7" ht="15.75" hidden="1" customHeight="1" outlineLevel="2">
      <c r="A2881" s="613"/>
      <c r="B2881" s="612"/>
      <c r="C2881" s="613" t="s">
        <v>187</v>
      </c>
      <c r="D2881" s="612" t="s">
        <v>33</v>
      </c>
      <c r="E2881" s="613">
        <v>0.2</v>
      </c>
      <c r="F2881" s="611">
        <f>welder</f>
        <v>127600.00000000001</v>
      </c>
      <c r="G2881" s="611"/>
    </row>
    <row r="2882" spans="1:7" ht="15.75" hidden="1" customHeight="1" outlineLevel="2">
      <c r="A2882" s="613"/>
      <c r="B2882" s="612"/>
      <c r="C2882" s="613" t="s">
        <v>1135</v>
      </c>
      <c r="D2882" s="612" t="s">
        <v>33</v>
      </c>
      <c r="E2882" s="613">
        <v>0.05</v>
      </c>
      <c r="F2882" s="611" t="e">
        <f>supervisor_pek_khusus</f>
        <v>#NAME?</v>
      </c>
      <c r="G2882" s="611"/>
    </row>
    <row r="2883" spans="1:7" ht="15.75" hidden="1" customHeight="1" outlineLevel="2">
      <c r="A2883" s="613"/>
      <c r="B2883" s="612"/>
      <c r="C2883" s="613" t="s">
        <v>1134</v>
      </c>
      <c r="D2883" s="612" t="s">
        <v>33</v>
      </c>
      <c r="E2883" s="613">
        <v>0.05</v>
      </c>
      <c r="F2883" s="611">
        <f>mechanic</f>
        <v>184800.00000000003</v>
      </c>
      <c r="G2883" s="611"/>
    </row>
    <row r="2884" spans="1:7" ht="15.75" hidden="1" customHeight="1" outlineLevel="2">
      <c r="A2884" s="613"/>
      <c r="B2884" s="612"/>
      <c r="C2884" s="613"/>
      <c r="D2884" s="612"/>
      <c r="E2884" s="613"/>
      <c r="F2884" s="611"/>
      <c r="G2884" s="611"/>
    </row>
    <row r="2885" spans="1:7" ht="15.75" hidden="1" customHeight="1" outlineLevel="2">
      <c r="A2885" s="613"/>
      <c r="B2885" s="612"/>
      <c r="C2885" s="613" t="s">
        <v>63</v>
      </c>
      <c r="D2885" s="612"/>
      <c r="E2885" s="613"/>
      <c r="F2885" s="611"/>
      <c r="G2885" s="611"/>
    </row>
    <row r="2886" spans="1:7" ht="15.75" hidden="1" customHeight="1" outlineLevel="2">
      <c r="A2886" s="613"/>
      <c r="B2886" s="612"/>
      <c r="C2886" s="613" t="s">
        <v>1130</v>
      </c>
      <c r="D2886" s="612" t="s">
        <v>65</v>
      </c>
      <c r="E2886" s="613">
        <v>4.0000000000000001E-3</v>
      </c>
      <c r="F2886" s="611"/>
      <c r="G2886" s="611"/>
    </row>
    <row r="2887" spans="1:7" ht="15.75" hidden="1" customHeight="1" outlineLevel="2">
      <c r="A2887" s="613"/>
      <c r="B2887" s="612"/>
      <c r="C2887" s="613" t="s">
        <v>234</v>
      </c>
      <c r="D2887" s="612" t="s">
        <v>65</v>
      </c>
      <c r="E2887" s="613">
        <v>0.2</v>
      </c>
      <c r="F2887" s="611"/>
      <c r="G2887" s="611"/>
    </row>
    <row r="2888" spans="1:7" ht="15.75" hidden="1" customHeight="1" outlineLevel="2">
      <c r="A2888" s="613"/>
      <c r="B2888" s="612"/>
      <c r="C2888" s="613" t="s">
        <v>1143</v>
      </c>
      <c r="D2888" s="612" t="s">
        <v>130</v>
      </c>
      <c r="E2888" s="613">
        <v>2.8000000000000001E-2</v>
      </c>
      <c r="F2888" s="611"/>
      <c r="G2888" s="611"/>
    </row>
    <row r="2889" spans="1:7" ht="15.75" hidden="1" customHeight="1" outlineLevel="2">
      <c r="A2889" s="613"/>
      <c r="B2889" s="612"/>
      <c r="C2889" s="613" t="s">
        <v>1140</v>
      </c>
      <c r="D2889" s="612" t="s">
        <v>1138</v>
      </c>
      <c r="E2889" s="613">
        <v>0.05</v>
      </c>
      <c r="F2889" s="611"/>
      <c r="G2889" s="611"/>
    </row>
    <row r="2890" spans="1:7" ht="15.75" hidden="1" customHeight="1" outlineLevel="2">
      <c r="A2890" s="613"/>
      <c r="B2890" s="612"/>
      <c r="C2890" s="613" t="s">
        <v>1139</v>
      </c>
      <c r="D2890" s="612" t="s">
        <v>1138</v>
      </c>
      <c r="E2890" s="613">
        <v>0.05</v>
      </c>
      <c r="F2890" s="611"/>
      <c r="G2890" s="611"/>
    </row>
    <row r="2891" spans="1:7" ht="15.75" hidden="1" customHeight="1" outlineLevel="2">
      <c r="A2891" s="613"/>
      <c r="B2891" s="612"/>
      <c r="C2891" s="613"/>
      <c r="D2891" s="612"/>
      <c r="E2891" s="613"/>
      <c r="F2891" s="611"/>
      <c r="G2891" s="611"/>
    </row>
    <row r="2892" spans="1:7" ht="15.75" customHeight="1" outlineLevel="1" collapsed="1">
      <c r="A2892" s="613" t="s">
        <v>2074</v>
      </c>
      <c r="B2892" s="612">
        <f>B2878+1</f>
        <v>38</v>
      </c>
      <c r="C2892" s="613" t="s">
        <v>4308</v>
      </c>
      <c r="D2892" s="612" t="s">
        <v>194</v>
      </c>
      <c r="E2892" s="613"/>
      <c r="F2892" s="611"/>
      <c r="G2892" s="611"/>
    </row>
    <row r="2893" spans="1:7" ht="15.75" hidden="1" customHeight="1" outlineLevel="2">
      <c r="A2893" s="613"/>
      <c r="B2893" s="612"/>
      <c r="C2893" s="613" t="s">
        <v>1052</v>
      </c>
      <c r="D2893" s="612"/>
      <c r="E2893" s="613"/>
      <c r="F2893" s="611"/>
      <c r="G2893" s="611"/>
    </row>
    <row r="2894" spans="1:7" ht="15.75" hidden="1" customHeight="1" outlineLevel="2">
      <c r="A2894" s="613"/>
      <c r="B2894" s="612"/>
      <c r="C2894" s="613" t="s">
        <v>32</v>
      </c>
      <c r="D2894" s="612" t="s">
        <v>33</v>
      </c>
      <c r="E2894" s="613">
        <v>0.57899999999999996</v>
      </c>
      <c r="F2894" s="611"/>
      <c r="G2894" s="611"/>
    </row>
    <row r="2895" spans="1:7" ht="15.75" hidden="1" customHeight="1" outlineLevel="2">
      <c r="A2895" s="613"/>
      <c r="B2895" s="612"/>
      <c r="C2895" s="613" t="s">
        <v>187</v>
      </c>
      <c r="D2895" s="612" t="s">
        <v>33</v>
      </c>
      <c r="E2895" s="613">
        <v>0.216</v>
      </c>
      <c r="F2895" s="611"/>
      <c r="G2895" s="611"/>
    </row>
    <row r="2896" spans="1:7" ht="15.75" hidden="1" customHeight="1" outlineLevel="2">
      <c r="A2896" s="613"/>
      <c r="B2896" s="612"/>
      <c r="C2896" s="613" t="s">
        <v>1137</v>
      </c>
      <c r="D2896" s="612" t="s">
        <v>33</v>
      </c>
      <c r="E2896" s="613">
        <v>0.216</v>
      </c>
      <c r="F2896" s="611"/>
      <c r="G2896" s="611"/>
    </row>
    <row r="2897" spans="1:7" ht="15.75" hidden="1" customHeight="1" outlineLevel="2">
      <c r="A2897" s="613"/>
      <c r="B2897" s="612"/>
      <c r="C2897" s="613" t="s">
        <v>1136</v>
      </c>
      <c r="D2897" s="612" t="s">
        <v>33</v>
      </c>
      <c r="E2897" s="613">
        <f>E2896/2</f>
        <v>0.108</v>
      </c>
      <c r="F2897" s="611"/>
      <c r="G2897" s="611"/>
    </row>
    <row r="2898" spans="1:7" ht="15.75" hidden="1" customHeight="1" outlineLevel="2">
      <c r="A2898" s="613"/>
      <c r="B2898" s="612"/>
      <c r="C2898" s="613" t="s">
        <v>1135</v>
      </c>
      <c r="D2898" s="612" t="s">
        <v>33</v>
      </c>
      <c r="E2898" s="613">
        <v>5.8000000000000003E-2</v>
      </c>
      <c r="F2898" s="611"/>
      <c r="G2898" s="611"/>
    </row>
    <row r="2899" spans="1:7" ht="15.75" hidden="1" customHeight="1" outlineLevel="2">
      <c r="A2899" s="613"/>
      <c r="B2899" s="612"/>
      <c r="C2899" s="613"/>
      <c r="D2899" s="612"/>
      <c r="E2899" s="613"/>
      <c r="F2899" s="611"/>
      <c r="G2899" s="611"/>
    </row>
    <row r="2900" spans="1:7" ht="15.75" hidden="1" customHeight="1" outlineLevel="2">
      <c r="A2900" s="613"/>
      <c r="B2900" s="612"/>
      <c r="C2900" s="613" t="s">
        <v>93</v>
      </c>
      <c r="D2900" s="612"/>
      <c r="E2900" s="613"/>
      <c r="F2900" s="611"/>
      <c r="G2900" s="611"/>
    </row>
    <row r="2901" spans="1:7" ht="15.75" hidden="1" customHeight="1" outlineLevel="2">
      <c r="A2901" s="613"/>
      <c r="B2901" s="612"/>
      <c r="C2901" s="613" t="s">
        <v>1133</v>
      </c>
      <c r="D2901" s="612" t="s">
        <v>52</v>
      </c>
      <c r="E2901" s="613">
        <v>0.35</v>
      </c>
      <c r="F2901" s="611"/>
      <c r="G2901" s="611"/>
    </row>
    <row r="2902" spans="1:7" ht="15.75" hidden="1" customHeight="1" outlineLevel="2">
      <c r="A2902" s="613"/>
      <c r="B2902" s="612"/>
      <c r="C2902" s="613" t="s">
        <v>1132</v>
      </c>
      <c r="D2902" s="612" t="s">
        <v>1064</v>
      </c>
      <c r="E2902" s="613">
        <v>0.05</v>
      </c>
      <c r="F2902" s="611"/>
      <c r="G2902" s="611"/>
    </row>
    <row r="2903" spans="1:7" ht="15.75" hidden="1" customHeight="1" outlineLevel="2">
      <c r="A2903" s="613"/>
      <c r="B2903" s="612"/>
      <c r="C2903" s="613" t="s">
        <v>1131</v>
      </c>
      <c r="D2903" s="612" t="s">
        <v>141</v>
      </c>
      <c r="E2903" s="613">
        <v>0.15</v>
      </c>
      <c r="F2903" s="611"/>
      <c r="G2903" s="611"/>
    </row>
    <row r="2904" spans="1:7" ht="15.75" hidden="1" customHeight="1" outlineLevel="2">
      <c r="A2904" s="613"/>
      <c r="B2904" s="612"/>
      <c r="C2904" s="613" t="s">
        <v>1142</v>
      </c>
      <c r="D2904" s="612"/>
      <c r="E2904" s="613"/>
      <c r="F2904" s="611"/>
      <c r="G2904" s="611"/>
    </row>
    <row r="2905" spans="1:7" ht="15.75" hidden="1" customHeight="1" outlineLevel="2">
      <c r="A2905" s="613"/>
      <c r="B2905" s="612"/>
      <c r="C2905" s="613" t="s">
        <v>63</v>
      </c>
      <c r="D2905" s="612"/>
      <c r="E2905" s="613"/>
      <c r="F2905" s="611"/>
      <c r="G2905" s="611"/>
    </row>
    <row r="2906" spans="1:7" ht="15.75" hidden="1" customHeight="1" outlineLevel="2">
      <c r="A2906" s="613"/>
      <c r="B2906" s="612"/>
      <c r="C2906" s="613" t="s">
        <v>1130</v>
      </c>
      <c r="D2906" s="612" t="s">
        <v>65</v>
      </c>
      <c r="E2906" s="613">
        <v>4.0000000000000001E-3</v>
      </c>
      <c r="F2906" s="611"/>
      <c r="G2906" s="611"/>
    </row>
    <row r="2907" spans="1:7" ht="15.75" hidden="1" customHeight="1" outlineLevel="2">
      <c r="A2907" s="613"/>
      <c r="B2907" s="612"/>
      <c r="C2907" s="613" t="s">
        <v>234</v>
      </c>
      <c r="D2907" s="612" t="s">
        <v>65</v>
      </c>
      <c r="E2907" s="613">
        <v>0.216</v>
      </c>
      <c r="F2907" s="611"/>
      <c r="G2907" s="611"/>
    </row>
    <row r="2908" spans="1:7" ht="15.75" hidden="1" customHeight="1" outlineLevel="2">
      <c r="A2908" s="613"/>
      <c r="B2908" s="612"/>
      <c r="C2908" s="613"/>
      <c r="D2908" s="612"/>
      <c r="E2908" s="613"/>
      <c r="F2908" s="611"/>
      <c r="G2908" s="611"/>
    </row>
    <row r="2909" spans="1:7" ht="15.75" customHeight="1" outlineLevel="1" collapsed="1">
      <c r="A2909" s="613" t="s">
        <v>2074</v>
      </c>
      <c r="B2909" s="612">
        <f>B2892+1</f>
        <v>39</v>
      </c>
      <c r="C2909" s="613" t="s">
        <v>4309</v>
      </c>
      <c r="D2909" s="612" t="s">
        <v>194</v>
      </c>
      <c r="E2909" s="613"/>
      <c r="F2909" s="611"/>
      <c r="G2909" s="611"/>
    </row>
    <row r="2910" spans="1:7" ht="15.75" hidden="1" customHeight="1" outlineLevel="2">
      <c r="A2910" s="613"/>
      <c r="B2910" s="612"/>
      <c r="C2910" s="613" t="s">
        <v>1052</v>
      </c>
      <c r="D2910" s="612"/>
      <c r="E2910" s="613"/>
      <c r="F2910" s="611"/>
      <c r="G2910" s="611"/>
    </row>
    <row r="2911" spans="1:7" ht="15.75" hidden="1" customHeight="1" outlineLevel="2">
      <c r="A2911" s="613"/>
      <c r="B2911" s="612"/>
      <c r="C2911" s="613" t="s">
        <v>32</v>
      </c>
      <c r="D2911" s="612" t="s">
        <v>33</v>
      </c>
      <c r="E2911" s="613">
        <v>0.57899999999999996</v>
      </c>
      <c r="F2911" s="611"/>
      <c r="G2911" s="611"/>
    </row>
    <row r="2912" spans="1:7" ht="15.75" hidden="1" customHeight="1" outlineLevel="2">
      <c r="A2912" s="613"/>
      <c r="B2912" s="612"/>
      <c r="C2912" s="613" t="s">
        <v>187</v>
      </c>
      <c r="D2912" s="612" t="s">
        <v>33</v>
      </c>
      <c r="E2912" s="613">
        <v>0.216</v>
      </c>
      <c r="F2912" s="611"/>
      <c r="G2912" s="611"/>
    </row>
    <row r="2913" spans="1:7" ht="15.75" hidden="1" customHeight="1" outlineLevel="2">
      <c r="A2913" s="613"/>
      <c r="B2913" s="612"/>
      <c r="C2913" s="613" t="s">
        <v>1135</v>
      </c>
      <c r="D2913" s="612" t="s">
        <v>33</v>
      </c>
      <c r="E2913" s="613">
        <v>5.8000000000000003E-2</v>
      </c>
      <c r="F2913" s="611"/>
      <c r="G2913" s="611"/>
    </row>
    <row r="2914" spans="1:7" ht="15.75" hidden="1" customHeight="1" outlineLevel="2">
      <c r="A2914" s="613"/>
      <c r="B2914" s="612"/>
      <c r="C2914" s="613"/>
      <c r="D2914" s="612"/>
      <c r="E2914" s="613"/>
      <c r="F2914" s="611"/>
      <c r="G2914" s="611"/>
    </row>
    <row r="2915" spans="1:7" ht="15.75" hidden="1" customHeight="1" outlineLevel="2">
      <c r="A2915" s="613"/>
      <c r="B2915" s="612"/>
      <c r="C2915" s="613" t="s">
        <v>1142</v>
      </c>
      <c r="D2915" s="612"/>
      <c r="E2915" s="613"/>
      <c r="F2915" s="611"/>
      <c r="G2915" s="611"/>
    </row>
    <row r="2916" spans="1:7" ht="15.75" hidden="1" customHeight="1" outlineLevel="2">
      <c r="A2916" s="613"/>
      <c r="B2916" s="612"/>
      <c r="C2916" s="613" t="s">
        <v>63</v>
      </c>
      <c r="D2916" s="612"/>
      <c r="E2916" s="613"/>
      <c r="F2916" s="611"/>
      <c r="G2916" s="611"/>
    </row>
    <row r="2917" spans="1:7" ht="15.75" hidden="1" customHeight="1" outlineLevel="2">
      <c r="A2917" s="613"/>
      <c r="B2917" s="612"/>
      <c r="C2917" s="613" t="s">
        <v>1130</v>
      </c>
      <c r="D2917" s="612" t="s">
        <v>65</v>
      </c>
      <c r="E2917" s="613">
        <v>4.0000000000000001E-3</v>
      </c>
      <c r="F2917" s="611"/>
      <c r="G2917" s="611"/>
    </row>
    <row r="2918" spans="1:7" ht="15.75" hidden="1" customHeight="1" outlineLevel="2">
      <c r="A2918" s="613"/>
      <c r="B2918" s="612"/>
      <c r="C2918" s="613" t="s">
        <v>234</v>
      </c>
      <c r="D2918" s="612" t="s">
        <v>65</v>
      </c>
      <c r="E2918" s="613">
        <v>0.216</v>
      </c>
      <c r="F2918" s="611"/>
      <c r="G2918" s="611"/>
    </row>
    <row r="2919" spans="1:7" ht="15.75" hidden="1" customHeight="1" outlineLevel="2">
      <c r="A2919" s="613"/>
      <c r="B2919" s="612"/>
      <c r="C2919" s="613"/>
      <c r="D2919" s="612"/>
      <c r="E2919" s="613"/>
      <c r="F2919" s="611"/>
      <c r="G2919" s="611"/>
    </row>
    <row r="2920" spans="1:7" ht="15.75" customHeight="1" outlineLevel="1" collapsed="1">
      <c r="A2920" s="613" t="s">
        <v>2074</v>
      </c>
      <c r="B2920" s="612">
        <f>B2909+1</f>
        <v>40</v>
      </c>
      <c r="C2920" s="613" t="s">
        <v>4310</v>
      </c>
      <c r="D2920" s="612" t="s">
        <v>194</v>
      </c>
      <c r="E2920" s="613"/>
      <c r="F2920" s="611"/>
      <c r="G2920" s="611"/>
    </row>
    <row r="2921" spans="1:7" ht="15.75" hidden="1" customHeight="1" outlineLevel="2">
      <c r="A2921" s="613"/>
      <c r="B2921" s="612"/>
      <c r="C2921" s="613" t="s">
        <v>1052</v>
      </c>
      <c r="D2921" s="612"/>
      <c r="E2921" s="613"/>
      <c r="F2921" s="611"/>
      <c r="G2921" s="611"/>
    </row>
    <row r="2922" spans="1:7" ht="15.75" hidden="1" customHeight="1" outlineLevel="2">
      <c r="A2922" s="613"/>
      <c r="B2922" s="612"/>
      <c r="C2922" s="613" t="s">
        <v>32</v>
      </c>
      <c r="D2922" s="612" t="s">
        <v>33</v>
      </c>
      <c r="E2922" s="613">
        <v>1.325</v>
      </c>
      <c r="F2922" s="611"/>
      <c r="G2922" s="611"/>
    </row>
    <row r="2923" spans="1:7" ht="15.75" hidden="1" customHeight="1" outlineLevel="2">
      <c r="A2923" s="613"/>
      <c r="B2923" s="612"/>
      <c r="C2923" s="613" t="s">
        <v>187</v>
      </c>
      <c r="D2923" s="612" t="s">
        <v>33</v>
      </c>
      <c r="E2923" s="613">
        <v>0.36499999999999999</v>
      </c>
      <c r="F2923" s="611"/>
      <c r="G2923" s="611"/>
    </row>
    <row r="2924" spans="1:7" ht="15.75" hidden="1" customHeight="1" outlineLevel="2">
      <c r="A2924" s="613"/>
      <c r="B2924" s="612"/>
      <c r="C2924" s="613" t="s">
        <v>1137</v>
      </c>
      <c r="D2924" s="612" t="s">
        <v>33</v>
      </c>
      <c r="E2924" s="613">
        <v>0.216</v>
      </c>
      <c r="F2924" s="611"/>
      <c r="G2924" s="611"/>
    </row>
    <row r="2925" spans="1:7" ht="15.75" hidden="1" customHeight="1" outlineLevel="2">
      <c r="A2925" s="613"/>
      <c r="B2925" s="612"/>
      <c r="C2925" s="613" t="s">
        <v>1136</v>
      </c>
      <c r="D2925" s="612" t="s">
        <v>33</v>
      </c>
      <c r="E2925" s="613">
        <f>E2924/2</f>
        <v>0.108</v>
      </c>
      <c r="F2925" s="611"/>
      <c r="G2925" s="611"/>
    </row>
    <row r="2926" spans="1:7" ht="15.75" hidden="1" customHeight="1" outlineLevel="2">
      <c r="A2926" s="613"/>
      <c r="B2926" s="612"/>
      <c r="C2926" s="613" t="s">
        <v>1135</v>
      </c>
      <c r="D2926" s="612" t="s">
        <v>33</v>
      </c>
      <c r="E2926" s="613">
        <v>0.13300000000000001</v>
      </c>
      <c r="F2926" s="611"/>
      <c r="G2926" s="611"/>
    </row>
    <row r="2927" spans="1:7" ht="15.75" hidden="1" customHeight="1" outlineLevel="2">
      <c r="A2927" s="613"/>
      <c r="B2927" s="612"/>
      <c r="C2927" s="613"/>
      <c r="D2927" s="612"/>
      <c r="E2927" s="613"/>
      <c r="F2927" s="611"/>
      <c r="G2927" s="611"/>
    </row>
    <row r="2928" spans="1:7" ht="15.75" hidden="1" customHeight="1" outlineLevel="2">
      <c r="A2928" s="613"/>
      <c r="B2928" s="612"/>
      <c r="C2928" s="613" t="s">
        <v>93</v>
      </c>
      <c r="D2928" s="612"/>
      <c r="E2928" s="613"/>
      <c r="F2928" s="611"/>
      <c r="G2928" s="611"/>
    </row>
    <row r="2929" spans="1:7" ht="15.75" hidden="1" customHeight="1" outlineLevel="2">
      <c r="A2929" s="613"/>
      <c r="B2929" s="612"/>
      <c r="C2929" s="613" t="s">
        <v>1133</v>
      </c>
      <c r="D2929" s="612" t="s">
        <v>52</v>
      </c>
      <c r="E2929" s="613">
        <v>0.35</v>
      </c>
      <c r="F2929" s="611"/>
      <c r="G2929" s="611"/>
    </row>
    <row r="2930" spans="1:7" ht="15.75" hidden="1" customHeight="1" outlineLevel="2">
      <c r="A2930" s="613"/>
      <c r="B2930" s="612"/>
      <c r="C2930" s="613" t="s">
        <v>1132</v>
      </c>
      <c r="D2930" s="612" t="s">
        <v>1064</v>
      </c>
      <c r="E2930" s="613">
        <v>0.05</v>
      </c>
      <c r="F2930" s="611"/>
      <c r="G2930" s="611"/>
    </row>
    <row r="2931" spans="1:7" ht="15.75" hidden="1" customHeight="1" outlineLevel="2">
      <c r="A2931" s="613"/>
      <c r="B2931" s="612"/>
      <c r="C2931" s="613" t="s">
        <v>1131</v>
      </c>
      <c r="D2931" s="612" t="s">
        <v>141</v>
      </c>
      <c r="E2931" s="613">
        <v>0.15</v>
      </c>
      <c r="F2931" s="611"/>
      <c r="G2931" s="611"/>
    </row>
    <row r="2932" spans="1:7" ht="15.75" hidden="1" customHeight="1" outlineLevel="2">
      <c r="A2932" s="613"/>
      <c r="B2932" s="612"/>
      <c r="C2932" s="613"/>
      <c r="D2932" s="612"/>
      <c r="E2932" s="613"/>
      <c r="F2932" s="611"/>
      <c r="G2932" s="611"/>
    </row>
    <row r="2933" spans="1:7" ht="15.75" hidden="1" customHeight="1" outlineLevel="2">
      <c r="A2933" s="613"/>
      <c r="B2933" s="612"/>
      <c r="C2933" s="613" t="s">
        <v>63</v>
      </c>
      <c r="D2933" s="612"/>
      <c r="E2933" s="613"/>
      <c r="F2933" s="611"/>
      <c r="G2933" s="611"/>
    </row>
    <row r="2934" spans="1:7" ht="15.75" hidden="1" customHeight="1" outlineLevel="2">
      <c r="A2934" s="613"/>
      <c r="B2934" s="612"/>
      <c r="C2934" s="613" t="s">
        <v>1130</v>
      </c>
      <c r="D2934" s="612" t="s">
        <v>65</v>
      </c>
      <c r="E2934" s="613">
        <v>4.0000000000000001E-3</v>
      </c>
      <c r="F2934" s="611"/>
      <c r="G2934" s="611"/>
    </row>
    <row r="2935" spans="1:7" ht="15.75" hidden="1" customHeight="1" outlineLevel="2">
      <c r="A2935" s="613"/>
      <c r="B2935" s="612"/>
      <c r="C2935" s="613" t="s">
        <v>234</v>
      </c>
      <c r="D2935" s="612" t="s">
        <v>65</v>
      </c>
      <c r="E2935" s="613">
        <v>0.36499999999999999</v>
      </c>
      <c r="F2935" s="611"/>
      <c r="G2935" s="611"/>
    </row>
    <row r="2936" spans="1:7" ht="15.75" hidden="1" customHeight="1" outlineLevel="2">
      <c r="A2936" s="613"/>
      <c r="B2936" s="612"/>
      <c r="C2936" s="613"/>
      <c r="D2936" s="612"/>
      <c r="E2936" s="613"/>
      <c r="F2936" s="611"/>
      <c r="G2936" s="611"/>
    </row>
    <row r="2937" spans="1:7" ht="15.75" customHeight="1" outlineLevel="1" collapsed="1">
      <c r="A2937" s="613" t="s">
        <v>2074</v>
      </c>
      <c r="B2937" s="612">
        <f>B2920+1</f>
        <v>41</v>
      </c>
      <c r="C2937" s="613" t="s">
        <v>4311</v>
      </c>
      <c r="D2937" s="612" t="s">
        <v>194</v>
      </c>
      <c r="E2937" s="613"/>
      <c r="F2937" s="611"/>
      <c r="G2937" s="611"/>
    </row>
    <row r="2938" spans="1:7" ht="15.75" hidden="1" customHeight="1" outlineLevel="2">
      <c r="A2938" s="613"/>
      <c r="B2938" s="612"/>
      <c r="C2938" s="613" t="s">
        <v>1052</v>
      </c>
      <c r="D2938" s="612"/>
      <c r="E2938" s="613"/>
      <c r="F2938" s="611"/>
      <c r="G2938" s="611"/>
    </row>
    <row r="2939" spans="1:7" ht="15.75" hidden="1" customHeight="1" outlineLevel="2">
      <c r="A2939" s="613"/>
      <c r="B2939" s="612"/>
      <c r="C2939" s="613" t="s">
        <v>32</v>
      </c>
      <c r="D2939" s="612" t="s">
        <v>33</v>
      </c>
      <c r="E2939" s="613">
        <v>1.325</v>
      </c>
      <c r="F2939" s="611">
        <f>worker</f>
        <v>107800.00000000001</v>
      </c>
      <c r="G2939" s="611">
        <f t="shared" ref="G2939:G2949" si="27">E2939*F2939</f>
        <v>142835</v>
      </c>
    </row>
    <row r="2940" spans="1:7" ht="15.75" hidden="1" customHeight="1" outlineLevel="2">
      <c r="A2940" s="613"/>
      <c r="B2940" s="612"/>
      <c r="C2940" s="613" t="s">
        <v>187</v>
      </c>
      <c r="D2940" s="612" t="s">
        <v>33</v>
      </c>
      <c r="E2940" s="613">
        <v>0.36499999999999999</v>
      </c>
      <c r="F2940" s="611">
        <f>welder</f>
        <v>127600.00000000001</v>
      </c>
      <c r="G2940" s="611">
        <f t="shared" si="27"/>
        <v>46574.000000000007</v>
      </c>
    </row>
    <row r="2941" spans="1:7" ht="15.75" hidden="1" customHeight="1" outlineLevel="2">
      <c r="A2941" s="613"/>
      <c r="B2941" s="612"/>
      <c r="C2941" s="613" t="s">
        <v>1135</v>
      </c>
      <c r="D2941" s="612" t="s">
        <v>33</v>
      </c>
      <c r="E2941" s="613">
        <v>0.13300000000000001</v>
      </c>
      <c r="F2941" s="611" t="e">
        <f>supervisor_pek_khusus</f>
        <v>#NAME?</v>
      </c>
      <c r="G2941" s="611" t="e">
        <f t="shared" si="27"/>
        <v>#NAME?</v>
      </c>
    </row>
    <row r="2942" spans="1:7" ht="15.75" hidden="1" customHeight="1" outlineLevel="2">
      <c r="A2942" s="613"/>
      <c r="B2942" s="612"/>
      <c r="C2942" s="613" t="s">
        <v>1134</v>
      </c>
      <c r="D2942" s="612" t="s">
        <v>33</v>
      </c>
      <c r="E2942" s="613">
        <v>0.05</v>
      </c>
      <c r="F2942" s="611">
        <f>mechanic</f>
        <v>184800.00000000003</v>
      </c>
      <c r="G2942" s="611">
        <f t="shared" si="27"/>
        <v>9240.0000000000018</v>
      </c>
    </row>
    <row r="2943" spans="1:7" ht="15.75" hidden="1" customHeight="1" outlineLevel="2">
      <c r="A2943" s="613"/>
      <c r="B2943" s="612"/>
      <c r="C2943" s="613"/>
      <c r="D2943" s="612"/>
      <c r="E2943" s="613"/>
      <c r="F2943" s="611"/>
      <c r="G2943" s="611">
        <f t="shared" si="27"/>
        <v>0</v>
      </c>
    </row>
    <row r="2944" spans="1:7" ht="15.75" hidden="1" customHeight="1" outlineLevel="2">
      <c r="A2944" s="613"/>
      <c r="B2944" s="612"/>
      <c r="C2944" s="613" t="s">
        <v>63</v>
      </c>
      <c r="D2944" s="612"/>
      <c r="E2944" s="613"/>
      <c r="F2944" s="611"/>
      <c r="G2944" s="611">
        <f t="shared" si="27"/>
        <v>0</v>
      </c>
    </row>
    <row r="2945" spans="1:7" ht="15.75" hidden="1" customHeight="1" outlineLevel="2">
      <c r="A2945" s="613"/>
      <c r="B2945" s="612"/>
      <c r="C2945" s="613" t="s">
        <v>1130</v>
      </c>
      <c r="D2945" s="612" t="s">
        <v>65</v>
      </c>
      <c r="E2945" s="613">
        <v>4.0000000000000001E-3</v>
      </c>
      <c r="F2945" s="611">
        <v>4485000</v>
      </c>
      <c r="G2945" s="611">
        <f t="shared" si="27"/>
        <v>17940</v>
      </c>
    </row>
    <row r="2946" spans="1:7" ht="15.75" hidden="1" customHeight="1" outlineLevel="2">
      <c r="A2946" s="613"/>
      <c r="B2946" s="612"/>
      <c r="C2946" s="613" t="s">
        <v>234</v>
      </c>
      <c r="D2946" s="612" t="s">
        <v>65</v>
      </c>
      <c r="E2946" s="613">
        <v>0.36499999999999999</v>
      </c>
      <c r="F2946" s="611">
        <f>welding_machine_day</f>
        <v>891000.00000000012</v>
      </c>
      <c r="G2946" s="611">
        <f t="shared" si="27"/>
        <v>325215.00000000006</v>
      </c>
    </row>
    <row r="2947" spans="1:7" ht="15.75" hidden="1" customHeight="1" outlineLevel="2">
      <c r="A2947" s="613"/>
      <c r="B2947" s="612"/>
      <c r="C2947" s="613" t="s">
        <v>1141</v>
      </c>
      <c r="D2947" s="612" t="s">
        <v>130</v>
      </c>
      <c r="E2947" s="613">
        <v>2.8000000000000001E-2</v>
      </c>
      <c r="F2947" s="611">
        <f>excavator_0.8m3</f>
        <v>704803</v>
      </c>
      <c r="G2947" s="611">
        <f t="shared" si="27"/>
        <v>19734.484</v>
      </c>
    </row>
    <row r="2948" spans="1:7" ht="15.75" hidden="1" customHeight="1" outlineLevel="2">
      <c r="A2948" s="613"/>
      <c r="B2948" s="612"/>
      <c r="C2948" s="613" t="s">
        <v>1140</v>
      </c>
      <c r="D2948" s="612" t="s">
        <v>1138</v>
      </c>
      <c r="E2948" s="613">
        <v>0.05</v>
      </c>
      <c r="F2948" s="611" t="e">
        <f>argon</f>
        <v>#NAME?</v>
      </c>
      <c r="G2948" s="611" t="e">
        <f t="shared" si="27"/>
        <v>#NAME?</v>
      </c>
    </row>
    <row r="2949" spans="1:7" ht="15.75" hidden="1" customHeight="1" outlineLevel="2">
      <c r="A2949" s="613"/>
      <c r="B2949" s="612"/>
      <c r="C2949" s="613" t="s">
        <v>1139</v>
      </c>
      <c r="D2949" s="612" t="s">
        <v>1138</v>
      </c>
      <c r="E2949" s="613">
        <v>0.05</v>
      </c>
      <c r="F2949" s="611" t="e">
        <f>acetelin</f>
        <v>#NAME?</v>
      </c>
      <c r="G2949" s="611" t="e">
        <f t="shared" si="27"/>
        <v>#NAME?</v>
      </c>
    </row>
    <row r="2950" spans="1:7" ht="15.75" hidden="1" customHeight="1" outlineLevel="2">
      <c r="A2950" s="613"/>
      <c r="B2950" s="612"/>
      <c r="C2950" s="613"/>
      <c r="D2950" s="612"/>
      <c r="E2950" s="613"/>
      <c r="F2950" s="611"/>
      <c r="G2950" s="611" t="e">
        <f>SUM(G2939:G2949)</f>
        <v>#NAME?</v>
      </c>
    </row>
    <row r="2951" spans="1:7" ht="15.75" customHeight="1" outlineLevel="1" collapsed="1">
      <c r="A2951" s="613" t="s">
        <v>2074</v>
      </c>
      <c r="B2951" s="612">
        <f>B2937+1</f>
        <v>42</v>
      </c>
      <c r="C2951" s="613" t="s">
        <v>4312</v>
      </c>
      <c r="D2951" s="612" t="s">
        <v>194</v>
      </c>
      <c r="E2951" s="613"/>
      <c r="F2951" s="611"/>
      <c r="G2951" s="611"/>
    </row>
    <row r="2952" spans="1:7" ht="15.75" hidden="1" customHeight="1" outlineLevel="2">
      <c r="A2952" s="613"/>
      <c r="B2952" s="612"/>
      <c r="C2952" s="613" t="s">
        <v>1052</v>
      </c>
      <c r="D2952" s="612"/>
      <c r="E2952" s="613"/>
      <c r="F2952" s="611"/>
      <c r="G2952" s="611"/>
    </row>
    <row r="2953" spans="1:7" ht="15.75" hidden="1" customHeight="1" outlineLevel="2">
      <c r="A2953" s="613"/>
      <c r="B2953" s="612"/>
      <c r="C2953" s="613" t="s">
        <v>32</v>
      </c>
      <c r="D2953" s="612" t="s">
        <v>33</v>
      </c>
      <c r="E2953" s="613">
        <f>1.429</f>
        <v>1.429</v>
      </c>
      <c r="F2953" s="611"/>
      <c r="G2953" s="611"/>
    </row>
    <row r="2954" spans="1:7" ht="15.75" hidden="1" customHeight="1" outlineLevel="2">
      <c r="A2954" s="613"/>
      <c r="B2954" s="612"/>
      <c r="C2954" s="613" t="s">
        <v>187</v>
      </c>
      <c r="D2954" s="612" t="s">
        <v>33</v>
      </c>
      <c r="E2954" s="613">
        <f>0.715</f>
        <v>0.71499999999999997</v>
      </c>
      <c r="F2954" s="611"/>
      <c r="G2954" s="611"/>
    </row>
    <row r="2955" spans="1:7" ht="15.75" hidden="1" customHeight="1" outlineLevel="2">
      <c r="A2955" s="613"/>
      <c r="B2955" s="612"/>
      <c r="C2955" s="613" t="s">
        <v>1135</v>
      </c>
      <c r="D2955" s="612" t="s">
        <v>33</v>
      </c>
      <c r="E2955" s="613">
        <f>0.143</f>
        <v>0.14299999999999999</v>
      </c>
      <c r="F2955" s="611"/>
      <c r="G2955" s="611"/>
    </row>
    <row r="2956" spans="1:7" ht="15.75" hidden="1" customHeight="1" outlineLevel="2">
      <c r="A2956" s="613"/>
      <c r="B2956" s="612"/>
      <c r="C2956" s="613"/>
      <c r="D2956" s="612"/>
      <c r="E2956" s="613"/>
      <c r="F2956" s="611"/>
      <c r="G2956" s="611"/>
    </row>
    <row r="2957" spans="1:7" ht="15.75" hidden="1" customHeight="1" outlineLevel="2">
      <c r="A2957" s="613"/>
      <c r="B2957" s="612"/>
      <c r="C2957" s="613" t="s">
        <v>63</v>
      </c>
      <c r="D2957" s="612"/>
      <c r="E2957" s="613"/>
      <c r="F2957" s="611"/>
      <c r="G2957" s="611"/>
    </row>
    <row r="2958" spans="1:7" ht="15.75" hidden="1" customHeight="1" outlineLevel="2">
      <c r="A2958" s="613"/>
      <c r="B2958" s="612"/>
      <c r="C2958" s="613" t="s">
        <v>1130</v>
      </c>
      <c r="D2958" s="612" t="s">
        <v>65</v>
      </c>
      <c r="E2958" s="613">
        <f>0.1</f>
        <v>0.1</v>
      </c>
      <c r="F2958" s="611"/>
      <c r="G2958" s="611"/>
    </row>
    <row r="2959" spans="1:7" ht="15.75" hidden="1" customHeight="1" outlineLevel="2">
      <c r="A2959" s="613"/>
      <c r="B2959" s="612"/>
      <c r="C2959" s="613"/>
      <c r="D2959" s="612"/>
      <c r="E2959" s="613"/>
      <c r="F2959" s="611"/>
      <c r="G2959" s="611"/>
    </row>
    <row r="2960" spans="1:7" ht="15.75" customHeight="1" outlineLevel="1" collapsed="1">
      <c r="A2960" s="613" t="s">
        <v>2074</v>
      </c>
      <c r="B2960" s="612">
        <f>B2951+1</f>
        <v>43</v>
      </c>
      <c r="C2960" s="613" t="s">
        <v>4313</v>
      </c>
      <c r="D2960" s="612" t="s">
        <v>194</v>
      </c>
      <c r="E2960" s="613"/>
      <c r="F2960" s="611"/>
      <c r="G2960" s="611"/>
    </row>
    <row r="2961" spans="1:7" ht="15.75" hidden="1" customHeight="1" outlineLevel="2">
      <c r="A2961" s="613"/>
      <c r="B2961" s="612"/>
      <c r="C2961" s="613" t="s">
        <v>1052</v>
      </c>
      <c r="D2961" s="612"/>
      <c r="E2961" s="613"/>
      <c r="F2961" s="611"/>
      <c r="G2961" s="611"/>
    </row>
    <row r="2962" spans="1:7" ht="15.75" hidden="1" customHeight="1" outlineLevel="2">
      <c r="A2962" s="613"/>
      <c r="B2962" s="612"/>
      <c r="C2962" s="613" t="s">
        <v>32</v>
      </c>
      <c r="D2962" s="612" t="s">
        <v>33</v>
      </c>
      <c r="E2962" s="613">
        <f>0.106*4*2</f>
        <v>0.84799999999999998</v>
      </c>
      <c r="F2962" s="611"/>
      <c r="G2962" s="611"/>
    </row>
    <row r="2963" spans="1:7" ht="15.75" hidden="1" customHeight="1" outlineLevel="2">
      <c r="A2963" s="613"/>
      <c r="B2963" s="612"/>
      <c r="C2963" s="613" t="s">
        <v>187</v>
      </c>
      <c r="D2963" s="612" t="s">
        <v>33</v>
      </c>
      <c r="E2963" s="613">
        <f>0.053*4*2</f>
        <v>0.42399999999999999</v>
      </c>
      <c r="F2963" s="611"/>
      <c r="G2963" s="611"/>
    </row>
    <row r="2964" spans="1:7" ht="15.75" hidden="1" customHeight="1" outlineLevel="2">
      <c r="A2964" s="613"/>
      <c r="B2964" s="612"/>
      <c r="C2964" s="613" t="s">
        <v>1137</v>
      </c>
      <c r="D2964" s="612" t="s">
        <v>33</v>
      </c>
      <c r="E2964" s="613">
        <f>0.216*4*2</f>
        <v>1.728</v>
      </c>
      <c r="F2964" s="611"/>
      <c r="G2964" s="611"/>
    </row>
    <row r="2965" spans="1:7" ht="15.75" hidden="1" customHeight="1" outlineLevel="2">
      <c r="A2965" s="613"/>
      <c r="B2965" s="612"/>
      <c r="C2965" s="613" t="s">
        <v>1136</v>
      </c>
      <c r="D2965" s="612" t="s">
        <v>33</v>
      </c>
      <c r="E2965" s="613">
        <v>0</v>
      </c>
      <c r="F2965" s="611"/>
      <c r="G2965" s="611"/>
    </row>
    <row r="2966" spans="1:7" ht="15.75" hidden="1" customHeight="1" outlineLevel="2">
      <c r="A2966" s="613"/>
      <c r="B2966" s="612"/>
      <c r="C2966" s="613" t="s">
        <v>1135</v>
      </c>
      <c r="D2966" s="612" t="s">
        <v>33</v>
      </c>
      <c r="E2966" s="613">
        <f>0.011*4*2</f>
        <v>8.7999999999999995E-2</v>
      </c>
      <c r="F2966" s="611"/>
      <c r="G2966" s="611"/>
    </row>
    <row r="2967" spans="1:7" ht="15.75" hidden="1" customHeight="1" outlineLevel="2">
      <c r="A2967" s="613"/>
      <c r="B2967" s="612"/>
      <c r="C2967" s="613" t="s">
        <v>1134</v>
      </c>
      <c r="D2967" s="612" t="s">
        <v>33</v>
      </c>
      <c r="E2967" s="613">
        <f>0.05*4*2</f>
        <v>0.4</v>
      </c>
      <c r="F2967" s="611"/>
      <c r="G2967" s="611"/>
    </row>
    <row r="2968" spans="1:7" ht="15.75" hidden="1" customHeight="1" outlineLevel="2">
      <c r="A2968" s="613"/>
      <c r="B2968" s="612"/>
      <c r="C2968" s="613"/>
      <c r="D2968" s="612"/>
      <c r="E2968" s="613"/>
      <c r="F2968" s="611"/>
      <c r="G2968" s="611"/>
    </row>
    <row r="2969" spans="1:7" ht="15.75" hidden="1" customHeight="1" outlineLevel="2">
      <c r="A2969" s="613"/>
      <c r="B2969" s="612"/>
      <c r="C2969" s="613" t="s">
        <v>93</v>
      </c>
      <c r="D2969" s="612"/>
      <c r="E2969" s="613"/>
      <c r="F2969" s="611"/>
      <c r="G2969" s="611"/>
    </row>
    <row r="2970" spans="1:7" ht="15.75" hidden="1" customHeight="1" outlineLevel="2">
      <c r="A2970" s="613"/>
      <c r="B2970" s="612"/>
      <c r="C2970" s="613" t="s">
        <v>1133</v>
      </c>
      <c r="D2970" s="612" t="s">
        <v>52</v>
      </c>
      <c r="E2970" s="613">
        <f>0.35*4*2</f>
        <v>2.8</v>
      </c>
      <c r="F2970" s="611"/>
      <c r="G2970" s="611"/>
    </row>
    <row r="2971" spans="1:7" ht="15.75" hidden="1" customHeight="1" outlineLevel="2">
      <c r="A2971" s="613"/>
      <c r="B2971" s="612"/>
      <c r="C2971" s="613" t="s">
        <v>1132</v>
      </c>
      <c r="D2971" s="612" t="s">
        <v>1064</v>
      </c>
      <c r="E2971" s="613">
        <f>0.05*4*2</f>
        <v>0.4</v>
      </c>
      <c r="F2971" s="611"/>
      <c r="G2971" s="611"/>
    </row>
    <row r="2972" spans="1:7" ht="15.75" hidden="1" customHeight="1" outlineLevel="2">
      <c r="A2972" s="613"/>
      <c r="B2972" s="612"/>
      <c r="C2972" s="613" t="s">
        <v>1131</v>
      </c>
      <c r="D2972" s="612" t="s">
        <v>141</v>
      </c>
      <c r="E2972" s="613">
        <f>0.15*4*2</f>
        <v>1.2</v>
      </c>
      <c r="F2972" s="611"/>
      <c r="G2972" s="611"/>
    </row>
    <row r="2973" spans="1:7" ht="15.75" hidden="1" customHeight="1" outlineLevel="2">
      <c r="A2973" s="613"/>
      <c r="B2973" s="612"/>
      <c r="C2973" s="613"/>
      <c r="D2973" s="612"/>
      <c r="E2973" s="613"/>
      <c r="F2973" s="611"/>
      <c r="G2973" s="611"/>
    </row>
    <row r="2974" spans="1:7" ht="15.75" hidden="1" customHeight="1" outlineLevel="2">
      <c r="A2974" s="613"/>
      <c r="B2974" s="612"/>
      <c r="C2974" s="613" t="s">
        <v>63</v>
      </c>
      <c r="D2974" s="612"/>
      <c r="E2974" s="613"/>
      <c r="F2974" s="611"/>
      <c r="G2974" s="611"/>
    </row>
    <row r="2975" spans="1:7" ht="15.75" hidden="1" customHeight="1" outlineLevel="2">
      <c r="A2975" s="613"/>
      <c r="B2975" s="612"/>
      <c r="C2975" s="613" t="s">
        <v>1130</v>
      </c>
      <c r="D2975" s="612" t="s">
        <v>65</v>
      </c>
      <c r="E2975" s="613">
        <v>0</v>
      </c>
      <c r="F2975" s="611"/>
      <c r="G2975" s="611"/>
    </row>
    <row r="2976" spans="1:7" ht="15.75" hidden="1" customHeight="1" outlineLevel="2">
      <c r="A2976" s="613"/>
      <c r="B2976" s="612"/>
      <c r="C2976" s="613" t="s">
        <v>234</v>
      </c>
      <c r="D2976" s="612" t="s">
        <v>65</v>
      </c>
      <c r="E2976" s="613">
        <f>0.365*4*2</f>
        <v>2.92</v>
      </c>
      <c r="F2976" s="611"/>
      <c r="G2976" s="611"/>
    </row>
    <row r="2977" spans="1:7" ht="15.75" hidden="1" customHeight="1" outlineLevel="2">
      <c r="A2977" s="613"/>
      <c r="B2977" s="612"/>
      <c r="C2977" s="613" t="s">
        <v>1129</v>
      </c>
      <c r="D2977" s="612" t="s">
        <v>919</v>
      </c>
      <c r="E2977" s="613">
        <v>1</v>
      </c>
      <c r="F2977" s="611"/>
      <c r="G2977" s="611"/>
    </row>
    <row r="2978" spans="1:7" ht="15.75" hidden="1" customHeight="1" outlineLevel="2">
      <c r="A2978" s="613"/>
      <c r="B2978" s="612"/>
      <c r="C2978" s="613"/>
      <c r="D2978" s="612"/>
      <c r="E2978" s="613"/>
      <c r="F2978" s="611"/>
      <c r="G2978" s="611"/>
    </row>
    <row r="2979" spans="1:7" ht="15.75" customHeight="1" outlineLevel="1" collapsed="1">
      <c r="A2979" s="613" t="s">
        <v>2074</v>
      </c>
      <c r="B2979" s="612">
        <f>B2960+1</f>
        <v>44</v>
      </c>
      <c r="C2979" s="613" t="s">
        <v>4314</v>
      </c>
      <c r="D2979" s="612" t="s">
        <v>194</v>
      </c>
      <c r="E2979" s="613"/>
      <c r="F2979" s="611"/>
      <c r="G2979" s="611"/>
    </row>
    <row r="2980" spans="1:7" ht="15.75" hidden="1" customHeight="1" outlineLevel="2">
      <c r="A2980" s="613"/>
      <c r="B2980" s="612"/>
      <c r="C2980" s="613" t="s">
        <v>1052</v>
      </c>
      <c r="D2980" s="612"/>
      <c r="E2980" s="613"/>
      <c r="F2980" s="611"/>
      <c r="G2980" s="611"/>
    </row>
    <row r="2981" spans="1:7" ht="15.75" hidden="1" customHeight="1" outlineLevel="2">
      <c r="A2981" s="613"/>
      <c r="B2981" s="612"/>
      <c r="C2981" s="613" t="s">
        <v>32</v>
      </c>
      <c r="D2981" s="612" t="s">
        <v>33</v>
      </c>
      <c r="E2981" s="613">
        <f>0.106*10*2</f>
        <v>2.12</v>
      </c>
      <c r="F2981" s="611"/>
      <c r="G2981" s="611"/>
    </row>
    <row r="2982" spans="1:7" ht="15.75" hidden="1" customHeight="1" outlineLevel="2">
      <c r="A2982" s="613"/>
      <c r="B2982" s="612"/>
      <c r="C2982" s="613" t="s">
        <v>187</v>
      </c>
      <c r="D2982" s="612" t="s">
        <v>33</v>
      </c>
      <c r="E2982" s="613">
        <f>0.053*10*2</f>
        <v>1.06</v>
      </c>
      <c r="F2982" s="611"/>
      <c r="G2982" s="611"/>
    </row>
    <row r="2983" spans="1:7" ht="15.75" hidden="1" customHeight="1" outlineLevel="2">
      <c r="A2983" s="613"/>
      <c r="B2983" s="612"/>
      <c r="C2983" s="613" t="s">
        <v>1137</v>
      </c>
      <c r="D2983" s="612" t="s">
        <v>33</v>
      </c>
      <c r="E2983" s="613">
        <f>0.216*10*2</f>
        <v>4.32</v>
      </c>
      <c r="F2983" s="611"/>
      <c r="G2983" s="611"/>
    </row>
    <row r="2984" spans="1:7" ht="15.75" hidden="1" customHeight="1" outlineLevel="2">
      <c r="A2984" s="613"/>
      <c r="B2984" s="612"/>
      <c r="C2984" s="613" t="s">
        <v>1136</v>
      </c>
      <c r="D2984" s="612" t="s">
        <v>33</v>
      </c>
      <c r="E2984" s="613">
        <v>0</v>
      </c>
      <c r="F2984" s="611"/>
      <c r="G2984" s="611"/>
    </row>
    <row r="2985" spans="1:7" ht="15.75" hidden="1" customHeight="1" outlineLevel="2">
      <c r="A2985" s="613"/>
      <c r="B2985" s="612"/>
      <c r="C2985" s="613" t="s">
        <v>1135</v>
      </c>
      <c r="D2985" s="612" t="s">
        <v>33</v>
      </c>
      <c r="E2985" s="613">
        <f>0.011*10*2</f>
        <v>0.21999999999999997</v>
      </c>
      <c r="F2985" s="611"/>
      <c r="G2985" s="611"/>
    </row>
    <row r="2986" spans="1:7" ht="15.75" hidden="1" customHeight="1" outlineLevel="2">
      <c r="A2986" s="613"/>
      <c r="B2986" s="612"/>
      <c r="C2986" s="613" t="s">
        <v>1134</v>
      </c>
      <c r="D2986" s="612" t="s">
        <v>33</v>
      </c>
      <c r="E2986" s="613">
        <f>0.05*10*2</f>
        <v>1</v>
      </c>
      <c r="F2986" s="611"/>
      <c r="G2986" s="611"/>
    </row>
    <row r="2987" spans="1:7" ht="15.75" hidden="1" customHeight="1" outlineLevel="2">
      <c r="A2987" s="613"/>
      <c r="B2987" s="612"/>
      <c r="C2987" s="613"/>
      <c r="D2987" s="612"/>
      <c r="E2987" s="613"/>
      <c r="F2987" s="611"/>
      <c r="G2987" s="611"/>
    </row>
    <row r="2988" spans="1:7" ht="15.75" hidden="1" customHeight="1" outlineLevel="2">
      <c r="A2988" s="613"/>
      <c r="B2988" s="612"/>
      <c r="C2988" s="613" t="s">
        <v>93</v>
      </c>
      <c r="D2988" s="612"/>
      <c r="E2988" s="613"/>
      <c r="F2988" s="611"/>
      <c r="G2988" s="611"/>
    </row>
    <row r="2989" spans="1:7" ht="15.75" hidden="1" customHeight="1" outlineLevel="2">
      <c r="A2989" s="613"/>
      <c r="B2989" s="612"/>
      <c r="C2989" s="613" t="s">
        <v>1133</v>
      </c>
      <c r="D2989" s="612" t="s">
        <v>52</v>
      </c>
      <c r="E2989" s="613">
        <f>0.35*10*2</f>
        <v>7</v>
      </c>
      <c r="F2989" s="611"/>
      <c r="G2989" s="611"/>
    </row>
    <row r="2990" spans="1:7" ht="15.75" hidden="1" customHeight="1" outlineLevel="2">
      <c r="A2990" s="613"/>
      <c r="B2990" s="612"/>
      <c r="C2990" s="613" t="s">
        <v>1132</v>
      </c>
      <c r="D2990" s="612" t="s">
        <v>1064</v>
      </c>
      <c r="E2990" s="613">
        <f>0.05*10*2</f>
        <v>1</v>
      </c>
      <c r="F2990" s="611"/>
      <c r="G2990" s="611"/>
    </row>
    <row r="2991" spans="1:7" ht="15.75" hidden="1" customHeight="1" outlineLevel="2">
      <c r="A2991" s="613"/>
      <c r="B2991" s="612"/>
      <c r="C2991" s="613" t="s">
        <v>1131</v>
      </c>
      <c r="D2991" s="612" t="s">
        <v>141</v>
      </c>
      <c r="E2991" s="613">
        <f>0.15*10*2</f>
        <v>3</v>
      </c>
      <c r="F2991" s="611"/>
      <c r="G2991" s="611"/>
    </row>
    <row r="2992" spans="1:7" ht="15.75" hidden="1" customHeight="1" outlineLevel="2">
      <c r="A2992" s="613"/>
      <c r="B2992" s="612"/>
      <c r="C2992" s="613"/>
      <c r="D2992" s="612"/>
      <c r="E2992" s="613"/>
      <c r="F2992" s="611"/>
      <c r="G2992" s="611"/>
    </row>
    <row r="2993" spans="1:7" ht="15.75" hidden="1" customHeight="1" outlineLevel="2">
      <c r="A2993" s="613"/>
      <c r="B2993" s="612"/>
      <c r="C2993" s="613" t="s">
        <v>63</v>
      </c>
      <c r="D2993" s="612"/>
      <c r="E2993" s="613"/>
      <c r="F2993" s="611"/>
      <c r="G2993" s="611"/>
    </row>
    <row r="2994" spans="1:7" ht="15.75" hidden="1" customHeight="1" outlineLevel="2">
      <c r="A2994" s="613"/>
      <c r="B2994" s="612"/>
      <c r="C2994" s="613" t="s">
        <v>1130</v>
      </c>
      <c r="D2994" s="612" t="s">
        <v>65</v>
      </c>
      <c r="E2994" s="613">
        <f>E2945</f>
        <v>4.0000000000000001E-3</v>
      </c>
      <c r="F2994" s="611"/>
      <c r="G2994" s="611"/>
    </row>
    <row r="2995" spans="1:7" ht="15.75" hidden="1" customHeight="1" outlineLevel="2">
      <c r="A2995" s="613"/>
      <c r="B2995" s="612"/>
      <c r="C2995" s="613" t="s">
        <v>234</v>
      </c>
      <c r="D2995" s="612" t="s">
        <v>65</v>
      </c>
      <c r="E2995" s="613">
        <f>0.365*4*2</f>
        <v>2.92</v>
      </c>
      <c r="F2995" s="611"/>
      <c r="G2995" s="611"/>
    </row>
    <row r="2996" spans="1:7" ht="15.75" hidden="1" customHeight="1" outlineLevel="2">
      <c r="A2996" s="613"/>
      <c r="B2996" s="612"/>
      <c r="C2996" s="613" t="s">
        <v>1129</v>
      </c>
      <c r="D2996" s="612" t="s">
        <v>919</v>
      </c>
      <c r="E2996" s="613">
        <v>1</v>
      </c>
      <c r="F2996" s="611"/>
      <c r="G2996" s="611"/>
    </row>
    <row r="2997" spans="1:7" ht="15.75" hidden="1" customHeight="1" outlineLevel="2">
      <c r="A2997" s="613"/>
      <c r="B2997" s="612"/>
      <c r="C2997" s="613"/>
      <c r="D2997" s="612"/>
      <c r="E2997" s="613"/>
      <c r="F2997" s="611"/>
      <c r="G2997" s="611"/>
    </row>
    <row r="2998" spans="1:7" ht="15.75" customHeight="1" outlineLevel="1" collapsed="1" thickBot="1">
      <c r="A2998" s="608" t="s">
        <v>2074</v>
      </c>
      <c r="B2998" s="607"/>
      <c r="C2998" s="608"/>
      <c r="D2998" s="607"/>
      <c r="E2998" s="608"/>
      <c r="F2998" s="606"/>
      <c r="G2998" s="606"/>
    </row>
    <row r="2999" spans="1:7" ht="15.75" customHeight="1" thickBot="1">
      <c r="A2999" s="1213" t="s">
        <v>1423</v>
      </c>
      <c r="B2999" s="1214"/>
      <c r="C2999" s="1214"/>
      <c r="D2999" s="1214"/>
      <c r="E2999" s="1214"/>
      <c r="F2999" s="1214"/>
      <c r="G2999" s="1215"/>
    </row>
    <row r="3000" spans="1:7" ht="15.75" customHeight="1" outlineLevel="1">
      <c r="A3000" s="616" t="s">
        <v>2074</v>
      </c>
      <c r="B3000" s="595">
        <v>1</v>
      </c>
      <c r="C3000" s="616" t="s">
        <v>1958</v>
      </c>
      <c r="D3000" s="615" t="s">
        <v>1951</v>
      </c>
      <c r="E3000" s="616"/>
      <c r="F3000" s="614"/>
      <c r="G3000" s="614">
        <f>G3015</f>
        <v>33046950.000000004</v>
      </c>
    </row>
    <row r="3001" spans="1:7" ht="15.75" hidden="1" customHeight="1" outlineLevel="2">
      <c r="A3001" s="613"/>
      <c r="B3001" s="612"/>
      <c r="C3001" s="613" t="s">
        <v>1052</v>
      </c>
      <c r="D3001" s="612"/>
      <c r="E3001" s="613"/>
      <c r="F3001" s="611"/>
      <c r="G3001" s="611"/>
    </row>
    <row r="3002" spans="1:7" ht="15.75" hidden="1" customHeight="1" outlineLevel="2">
      <c r="A3002" s="613"/>
      <c r="B3002" s="612"/>
      <c r="C3002" s="613" t="s">
        <v>1128</v>
      </c>
      <c r="D3002" s="612" t="s">
        <v>180</v>
      </c>
      <c r="E3002" s="613">
        <v>0.65</v>
      </c>
      <c r="F3002" s="611">
        <f>Galvanis_steel_angle_HTS*1000</f>
        <v>24200000.000000004</v>
      </c>
      <c r="G3002" s="611">
        <f>E3002*F3002</f>
        <v>15730000.000000004</v>
      </c>
    </row>
    <row r="3003" spans="1:7" ht="15.75" hidden="1" customHeight="1" outlineLevel="2">
      <c r="A3003" s="613"/>
      <c r="B3003" s="612"/>
      <c r="C3003" s="613" t="s">
        <v>1127</v>
      </c>
      <c r="D3003" s="612" t="s">
        <v>180</v>
      </c>
      <c r="E3003" s="613">
        <v>0.35</v>
      </c>
      <c r="F3003" s="611">
        <f>Galvanis_steel_angle_MS*1000</f>
        <v>24200000.000000004</v>
      </c>
      <c r="G3003" s="611">
        <f>E3003*F3003</f>
        <v>8470000</v>
      </c>
    </row>
    <row r="3004" spans="1:7" ht="15.75" hidden="1" customHeight="1" outlineLevel="2">
      <c r="A3004" s="613"/>
      <c r="B3004" s="612"/>
      <c r="C3004" s="613" t="s">
        <v>1126</v>
      </c>
      <c r="D3004" s="612" t="s">
        <v>1</v>
      </c>
      <c r="E3004" s="613">
        <v>120</v>
      </c>
      <c r="F3004" s="611">
        <f>Galvanis_bolts_and_nuts</f>
        <v>22000</v>
      </c>
      <c r="G3004" s="611">
        <f>E3004*F3004</f>
        <v>2640000</v>
      </c>
    </row>
    <row r="3005" spans="1:7" ht="15.75" hidden="1" customHeight="1" outlineLevel="2">
      <c r="A3005" s="613"/>
      <c r="B3005" s="612"/>
      <c r="C3005" s="613" t="s">
        <v>1125</v>
      </c>
      <c r="D3005" s="612" t="s">
        <v>180</v>
      </c>
      <c r="E3005" s="613">
        <v>0.04</v>
      </c>
      <c r="F3005" s="611">
        <f>Besi_Pelat_kg*1000</f>
        <v>21450000</v>
      </c>
      <c r="G3005" s="611">
        <f>E3005*F3005</f>
        <v>858000</v>
      </c>
    </row>
    <row r="3006" spans="1:7" ht="15.75" hidden="1" customHeight="1" outlineLevel="2">
      <c r="A3006" s="613"/>
      <c r="B3006" s="612"/>
      <c r="C3006" s="613"/>
      <c r="D3006" s="612"/>
      <c r="E3006" s="613"/>
      <c r="F3006" s="611"/>
      <c r="G3006" s="611"/>
    </row>
    <row r="3007" spans="1:7" ht="15.75" hidden="1" customHeight="1" outlineLevel="2">
      <c r="A3007" s="613"/>
      <c r="B3007" s="612"/>
      <c r="C3007" s="613" t="s">
        <v>114</v>
      </c>
      <c r="D3007" s="612"/>
      <c r="E3007" s="613"/>
      <c r="F3007" s="611"/>
      <c r="G3007" s="611"/>
    </row>
    <row r="3008" spans="1:7" ht="15.75" hidden="1" customHeight="1" outlineLevel="2">
      <c r="A3008" s="613"/>
      <c r="B3008" s="612"/>
      <c r="C3008" s="613" t="s">
        <v>1124</v>
      </c>
      <c r="D3008" s="612" t="s">
        <v>72</v>
      </c>
      <c r="E3008" s="613">
        <v>1</v>
      </c>
      <c r="F3008" s="611">
        <v>500000</v>
      </c>
      <c r="G3008" s="611">
        <f>E3008*F3008</f>
        <v>500000</v>
      </c>
    </row>
    <row r="3009" spans="1:7" ht="15.75" hidden="1" customHeight="1" outlineLevel="2">
      <c r="A3009" s="613"/>
      <c r="B3009" s="612"/>
      <c r="C3009" s="613" t="s">
        <v>1123</v>
      </c>
      <c r="D3009" s="612" t="s">
        <v>72</v>
      </c>
      <c r="E3009" s="613">
        <v>1</v>
      </c>
      <c r="F3009" s="611">
        <v>125000</v>
      </c>
      <c r="G3009" s="611">
        <f>E3009*F3009</f>
        <v>125000</v>
      </c>
    </row>
    <row r="3010" spans="1:7" ht="15.75" hidden="1" customHeight="1" outlineLevel="2">
      <c r="A3010" s="613"/>
      <c r="B3010" s="612"/>
      <c r="C3010" s="613"/>
      <c r="D3010" s="612"/>
      <c r="E3010" s="613"/>
      <c r="F3010" s="611"/>
      <c r="G3010" s="611"/>
    </row>
    <row r="3011" spans="1:7" ht="15.75" hidden="1" customHeight="1" outlineLevel="2">
      <c r="A3011" s="613"/>
      <c r="B3011" s="612"/>
      <c r="C3011" s="613" t="s">
        <v>1052</v>
      </c>
      <c r="D3011" s="612"/>
      <c r="E3011" s="613"/>
      <c r="F3011" s="611"/>
      <c r="G3011" s="611"/>
    </row>
    <row r="3012" spans="1:7" ht="15.75" hidden="1" customHeight="1" outlineLevel="2">
      <c r="A3012" s="613"/>
      <c r="B3012" s="612"/>
      <c r="C3012" s="613" t="s">
        <v>32</v>
      </c>
      <c r="D3012" s="612" t="s">
        <v>33</v>
      </c>
      <c r="E3012" s="613">
        <v>25</v>
      </c>
      <c r="F3012" s="611">
        <f>worker</f>
        <v>107800.00000000001</v>
      </c>
      <c r="G3012" s="611">
        <f>E3012*F3012</f>
        <v>2695000.0000000005</v>
      </c>
    </row>
    <row r="3013" spans="1:7" ht="15.75" hidden="1" customHeight="1" outlineLevel="2">
      <c r="A3013" s="613"/>
      <c r="B3013" s="612"/>
      <c r="C3013" s="613" t="s">
        <v>233</v>
      </c>
      <c r="D3013" s="612" t="s">
        <v>33</v>
      </c>
      <c r="E3013" s="613">
        <v>15</v>
      </c>
      <c r="F3013" s="611">
        <f>steel_worker</f>
        <v>119350.00000000001</v>
      </c>
      <c r="G3013" s="611">
        <f>E3013*F3013</f>
        <v>1790250.0000000002</v>
      </c>
    </row>
    <row r="3014" spans="1:7" ht="15.75" hidden="1" customHeight="1" outlineLevel="2">
      <c r="A3014" s="613"/>
      <c r="B3014" s="612"/>
      <c r="C3014" s="613" t="s">
        <v>36</v>
      </c>
      <c r="D3014" s="612" t="s">
        <v>33</v>
      </c>
      <c r="E3014" s="613">
        <v>2</v>
      </c>
      <c r="F3014" s="611">
        <f>supervisor</f>
        <v>119350.00000000001</v>
      </c>
      <c r="G3014" s="611">
        <f>E3014*F3014</f>
        <v>238700.00000000003</v>
      </c>
    </row>
    <row r="3015" spans="1:7" ht="15.75" hidden="1" customHeight="1" outlineLevel="2">
      <c r="A3015" s="613"/>
      <c r="B3015" s="612"/>
      <c r="C3015" s="613"/>
      <c r="D3015" s="612"/>
      <c r="E3015" s="613"/>
      <c r="F3015" s="611"/>
      <c r="G3015" s="611">
        <f>SUM(G3002:G3014)</f>
        <v>33046950.000000004</v>
      </c>
    </row>
    <row r="3016" spans="1:7" ht="15.75" customHeight="1" outlineLevel="1" collapsed="1">
      <c r="A3016" s="613" t="s">
        <v>2074</v>
      </c>
      <c r="B3016" s="609">
        <f>B3000+1</f>
        <v>2</v>
      </c>
      <c r="C3016" s="613" t="s">
        <v>1957</v>
      </c>
      <c r="D3016" s="612" t="s">
        <v>1951</v>
      </c>
      <c r="E3016" s="613"/>
      <c r="F3016" s="611"/>
      <c r="G3016" s="611">
        <f>G3020</f>
        <v>801955.00000000012</v>
      </c>
    </row>
    <row r="3017" spans="1:7" ht="15.75" hidden="1" customHeight="1" outlineLevel="2">
      <c r="A3017" s="613"/>
      <c r="B3017" s="612"/>
      <c r="C3017" s="613" t="s">
        <v>1052</v>
      </c>
      <c r="D3017" s="612"/>
      <c r="E3017" s="613"/>
      <c r="F3017" s="611"/>
      <c r="G3017" s="611"/>
    </row>
    <row r="3018" spans="1:7" ht="15.75" hidden="1" customHeight="1" outlineLevel="2">
      <c r="A3018" s="613"/>
      <c r="B3018" s="612"/>
      <c r="C3018" s="613" t="s">
        <v>32</v>
      </c>
      <c r="D3018" s="612" t="s">
        <v>33</v>
      </c>
      <c r="E3018" s="613">
        <v>6</v>
      </c>
      <c r="F3018" s="611">
        <f>worker</f>
        <v>107800.00000000001</v>
      </c>
      <c r="G3018" s="611">
        <f>E3018*F3018</f>
        <v>646800.00000000012</v>
      </c>
    </row>
    <row r="3019" spans="1:7" ht="15.75" hidden="1" customHeight="1" outlineLevel="2">
      <c r="A3019" s="613"/>
      <c r="B3019" s="612"/>
      <c r="C3019" s="613" t="s">
        <v>1067</v>
      </c>
      <c r="D3019" s="612" t="s">
        <v>33</v>
      </c>
      <c r="E3019" s="613">
        <v>1</v>
      </c>
      <c r="F3019" s="611">
        <f>supervisor_Asli</f>
        <v>155155</v>
      </c>
      <c r="G3019" s="611">
        <f>E3019*F3019</f>
        <v>155155</v>
      </c>
    </row>
    <row r="3020" spans="1:7" ht="15.75" hidden="1" customHeight="1" outlineLevel="2">
      <c r="A3020" s="613"/>
      <c r="B3020" s="612"/>
      <c r="C3020" s="613"/>
      <c r="D3020" s="612"/>
      <c r="E3020" s="613"/>
      <c r="F3020" s="611"/>
      <c r="G3020" s="611">
        <f>SUM(G3018:G3019)</f>
        <v>801955.00000000012</v>
      </c>
    </row>
    <row r="3021" spans="1:7" ht="15.75" customHeight="1" outlineLevel="1" collapsed="1">
      <c r="A3021" s="613" t="s">
        <v>2074</v>
      </c>
      <c r="B3021" s="609">
        <f>B3016+1</f>
        <v>3</v>
      </c>
      <c r="C3021" s="613" t="s">
        <v>2076</v>
      </c>
      <c r="D3021" s="612" t="s">
        <v>1951</v>
      </c>
      <c r="E3021" s="613"/>
      <c r="F3021" s="611"/>
      <c r="G3021" s="611">
        <f>G3032</f>
        <v>2152456.1904761908</v>
      </c>
    </row>
    <row r="3022" spans="1:7" ht="15.75" hidden="1" customHeight="1" outlineLevel="2">
      <c r="A3022" s="613"/>
      <c r="B3022" s="612"/>
      <c r="C3022" s="613" t="s">
        <v>1052</v>
      </c>
      <c r="D3022" s="612"/>
      <c r="E3022" s="613"/>
      <c r="F3022" s="611"/>
      <c r="G3022" s="611"/>
    </row>
    <row r="3023" spans="1:7" ht="15.75" hidden="1" customHeight="1" outlineLevel="2">
      <c r="A3023" s="613"/>
      <c r="B3023" s="612"/>
      <c r="C3023" s="613" t="s">
        <v>233</v>
      </c>
      <c r="D3023" s="612" t="s">
        <v>921</v>
      </c>
      <c r="E3023" s="613">
        <v>5</v>
      </c>
      <c r="F3023" s="611">
        <f>steel_worker</f>
        <v>119350.00000000001</v>
      </c>
      <c r="G3023" s="611">
        <f t="shared" ref="G3023:G3031" si="28">E3023*F3023</f>
        <v>596750.00000000012</v>
      </c>
    </row>
    <row r="3024" spans="1:7" ht="15.75" hidden="1" customHeight="1" outlineLevel="2">
      <c r="A3024" s="613"/>
      <c r="B3024" s="612"/>
      <c r="C3024" s="613" t="s">
        <v>32</v>
      </c>
      <c r="D3024" s="612" t="s">
        <v>921</v>
      </c>
      <c r="E3024" s="613">
        <v>9</v>
      </c>
      <c r="F3024" s="611">
        <f>worker</f>
        <v>107800.00000000001</v>
      </c>
      <c r="G3024" s="611">
        <f t="shared" si="28"/>
        <v>970200.00000000012</v>
      </c>
    </row>
    <row r="3025" spans="1:7" ht="15.75" hidden="1" customHeight="1" outlineLevel="2">
      <c r="A3025" s="613"/>
      <c r="B3025" s="612"/>
      <c r="C3025" s="613" t="s">
        <v>36</v>
      </c>
      <c r="D3025" s="612" t="s">
        <v>921</v>
      </c>
      <c r="E3025" s="613">
        <v>1</v>
      </c>
      <c r="F3025" s="611">
        <f>supervisor</f>
        <v>119350.00000000001</v>
      </c>
      <c r="G3025" s="611">
        <f t="shared" si="28"/>
        <v>119350.00000000001</v>
      </c>
    </row>
    <row r="3026" spans="1:7" ht="15.75" hidden="1" customHeight="1" outlineLevel="2">
      <c r="A3026" s="613"/>
      <c r="B3026" s="612"/>
      <c r="C3026" s="613" t="s">
        <v>1117</v>
      </c>
      <c r="D3026" s="612" t="s">
        <v>921</v>
      </c>
      <c r="E3026" s="613">
        <v>0.5</v>
      </c>
      <c r="F3026" s="611">
        <f>electrical_technician</f>
        <v>366666.66666666669</v>
      </c>
      <c r="G3026" s="611">
        <f t="shared" si="28"/>
        <v>183333.33333333334</v>
      </c>
    </row>
    <row r="3027" spans="1:7" ht="15.75" hidden="1" customHeight="1" outlineLevel="2">
      <c r="A3027" s="613"/>
      <c r="B3027" s="612"/>
      <c r="C3027" s="613"/>
      <c r="D3027" s="612"/>
      <c r="E3027" s="613"/>
      <c r="F3027" s="611"/>
      <c r="G3027" s="611">
        <f t="shared" si="28"/>
        <v>0</v>
      </c>
    </row>
    <row r="3028" spans="1:7" ht="15.75" hidden="1" customHeight="1" outlineLevel="2">
      <c r="A3028" s="613"/>
      <c r="B3028" s="612"/>
      <c r="C3028" s="613" t="s">
        <v>114</v>
      </c>
      <c r="D3028" s="612"/>
      <c r="E3028" s="613"/>
      <c r="F3028" s="611"/>
      <c r="G3028" s="611">
        <f t="shared" si="28"/>
        <v>0</v>
      </c>
    </row>
    <row r="3029" spans="1:7" ht="15.75" hidden="1" customHeight="1" outlineLevel="2">
      <c r="A3029" s="613"/>
      <c r="B3029" s="612"/>
      <c r="C3029" s="613" t="s">
        <v>1116</v>
      </c>
      <c r="D3029" s="612" t="s">
        <v>50</v>
      </c>
      <c r="E3029" s="613">
        <v>8</v>
      </c>
      <c r="F3029" s="611">
        <f>bambu*6</f>
        <v>14142.857142857145</v>
      </c>
      <c r="G3029" s="611">
        <f t="shared" si="28"/>
        <v>113142.85714285716</v>
      </c>
    </row>
    <row r="3030" spans="1:7" ht="15.75" hidden="1" customHeight="1" outlineLevel="2">
      <c r="A3030" s="613"/>
      <c r="B3030" s="612"/>
      <c r="C3030" s="613" t="s">
        <v>1115</v>
      </c>
      <c r="D3030" s="612" t="s">
        <v>1044</v>
      </c>
      <c r="E3030" s="613">
        <v>3</v>
      </c>
      <c r="F3030" s="611">
        <f>pully</f>
        <v>22000</v>
      </c>
      <c r="G3030" s="611">
        <f t="shared" si="28"/>
        <v>66000</v>
      </c>
    </row>
    <row r="3031" spans="1:7" ht="15.75" hidden="1" customHeight="1" outlineLevel="2">
      <c r="A3031" s="613"/>
      <c r="B3031" s="612"/>
      <c r="C3031" s="613" t="s">
        <v>1114</v>
      </c>
      <c r="D3031" s="612" t="s">
        <v>1037</v>
      </c>
      <c r="E3031" s="613">
        <v>10</v>
      </c>
      <c r="F3031" s="611">
        <v>10368</v>
      </c>
      <c r="G3031" s="611">
        <f t="shared" si="28"/>
        <v>103680</v>
      </c>
    </row>
    <row r="3032" spans="1:7" ht="15.75" hidden="1" customHeight="1" outlineLevel="2">
      <c r="A3032" s="613"/>
      <c r="B3032" s="612"/>
      <c r="C3032" s="613"/>
      <c r="D3032" s="612"/>
      <c r="E3032" s="613"/>
      <c r="F3032" s="611"/>
      <c r="G3032" s="611">
        <f>SUM(G3023:G3031)</f>
        <v>2152456.1904761908</v>
      </c>
    </row>
    <row r="3033" spans="1:7" ht="15.75" customHeight="1" outlineLevel="1" collapsed="1">
      <c r="A3033" s="613" t="s">
        <v>2074</v>
      </c>
      <c r="B3033" s="612">
        <f>B3021+1</f>
        <v>4</v>
      </c>
      <c r="C3033" s="613" t="s">
        <v>4287</v>
      </c>
      <c r="D3033" s="612" t="s">
        <v>1951</v>
      </c>
      <c r="E3033" s="613"/>
      <c r="F3033" s="611"/>
      <c r="G3033" s="611">
        <f>SUM(G3035:G3045)</f>
        <v>2662665.933333334</v>
      </c>
    </row>
    <row r="3034" spans="1:7" ht="15.75" hidden="1" customHeight="1" outlineLevel="2">
      <c r="A3034" s="613"/>
      <c r="B3034" s="612"/>
      <c r="C3034" s="613" t="s">
        <v>1052</v>
      </c>
      <c r="D3034" s="612"/>
      <c r="E3034" s="613"/>
      <c r="F3034" s="611"/>
      <c r="G3034" s="611"/>
    </row>
    <row r="3035" spans="1:7" ht="15.75" hidden="1" customHeight="1" outlineLevel="2">
      <c r="A3035" s="613"/>
      <c r="B3035" s="612"/>
      <c r="C3035" s="613" t="s">
        <v>233</v>
      </c>
      <c r="D3035" s="612" t="s">
        <v>921</v>
      </c>
      <c r="E3035" s="613">
        <v>5</v>
      </c>
      <c r="F3035" s="611">
        <f>steel_worker</f>
        <v>119350.00000000001</v>
      </c>
      <c r="G3035" s="611">
        <f t="shared" ref="G3035:G3045" si="29">E3035*F3035</f>
        <v>596750.00000000012</v>
      </c>
    </row>
    <row r="3036" spans="1:7" ht="15.75" hidden="1" customHeight="1" outlineLevel="2">
      <c r="A3036" s="613"/>
      <c r="B3036" s="612"/>
      <c r="C3036" s="613" t="s">
        <v>32</v>
      </c>
      <c r="D3036" s="612" t="s">
        <v>921</v>
      </c>
      <c r="E3036" s="613">
        <v>10</v>
      </c>
      <c r="F3036" s="611">
        <f>worker</f>
        <v>107800.00000000001</v>
      </c>
      <c r="G3036" s="611">
        <f t="shared" si="29"/>
        <v>1078000.0000000002</v>
      </c>
    </row>
    <row r="3037" spans="1:7" ht="15.75" hidden="1" customHeight="1" outlineLevel="2">
      <c r="A3037" s="613"/>
      <c r="B3037" s="612"/>
      <c r="C3037" s="613" t="s">
        <v>36</v>
      </c>
      <c r="D3037" s="612" t="s">
        <v>921</v>
      </c>
      <c r="E3037" s="613">
        <v>1</v>
      </c>
      <c r="F3037" s="611">
        <f>supervisor</f>
        <v>119350.00000000001</v>
      </c>
      <c r="G3037" s="611">
        <f t="shared" si="29"/>
        <v>119350.00000000001</v>
      </c>
    </row>
    <row r="3038" spans="1:7" ht="15.75" hidden="1" customHeight="1" outlineLevel="2">
      <c r="A3038" s="613"/>
      <c r="B3038" s="612"/>
      <c r="C3038" s="613" t="s">
        <v>1117</v>
      </c>
      <c r="D3038" s="612" t="s">
        <v>921</v>
      </c>
      <c r="E3038" s="613">
        <v>0.5</v>
      </c>
      <c r="F3038" s="611">
        <f>electrical_technician</f>
        <v>366666.66666666669</v>
      </c>
      <c r="G3038" s="611">
        <f t="shared" si="29"/>
        <v>183333.33333333334</v>
      </c>
    </row>
    <row r="3039" spans="1:7" ht="15.75" hidden="1" customHeight="1" outlineLevel="2">
      <c r="A3039" s="613"/>
      <c r="B3039" s="612"/>
      <c r="C3039" s="613"/>
      <c r="D3039" s="612"/>
      <c r="E3039" s="613"/>
      <c r="F3039" s="611"/>
      <c r="G3039" s="611">
        <f t="shared" si="29"/>
        <v>0</v>
      </c>
    </row>
    <row r="3040" spans="1:7" ht="15.75" hidden="1" customHeight="1" outlineLevel="2">
      <c r="A3040" s="613"/>
      <c r="B3040" s="612"/>
      <c r="C3040" s="613" t="s">
        <v>114</v>
      </c>
      <c r="D3040" s="612"/>
      <c r="E3040" s="613"/>
      <c r="F3040" s="611"/>
      <c r="G3040" s="611">
        <f t="shared" si="29"/>
        <v>0</v>
      </c>
    </row>
    <row r="3041" spans="1:12" ht="15.75" hidden="1" customHeight="1" outlineLevel="2">
      <c r="A3041" s="613"/>
      <c r="B3041" s="612"/>
      <c r="C3041" s="613" t="s">
        <v>1116</v>
      </c>
      <c r="D3041" s="612" t="s">
        <v>50</v>
      </c>
      <c r="E3041" s="613">
        <v>0</v>
      </c>
      <c r="F3041" s="611">
        <f>bambu*7</f>
        <v>16500</v>
      </c>
      <c r="G3041" s="611">
        <f t="shared" si="29"/>
        <v>0</v>
      </c>
    </row>
    <row r="3042" spans="1:12" ht="15.75" hidden="1" customHeight="1" outlineLevel="2">
      <c r="A3042" s="613"/>
      <c r="B3042" s="612"/>
      <c r="C3042" s="613" t="s">
        <v>1115</v>
      </c>
      <c r="D3042" s="612" t="s">
        <v>1044</v>
      </c>
      <c r="E3042" s="613">
        <v>3</v>
      </c>
      <c r="F3042" s="611">
        <f>pully</f>
        <v>22000</v>
      </c>
      <c r="G3042" s="611">
        <f t="shared" si="29"/>
        <v>66000</v>
      </c>
    </row>
    <row r="3043" spans="1:12" ht="15.75" hidden="1" customHeight="1" outlineLevel="2">
      <c r="A3043" s="613"/>
      <c r="B3043" s="612"/>
      <c r="C3043" s="613" t="s">
        <v>1114</v>
      </c>
      <c r="D3043" s="612" t="s">
        <v>1037</v>
      </c>
      <c r="E3043" s="613">
        <v>50</v>
      </c>
      <c r="F3043" s="611">
        <v>10368</v>
      </c>
      <c r="G3043" s="611">
        <f t="shared" si="29"/>
        <v>518400</v>
      </c>
    </row>
    <row r="3044" spans="1:12" ht="15.75" hidden="1" customHeight="1" outlineLevel="2">
      <c r="A3044" s="613"/>
      <c r="B3044" s="612"/>
      <c r="C3044" s="613" t="s">
        <v>2077</v>
      </c>
      <c r="D3044" s="612" t="s">
        <v>65</v>
      </c>
      <c r="E3044" s="613">
        <v>2</v>
      </c>
      <c r="F3044" s="611">
        <f>winch_manchine_cap_3_5_ton_day</f>
        <v>22916.300000000003</v>
      </c>
      <c r="G3044" s="611">
        <f t="shared" si="29"/>
        <v>45832.600000000006</v>
      </c>
    </row>
    <row r="3045" spans="1:12" ht="15.75" hidden="1" customHeight="1" outlineLevel="2">
      <c r="A3045" s="613"/>
      <c r="B3045" s="612"/>
      <c r="C3045" s="613" t="s">
        <v>1207</v>
      </c>
      <c r="D3045" s="612" t="s">
        <v>65</v>
      </c>
      <c r="E3045" s="613">
        <v>2</v>
      </c>
      <c r="F3045" s="611">
        <f>sling_day</f>
        <v>27500.000000000004</v>
      </c>
      <c r="G3045" s="611">
        <f t="shared" si="29"/>
        <v>55000.000000000007</v>
      </c>
    </row>
    <row r="3046" spans="1:12" ht="15.75" hidden="1" customHeight="1" outlineLevel="2">
      <c r="A3046" s="613"/>
      <c r="B3046" s="612"/>
      <c r="C3046" s="613"/>
      <c r="D3046" s="612"/>
      <c r="E3046" s="613"/>
      <c r="F3046" s="611"/>
      <c r="G3046" s="611"/>
    </row>
    <row r="3047" spans="1:12" ht="15.75" hidden="1" customHeight="1" outlineLevel="2">
      <c r="A3047" s="613"/>
      <c r="B3047" s="612"/>
      <c r="C3047" s="613"/>
      <c r="D3047" s="612"/>
      <c r="E3047" s="613"/>
      <c r="F3047" s="611"/>
      <c r="G3047" s="611"/>
    </row>
    <row r="3048" spans="1:12" ht="15.75" hidden="1" customHeight="1" outlineLevel="2">
      <c r="A3048" s="613"/>
      <c r="B3048" s="612"/>
      <c r="C3048" s="613"/>
      <c r="D3048" s="612"/>
      <c r="E3048" s="613"/>
      <c r="F3048" s="611"/>
      <c r="G3048" s="611">
        <f>SUM(G3035:G3043)</f>
        <v>2561833.333333334</v>
      </c>
    </row>
    <row r="3049" spans="1:12" ht="15.75" customHeight="1" outlineLevel="1" collapsed="1">
      <c r="A3049" s="613" t="s">
        <v>2074</v>
      </c>
      <c r="B3049" s="612">
        <f>B3033+1</f>
        <v>5</v>
      </c>
      <c r="C3049" s="613" t="s">
        <v>1959</v>
      </c>
      <c r="D3049" s="612" t="s">
        <v>1951</v>
      </c>
      <c r="E3049" s="613"/>
      <c r="F3049" s="611"/>
      <c r="G3049" s="611">
        <f>G3060</f>
        <v>2352417.0370370373</v>
      </c>
    </row>
    <row r="3050" spans="1:12" ht="15.75" hidden="1" customHeight="1" outlineLevel="2">
      <c r="A3050" s="613"/>
      <c r="B3050" s="612"/>
      <c r="C3050" s="613" t="s">
        <v>1052</v>
      </c>
      <c r="D3050" s="612"/>
      <c r="E3050" s="613"/>
      <c r="F3050" s="611"/>
      <c r="G3050" s="611"/>
      <c r="I3050" s="633" t="s">
        <v>1119</v>
      </c>
      <c r="K3050" s="633" t="s">
        <v>1118</v>
      </c>
    </row>
    <row r="3051" spans="1:12" ht="15.75" hidden="1" customHeight="1" outlineLevel="2">
      <c r="A3051" s="613"/>
      <c r="B3051" s="612"/>
      <c r="C3051" s="613" t="s">
        <v>233</v>
      </c>
      <c r="D3051" s="612" t="s">
        <v>921</v>
      </c>
      <c r="E3051" s="613">
        <v>4.4444444444444446</v>
      </c>
      <c r="F3051" s="611">
        <f>steel_worker</f>
        <v>119350.00000000001</v>
      </c>
      <c r="G3051" s="611">
        <f t="shared" ref="G3051:G3059" si="30">E3051*F3051</f>
        <v>530444.4444444445</v>
      </c>
      <c r="I3051" s="633">
        <v>4</v>
      </c>
      <c r="J3051" s="633" t="s">
        <v>922</v>
      </c>
      <c r="K3051" s="633">
        <f>5/4.5</f>
        <v>1.1111111111111112</v>
      </c>
      <c r="L3051" s="633" t="s">
        <v>939</v>
      </c>
    </row>
    <row r="3052" spans="1:12" ht="15.75" hidden="1" customHeight="1" outlineLevel="2">
      <c r="A3052" s="613"/>
      <c r="B3052" s="612"/>
      <c r="C3052" s="613" t="s">
        <v>32</v>
      </c>
      <c r="D3052" s="612" t="s">
        <v>921</v>
      </c>
      <c r="E3052" s="613">
        <v>11.111111111111111</v>
      </c>
      <c r="F3052" s="611">
        <f>worker</f>
        <v>107800.00000000001</v>
      </c>
      <c r="G3052" s="611">
        <f t="shared" si="30"/>
        <v>1197777.777777778</v>
      </c>
      <c r="I3052" s="633">
        <v>10</v>
      </c>
      <c r="J3052" s="633" t="s">
        <v>922</v>
      </c>
      <c r="K3052" s="633">
        <f>5/4.5</f>
        <v>1.1111111111111112</v>
      </c>
      <c r="L3052" s="633" t="s">
        <v>939</v>
      </c>
    </row>
    <row r="3053" spans="1:12" ht="15.75" hidden="1" customHeight="1" outlineLevel="2">
      <c r="A3053" s="613"/>
      <c r="B3053" s="612"/>
      <c r="C3053" s="613" t="s">
        <v>36</v>
      </c>
      <c r="D3053" s="612" t="s">
        <v>921</v>
      </c>
      <c r="E3053" s="613">
        <v>1.1111111111111112</v>
      </c>
      <c r="F3053" s="611">
        <f>supervisor</f>
        <v>119350.00000000001</v>
      </c>
      <c r="G3053" s="611">
        <f t="shared" si="30"/>
        <v>132611.11111111112</v>
      </c>
      <c r="I3053" s="633">
        <v>1</v>
      </c>
      <c r="J3053" s="633" t="s">
        <v>922</v>
      </c>
      <c r="K3053" s="633">
        <f>5/4.5</f>
        <v>1.1111111111111112</v>
      </c>
      <c r="L3053" s="633" t="s">
        <v>939</v>
      </c>
    </row>
    <row r="3054" spans="1:12" ht="15.75" hidden="1" customHeight="1" outlineLevel="2">
      <c r="A3054" s="613"/>
      <c r="B3054" s="612"/>
      <c r="C3054" s="613" t="s">
        <v>1117</v>
      </c>
      <c r="D3054" s="612" t="s">
        <v>921</v>
      </c>
      <c r="E3054" s="613">
        <v>0.55555555555555558</v>
      </c>
      <c r="F3054" s="611">
        <f>electrical_technician</f>
        <v>366666.66666666669</v>
      </c>
      <c r="G3054" s="611">
        <f t="shared" si="30"/>
        <v>203703.70370370374</v>
      </c>
      <c r="I3054" s="633">
        <f>4/8</f>
        <v>0.5</v>
      </c>
      <c r="J3054" s="633" t="s">
        <v>922</v>
      </c>
      <c r="K3054" s="633">
        <f>5/4.5</f>
        <v>1.1111111111111112</v>
      </c>
      <c r="L3054" s="633" t="s">
        <v>939</v>
      </c>
    </row>
    <row r="3055" spans="1:12" ht="15.75" hidden="1" customHeight="1" outlineLevel="2">
      <c r="A3055" s="613"/>
      <c r="B3055" s="612"/>
      <c r="C3055" s="613"/>
      <c r="D3055" s="612"/>
      <c r="E3055" s="613"/>
      <c r="F3055" s="611"/>
      <c r="G3055" s="611">
        <f t="shared" si="30"/>
        <v>0</v>
      </c>
    </row>
    <row r="3056" spans="1:12" ht="15.75" hidden="1" customHeight="1" outlineLevel="2">
      <c r="A3056" s="613"/>
      <c r="B3056" s="612"/>
      <c r="C3056" s="613" t="s">
        <v>114</v>
      </c>
      <c r="D3056" s="612"/>
      <c r="E3056" s="613"/>
      <c r="F3056" s="611"/>
      <c r="G3056" s="611">
        <f t="shared" si="30"/>
        <v>0</v>
      </c>
    </row>
    <row r="3057" spans="1:7" ht="15.75" hidden="1" customHeight="1" outlineLevel="2">
      <c r="A3057" s="613"/>
      <c r="B3057" s="612"/>
      <c r="C3057" s="613" t="s">
        <v>1116</v>
      </c>
      <c r="D3057" s="612" t="s">
        <v>50</v>
      </c>
      <c r="E3057" s="613">
        <v>8</v>
      </c>
      <c r="F3057" s="611">
        <f>bambu*7</f>
        <v>16500</v>
      </c>
      <c r="G3057" s="611">
        <f t="shared" si="30"/>
        <v>132000</v>
      </c>
    </row>
    <row r="3058" spans="1:7" ht="15.75" hidden="1" customHeight="1" outlineLevel="2">
      <c r="A3058" s="613"/>
      <c r="B3058" s="612"/>
      <c r="C3058" s="613" t="s">
        <v>1115</v>
      </c>
      <c r="D3058" s="612" t="s">
        <v>1044</v>
      </c>
      <c r="E3058" s="613">
        <v>3</v>
      </c>
      <c r="F3058" s="611">
        <v>17400</v>
      </c>
      <c r="G3058" s="611">
        <f t="shared" si="30"/>
        <v>52200</v>
      </c>
    </row>
    <row r="3059" spans="1:7" ht="15.75" hidden="1" customHeight="1" outlineLevel="2">
      <c r="A3059" s="613"/>
      <c r="B3059" s="612"/>
      <c r="C3059" s="613" t="s">
        <v>1114</v>
      </c>
      <c r="D3059" s="612" t="s">
        <v>1037</v>
      </c>
      <c r="E3059" s="613">
        <v>10</v>
      </c>
      <c r="F3059" s="611">
        <v>10368</v>
      </c>
      <c r="G3059" s="611">
        <f t="shared" si="30"/>
        <v>103680</v>
      </c>
    </row>
    <row r="3060" spans="1:7" ht="15.75" hidden="1" customHeight="1" outlineLevel="2">
      <c r="A3060" s="613"/>
      <c r="B3060" s="612"/>
      <c r="C3060" s="613"/>
      <c r="D3060" s="612"/>
      <c r="E3060" s="613"/>
      <c r="F3060" s="611"/>
      <c r="G3060" s="611">
        <f>SUM(G3051:G3059)</f>
        <v>2352417.0370370373</v>
      </c>
    </row>
    <row r="3061" spans="1:7" ht="15.75" customHeight="1" outlineLevel="1" collapsed="1">
      <c r="A3061" s="613" t="s">
        <v>2074</v>
      </c>
      <c r="B3061" s="609">
        <v>5</v>
      </c>
      <c r="C3061" s="613" t="s">
        <v>1960</v>
      </c>
      <c r="D3061" s="612" t="s">
        <v>1951</v>
      </c>
      <c r="E3061" s="613"/>
      <c r="F3061" s="611"/>
      <c r="G3061" s="611"/>
    </row>
    <row r="3062" spans="1:7" ht="15.75" hidden="1" customHeight="1" outlineLevel="2">
      <c r="A3062" s="613"/>
      <c r="B3062" s="612">
        <v>5.0999999999999996</v>
      </c>
      <c r="C3062" s="613" t="s">
        <v>2022</v>
      </c>
      <c r="D3062" s="612" t="s">
        <v>1951</v>
      </c>
      <c r="E3062" s="613"/>
      <c r="F3062" s="611"/>
      <c r="G3062" s="611">
        <f>SUM(G3064:G3074)</f>
        <v>207625.44880000001</v>
      </c>
    </row>
    <row r="3063" spans="1:7" ht="15.75" hidden="1" customHeight="1" outlineLevel="3">
      <c r="A3063" s="613"/>
      <c r="B3063" s="612"/>
      <c r="C3063" s="613" t="s">
        <v>1052</v>
      </c>
      <c r="D3063" s="612"/>
      <c r="E3063" s="613"/>
      <c r="F3063" s="611"/>
      <c r="G3063" s="611"/>
    </row>
    <row r="3064" spans="1:7" ht="15.75" hidden="1" customHeight="1" outlineLevel="3">
      <c r="A3064" s="613"/>
      <c r="B3064" s="612"/>
      <c r="C3064" s="613" t="s">
        <v>1030</v>
      </c>
      <c r="D3064" s="612" t="s">
        <v>921</v>
      </c>
      <c r="E3064" s="613">
        <f>1/10</f>
        <v>0.1</v>
      </c>
      <c r="F3064" s="611">
        <f>driver</f>
        <v>184800.00000000003</v>
      </c>
      <c r="G3064" s="611">
        <f t="shared" ref="G3064:G3074" si="31">E3064*F3064</f>
        <v>18480.000000000004</v>
      </c>
    </row>
    <row r="3065" spans="1:7" ht="15.75" hidden="1" customHeight="1" outlineLevel="3">
      <c r="A3065" s="613"/>
      <c r="B3065" s="612"/>
      <c r="C3065" s="613" t="s">
        <v>493</v>
      </c>
      <c r="D3065" s="612" t="s">
        <v>921</v>
      </c>
      <c r="E3065" s="613">
        <f>5/10</f>
        <v>0.5</v>
      </c>
      <c r="F3065" s="611">
        <f>worker</f>
        <v>107800.00000000001</v>
      </c>
      <c r="G3065" s="611">
        <f t="shared" si="31"/>
        <v>53900.000000000007</v>
      </c>
    </row>
    <row r="3066" spans="1:7" ht="15.75" hidden="1" customHeight="1" outlineLevel="3">
      <c r="A3066" s="613"/>
      <c r="B3066" s="612"/>
      <c r="C3066" s="613" t="s">
        <v>1113</v>
      </c>
      <c r="D3066" s="612" t="s">
        <v>921</v>
      </c>
      <c r="E3066" s="613">
        <f>1/10</f>
        <v>0.1</v>
      </c>
      <c r="F3066" s="611">
        <f>steel_worker</f>
        <v>119350.00000000001</v>
      </c>
      <c r="G3066" s="611">
        <f t="shared" si="31"/>
        <v>11935.000000000002</v>
      </c>
    </row>
    <row r="3067" spans="1:7" ht="15.75" hidden="1" customHeight="1" outlineLevel="3">
      <c r="A3067" s="613"/>
      <c r="B3067" s="612"/>
      <c r="C3067" s="613" t="s">
        <v>1029</v>
      </c>
      <c r="D3067" s="612" t="s">
        <v>921</v>
      </c>
      <c r="E3067" s="613">
        <f>1/10</f>
        <v>0.1</v>
      </c>
      <c r="F3067" s="611">
        <f>supervisor_Asli</f>
        <v>155155</v>
      </c>
      <c r="G3067" s="611">
        <f t="shared" si="31"/>
        <v>15515.5</v>
      </c>
    </row>
    <row r="3068" spans="1:7" ht="15.75" hidden="1" customHeight="1" outlineLevel="3">
      <c r="A3068" s="613"/>
      <c r="B3068" s="612"/>
      <c r="C3068" s="613"/>
      <c r="D3068" s="612"/>
      <c r="E3068" s="613"/>
      <c r="F3068" s="611"/>
      <c r="G3068" s="611">
        <f t="shared" si="31"/>
        <v>0</v>
      </c>
    </row>
    <row r="3069" spans="1:7" ht="15.75" hidden="1" customHeight="1" outlineLevel="3">
      <c r="A3069" s="613"/>
      <c r="B3069" s="612"/>
      <c r="C3069" s="613" t="s">
        <v>114</v>
      </c>
      <c r="D3069" s="612"/>
      <c r="E3069" s="613"/>
      <c r="F3069" s="611"/>
      <c r="G3069" s="611">
        <f t="shared" si="31"/>
        <v>0</v>
      </c>
    </row>
    <row r="3070" spans="1:7" ht="15.75" hidden="1" customHeight="1" outlineLevel="3">
      <c r="A3070" s="613"/>
      <c r="B3070" s="612"/>
      <c r="C3070" s="613" t="s">
        <v>1112</v>
      </c>
      <c r="D3070" s="612" t="s">
        <v>1044</v>
      </c>
      <c r="E3070" s="613">
        <f>0.2/10</f>
        <v>0.02</v>
      </c>
      <c r="F3070" s="611">
        <f>dump_truck_5m3</f>
        <v>1161622.4400000002</v>
      </c>
      <c r="G3070" s="611">
        <f t="shared" si="31"/>
        <v>23232.448800000006</v>
      </c>
    </row>
    <row r="3071" spans="1:7" ht="15.75" hidden="1" customHeight="1" outlineLevel="3">
      <c r="A3071" s="613"/>
      <c r="B3071" s="612"/>
      <c r="C3071" s="613" t="s">
        <v>755</v>
      </c>
      <c r="D3071" s="612" t="s">
        <v>72</v>
      </c>
      <c r="E3071" s="613">
        <v>0.1</v>
      </c>
      <c r="F3071" s="611">
        <f>forklift</f>
        <v>240625.00000000003</v>
      </c>
      <c r="G3071" s="611">
        <f t="shared" si="31"/>
        <v>24062.500000000004</v>
      </c>
    </row>
    <row r="3072" spans="1:7" ht="15.75" hidden="1" customHeight="1" outlineLevel="3">
      <c r="A3072" s="613"/>
      <c r="B3072" s="612"/>
      <c r="C3072" s="613"/>
      <c r="D3072" s="612"/>
      <c r="E3072" s="613"/>
      <c r="F3072" s="611"/>
      <c r="G3072" s="611">
        <f t="shared" si="31"/>
        <v>0</v>
      </c>
    </row>
    <row r="3073" spans="1:7" ht="15.75" hidden="1" customHeight="1" outlineLevel="3">
      <c r="A3073" s="613"/>
      <c r="B3073" s="612"/>
      <c r="C3073" s="613" t="s">
        <v>292</v>
      </c>
      <c r="D3073" s="612"/>
      <c r="E3073" s="613"/>
      <c r="F3073" s="611"/>
      <c r="G3073" s="611">
        <f t="shared" si="31"/>
        <v>0</v>
      </c>
    </row>
    <row r="3074" spans="1:7" ht="15.75" hidden="1" customHeight="1" outlineLevel="3">
      <c r="A3074" s="613"/>
      <c r="B3074" s="612"/>
      <c r="C3074" s="613" t="s">
        <v>517</v>
      </c>
      <c r="D3074" s="612" t="s">
        <v>798</v>
      </c>
      <c r="E3074" s="613">
        <v>5</v>
      </c>
      <c r="F3074" s="611">
        <f>bbm</f>
        <v>12100.000000000002</v>
      </c>
      <c r="G3074" s="611">
        <f t="shared" si="31"/>
        <v>60500.000000000007</v>
      </c>
    </row>
    <row r="3075" spans="1:7" ht="15.75" hidden="1" customHeight="1" outlineLevel="3">
      <c r="A3075" s="613"/>
      <c r="B3075" s="612"/>
      <c r="C3075" s="613"/>
      <c r="D3075" s="612"/>
      <c r="E3075" s="613"/>
      <c r="F3075" s="611"/>
      <c r="G3075" s="611"/>
    </row>
    <row r="3076" spans="1:7" ht="15.75" hidden="1" customHeight="1" outlineLevel="2">
      <c r="A3076" s="613"/>
      <c r="B3076" s="612">
        <f>B3062+0.1</f>
        <v>5.1999999999999993</v>
      </c>
      <c r="C3076" s="613" t="s">
        <v>2023</v>
      </c>
      <c r="D3076" s="612" t="s">
        <v>1951</v>
      </c>
      <c r="E3076" s="613"/>
      <c r="F3076" s="611"/>
      <c r="G3076" s="611">
        <f>SUM(G3078:G3088)</f>
        <v>415250.89760000003</v>
      </c>
    </row>
    <row r="3077" spans="1:7" ht="15.75" hidden="1" customHeight="1" outlineLevel="3">
      <c r="A3077" s="613"/>
      <c r="B3077" s="612"/>
      <c r="C3077" s="613" t="s">
        <v>1052</v>
      </c>
      <c r="D3077" s="612"/>
      <c r="E3077" s="613"/>
      <c r="F3077" s="611"/>
      <c r="G3077" s="611"/>
    </row>
    <row r="3078" spans="1:7" ht="15.75" hidden="1" customHeight="1" outlineLevel="3">
      <c r="A3078" s="613"/>
      <c r="B3078" s="612"/>
      <c r="C3078" s="613" t="s">
        <v>1030</v>
      </c>
      <c r="D3078" s="612" t="s">
        <v>921</v>
      </c>
      <c r="E3078" s="613">
        <v>0.2</v>
      </c>
      <c r="F3078" s="611">
        <f>driver</f>
        <v>184800.00000000003</v>
      </c>
      <c r="G3078" s="611">
        <f t="shared" ref="G3078:G3088" si="32">E3078*F3078</f>
        <v>36960.000000000007</v>
      </c>
    </row>
    <row r="3079" spans="1:7" ht="15.75" hidden="1" customHeight="1" outlineLevel="3">
      <c r="A3079" s="613"/>
      <c r="B3079" s="612"/>
      <c r="C3079" s="613" t="s">
        <v>493</v>
      </c>
      <c r="D3079" s="612" t="s">
        <v>921</v>
      </c>
      <c r="E3079" s="613">
        <v>1</v>
      </c>
      <c r="F3079" s="611">
        <f>worker</f>
        <v>107800.00000000001</v>
      </c>
      <c r="G3079" s="611">
        <f t="shared" si="32"/>
        <v>107800.00000000001</v>
      </c>
    </row>
    <row r="3080" spans="1:7" ht="15.75" hidden="1" customHeight="1" outlineLevel="3">
      <c r="A3080" s="613"/>
      <c r="B3080" s="612"/>
      <c r="C3080" s="613" t="s">
        <v>1113</v>
      </c>
      <c r="D3080" s="612" t="s">
        <v>921</v>
      </c>
      <c r="E3080" s="613">
        <v>0.2</v>
      </c>
      <c r="F3080" s="611">
        <f>steel_worker</f>
        <v>119350.00000000001</v>
      </c>
      <c r="G3080" s="611">
        <f t="shared" si="32"/>
        <v>23870.000000000004</v>
      </c>
    </row>
    <row r="3081" spans="1:7" ht="15.75" hidden="1" customHeight="1" outlineLevel="3">
      <c r="A3081" s="613"/>
      <c r="B3081" s="612"/>
      <c r="C3081" s="613" t="s">
        <v>1029</v>
      </c>
      <c r="D3081" s="612" t="s">
        <v>921</v>
      </c>
      <c r="E3081" s="613">
        <v>0.2</v>
      </c>
      <c r="F3081" s="611">
        <f>supervisor_Asli</f>
        <v>155155</v>
      </c>
      <c r="G3081" s="611">
        <f t="shared" si="32"/>
        <v>31031</v>
      </c>
    </row>
    <row r="3082" spans="1:7" ht="15.75" hidden="1" customHeight="1" outlineLevel="3">
      <c r="A3082" s="613"/>
      <c r="B3082" s="612"/>
      <c r="C3082" s="613"/>
      <c r="D3082" s="612"/>
      <c r="E3082" s="613"/>
      <c r="F3082" s="611"/>
      <c r="G3082" s="611">
        <f t="shared" si="32"/>
        <v>0</v>
      </c>
    </row>
    <row r="3083" spans="1:7" ht="15.75" hidden="1" customHeight="1" outlineLevel="3">
      <c r="A3083" s="613"/>
      <c r="B3083" s="612"/>
      <c r="C3083" s="613" t="s">
        <v>114</v>
      </c>
      <c r="D3083" s="612"/>
      <c r="E3083" s="613"/>
      <c r="F3083" s="611"/>
      <c r="G3083" s="611">
        <f t="shared" si="32"/>
        <v>0</v>
      </c>
    </row>
    <row r="3084" spans="1:7" ht="15.75" hidden="1" customHeight="1" outlineLevel="3">
      <c r="A3084" s="613"/>
      <c r="B3084" s="612"/>
      <c r="C3084" s="613" t="s">
        <v>1112</v>
      </c>
      <c r="D3084" s="612" t="s">
        <v>1044</v>
      </c>
      <c r="E3084" s="613">
        <f>0.4/10</f>
        <v>0.04</v>
      </c>
      <c r="F3084" s="611">
        <f>dump_truck_5m3</f>
        <v>1161622.4400000002</v>
      </c>
      <c r="G3084" s="611">
        <f t="shared" si="32"/>
        <v>46464.897600000011</v>
      </c>
    </row>
    <row r="3085" spans="1:7" ht="15.75" hidden="1" customHeight="1" outlineLevel="3">
      <c r="A3085" s="613"/>
      <c r="B3085" s="612"/>
      <c r="C3085" s="613" t="s">
        <v>755</v>
      </c>
      <c r="D3085" s="612" t="s">
        <v>72</v>
      </c>
      <c r="E3085" s="613">
        <v>0.2</v>
      </c>
      <c r="F3085" s="611">
        <f>forklift</f>
        <v>240625.00000000003</v>
      </c>
      <c r="G3085" s="611">
        <f t="shared" si="32"/>
        <v>48125.000000000007</v>
      </c>
    </row>
    <row r="3086" spans="1:7" ht="15.75" hidden="1" customHeight="1" outlineLevel="3">
      <c r="A3086" s="613"/>
      <c r="B3086" s="612"/>
      <c r="C3086" s="613"/>
      <c r="D3086" s="612"/>
      <c r="E3086" s="613"/>
      <c r="F3086" s="611"/>
      <c r="G3086" s="611">
        <f t="shared" si="32"/>
        <v>0</v>
      </c>
    </row>
    <row r="3087" spans="1:7" ht="15.75" hidden="1" customHeight="1" outlineLevel="3">
      <c r="A3087" s="613"/>
      <c r="B3087" s="612"/>
      <c r="C3087" s="613" t="s">
        <v>292</v>
      </c>
      <c r="D3087" s="612"/>
      <c r="E3087" s="613"/>
      <c r="F3087" s="611"/>
      <c r="G3087" s="611">
        <f t="shared" si="32"/>
        <v>0</v>
      </c>
    </row>
    <row r="3088" spans="1:7" ht="15.75" hidden="1" customHeight="1" outlineLevel="3">
      <c r="A3088" s="613"/>
      <c r="B3088" s="612"/>
      <c r="C3088" s="613" t="s">
        <v>517</v>
      </c>
      <c r="D3088" s="612" t="s">
        <v>798</v>
      </c>
      <c r="E3088" s="613">
        <v>10</v>
      </c>
      <c r="F3088" s="611">
        <f>bbm</f>
        <v>12100.000000000002</v>
      </c>
      <c r="G3088" s="611">
        <f t="shared" si="32"/>
        <v>121000.00000000001</v>
      </c>
    </row>
    <row r="3089" spans="1:7" ht="15.75" hidden="1" customHeight="1" outlineLevel="3">
      <c r="A3089" s="613"/>
      <c r="B3089" s="612"/>
      <c r="C3089" s="613"/>
      <c r="D3089" s="612"/>
      <c r="E3089" s="613"/>
      <c r="F3089" s="611"/>
      <c r="G3089" s="611"/>
    </row>
    <row r="3090" spans="1:7" ht="15.75" hidden="1" customHeight="1" outlineLevel="2">
      <c r="A3090" s="613"/>
      <c r="B3090" s="612">
        <f>B3076+0.1</f>
        <v>5.2999999999999989</v>
      </c>
      <c r="C3090" s="613" t="s">
        <v>2024</v>
      </c>
      <c r="D3090" s="612" t="s">
        <v>1951</v>
      </c>
      <c r="E3090" s="613"/>
      <c r="F3090" s="611"/>
      <c r="G3090" s="611">
        <f>SUM(G3092:G3102)</f>
        <v>622876.34640000004</v>
      </c>
    </row>
    <row r="3091" spans="1:7" ht="15.75" hidden="1" customHeight="1" outlineLevel="3">
      <c r="A3091" s="613"/>
      <c r="B3091" s="612"/>
      <c r="C3091" s="613" t="s">
        <v>1052</v>
      </c>
      <c r="D3091" s="612"/>
      <c r="E3091" s="613"/>
      <c r="F3091" s="611"/>
      <c r="G3091" s="611"/>
    </row>
    <row r="3092" spans="1:7" ht="15.75" hidden="1" customHeight="1" outlineLevel="3">
      <c r="A3092" s="613"/>
      <c r="B3092" s="612"/>
      <c r="C3092" s="613" t="s">
        <v>1030</v>
      </c>
      <c r="D3092" s="612" t="s">
        <v>921</v>
      </c>
      <c r="E3092" s="613">
        <f>3*E3064</f>
        <v>0.30000000000000004</v>
      </c>
      <c r="F3092" s="611">
        <f>driver</f>
        <v>184800.00000000003</v>
      </c>
      <c r="G3092" s="611">
        <f t="shared" ref="G3092:G3102" si="33">E3092*F3092</f>
        <v>55440.000000000015</v>
      </c>
    </row>
    <row r="3093" spans="1:7" ht="15.75" hidden="1" customHeight="1" outlineLevel="3">
      <c r="A3093" s="613"/>
      <c r="B3093" s="612"/>
      <c r="C3093" s="613" t="s">
        <v>493</v>
      </c>
      <c r="D3093" s="612" t="s">
        <v>921</v>
      </c>
      <c r="E3093" s="613">
        <f t="shared" ref="E3093:E3095" si="34">3*E3065</f>
        <v>1.5</v>
      </c>
      <c r="F3093" s="611">
        <f>worker</f>
        <v>107800.00000000001</v>
      </c>
      <c r="G3093" s="611">
        <f t="shared" si="33"/>
        <v>161700.00000000003</v>
      </c>
    </row>
    <row r="3094" spans="1:7" ht="15.75" hidden="1" customHeight="1" outlineLevel="3">
      <c r="A3094" s="613"/>
      <c r="B3094" s="612"/>
      <c r="C3094" s="613" t="s">
        <v>1113</v>
      </c>
      <c r="D3094" s="612" t="s">
        <v>921</v>
      </c>
      <c r="E3094" s="613">
        <f t="shared" si="34"/>
        <v>0.30000000000000004</v>
      </c>
      <c r="F3094" s="611">
        <f>steel_worker</f>
        <v>119350.00000000001</v>
      </c>
      <c r="G3094" s="611">
        <f t="shared" si="33"/>
        <v>35805.000000000007</v>
      </c>
    </row>
    <row r="3095" spans="1:7" ht="15.75" hidden="1" customHeight="1" outlineLevel="3">
      <c r="A3095" s="613"/>
      <c r="B3095" s="612"/>
      <c r="C3095" s="613" t="s">
        <v>1029</v>
      </c>
      <c r="D3095" s="612" t="s">
        <v>921</v>
      </c>
      <c r="E3095" s="613">
        <f t="shared" si="34"/>
        <v>0.30000000000000004</v>
      </c>
      <c r="F3095" s="611">
        <f>supervisor_Asli</f>
        <v>155155</v>
      </c>
      <c r="G3095" s="611">
        <f t="shared" si="33"/>
        <v>46546.500000000007</v>
      </c>
    </row>
    <row r="3096" spans="1:7" ht="15.75" hidden="1" customHeight="1" outlineLevel="3">
      <c r="A3096" s="613"/>
      <c r="B3096" s="612"/>
      <c r="C3096" s="613"/>
      <c r="D3096" s="612"/>
      <c r="E3096" s="613"/>
      <c r="F3096" s="611"/>
      <c r="G3096" s="611">
        <f t="shared" si="33"/>
        <v>0</v>
      </c>
    </row>
    <row r="3097" spans="1:7" ht="15.75" hidden="1" customHeight="1" outlineLevel="3">
      <c r="A3097" s="613"/>
      <c r="B3097" s="612"/>
      <c r="C3097" s="613" t="s">
        <v>114</v>
      </c>
      <c r="D3097" s="612"/>
      <c r="E3097" s="613"/>
      <c r="F3097" s="611"/>
      <c r="G3097" s="611">
        <f t="shared" si="33"/>
        <v>0</v>
      </c>
    </row>
    <row r="3098" spans="1:7" ht="15.75" hidden="1" customHeight="1" outlineLevel="3">
      <c r="A3098" s="613"/>
      <c r="B3098" s="612"/>
      <c r="C3098" s="613" t="s">
        <v>1112</v>
      </c>
      <c r="D3098" s="612" t="s">
        <v>1044</v>
      </c>
      <c r="E3098" s="613">
        <f>3*E3070</f>
        <v>0.06</v>
      </c>
      <c r="F3098" s="611">
        <f>dump_truck_5m3</f>
        <v>1161622.4400000002</v>
      </c>
      <c r="G3098" s="611">
        <f t="shared" si="33"/>
        <v>69697.346400000009</v>
      </c>
    </row>
    <row r="3099" spans="1:7" ht="15.75" hidden="1" customHeight="1" outlineLevel="3">
      <c r="A3099" s="613"/>
      <c r="B3099" s="612"/>
      <c r="C3099" s="613" t="s">
        <v>755</v>
      </c>
      <c r="D3099" s="612" t="s">
        <v>72</v>
      </c>
      <c r="E3099" s="613">
        <f>3*E3071</f>
        <v>0.30000000000000004</v>
      </c>
      <c r="F3099" s="611">
        <f>forklift</f>
        <v>240625.00000000003</v>
      </c>
      <c r="G3099" s="611">
        <f t="shared" si="33"/>
        <v>72187.500000000015</v>
      </c>
    </row>
    <row r="3100" spans="1:7" ht="15.75" hidden="1" customHeight="1" outlineLevel="3">
      <c r="A3100" s="613"/>
      <c r="B3100" s="612"/>
      <c r="C3100" s="613"/>
      <c r="D3100" s="612"/>
      <c r="E3100" s="613"/>
      <c r="F3100" s="611"/>
      <c r="G3100" s="611">
        <f t="shared" si="33"/>
        <v>0</v>
      </c>
    </row>
    <row r="3101" spans="1:7" ht="15.75" hidden="1" customHeight="1" outlineLevel="3">
      <c r="A3101" s="613"/>
      <c r="B3101" s="612"/>
      <c r="C3101" s="613" t="s">
        <v>292</v>
      </c>
      <c r="D3101" s="612"/>
      <c r="E3101" s="613"/>
      <c r="F3101" s="611"/>
      <c r="G3101" s="611">
        <f t="shared" si="33"/>
        <v>0</v>
      </c>
    </row>
    <row r="3102" spans="1:7" ht="15.75" hidden="1" customHeight="1" outlineLevel="3">
      <c r="A3102" s="613"/>
      <c r="B3102" s="612"/>
      <c r="C3102" s="613" t="s">
        <v>517</v>
      </c>
      <c r="D3102" s="612" t="s">
        <v>798</v>
      </c>
      <c r="E3102" s="613">
        <f>3*E3074</f>
        <v>15</v>
      </c>
      <c r="F3102" s="611">
        <f>bbm</f>
        <v>12100.000000000002</v>
      </c>
      <c r="G3102" s="611">
        <f t="shared" si="33"/>
        <v>181500.00000000003</v>
      </c>
    </row>
    <row r="3103" spans="1:7" ht="15.75" hidden="1" customHeight="1" outlineLevel="3">
      <c r="A3103" s="613"/>
      <c r="B3103" s="612"/>
      <c r="C3103" s="613"/>
      <c r="D3103" s="612"/>
      <c r="E3103" s="613"/>
      <c r="F3103" s="611"/>
      <c r="G3103" s="611"/>
    </row>
    <row r="3104" spans="1:7" ht="15.75" hidden="1" customHeight="1" outlineLevel="2">
      <c r="A3104" s="613"/>
      <c r="B3104" s="612">
        <f>B3090+0.1</f>
        <v>5.3999999999999986</v>
      </c>
      <c r="C3104" s="613" t="s">
        <v>2025</v>
      </c>
      <c r="D3104" s="612" t="s">
        <v>1951</v>
      </c>
      <c r="E3104" s="613"/>
      <c r="F3104" s="611"/>
      <c r="G3104" s="611">
        <f>SUM(G3106:G3116)</f>
        <v>830501.79520000005</v>
      </c>
    </row>
    <row r="3105" spans="1:7" ht="15.75" hidden="1" customHeight="1" outlineLevel="3">
      <c r="A3105" s="613"/>
      <c r="B3105" s="612"/>
      <c r="C3105" s="613" t="s">
        <v>1052</v>
      </c>
      <c r="D3105" s="612"/>
      <c r="E3105" s="613"/>
      <c r="F3105" s="611"/>
      <c r="G3105" s="611"/>
    </row>
    <row r="3106" spans="1:7" ht="15.75" hidden="1" customHeight="1" outlineLevel="3">
      <c r="A3106" s="613"/>
      <c r="B3106" s="612"/>
      <c r="C3106" s="613" t="s">
        <v>1030</v>
      </c>
      <c r="D3106" s="612" t="s">
        <v>921</v>
      </c>
      <c r="E3106" s="613">
        <f>4*E3064</f>
        <v>0.4</v>
      </c>
      <c r="F3106" s="611">
        <f>driver</f>
        <v>184800.00000000003</v>
      </c>
      <c r="G3106" s="611">
        <f t="shared" ref="G3106:G3116" si="35">E3106*F3106</f>
        <v>73920.000000000015</v>
      </c>
    </row>
    <row r="3107" spans="1:7" ht="15.75" hidden="1" customHeight="1" outlineLevel="3">
      <c r="A3107" s="613"/>
      <c r="B3107" s="612"/>
      <c r="C3107" s="613" t="s">
        <v>493</v>
      </c>
      <c r="D3107" s="612" t="s">
        <v>921</v>
      </c>
      <c r="E3107" s="613">
        <f t="shared" ref="E3107:E3116" si="36">4*E3065</f>
        <v>2</v>
      </c>
      <c r="F3107" s="611">
        <f>worker</f>
        <v>107800.00000000001</v>
      </c>
      <c r="G3107" s="611">
        <f t="shared" si="35"/>
        <v>215600.00000000003</v>
      </c>
    </row>
    <row r="3108" spans="1:7" ht="15.75" hidden="1" customHeight="1" outlineLevel="3">
      <c r="A3108" s="613"/>
      <c r="B3108" s="612"/>
      <c r="C3108" s="613" t="s">
        <v>1113</v>
      </c>
      <c r="D3108" s="612" t="s">
        <v>921</v>
      </c>
      <c r="E3108" s="613">
        <f t="shared" si="36"/>
        <v>0.4</v>
      </c>
      <c r="F3108" s="611">
        <f>steel_worker</f>
        <v>119350.00000000001</v>
      </c>
      <c r="G3108" s="611">
        <f t="shared" si="35"/>
        <v>47740.000000000007</v>
      </c>
    </row>
    <row r="3109" spans="1:7" ht="15.75" hidden="1" customHeight="1" outlineLevel="3">
      <c r="A3109" s="613"/>
      <c r="B3109" s="612"/>
      <c r="C3109" s="613" t="s">
        <v>1029</v>
      </c>
      <c r="D3109" s="612" t="s">
        <v>921</v>
      </c>
      <c r="E3109" s="613">
        <f t="shared" si="36"/>
        <v>0.4</v>
      </c>
      <c r="F3109" s="611">
        <f>supervisor_Asli</f>
        <v>155155</v>
      </c>
      <c r="G3109" s="611">
        <f t="shared" si="35"/>
        <v>62062</v>
      </c>
    </row>
    <row r="3110" spans="1:7" ht="15.75" hidden="1" customHeight="1" outlineLevel="3">
      <c r="A3110" s="613"/>
      <c r="B3110" s="612"/>
      <c r="C3110" s="613"/>
      <c r="D3110" s="612"/>
      <c r="E3110" s="613"/>
      <c r="F3110" s="611"/>
      <c r="G3110" s="611">
        <f t="shared" si="35"/>
        <v>0</v>
      </c>
    </row>
    <row r="3111" spans="1:7" ht="15.75" hidden="1" customHeight="1" outlineLevel="3">
      <c r="A3111" s="613"/>
      <c r="B3111" s="612"/>
      <c r="C3111" s="613" t="s">
        <v>114</v>
      </c>
      <c r="D3111" s="612"/>
      <c r="E3111" s="613"/>
      <c r="F3111" s="611"/>
      <c r="G3111" s="611">
        <f t="shared" si="35"/>
        <v>0</v>
      </c>
    </row>
    <row r="3112" spans="1:7" ht="15.75" hidden="1" customHeight="1" outlineLevel="3">
      <c r="A3112" s="613"/>
      <c r="B3112" s="612"/>
      <c r="C3112" s="613" t="s">
        <v>1112</v>
      </c>
      <c r="D3112" s="612" t="s">
        <v>1044</v>
      </c>
      <c r="E3112" s="613">
        <f t="shared" si="36"/>
        <v>0.08</v>
      </c>
      <c r="F3112" s="611">
        <f>dump_truck_5m3</f>
        <v>1161622.4400000002</v>
      </c>
      <c r="G3112" s="611">
        <f t="shared" si="35"/>
        <v>92929.795200000022</v>
      </c>
    </row>
    <row r="3113" spans="1:7" ht="15.75" hidden="1" customHeight="1" outlineLevel="3">
      <c r="A3113" s="613"/>
      <c r="B3113" s="612"/>
      <c r="C3113" s="613" t="s">
        <v>755</v>
      </c>
      <c r="D3113" s="612" t="s">
        <v>72</v>
      </c>
      <c r="E3113" s="613">
        <f t="shared" si="36"/>
        <v>0.4</v>
      </c>
      <c r="F3113" s="611">
        <f>forklift</f>
        <v>240625.00000000003</v>
      </c>
      <c r="G3113" s="611">
        <f t="shared" si="35"/>
        <v>96250.000000000015</v>
      </c>
    </row>
    <row r="3114" spans="1:7" ht="15.75" hidden="1" customHeight="1" outlineLevel="3">
      <c r="A3114" s="613"/>
      <c r="B3114" s="612"/>
      <c r="C3114" s="613"/>
      <c r="D3114" s="612"/>
      <c r="E3114" s="613"/>
      <c r="F3114" s="611"/>
      <c r="G3114" s="611">
        <f t="shared" si="35"/>
        <v>0</v>
      </c>
    </row>
    <row r="3115" spans="1:7" ht="15.75" hidden="1" customHeight="1" outlineLevel="3">
      <c r="A3115" s="613"/>
      <c r="B3115" s="612"/>
      <c r="C3115" s="613" t="s">
        <v>292</v>
      </c>
      <c r="D3115" s="612"/>
      <c r="E3115" s="613"/>
      <c r="F3115" s="611"/>
      <c r="G3115" s="611">
        <f t="shared" si="35"/>
        <v>0</v>
      </c>
    </row>
    <row r="3116" spans="1:7" ht="15.75" hidden="1" customHeight="1" outlineLevel="3">
      <c r="A3116" s="613"/>
      <c r="B3116" s="612"/>
      <c r="C3116" s="613" t="s">
        <v>517</v>
      </c>
      <c r="D3116" s="612" t="s">
        <v>798</v>
      </c>
      <c r="E3116" s="613">
        <f t="shared" si="36"/>
        <v>20</v>
      </c>
      <c r="F3116" s="611">
        <f>bbm</f>
        <v>12100.000000000002</v>
      </c>
      <c r="G3116" s="611">
        <f t="shared" si="35"/>
        <v>242000.00000000003</v>
      </c>
    </row>
    <row r="3117" spans="1:7" ht="15.75" hidden="1" customHeight="1" outlineLevel="3">
      <c r="A3117" s="613"/>
      <c r="B3117" s="612"/>
      <c r="C3117" s="613"/>
      <c r="D3117" s="612"/>
      <c r="E3117" s="613"/>
      <c r="F3117" s="611"/>
      <c r="G3117" s="611"/>
    </row>
    <row r="3118" spans="1:7" ht="15.75" hidden="1" customHeight="1" outlineLevel="2">
      <c r="A3118" s="613"/>
      <c r="B3118" s="612">
        <f>B3104+0.1</f>
        <v>5.4999999999999982</v>
      </c>
      <c r="C3118" s="613" t="s">
        <v>2026</v>
      </c>
      <c r="D3118" s="612" t="s">
        <v>1951</v>
      </c>
      <c r="E3118" s="613"/>
      <c r="F3118" s="611"/>
      <c r="G3118" s="611">
        <f>SUM(G3120:G3130)</f>
        <v>1038127.2440000002</v>
      </c>
    </row>
    <row r="3119" spans="1:7" ht="15.75" hidden="1" customHeight="1" outlineLevel="3">
      <c r="A3119" s="613"/>
      <c r="B3119" s="612"/>
      <c r="C3119" s="613" t="s">
        <v>1052</v>
      </c>
      <c r="D3119" s="612"/>
      <c r="E3119" s="613"/>
      <c r="F3119" s="611"/>
      <c r="G3119" s="611"/>
    </row>
    <row r="3120" spans="1:7" ht="15.75" hidden="1" customHeight="1" outlineLevel="3">
      <c r="A3120" s="613"/>
      <c r="B3120" s="612"/>
      <c r="C3120" s="613" t="s">
        <v>1030</v>
      </c>
      <c r="D3120" s="612" t="s">
        <v>921</v>
      </c>
      <c r="E3120" s="613">
        <f>5*E3064</f>
        <v>0.5</v>
      </c>
      <c r="F3120" s="611">
        <f>driver</f>
        <v>184800.00000000003</v>
      </c>
      <c r="G3120" s="611">
        <f t="shared" ref="G3120:G3130" si="37">E3120*F3120</f>
        <v>92400.000000000015</v>
      </c>
    </row>
    <row r="3121" spans="1:12" ht="15.75" hidden="1" customHeight="1" outlineLevel="3">
      <c r="A3121" s="613"/>
      <c r="B3121" s="612"/>
      <c r="C3121" s="613" t="s">
        <v>493</v>
      </c>
      <c r="D3121" s="612" t="s">
        <v>921</v>
      </c>
      <c r="E3121" s="613">
        <f>5*E3065</f>
        <v>2.5</v>
      </c>
      <c r="F3121" s="611">
        <f>worker</f>
        <v>107800.00000000001</v>
      </c>
      <c r="G3121" s="611">
        <f t="shared" si="37"/>
        <v>269500.00000000006</v>
      </c>
    </row>
    <row r="3122" spans="1:12" ht="15.75" hidden="1" customHeight="1" outlineLevel="3">
      <c r="A3122" s="613"/>
      <c r="B3122" s="612"/>
      <c r="C3122" s="613" t="s">
        <v>1113</v>
      </c>
      <c r="D3122" s="612" t="s">
        <v>921</v>
      </c>
      <c r="E3122" s="613">
        <f t="shared" ref="E3122:E3130" si="38">5*E3066</f>
        <v>0.5</v>
      </c>
      <c r="F3122" s="611">
        <f>steel_worker</f>
        <v>119350.00000000001</v>
      </c>
      <c r="G3122" s="611">
        <f t="shared" si="37"/>
        <v>59675.000000000007</v>
      </c>
    </row>
    <row r="3123" spans="1:12" ht="15.75" hidden="1" customHeight="1" outlineLevel="3">
      <c r="A3123" s="613"/>
      <c r="B3123" s="612"/>
      <c r="C3123" s="613" t="s">
        <v>1029</v>
      </c>
      <c r="D3123" s="612" t="s">
        <v>921</v>
      </c>
      <c r="E3123" s="613">
        <f t="shared" si="38"/>
        <v>0.5</v>
      </c>
      <c r="F3123" s="611">
        <f>supervisor_Asli</f>
        <v>155155</v>
      </c>
      <c r="G3123" s="611">
        <f t="shared" si="37"/>
        <v>77577.5</v>
      </c>
    </row>
    <row r="3124" spans="1:12" ht="15.75" hidden="1" customHeight="1" outlineLevel="3">
      <c r="A3124" s="613"/>
      <c r="B3124" s="612"/>
      <c r="C3124" s="613"/>
      <c r="D3124" s="612"/>
      <c r="E3124" s="613"/>
      <c r="F3124" s="611"/>
      <c r="G3124" s="611">
        <f t="shared" si="37"/>
        <v>0</v>
      </c>
    </row>
    <row r="3125" spans="1:12" ht="15.75" hidden="1" customHeight="1" outlineLevel="3">
      <c r="A3125" s="613"/>
      <c r="B3125" s="612"/>
      <c r="C3125" s="613" t="s">
        <v>114</v>
      </c>
      <c r="D3125" s="612"/>
      <c r="E3125" s="613"/>
      <c r="F3125" s="611"/>
      <c r="G3125" s="611">
        <f t="shared" si="37"/>
        <v>0</v>
      </c>
    </row>
    <row r="3126" spans="1:12" ht="15.75" hidden="1" customHeight="1" outlineLevel="3">
      <c r="A3126" s="613"/>
      <c r="B3126" s="612"/>
      <c r="C3126" s="613" t="s">
        <v>1112</v>
      </c>
      <c r="D3126" s="612" t="s">
        <v>1044</v>
      </c>
      <c r="E3126" s="613">
        <f t="shared" si="38"/>
        <v>0.1</v>
      </c>
      <c r="F3126" s="611">
        <f>dump_truck_5m3</f>
        <v>1161622.4400000002</v>
      </c>
      <c r="G3126" s="611">
        <f t="shared" si="37"/>
        <v>116162.24400000002</v>
      </c>
    </row>
    <row r="3127" spans="1:12" ht="15.75" hidden="1" customHeight="1" outlineLevel="3">
      <c r="A3127" s="613"/>
      <c r="B3127" s="612"/>
      <c r="C3127" s="613" t="s">
        <v>755</v>
      </c>
      <c r="D3127" s="612" t="s">
        <v>72</v>
      </c>
      <c r="E3127" s="613">
        <f t="shared" si="38"/>
        <v>0.5</v>
      </c>
      <c r="F3127" s="611">
        <f>forklift</f>
        <v>240625.00000000003</v>
      </c>
      <c r="G3127" s="611">
        <f t="shared" si="37"/>
        <v>120312.50000000001</v>
      </c>
    </row>
    <row r="3128" spans="1:12" ht="15.75" hidden="1" customHeight="1" outlineLevel="3">
      <c r="A3128" s="613"/>
      <c r="B3128" s="612"/>
      <c r="C3128" s="613"/>
      <c r="D3128" s="612"/>
      <c r="E3128" s="613"/>
      <c r="F3128" s="611"/>
      <c r="G3128" s="611">
        <f t="shared" si="37"/>
        <v>0</v>
      </c>
    </row>
    <row r="3129" spans="1:12" ht="15.75" hidden="1" customHeight="1" outlineLevel="3">
      <c r="A3129" s="613"/>
      <c r="B3129" s="612"/>
      <c r="C3129" s="613" t="s">
        <v>292</v>
      </c>
      <c r="D3129" s="612"/>
      <c r="E3129" s="613"/>
      <c r="F3129" s="611"/>
      <c r="G3129" s="611">
        <f t="shared" si="37"/>
        <v>0</v>
      </c>
    </row>
    <row r="3130" spans="1:12" ht="15.75" hidden="1" customHeight="1" outlineLevel="3">
      <c r="A3130" s="613"/>
      <c r="B3130" s="612"/>
      <c r="C3130" s="613" t="s">
        <v>517</v>
      </c>
      <c r="D3130" s="612" t="s">
        <v>798</v>
      </c>
      <c r="E3130" s="613">
        <f t="shared" si="38"/>
        <v>25</v>
      </c>
      <c r="F3130" s="611">
        <f>bbm</f>
        <v>12100.000000000002</v>
      </c>
      <c r="G3130" s="611">
        <f t="shared" si="37"/>
        <v>302500.00000000006</v>
      </c>
    </row>
    <row r="3131" spans="1:12" ht="15.75" hidden="1" customHeight="1" outlineLevel="3">
      <c r="A3131" s="613"/>
      <c r="B3131" s="612"/>
      <c r="C3131" s="613"/>
      <c r="D3131" s="612"/>
      <c r="E3131" s="613"/>
      <c r="F3131" s="611"/>
      <c r="G3131" s="611"/>
    </row>
    <row r="3132" spans="1:12" ht="15.75" customHeight="1" outlineLevel="1" collapsed="1">
      <c r="A3132" s="613" t="s">
        <v>2074</v>
      </c>
      <c r="B3132" s="609">
        <v>6</v>
      </c>
      <c r="C3132" s="613" t="s">
        <v>1953</v>
      </c>
      <c r="D3132" s="612" t="s">
        <v>1952</v>
      </c>
      <c r="E3132" s="613"/>
      <c r="F3132" s="611"/>
      <c r="G3132" s="611"/>
      <c r="J3132" s="633" t="s">
        <v>1944</v>
      </c>
      <c r="K3132" s="633" t="s">
        <v>52</v>
      </c>
      <c r="L3132" s="633" t="s">
        <v>1945</v>
      </c>
    </row>
    <row r="3133" spans="1:12" ht="15.75" hidden="1" customHeight="1" outlineLevel="2">
      <c r="A3133" s="613"/>
      <c r="B3133" s="612">
        <v>6.1</v>
      </c>
      <c r="C3133" s="613" t="s">
        <v>2033</v>
      </c>
      <c r="D3133" s="612" t="s">
        <v>1952</v>
      </c>
      <c r="E3133" s="613"/>
      <c r="F3133" s="611"/>
      <c r="G3133" s="611">
        <f>SUM(G3135:G3137)</f>
        <v>231.38500000000005</v>
      </c>
      <c r="J3133" s="633">
        <v>1</v>
      </c>
      <c r="K3133" s="633">
        <f>15*40</f>
        <v>600</v>
      </c>
      <c r="L3133" s="633">
        <v>1</v>
      </c>
    </row>
    <row r="3134" spans="1:12" ht="15.75" hidden="1" customHeight="1" outlineLevel="3">
      <c r="A3134" s="613"/>
      <c r="B3134" s="612"/>
      <c r="C3134" s="613" t="s">
        <v>1052</v>
      </c>
      <c r="D3134" s="612"/>
      <c r="E3134" s="613"/>
      <c r="F3134" s="611"/>
      <c r="G3134" s="611"/>
      <c r="J3134" s="633">
        <v>1</v>
      </c>
    </row>
    <row r="3135" spans="1:12" ht="15.75" hidden="1" customHeight="1" outlineLevel="3">
      <c r="A3135" s="613"/>
      <c r="B3135" s="612"/>
      <c r="C3135" s="613" t="s">
        <v>493</v>
      </c>
      <c r="D3135" s="612" t="s">
        <v>921</v>
      </c>
      <c r="E3135" s="613">
        <f>J3133*L3133/K3133</f>
        <v>1.6666666666666668E-3</v>
      </c>
      <c r="F3135" s="611">
        <f>worker</f>
        <v>107800.00000000001</v>
      </c>
      <c r="G3135" s="611">
        <f>E3135*F3135</f>
        <v>179.66666666666671</v>
      </c>
    </row>
    <row r="3136" spans="1:12" ht="15.75" hidden="1" customHeight="1" outlineLevel="3">
      <c r="A3136" s="613"/>
      <c r="B3136" s="612"/>
      <c r="C3136" s="613" t="s">
        <v>1029</v>
      </c>
      <c r="D3136" s="612" t="s">
        <v>921</v>
      </c>
      <c r="E3136" s="613">
        <f>1/5*E3135</f>
        <v>3.3333333333333338E-4</v>
      </c>
      <c r="F3136" s="611">
        <f>supervisor_Asli</f>
        <v>155155</v>
      </c>
      <c r="G3136" s="611">
        <f>E3136*F3136</f>
        <v>51.718333333333341</v>
      </c>
    </row>
    <row r="3137" spans="1:12" ht="15.75" hidden="1" customHeight="1" outlineLevel="3">
      <c r="A3137" s="613"/>
      <c r="B3137" s="612"/>
      <c r="C3137" s="613"/>
      <c r="D3137" s="612"/>
      <c r="E3137" s="613"/>
      <c r="F3137" s="611"/>
      <c r="G3137" s="611">
        <f>E3137*F3137</f>
        <v>0</v>
      </c>
    </row>
    <row r="3138" spans="1:12" ht="15.75" hidden="1" customHeight="1" outlineLevel="2">
      <c r="A3138" s="613"/>
      <c r="B3138" s="612">
        <f>B3133+0.1</f>
        <v>6.1999999999999993</v>
      </c>
      <c r="C3138" s="613" t="s">
        <v>2034</v>
      </c>
      <c r="D3138" s="612" t="s">
        <v>1952</v>
      </c>
      <c r="E3138" s="613"/>
      <c r="F3138" s="611"/>
      <c r="G3138" s="611">
        <f>SUM(G3140:G3142)</f>
        <v>462.7700000000001</v>
      </c>
    </row>
    <row r="3139" spans="1:12" ht="15.75" hidden="1" customHeight="1" outlineLevel="3">
      <c r="A3139" s="613"/>
      <c r="B3139" s="612"/>
      <c r="C3139" s="613" t="s">
        <v>1052</v>
      </c>
      <c r="D3139" s="612"/>
      <c r="E3139" s="613"/>
      <c r="F3139" s="611"/>
      <c r="G3139" s="611"/>
    </row>
    <row r="3140" spans="1:12" ht="15.75" hidden="1" customHeight="1" outlineLevel="3">
      <c r="A3140" s="613"/>
      <c r="B3140" s="612"/>
      <c r="C3140" s="613" t="s">
        <v>493</v>
      </c>
      <c r="D3140" s="612" t="s">
        <v>921</v>
      </c>
      <c r="E3140" s="613">
        <f>2*E3135</f>
        <v>3.3333333333333335E-3</v>
      </c>
      <c r="F3140" s="611">
        <f>worker</f>
        <v>107800.00000000001</v>
      </c>
      <c r="G3140" s="611">
        <f>E3140*F3140</f>
        <v>359.33333333333343</v>
      </c>
    </row>
    <row r="3141" spans="1:12" ht="15.75" hidden="1" customHeight="1" outlineLevel="3">
      <c r="A3141" s="613"/>
      <c r="B3141" s="612"/>
      <c r="C3141" s="613" t="s">
        <v>1029</v>
      </c>
      <c r="D3141" s="612" t="s">
        <v>921</v>
      </c>
      <c r="E3141" s="613">
        <f>2*E3136</f>
        <v>6.6666666666666675E-4</v>
      </c>
      <c r="F3141" s="611">
        <f>supervisor_Asli</f>
        <v>155155</v>
      </c>
      <c r="G3141" s="611">
        <f>E3141*F3141</f>
        <v>103.43666666666668</v>
      </c>
    </row>
    <row r="3142" spans="1:12" ht="15.75" hidden="1" customHeight="1" outlineLevel="3">
      <c r="A3142" s="613"/>
      <c r="B3142" s="612"/>
      <c r="C3142" s="613"/>
      <c r="D3142" s="612"/>
      <c r="E3142" s="613"/>
      <c r="F3142" s="611"/>
      <c r="G3142" s="611"/>
    </row>
    <row r="3143" spans="1:12" ht="15.75" hidden="1" customHeight="1" outlineLevel="2">
      <c r="A3143" s="613"/>
      <c r="B3143" s="612">
        <f>B3138+0.1</f>
        <v>6.2999999999999989</v>
      </c>
      <c r="C3143" s="613" t="s">
        <v>2035</v>
      </c>
      <c r="D3143" s="612" t="s">
        <v>1952</v>
      </c>
      <c r="E3143" s="613"/>
      <c r="F3143" s="611"/>
      <c r="G3143" s="611">
        <f>SUM(G3145:G3148)</f>
        <v>694.15500000000009</v>
      </c>
    </row>
    <row r="3144" spans="1:12" ht="15.75" hidden="1" customHeight="1" outlineLevel="3">
      <c r="A3144" s="613"/>
      <c r="B3144" s="612"/>
      <c r="C3144" s="613"/>
      <c r="D3144" s="612"/>
      <c r="E3144" s="613"/>
      <c r="F3144" s="611"/>
      <c r="G3144" s="611"/>
    </row>
    <row r="3145" spans="1:12" ht="15.75" hidden="1" customHeight="1" outlineLevel="3">
      <c r="A3145" s="613"/>
      <c r="B3145" s="612"/>
      <c r="C3145" s="613" t="s">
        <v>1052</v>
      </c>
      <c r="D3145" s="612"/>
      <c r="E3145" s="613"/>
      <c r="F3145" s="611"/>
      <c r="G3145" s="611"/>
    </row>
    <row r="3146" spans="1:12" ht="15.75" hidden="1" customHeight="1" outlineLevel="3">
      <c r="A3146" s="613"/>
      <c r="B3146" s="612"/>
      <c r="C3146" s="613" t="s">
        <v>493</v>
      </c>
      <c r="D3146" s="612" t="s">
        <v>921</v>
      </c>
      <c r="E3146" s="613">
        <f>3*E3135</f>
        <v>5.0000000000000001E-3</v>
      </c>
      <c r="F3146" s="611">
        <f>worker</f>
        <v>107800.00000000001</v>
      </c>
      <c r="G3146" s="611">
        <f>E3146*F3146</f>
        <v>539.00000000000011</v>
      </c>
    </row>
    <row r="3147" spans="1:12" ht="15.75" hidden="1" customHeight="1" outlineLevel="3">
      <c r="A3147" s="613"/>
      <c r="B3147" s="612"/>
      <c r="C3147" s="613" t="s">
        <v>1029</v>
      </c>
      <c r="D3147" s="612" t="s">
        <v>921</v>
      </c>
      <c r="E3147" s="613">
        <f>3*E3136</f>
        <v>1E-3</v>
      </c>
      <c r="F3147" s="611">
        <f>supervisor_Asli</f>
        <v>155155</v>
      </c>
      <c r="G3147" s="611">
        <f>E3147*F3147</f>
        <v>155.155</v>
      </c>
    </row>
    <row r="3148" spans="1:12" ht="15.75" hidden="1" customHeight="1" outlineLevel="3">
      <c r="A3148" s="613"/>
      <c r="B3148" s="612"/>
      <c r="C3148" s="613"/>
      <c r="D3148" s="612"/>
      <c r="E3148" s="613"/>
      <c r="F3148" s="611"/>
      <c r="G3148" s="611"/>
    </row>
    <row r="3149" spans="1:12" ht="15.75" customHeight="1" outlineLevel="1" collapsed="1">
      <c r="A3149" s="613" t="s">
        <v>2074</v>
      </c>
      <c r="B3149" s="612">
        <v>7</v>
      </c>
      <c r="C3149" s="613" t="s">
        <v>1954</v>
      </c>
      <c r="D3149" s="612" t="s">
        <v>1952</v>
      </c>
      <c r="E3149" s="613"/>
      <c r="F3149" s="611"/>
      <c r="G3149" s="611"/>
    </row>
    <row r="3150" spans="1:12" ht="15.75" hidden="1" customHeight="1" outlineLevel="2">
      <c r="A3150" s="613"/>
      <c r="B3150" s="612">
        <v>7.1</v>
      </c>
      <c r="C3150" s="613" t="s">
        <v>2036</v>
      </c>
      <c r="D3150" s="612" t="s">
        <v>1952</v>
      </c>
      <c r="E3150" s="613"/>
      <c r="F3150" s="611"/>
      <c r="G3150" s="611">
        <f>SUM(G3152:G3157)</f>
        <v>323.05166666666673</v>
      </c>
      <c r="J3150" s="633">
        <v>1</v>
      </c>
      <c r="K3150" s="633">
        <f>15*40</f>
        <v>600</v>
      </c>
      <c r="L3150" s="633">
        <v>1</v>
      </c>
    </row>
    <row r="3151" spans="1:12" ht="15.75" hidden="1" customHeight="1" outlineLevel="3">
      <c r="A3151" s="613"/>
      <c r="B3151" s="612"/>
      <c r="C3151" s="613" t="s">
        <v>1052</v>
      </c>
      <c r="D3151" s="612"/>
      <c r="E3151" s="613"/>
      <c r="F3151" s="611"/>
      <c r="G3151" s="611"/>
      <c r="J3151" s="633">
        <v>1</v>
      </c>
    </row>
    <row r="3152" spans="1:12" ht="15.75" hidden="1" customHeight="1" outlineLevel="3">
      <c r="A3152" s="613"/>
      <c r="B3152" s="612"/>
      <c r="C3152" s="613" t="s">
        <v>493</v>
      </c>
      <c r="D3152" s="612" t="s">
        <v>921</v>
      </c>
      <c r="E3152" s="613">
        <f>J3150*L3150/K3150</f>
        <v>1.6666666666666668E-3</v>
      </c>
      <c r="F3152" s="611">
        <f>worker</f>
        <v>107800.00000000001</v>
      </c>
      <c r="G3152" s="611">
        <f>E3152*F3152</f>
        <v>179.66666666666671</v>
      </c>
    </row>
    <row r="3153" spans="1:12" ht="15.75" hidden="1" customHeight="1" outlineLevel="3">
      <c r="A3153" s="613"/>
      <c r="B3153" s="612"/>
      <c r="C3153" s="613" t="s">
        <v>1029</v>
      </c>
      <c r="D3153" s="612" t="s">
        <v>921</v>
      </c>
      <c r="E3153" s="613">
        <f>1/5*E3152</f>
        <v>3.3333333333333338E-4</v>
      </c>
      <c r="F3153" s="611">
        <f>supervisor_Asli</f>
        <v>155155</v>
      </c>
      <c r="G3153" s="611">
        <f>E3153*F3153</f>
        <v>51.718333333333341</v>
      </c>
    </row>
    <row r="3154" spans="1:12" ht="15.75" hidden="1" customHeight="1" outlineLevel="3">
      <c r="A3154" s="613"/>
      <c r="B3154" s="612"/>
      <c r="C3154" s="613"/>
      <c r="D3154" s="612"/>
      <c r="E3154" s="613"/>
      <c r="F3154" s="611"/>
      <c r="G3154" s="611"/>
    </row>
    <row r="3155" spans="1:12" ht="15.75" hidden="1" customHeight="1" outlineLevel="3">
      <c r="A3155" s="613"/>
      <c r="B3155" s="612"/>
      <c r="C3155" s="613" t="s">
        <v>114</v>
      </c>
      <c r="D3155" s="612"/>
      <c r="E3155" s="613"/>
      <c r="F3155" s="611"/>
      <c r="G3155" s="611"/>
      <c r="J3155" s="633" t="s">
        <v>1948</v>
      </c>
      <c r="K3155" s="633" t="s">
        <v>1949</v>
      </c>
      <c r="L3155" s="633" t="s">
        <v>1213</v>
      </c>
    </row>
    <row r="3156" spans="1:12" ht="15.75" hidden="1" customHeight="1" outlineLevel="3">
      <c r="A3156" s="613"/>
      <c r="B3156" s="612"/>
      <c r="C3156" s="613" t="s">
        <v>1946</v>
      </c>
      <c r="D3156" s="612" t="s">
        <v>1947</v>
      </c>
      <c r="E3156" s="613">
        <f>L3156/(J3156*K3156)</f>
        <v>3.3333333333333332E-4</v>
      </c>
      <c r="F3156" s="611">
        <f>sewa_Klotok_per_day</f>
        <v>275000</v>
      </c>
      <c r="G3156" s="611">
        <f>E3156*F3156</f>
        <v>91.666666666666657</v>
      </c>
      <c r="J3156" s="633">
        <v>300</v>
      </c>
      <c r="K3156" s="633">
        <v>10</v>
      </c>
      <c r="L3156" s="633">
        <v>1</v>
      </c>
    </row>
    <row r="3157" spans="1:12" ht="15.75" hidden="1" customHeight="1" outlineLevel="3">
      <c r="A3157" s="613"/>
      <c r="B3157" s="612"/>
      <c r="C3157" s="613"/>
      <c r="D3157" s="612"/>
      <c r="E3157" s="613"/>
      <c r="F3157" s="611"/>
      <c r="G3157" s="611">
        <f>E3157*F3157</f>
        <v>0</v>
      </c>
      <c r="J3157" s="633">
        <v>2500000</v>
      </c>
    </row>
    <row r="3158" spans="1:12" ht="15.75" hidden="1" customHeight="1" outlineLevel="2">
      <c r="A3158" s="613"/>
      <c r="B3158" s="612">
        <f>B3150+0.1</f>
        <v>7.1999999999999993</v>
      </c>
      <c r="C3158" s="613" t="s">
        <v>2037</v>
      </c>
      <c r="D3158" s="612" t="s">
        <v>1952</v>
      </c>
      <c r="E3158" s="613"/>
      <c r="F3158" s="611"/>
      <c r="G3158" s="611">
        <f>SUM(G3160:G3165)</f>
        <v>646.10333333333347</v>
      </c>
    </row>
    <row r="3159" spans="1:12" ht="15.75" hidden="1" customHeight="1" outlineLevel="3">
      <c r="A3159" s="613"/>
      <c r="B3159" s="612"/>
      <c r="C3159" s="613" t="s">
        <v>1052</v>
      </c>
      <c r="D3159" s="612"/>
      <c r="E3159" s="613"/>
      <c r="F3159" s="611"/>
      <c r="G3159" s="611"/>
    </row>
    <row r="3160" spans="1:12" ht="15.75" hidden="1" customHeight="1" outlineLevel="3">
      <c r="A3160" s="613"/>
      <c r="B3160" s="612"/>
      <c r="C3160" s="613" t="s">
        <v>493</v>
      </c>
      <c r="D3160" s="612" t="s">
        <v>921</v>
      </c>
      <c r="E3160" s="613">
        <f>2*E3152</f>
        <v>3.3333333333333335E-3</v>
      </c>
      <c r="F3160" s="611">
        <f>worker</f>
        <v>107800.00000000001</v>
      </c>
      <c r="G3160" s="611">
        <f>E3160*F3160</f>
        <v>359.33333333333343</v>
      </c>
    </row>
    <row r="3161" spans="1:12" ht="15.75" hidden="1" customHeight="1" outlineLevel="3">
      <c r="A3161" s="613"/>
      <c r="B3161" s="612"/>
      <c r="C3161" s="613" t="s">
        <v>1029</v>
      </c>
      <c r="D3161" s="612" t="s">
        <v>921</v>
      </c>
      <c r="E3161" s="613">
        <f>2*E3153</f>
        <v>6.6666666666666675E-4</v>
      </c>
      <c r="F3161" s="611">
        <f>supervisor_Asli</f>
        <v>155155</v>
      </c>
      <c r="G3161" s="611">
        <f>E3161*F3161</f>
        <v>103.43666666666668</v>
      </c>
    </row>
    <row r="3162" spans="1:12" ht="15.75" hidden="1" customHeight="1" outlineLevel="3">
      <c r="A3162" s="613"/>
      <c r="B3162" s="612"/>
      <c r="C3162" s="613"/>
      <c r="D3162" s="612"/>
      <c r="E3162" s="613"/>
      <c r="F3162" s="611"/>
      <c r="G3162" s="611"/>
    </row>
    <row r="3163" spans="1:12" ht="15.75" hidden="1" customHeight="1" outlineLevel="3">
      <c r="A3163" s="613"/>
      <c r="B3163" s="612"/>
      <c r="C3163" s="613" t="s">
        <v>114</v>
      </c>
      <c r="D3163" s="612"/>
      <c r="E3163" s="613"/>
      <c r="F3163" s="611"/>
      <c r="G3163" s="611"/>
      <c r="J3163" s="633" t="s">
        <v>1948</v>
      </c>
      <c r="K3163" s="633" t="s">
        <v>1949</v>
      </c>
      <c r="L3163" s="633" t="s">
        <v>1213</v>
      </c>
    </row>
    <row r="3164" spans="1:12" ht="15.75" hidden="1" customHeight="1" outlineLevel="3">
      <c r="A3164" s="613"/>
      <c r="B3164" s="612"/>
      <c r="C3164" s="613" t="s">
        <v>1946</v>
      </c>
      <c r="D3164" s="612" t="s">
        <v>1947</v>
      </c>
      <c r="E3164" s="613">
        <f>2*E3156</f>
        <v>6.6666666666666664E-4</v>
      </c>
      <c r="F3164" s="611">
        <f>sewa_Klotok_per_day</f>
        <v>275000</v>
      </c>
      <c r="G3164" s="611">
        <f>E3164*F3164</f>
        <v>183.33333333333331</v>
      </c>
      <c r="J3164" s="633">
        <v>300</v>
      </c>
      <c r="K3164" s="633">
        <v>10</v>
      </c>
      <c r="L3164" s="633">
        <v>1</v>
      </c>
    </row>
    <row r="3165" spans="1:12" ht="15.75" hidden="1" customHeight="1" outlineLevel="3">
      <c r="A3165" s="613"/>
      <c r="B3165" s="612"/>
      <c r="C3165" s="613"/>
      <c r="D3165" s="612"/>
      <c r="E3165" s="613"/>
      <c r="F3165" s="611"/>
      <c r="G3165" s="611"/>
    </row>
    <row r="3166" spans="1:12" ht="15.75" hidden="1" customHeight="1" outlineLevel="2">
      <c r="A3166" s="613"/>
      <c r="B3166" s="612">
        <f>B3158+0.1</f>
        <v>7.2999999999999989</v>
      </c>
      <c r="C3166" s="613" t="s">
        <v>2038</v>
      </c>
      <c r="D3166" s="612" t="s">
        <v>1952</v>
      </c>
      <c r="E3166" s="613"/>
      <c r="F3166" s="611"/>
      <c r="G3166" s="611">
        <f>SUM(G3167:G3172)</f>
        <v>969.15500000000009</v>
      </c>
    </row>
    <row r="3167" spans="1:12" ht="15.75" hidden="1" customHeight="1" outlineLevel="3">
      <c r="A3167" s="613"/>
      <c r="B3167" s="612"/>
      <c r="C3167" s="613" t="s">
        <v>1052</v>
      </c>
      <c r="D3167" s="612"/>
      <c r="E3167" s="613"/>
      <c r="F3167" s="611"/>
      <c r="G3167" s="611"/>
    </row>
    <row r="3168" spans="1:12" ht="15.75" hidden="1" customHeight="1" outlineLevel="3">
      <c r="A3168" s="613"/>
      <c r="B3168" s="612"/>
      <c r="C3168" s="613" t="s">
        <v>493</v>
      </c>
      <c r="D3168" s="612" t="s">
        <v>921</v>
      </c>
      <c r="E3168" s="613">
        <f>3*E3152</f>
        <v>5.0000000000000001E-3</v>
      </c>
      <c r="F3168" s="611">
        <f>worker</f>
        <v>107800.00000000001</v>
      </c>
      <c r="G3168" s="611">
        <f>E3168*F3168</f>
        <v>539.00000000000011</v>
      </c>
    </row>
    <row r="3169" spans="1:12" ht="15.75" hidden="1" customHeight="1" outlineLevel="3">
      <c r="A3169" s="613"/>
      <c r="B3169" s="612"/>
      <c r="C3169" s="613" t="s">
        <v>1029</v>
      </c>
      <c r="D3169" s="612" t="s">
        <v>921</v>
      </c>
      <c r="E3169" s="613">
        <f>3*E3153</f>
        <v>1E-3</v>
      </c>
      <c r="F3169" s="611">
        <f>supervisor_Asli</f>
        <v>155155</v>
      </c>
      <c r="G3169" s="611">
        <f>E3169*F3169</f>
        <v>155.155</v>
      </c>
    </row>
    <row r="3170" spans="1:12" ht="15.75" hidden="1" customHeight="1" outlineLevel="3">
      <c r="A3170" s="613"/>
      <c r="B3170" s="612"/>
      <c r="C3170" s="613"/>
      <c r="D3170" s="612"/>
      <c r="E3170" s="613"/>
      <c r="F3170" s="611"/>
      <c r="G3170" s="611"/>
    </row>
    <row r="3171" spans="1:12" ht="15.75" hidden="1" customHeight="1" outlineLevel="3">
      <c r="A3171" s="613"/>
      <c r="B3171" s="612"/>
      <c r="C3171" s="613" t="s">
        <v>114</v>
      </c>
      <c r="D3171" s="612"/>
      <c r="E3171" s="613"/>
      <c r="F3171" s="611"/>
      <c r="G3171" s="611"/>
      <c r="J3171" s="633" t="s">
        <v>1948</v>
      </c>
      <c r="K3171" s="633" t="s">
        <v>1949</v>
      </c>
      <c r="L3171" s="633" t="s">
        <v>1213</v>
      </c>
    </row>
    <row r="3172" spans="1:12" ht="15.75" hidden="1" customHeight="1" outlineLevel="3">
      <c r="A3172" s="613"/>
      <c r="B3172" s="612"/>
      <c r="C3172" s="613" t="s">
        <v>1946</v>
      </c>
      <c r="D3172" s="612" t="s">
        <v>1947</v>
      </c>
      <c r="E3172" s="613">
        <f>3*E3156</f>
        <v>1E-3</v>
      </c>
      <c r="F3172" s="611">
        <f>sewa_Klotok_per_day</f>
        <v>275000</v>
      </c>
      <c r="G3172" s="611">
        <f>E3172*F3172</f>
        <v>275</v>
      </c>
      <c r="J3172" s="633">
        <v>300</v>
      </c>
      <c r="K3172" s="633">
        <v>10</v>
      </c>
      <c r="L3172" s="633">
        <v>1</v>
      </c>
    </row>
    <row r="3173" spans="1:12" ht="15.75" hidden="1" customHeight="1" outlineLevel="3">
      <c r="A3173" s="613"/>
      <c r="B3173" s="612"/>
      <c r="C3173" s="613"/>
      <c r="D3173" s="612"/>
      <c r="E3173" s="613"/>
      <c r="F3173" s="611"/>
      <c r="G3173" s="611"/>
    </row>
    <row r="3174" spans="1:12" ht="15.75" customHeight="1" outlineLevel="1" collapsed="1">
      <c r="A3174" s="613" t="s">
        <v>2074</v>
      </c>
      <c r="B3174" s="612">
        <v>8</v>
      </c>
      <c r="C3174" s="613" t="s">
        <v>1955</v>
      </c>
      <c r="D3174" s="612" t="s">
        <v>1952</v>
      </c>
      <c r="E3174" s="613"/>
      <c r="F3174" s="611"/>
      <c r="G3174" s="611"/>
    </row>
    <row r="3175" spans="1:12" ht="15.75" hidden="1" customHeight="1" outlineLevel="2">
      <c r="A3175" s="613"/>
      <c r="B3175" s="612">
        <v>8.1</v>
      </c>
      <c r="C3175" s="613" t="s">
        <v>2027</v>
      </c>
      <c r="D3175" s="612" t="s">
        <v>1952</v>
      </c>
      <c r="E3175" s="613"/>
      <c r="F3175" s="611"/>
      <c r="G3175" s="611">
        <f>SUM(G3177:G3180)</f>
        <v>433.84687500000007</v>
      </c>
      <c r="J3175" s="633">
        <v>1</v>
      </c>
      <c r="K3175" s="633">
        <f>8*40</f>
        <v>320</v>
      </c>
      <c r="L3175" s="633">
        <v>1</v>
      </c>
    </row>
    <row r="3176" spans="1:12" ht="15.75" hidden="1" customHeight="1" outlineLevel="3">
      <c r="A3176" s="613"/>
      <c r="B3176" s="612"/>
      <c r="C3176" s="613" t="s">
        <v>1052</v>
      </c>
      <c r="D3176" s="612"/>
      <c r="E3176" s="613"/>
      <c r="F3176" s="611"/>
      <c r="G3176" s="611"/>
      <c r="J3176" s="633">
        <v>1</v>
      </c>
    </row>
    <row r="3177" spans="1:12" ht="15.75" hidden="1" customHeight="1" outlineLevel="3">
      <c r="A3177" s="613"/>
      <c r="B3177" s="612"/>
      <c r="C3177" s="613" t="s">
        <v>493</v>
      </c>
      <c r="D3177" s="612" t="s">
        <v>921</v>
      </c>
      <c r="E3177" s="613">
        <f>J3175*L3175/K3175</f>
        <v>3.1250000000000002E-3</v>
      </c>
      <c r="F3177" s="611">
        <f>worker</f>
        <v>107800.00000000001</v>
      </c>
      <c r="G3177" s="611">
        <f>E3177*F3177</f>
        <v>336.87500000000006</v>
      </c>
    </row>
    <row r="3178" spans="1:12" ht="15.75" hidden="1" customHeight="1" outlineLevel="3">
      <c r="A3178" s="613"/>
      <c r="B3178" s="612"/>
      <c r="C3178" s="613" t="s">
        <v>1029</v>
      </c>
      <c r="D3178" s="612" t="s">
        <v>921</v>
      </c>
      <c r="E3178" s="613">
        <f>1/5*E3177</f>
        <v>6.2500000000000012E-4</v>
      </c>
      <c r="F3178" s="611">
        <f>supervisor_Asli</f>
        <v>155155</v>
      </c>
      <c r="G3178" s="611">
        <f>E3178*F3178</f>
        <v>96.971875000000026</v>
      </c>
    </row>
    <row r="3179" spans="1:12" ht="15.75" hidden="1" customHeight="1" outlineLevel="3">
      <c r="A3179" s="613"/>
      <c r="B3179" s="612"/>
      <c r="C3179" s="613"/>
      <c r="D3179" s="612"/>
      <c r="E3179" s="613"/>
      <c r="F3179" s="611"/>
      <c r="G3179" s="611"/>
    </row>
    <row r="3180" spans="1:12" ht="15.75" hidden="1" customHeight="1" outlineLevel="3">
      <c r="A3180" s="613"/>
      <c r="B3180" s="612"/>
      <c r="C3180" s="613"/>
      <c r="D3180" s="612"/>
      <c r="E3180" s="613"/>
      <c r="F3180" s="611"/>
      <c r="G3180" s="611">
        <f>E3180*F3180</f>
        <v>0</v>
      </c>
      <c r="J3180" s="633">
        <v>2500000</v>
      </c>
    </row>
    <row r="3181" spans="1:12" ht="15.75" hidden="1" customHeight="1" outlineLevel="2">
      <c r="A3181" s="613"/>
      <c r="B3181" s="612">
        <f>B3175+0.1</f>
        <v>8.1999999999999993</v>
      </c>
      <c r="C3181" s="613" t="s">
        <v>2028</v>
      </c>
      <c r="D3181" s="612" t="s">
        <v>1952</v>
      </c>
      <c r="E3181" s="613"/>
      <c r="F3181" s="611"/>
      <c r="G3181" s="611">
        <f>SUM(G3183:G3186)</f>
        <v>867.69375000000014</v>
      </c>
    </row>
    <row r="3182" spans="1:12" ht="15.75" hidden="1" customHeight="1" outlineLevel="3">
      <c r="A3182" s="613"/>
      <c r="B3182" s="612"/>
      <c r="C3182" s="613" t="s">
        <v>1052</v>
      </c>
      <c r="D3182" s="612"/>
      <c r="E3182" s="613"/>
      <c r="F3182" s="611"/>
      <c r="G3182" s="611"/>
    </row>
    <row r="3183" spans="1:12" ht="15.75" hidden="1" customHeight="1" outlineLevel="3">
      <c r="A3183" s="613"/>
      <c r="B3183" s="612"/>
      <c r="C3183" s="613" t="s">
        <v>493</v>
      </c>
      <c r="D3183" s="612" t="s">
        <v>921</v>
      </c>
      <c r="E3183" s="613">
        <f>2*E3177</f>
        <v>6.2500000000000003E-3</v>
      </c>
      <c r="F3183" s="611">
        <f>worker</f>
        <v>107800.00000000001</v>
      </c>
      <c r="G3183" s="611">
        <f>E3183*F3183</f>
        <v>673.75000000000011</v>
      </c>
    </row>
    <row r="3184" spans="1:12" ht="15.75" hidden="1" customHeight="1" outlineLevel="3">
      <c r="A3184" s="613"/>
      <c r="B3184" s="612"/>
      <c r="C3184" s="613" t="s">
        <v>1029</v>
      </c>
      <c r="D3184" s="612" t="s">
        <v>921</v>
      </c>
      <c r="E3184" s="613">
        <f>2*E3178</f>
        <v>1.2500000000000002E-3</v>
      </c>
      <c r="F3184" s="611">
        <f>supervisor_Asli</f>
        <v>155155</v>
      </c>
      <c r="G3184" s="611">
        <f>E3184*F3184</f>
        <v>193.94375000000005</v>
      </c>
    </row>
    <row r="3185" spans="1:12" ht="15.75" hidden="1" customHeight="1" outlineLevel="3">
      <c r="A3185" s="613"/>
      <c r="B3185" s="612"/>
      <c r="C3185" s="613"/>
      <c r="D3185" s="612"/>
      <c r="E3185" s="613"/>
      <c r="F3185" s="611"/>
      <c r="G3185" s="611"/>
    </row>
    <row r="3186" spans="1:12" ht="15.75" hidden="1" customHeight="1" outlineLevel="3">
      <c r="A3186" s="613"/>
      <c r="B3186" s="612"/>
      <c r="C3186" s="613"/>
      <c r="D3186" s="612"/>
      <c r="E3186" s="613"/>
      <c r="F3186" s="611"/>
      <c r="G3186" s="611"/>
    </row>
    <row r="3187" spans="1:12" ht="15.75" hidden="1" customHeight="1" outlineLevel="2">
      <c r="A3187" s="613"/>
      <c r="B3187" s="612">
        <f>B3181+0.1</f>
        <v>8.2999999999999989</v>
      </c>
      <c r="C3187" s="613" t="s">
        <v>2029</v>
      </c>
      <c r="D3187" s="612" t="s">
        <v>1952</v>
      </c>
      <c r="E3187" s="613"/>
      <c r="F3187" s="611"/>
      <c r="G3187" s="611">
        <f>SUM(G3188:G3191)</f>
        <v>1301.5406250000003</v>
      </c>
    </row>
    <row r="3188" spans="1:12" ht="15.75" hidden="1" customHeight="1" outlineLevel="3">
      <c r="A3188" s="613"/>
      <c r="B3188" s="612"/>
      <c r="C3188" s="613" t="s">
        <v>1052</v>
      </c>
      <c r="D3188" s="612"/>
      <c r="E3188" s="613"/>
      <c r="F3188" s="611"/>
      <c r="G3188" s="611"/>
    </row>
    <row r="3189" spans="1:12" ht="15.75" hidden="1" customHeight="1" outlineLevel="3">
      <c r="A3189" s="613"/>
      <c r="B3189" s="612"/>
      <c r="C3189" s="613" t="s">
        <v>493</v>
      </c>
      <c r="D3189" s="612" t="s">
        <v>921</v>
      </c>
      <c r="E3189" s="613">
        <f>3*E3177</f>
        <v>9.3750000000000014E-3</v>
      </c>
      <c r="F3189" s="611">
        <f>worker</f>
        <v>107800.00000000001</v>
      </c>
      <c r="G3189" s="611">
        <f>E3189*F3189</f>
        <v>1010.6250000000003</v>
      </c>
    </row>
    <row r="3190" spans="1:12" ht="15.75" hidden="1" customHeight="1" outlineLevel="3">
      <c r="A3190" s="613"/>
      <c r="B3190" s="612"/>
      <c r="C3190" s="613" t="s">
        <v>1029</v>
      </c>
      <c r="D3190" s="612" t="s">
        <v>921</v>
      </c>
      <c r="E3190" s="613">
        <f>3*E3178</f>
        <v>1.8750000000000004E-3</v>
      </c>
      <c r="F3190" s="611">
        <f>supervisor_Asli</f>
        <v>155155</v>
      </c>
      <c r="G3190" s="611">
        <f>E3190*F3190</f>
        <v>290.91562500000003</v>
      </c>
    </row>
    <row r="3191" spans="1:12" ht="15.75" hidden="1" customHeight="1" outlineLevel="3">
      <c r="A3191" s="613"/>
      <c r="B3191" s="612"/>
      <c r="C3191" s="613"/>
      <c r="D3191" s="612"/>
      <c r="E3191" s="613"/>
      <c r="F3191" s="611"/>
      <c r="G3191" s="611"/>
    </row>
    <row r="3192" spans="1:12" ht="15.75" customHeight="1" outlineLevel="1" collapsed="1">
      <c r="A3192" s="613" t="s">
        <v>2074</v>
      </c>
      <c r="B3192" s="612">
        <v>9</v>
      </c>
      <c r="C3192" s="613" t="s">
        <v>1956</v>
      </c>
      <c r="D3192" s="612" t="s">
        <v>1952</v>
      </c>
      <c r="E3192" s="613"/>
      <c r="F3192" s="611"/>
      <c r="G3192" s="611"/>
    </row>
    <row r="3193" spans="1:12" ht="15.75" hidden="1" customHeight="1" outlineLevel="2">
      <c r="A3193" s="613"/>
      <c r="B3193" s="612">
        <v>9.1</v>
      </c>
      <c r="C3193" s="613" t="s">
        <v>2030</v>
      </c>
      <c r="D3193" s="612" t="s">
        <v>1952</v>
      </c>
      <c r="E3193" s="613"/>
      <c r="F3193" s="611"/>
      <c r="G3193" s="611">
        <f>SUM(G3195:G3200)</f>
        <v>525.5135416666667</v>
      </c>
      <c r="J3193" s="633">
        <v>1</v>
      </c>
      <c r="K3193" s="633">
        <f>8*40</f>
        <v>320</v>
      </c>
      <c r="L3193" s="633">
        <v>1</v>
      </c>
    </row>
    <row r="3194" spans="1:12" ht="15.75" hidden="1" customHeight="1" outlineLevel="3">
      <c r="A3194" s="613"/>
      <c r="B3194" s="612"/>
      <c r="C3194" s="613" t="s">
        <v>1052</v>
      </c>
      <c r="D3194" s="612"/>
      <c r="E3194" s="613"/>
      <c r="F3194" s="611"/>
      <c r="G3194" s="611"/>
      <c r="J3194" s="633">
        <v>1</v>
      </c>
    </row>
    <row r="3195" spans="1:12" ht="15.75" hidden="1" customHeight="1" outlineLevel="3">
      <c r="A3195" s="613"/>
      <c r="B3195" s="612"/>
      <c r="C3195" s="613" t="s">
        <v>493</v>
      </c>
      <c r="D3195" s="612" t="s">
        <v>921</v>
      </c>
      <c r="E3195" s="613">
        <f>J3193*L3193/K3193</f>
        <v>3.1250000000000002E-3</v>
      </c>
      <c r="F3195" s="611">
        <f>worker</f>
        <v>107800.00000000001</v>
      </c>
      <c r="G3195" s="611">
        <f>E3195*F3195</f>
        <v>336.87500000000006</v>
      </c>
    </row>
    <row r="3196" spans="1:12" ht="15.75" hidden="1" customHeight="1" outlineLevel="3">
      <c r="A3196" s="613"/>
      <c r="B3196" s="612"/>
      <c r="C3196" s="613" t="s">
        <v>1029</v>
      </c>
      <c r="D3196" s="612" t="s">
        <v>921</v>
      </c>
      <c r="E3196" s="613">
        <f>1/5*E3195</f>
        <v>6.2500000000000012E-4</v>
      </c>
      <c r="F3196" s="611">
        <f>supervisor_Asli</f>
        <v>155155</v>
      </c>
      <c r="G3196" s="611">
        <f>E3196*F3196</f>
        <v>96.971875000000026</v>
      </c>
    </row>
    <row r="3197" spans="1:12" ht="15.75" hidden="1" customHeight="1" outlineLevel="3">
      <c r="A3197" s="613"/>
      <c r="B3197" s="612"/>
      <c r="C3197" s="613"/>
      <c r="D3197" s="612"/>
      <c r="E3197" s="613"/>
      <c r="F3197" s="611"/>
      <c r="G3197" s="611"/>
    </row>
    <row r="3198" spans="1:12" ht="15.75" hidden="1" customHeight="1" outlineLevel="3">
      <c r="A3198" s="613"/>
      <c r="B3198" s="612"/>
      <c r="C3198" s="613" t="s">
        <v>114</v>
      </c>
      <c r="D3198" s="612"/>
      <c r="E3198" s="613"/>
      <c r="F3198" s="611"/>
      <c r="G3198" s="611"/>
      <c r="J3198" s="633" t="s">
        <v>1948</v>
      </c>
      <c r="K3198" s="633" t="s">
        <v>1949</v>
      </c>
      <c r="L3198" s="633" t="s">
        <v>1213</v>
      </c>
    </row>
    <row r="3199" spans="1:12" ht="15.75" hidden="1" customHeight="1" outlineLevel="3">
      <c r="A3199" s="613"/>
      <c r="B3199" s="612"/>
      <c r="C3199" s="613" t="s">
        <v>1946</v>
      </c>
      <c r="D3199" s="612" t="s">
        <v>1947</v>
      </c>
      <c r="E3199" s="613">
        <f>L3199/(J3199*K3199)</f>
        <v>3.3333333333333332E-4</v>
      </c>
      <c r="F3199" s="611">
        <f>sewa_Klotok_per_day</f>
        <v>275000</v>
      </c>
      <c r="G3199" s="611">
        <f>E3199*F3199</f>
        <v>91.666666666666657</v>
      </c>
      <c r="J3199" s="633">
        <v>300</v>
      </c>
      <c r="K3199" s="633">
        <v>10</v>
      </c>
      <c r="L3199" s="633">
        <v>1</v>
      </c>
    </row>
    <row r="3200" spans="1:12" ht="15.75" hidden="1" customHeight="1" outlineLevel="3">
      <c r="A3200" s="613"/>
      <c r="B3200" s="612"/>
      <c r="C3200" s="613"/>
      <c r="D3200" s="612"/>
      <c r="E3200" s="613"/>
      <c r="F3200" s="611"/>
      <c r="G3200" s="611">
        <f>E3200*F3200</f>
        <v>0</v>
      </c>
      <c r="J3200" s="633">
        <v>2500000</v>
      </c>
    </row>
    <row r="3201" spans="1:12" ht="15.75" hidden="1" customHeight="1" outlineLevel="2">
      <c r="A3201" s="613"/>
      <c r="B3201" s="612">
        <f>B3193+0.1</f>
        <v>9.1999999999999993</v>
      </c>
      <c r="C3201" s="613" t="s">
        <v>2031</v>
      </c>
      <c r="D3201" s="612" t="s">
        <v>1952</v>
      </c>
      <c r="E3201" s="613"/>
      <c r="F3201" s="611"/>
      <c r="G3201" s="611">
        <f>SUM(G3203:G3208)</f>
        <v>1051.0270833333334</v>
      </c>
    </row>
    <row r="3202" spans="1:12" ht="15.75" hidden="1" customHeight="1" outlineLevel="3">
      <c r="A3202" s="613"/>
      <c r="B3202" s="612"/>
      <c r="C3202" s="613" t="s">
        <v>1052</v>
      </c>
      <c r="D3202" s="612"/>
      <c r="E3202" s="613"/>
      <c r="F3202" s="611"/>
      <c r="G3202" s="611"/>
    </row>
    <row r="3203" spans="1:12" ht="15.75" hidden="1" customHeight="1" outlineLevel="3">
      <c r="A3203" s="613"/>
      <c r="B3203" s="612"/>
      <c r="C3203" s="613" t="s">
        <v>493</v>
      </c>
      <c r="D3203" s="612" t="s">
        <v>921</v>
      </c>
      <c r="E3203" s="613">
        <f>2*E3195</f>
        <v>6.2500000000000003E-3</v>
      </c>
      <c r="F3203" s="611">
        <f>worker</f>
        <v>107800.00000000001</v>
      </c>
      <c r="G3203" s="611">
        <f>E3203*F3203</f>
        <v>673.75000000000011</v>
      </c>
    </row>
    <row r="3204" spans="1:12" ht="15.75" hidden="1" customHeight="1" outlineLevel="3">
      <c r="A3204" s="613"/>
      <c r="B3204" s="612"/>
      <c r="C3204" s="613" t="s">
        <v>1029</v>
      </c>
      <c r="D3204" s="612" t="s">
        <v>921</v>
      </c>
      <c r="E3204" s="613">
        <f>2*E3196</f>
        <v>1.2500000000000002E-3</v>
      </c>
      <c r="F3204" s="611">
        <f>supervisor_Asli</f>
        <v>155155</v>
      </c>
      <c r="G3204" s="611">
        <f>E3204*F3204</f>
        <v>193.94375000000005</v>
      </c>
    </row>
    <row r="3205" spans="1:12" ht="15.75" hidden="1" customHeight="1" outlineLevel="3">
      <c r="A3205" s="613"/>
      <c r="B3205" s="612"/>
      <c r="C3205" s="613"/>
      <c r="D3205" s="612"/>
      <c r="E3205" s="613"/>
      <c r="F3205" s="611"/>
      <c r="G3205" s="611"/>
    </row>
    <row r="3206" spans="1:12" ht="15.75" hidden="1" customHeight="1" outlineLevel="3">
      <c r="A3206" s="613"/>
      <c r="B3206" s="612"/>
      <c r="C3206" s="613" t="s">
        <v>114</v>
      </c>
      <c r="D3206" s="612"/>
      <c r="E3206" s="613"/>
      <c r="F3206" s="611"/>
      <c r="G3206" s="611"/>
      <c r="J3206" s="633" t="s">
        <v>1948</v>
      </c>
      <c r="K3206" s="633" t="s">
        <v>1949</v>
      </c>
      <c r="L3206" s="633" t="s">
        <v>1213</v>
      </c>
    </row>
    <row r="3207" spans="1:12" ht="15.75" hidden="1" customHeight="1" outlineLevel="3">
      <c r="A3207" s="613"/>
      <c r="B3207" s="612"/>
      <c r="C3207" s="613" t="s">
        <v>1946</v>
      </c>
      <c r="D3207" s="612" t="s">
        <v>1947</v>
      </c>
      <c r="E3207" s="613">
        <f>2*E3199</f>
        <v>6.6666666666666664E-4</v>
      </c>
      <c r="F3207" s="611">
        <f>sewa_Klotok_per_day</f>
        <v>275000</v>
      </c>
      <c r="G3207" s="611">
        <f>E3207*F3207</f>
        <v>183.33333333333331</v>
      </c>
      <c r="J3207" s="633">
        <v>300</v>
      </c>
      <c r="K3207" s="633">
        <v>10</v>
      </c>
      <c r="L3207" s="633">
        <v>1</v>
      </c>
    </row>
    <row r="3208" spans="1:12" ht="15.75" hidden="1" customHeight="1" outlineLevel="3">
      <c r="A3208" s="613"/>
      <c r="B3208" s="612"/>
      <c r="C3208" s="613"/>
      <c r="D3208" s="612"/>
      <c r="E3208" s="613"/>
      <c r="F3208" s="611"/>
      <c r="G3208" s="611"/>
    </row>
    <row r="3209" spans="1:12" ht="15.75" hidden="1" customHeight="1" outlineLevel="2">
      <c r="A3209" s="613"/>
      <c r="B3209" s="612">
        <f>B3201+0.1</f>
        <v>9.2999999999999989</v>
      </c>
      <c r="C3209" s="613" t="s">
        <v>2032</v>
      </c>
      <c r="D3209" s="612" t="s">
        <v>1952</v>
      </c>
      <c r="E3209" s="613"/>
      <c r="F3209" s="611"/>
      <c r="G3209" s="611">
        <f>SUM(G3210:G3215)</f>
        <v>1576.5406250000003</v>
      </c>
    </row>
    <row r="3210" spans="1:12" ht="15.75" hidden="1" customHeight="1" outlineLevel="3">
      <c r="A3210" s="613"/>
      <c r="B3210" s="612"/>
      <c r="C3210" s="613" t="s">
        <v>1052</v>
      </c>
      <c r="D3210" s="612"/>
      <c r="E3210" s="613"/>
      <c r="F3210" s="611"/>
      <c r="G3210" s="611"/>
    </row>
    <row r="3211" spans="1:12" ht="15.75" hidden="1" customHeight="1" outlineLevel="3">
      <c r="A3211" s="613"/>
      <c r="B3211" s="612"/>
      <c r="C3211" s="613" t="s">
        <v>493</v>
      </c>
      <c r="D3211" s="612" t="s">
        <v>921</v>
      </c>
      <c r="E3211" s="613">
        <f>3*E3195</f>
        <v>9.3750000000000014E-3</v>
      </c>
      <c r="F3211" s="611">
        <f>worker</f>
        <v>107800.00000000001</v>
      </c>
      <c r="G3211" s="611">
        <f>E3211*F3211</f>
        <v>1010.6250000000003</v>
      </c>
    </row>
    <row r="3212" spans="1:12" ht="15.75" hidden="1" customHeight="1" outlineLevel="3">
      <c r="A3212" s="613"/>
      <c r="B3212" s="612"/>
      <c r="C3212" s="613" t="s">
        <v>1029</v>
      </c>
      <c r="D3212" s="612" t="s">
        <v>921</v>
      </c>
      <c r="E3212" s="613">
        <f>3*E3196</f>
        <v>1.8750000000000004E-3</v>
      </c>
      <c r="F3212" s="611">
        <f>supervisor_Asli</f>
        <v>155155</v>
      </c>
      <c r="G3212" s="611">
        <f>E3212*F3212</f>
        <v>290.91562500000003</v>
      </c>
    </row>
    <row r="3213" spans="1:12" ht="15.75" hidden="1" customHeight="1" outlineLevel="3">
      <c r="A3213" s="613"/>
      <c r="B3213" s="612"/>
      <c r="C3213" s="613"/>
      <c r="D3213" s="612"/>
      <c r="E3213" s="613"/>
      <c r="F3213" s="611"/>
      <c r="G3213" s="611"/>
    </row>
    <row r="3214" spans="1:12" ht="15.75" hidden="1" customHeight="1" outlineLevel="3">
      <c r="A3214" s="613"/>
      <c r="B3214" s="612"/>
      <c r="C3214" s="613" t="s">
        <v>114</v>
      </c>
      <c r="D3214" s="612"/>
      <c r="E3214" s="613"/>
      <c r="F3214" s="611"/>
      <c r="G3214" s="611"/>
      <c r="J3214" s="633" t="s">
        <v>1948</v>
      </c>
      <c r="K3214" s="633" t="s">
        <v>1949</v>
      </c>
      <c r="L3214" s="633" t="s">
        <v>1213</v>
      </c>
    </row>
    <row r="3215" spans="1:12" ht="15.75" hidden="1" customHeight="1" outlineLevel="3">
      <c r="A3215" s="613"/>
      <c r="B3215" s="612"/>
      <c r="C3215" s="613" t="s">
        <v>1946</v>
      </c>
      <c r="D3215" s="612" t="s">
        <v>1947</v>
      </c>
      <c r="E3215" s="613">
        <f>3*E3199</f>
        <v>1E-3</v>
      </c>
      <c r="F3215" s="611">
        <f>sewa_Klotok_per_day</f>
        <v>275000</v>
      </c>
      <c r="G3215" s="611">
        <f>E3215*F3215</f>
        <v>275</v>
      </c>
      <c r="J3215" s="633">
        <v>300</v>
      </c>
      <c r="K3215" s="633">
        <v>10</v>
      </c>
      <c r="L3215" s="633">
        <v>1</v>
      </c>
    </row>
    <row r="3216" spans="1:12" ht="15.75" hidden="1" customHeight="1" outlineLevel="3">
      <c r="A3216" s="613"/>
      <c r="B3216" s="612"/>
      <c r="C3216" s="613"/>
      <c r="D3216" s="612"/>
      <c r="E3216" s="613"/>
      <c r="F3216" s="611"/>
      <c r="G3216" s="611"/>
    </row>
    <row r="3217" spans="1:7" ht="15.75" customHeight="1" outlineLevel="1" collapsed="1">
      <c r="A3217" s="613" t="s">
        <v>2074</v>
      </c>
      <c r="B3217" s="612">
        <f>B3192+1</f>
        <v>10</v>
      </c>
      <c r="C3217" s="613" t="s">
        <v>1961</v>
      </c>
      <c r="D3217" s="612" t="s">
        <v>1963</v>
      </c>
      <c r="E3217" s="613"/>
      <c r="F3217" s="611"/>
      <c r="G3217" s="611">
        <f>SUM(G3219:G3228)</f>
        <v>1961872.4400000002</v>
      </c>
    </row>
    <row r="3218" spans="1:7" ht="15.75" hidden="1" customHeight="1" outlineLevel="2">
      <c r="A3218" s="613"/>
      <c r="B3218" s="612"/>
      <c r="C3218" s="613" t="s">
        <v>1052</v>
      </c>
      <c r="D3218" s="612"/>
      <c r="E3218" s="613"/>
      <c r="F3218" s="611"/>
      <c r="G3218" s="611"/>
    </row>
    <row r="3219" spans="1:7" ht="15.75" hidden="1" customHeight="1" outlineLevel="2">
      <c r="A3219" s="613"/>
      <c r="B3219" s="612"/>
      <c r="C3219" s="613" t="s">
        <v>1030</v>
      </c>
      <c r="D3219" s="612" t="s">
        <v>921</v>
      </c>
      <c r="E3219" s="613">
        <v>1</v>
      </c>
      <c r="F3219" s="611">
        <f>driver</f>
        <v>184800.00000000003</v>
      </c>
      <c r="G3219" s="611">
        <f t="shared" ref="G3219:G3228" si="39">E3219*F3219</f>
        <v>184800.00000000003</v>
      </c>
    </row>
    <row r="3220" spans="1:7" ht="15.75" hidden="1" customHeight="1" outlineLevel="2">
      <c r="A3220" s="613"/>
      <c r="B3220" s="612"/>
      <c r="C3220" s="613" t="s">
        <v>1017</v>
      </c>
      <c r="D3220" s="612" t="s">
        <v>921</v>
      </c>
      <c r="E3220" s="613">
        <v>1</v>
      </c>
      <c r="F3220" s="611">
        <f>stringing_worker</f>
        <v>207570.00000000003</v>
      </c>
      <c r="G3220" s="611">
        <f t="shared" si="39"/>
        <v>207570.00000000003</v>
      </c>
    </row>
    <row r="3221" spans="1:7" ht="15.75" hidden="1" customHeight="1" outlineLevel="2">
      <c r="A3221" s="613"/>
      <c r="B3221" s="612"/>
      <c r="C3221" s="613" t="s">
        <v>1029</v>
      </c>
      <c r="D3221" s="612" t="s">
        <v>921</v>
      </c>
      <c r="E3221" s="613">
        <v>1</v>
      </c>
      <c r="F3221" s="611">
        <f>supervisor_Asli</f>
        <v>155155</v>
      </c>
      <c r="G3221" s="611">
        <f t="shared" si="39"/>
        <v>155155</v>
      </c>
    </row>
    <row r="3222" spans="1:7" ht="15.75" hidden="1" customHeight="1" outlineLevel="2">
      <c r="A3222" s="613"/>
      <c r="B3222" s="612"/>
      <c r="C3222" s="613"/>
      <c r="D3222" s="612"/>
      <c r="E3222" s="613"/>
      <c r="F3222" s="611"/>
      <c r="G3222" s="611">
        <f t="shared" si="39"/>
        <v>0</v>
      </c>
    </row>
    <row r="3223" spans="1:7" ht="15.75" hidden="1" customHeight="1" outlineLevel="2">
      <c r="A3223" s="613"/>
      <c r="B3223" s="612"/>
      <c r="C3223" s="613" t="s">
        <v>114</v>
      </c>
      <c r="D3223" s="612"/>
      <c r="E3223" s="613"/>
      <c r="F3223" s="611"/>
      <c r="G3223" s="611">
        <f t="shared" si="39"/>
        <v>0</v>
      </c>
    </row>
    <row r="3224" spans="1:7" ht="15.75" hidden="1" customHeight="1" outlineLevel="2">
      <c r="A3224" s="613"/>
      <c r="B3224" s="612"/>
      <c r="C3224" s="613" t="s">
        <v>1112</v>
      </c>
      <c r="D3224" s="612" t="s">
        <v>1044</v>
      </c>
      <c r="E3224" s="613">
        <v>1</v>
      </c>
      <c r="F3224" s="611">
        <f>dump_truck_5m3</f>
        <v>1161622.4400000002</v>
      </c>
      <c r="G3224" s="611">
        <f t="shared" si="39"/>
        <v>1161622.4400000002</v>
      </c>
    </row>
    <row r="3225" spans="1:7" ht="15.75" hidden="1" customHeight="1" outlineLevel="2">
      <c r="A3225" s="613"/>
      <c r="B3225" s="612"/>
      <c r="C3225" s="613" t="s">
        <v>755</v>
      </c>
      <c r="D3225" s="612" t="s">
        <v>72</v>
      </c>
      <c r="E3225" s="613">
        <v>1</v>
      </c>
      <c r="F3225" s="611">
        <f>forklift</f>
        <v>240625.00000000003</v>
      </c>
      <c r="G3225" s="611">
        <f t="shared" si="39"/>
        <v>240625.00000000003</v>
      </c>
    </row>
    <row r="3226" spans="1:7" ht="15.75" hidden="1" customHeight="1" outlineLevel="2">
      <c r="A3226" s="613"/>
      <c r="B3226" s="612"/>
      <c r="C3226" s="613"/>
      <c r="D3226" s="612"/>
      <c r="E3226" s="613"/>
      <c r="F3226" s="611"/>
      <c r="G3226" s="611">
        <f t="shared" si="39"/>
        <v>0</v>
      </c>
    </row>
    <row r="3227" spans="1:7" ht="15.75" hidden="1" customHeight="1" outlineLevel="2">
      <c r="A3227" s="613"/>
      <c r="B3227" s="612"/>
      <c r="C3227" s="613" t="s">
        <v>292</v>
      </c>
      <c r="D3227" s="612"/>
      <c r="E3227" s="613"/>
      <c r="F3227" s="611"/>
      <c r="G3227" s="611">
        <f t="shared" si="39"/>
        <v>0</v>
      </c>
    </row>
    <row r="3228" spans="1:7" ht="15.75" hidden="1" customHeight="1" outlineLevel="2">
      <c r="A3228" s="613"/>
      <c r="B3228" s="612"/>
      <c r="C3228" s="613" t="s">
        <v>517</v>
      </c>
      <c r="D3228" s="612" t="s">
        <v>798</v>
      </c>
      <c r="E3228" s="613">
        <v>1</v>
      </c>
      <c r="F3228" s="611">
        <f>bbm</f>
        <v>12100.000000000002</v>
      </c>
      <c r="G3228" s="611">
        <f t="shared" si="39"/>
        <v>12100.000000000002</v>
      </c>
    </row>
    <row r="3229" spans="1:7" ht="15.75" hidden="1" customHeight="1" outlineLevel="2">
      <c r="A3229" s="613"/>
      <c r="B3229" s="612"/>
      <c r="C3229" s="613"/>
      <c r="D3229" s="612"/>
      <c r="E3229" s="613"/>
      <c r="F3229" s="611"/>
      <c r="G3229" s="611"/>
    </row>
    <row r="3230" spans="1:7" ht="15.75" customHeight="1" outlineLevel="1" collapsed="1">
      <c r="A3230" s="613" t="s">
        <v>2074</v>
      </c>
      <c r="B3230" s="612">
        <f>B3217+1</f>
        <v>11</v>
      </c>
      <c r="C3230" s="613" t="s">
        <v>1962</v>
      </c>
      <c r="D3230" s="612" t="s">
        <v>40</v>
      </c>
      <c r="E3230" s="613"/>
      <c r="F3230" s="611"/>
      <c r="G3230" s="611">
        <f>G3234</f>
        <v>150225.07500000004</v>
      </c>
    </row>
    <row r="3231" spans="1:7" ht="15.75" hidden="1" customHeight="1" outlineLevel="2">
      <c r="A3231" s="613"/>
      <c r="B3231" s="612"/>
      <c r="C3231" s="613" t="s">
        <v>1052</v>
      </c>
      <c r="D3231" s="612"/>
      <c r="E3231" s="613"/>
      <c r="F3231" s="611"/>
      <c r="G3231" s="611"/>
    </row>
    <row r="3232" spans="1:7" ht="15.75" hidden="1" customHeight="1" outlineLevel="2">
      <c r="A3232" s="613"/>
      <c r="B3232" s="612"/>
      <c r="C3232" s="613" t="s">
        <v>493</v>
      </c>
      <c r="D3232" s="612" t="s">
        <v>921</v>
      </c>
      <c r="E3232" s="613">
        <v>1.3</v>
      </c>
      <c r="F3232" s="611">
        <f>worker</f>
        <v>107800.00000000001</v>
      </c>
      <c r="G3232" s="611">
        <f>E3232*F3232</f>
        <v>140140.00000000003</v>
      </c>
    </row>
    <row r="3233" spans="1:13" ht="15.75" hidden="1" customHeight="1" outlineLevel="2">
      <c r="A3233" s="613"/>
      <c r="B3233" s="612"/>
      <c r="C3233" s="613" t="s">
        <v>1029</v>
      </c>
      <c r="D3233" s="612" t="s">
        <v>921</v>
      </c>
      <c r="E3233" s="613">
        <v>6.5000000000000002E-2</v>
      </c>
      <c r="F3233" s="611">
        <f>supervisor_Asli</f>
        <v>155155</v>
      </c>
      <c r="G3233" s="611">
        <f>E3233*F3233</f>
        <v>10085.075000000001</v>
      </c>
    </row>
    <row r="3234" spans="1:13" ht="15.75" hidden="1" customHeight="1" outlineLevel="2">
      <c r="A3234" s="613"/>
      <c r="B3234" s="612"/>
      <c r="C3234" s="613"/>
      <c r="D3234" s="612"/>
      <c r="E3234" s="613"/>
      <c r="F3234" s="611"/>
      <c r="G3234" s="611">
        <f>SUM(G3232:G3233)</f>
        <v>150225.07500000004</v>
      </c>
    </row>
    <row r="3235" spans="1:13" ht="15.75" customHeight="1" outlineLevel="1" collapsed="1">
      <c r="A3235" s="613" t="s">
        <v>2074</v>
      </c>
      <c r="B3235" s="612">
        <f>B3230+1</f>
        <v>12</v>
      </c>
      <c r="C3235" s="613" t="s">
        <v>1110</v>
      </c>
      <c r="D3235" s="612"/>
      <c r="E3235" s="613"/>
      <c r="F3235" s="611"/>
      <c r="G3235" s="611"/>
    </row>
    <row r="3236" spans="1:13" ht="15.75" customHeight="1" outlineLevel="2">
      <c r="A3236" s="613"/>
      <c r="B3236" s="612"/>
      <c r="C3236" s="613" t="s">
        <v>1052</v>
      </c>
      <c r="D3236" s="612"/>
      <c r="E3236" s="613"/>
      <c r="F3236" s="611"/>
      <c r="G3236" s="611"/>
      <c r="J3236" s="1200" t="s">
        <v>1079</v>
      </c>
      <c r="K3236" s="1200"/>
      <c r="L3236" s="1200" t="s">
        <v>1078</v>
      </c>
      <c r="M3236" s="1200"/>
    </row>
    <row r="3237" spans="1:13" ht="15.75" customHeight="1" outlineLevel="2">
      <c r="A3237" s="613"/>
      <c r="B3237" s="612"/>
      <c r="C3237" s="613" t="s">
        <v>493</v>
      </c>
      <c r="D3237" s="612" t="s">
        <v>921</v>
      </c>
      <c r="E3237" s="613">
        <v>27</v>
      </c>
      <c r="F3237" s="611">
        <f>worker</f>
        <v>107800.00000000001</v>
      </c>
      <c r="G3237" s="611">
        <f t="shared" ref="G3237:G3244" si="40">E3237*F3237</f>
        <v>2910600.0000000005</v>
      </c>
      <c r="J3237" s="633">
        <v>35</v>
      </c>
      <c r="K3237" s="633" t="s">
        <v>922</v>
      </c>
      <c r="L3237" s="633">
        <v>3.5</v>
      </c>
      <c r="M3237" s="633" t="s">
        <v>939</v>
      </c>
    </row>
    <row r="3238" spans="1:13" ht="15.75" customHeight="1" outlineLevel="2">
      <c r="A3238" s="613"/>
      <c r="B3238" s="612"/>
      <c r="C3238" s="613" t="s">
        <v>1029</v>
      </c>
      <c r="D3238" s="612" t="s">
        <v>921</v>
      </c>
      <c r="E3238" s="613">
        <v>9</v>
      </c>
      <c r="F3238" s="611">
        <f>Foreman</f>
        <v>119350.00000000001</v>
      </c>
      <c r="G3238" s="611">
        <f t="shared" si="40"/>
        <v>1074150.0000000002</v>
      </c>
      <c r="J3238" s="633">
        <v>3</v>
      </c>
      <c r="K3238" s="633" t="s">
        <v>922</v>
      </c>
      <c r="L3238" s="633">
        <v>3.5</v>
      </c>
      <c r="M3238" s="633" t="s">
        <v>939</v>
      </c>
    </row>
    <row r="3239" spans="1:13" ht="15.75" customHeight="1" outlineLevel="2">
      <c r="A3239" s="613"/>
      <c r="B3239" s="612"/>
      <c r="C3239" s="613"/>
      <c r="D3239" s="612"/>
      <c r="E3239" s="613"/>
      <c r="F3239" s="611"/>
      <c r="G3239" s="611">
        <f t="shared" si="40"/>
        <v>0</v>
      </c>
    </row>
    <row r="3240" spans="1:13" ht="15.75" customHeight="1" outlineLevel="2">
      <c r="A3240" s="613"/>
      <c r="B3240" s="612"/>
      <c r="C3240" s="613" t="s">
        <v>114</v>
      </c>
      <c r="D3240" s="612"/>
      <c r="E3240" s="613"/>
      <c r="F3240" s="611"/>
      <c r="G3240" s="611">
        <f t="shared" si="40"/>
        <v>0</v>
      </c>
    </row>
    <row r="3241" spans="1:13" ht="15.75" customHeight="1" outlineLevel="2">
      <c r="A3241" s="613"/>
      <c r="B3241" s="612"/>
      <c r="C3241" s="613" t="s">
        <v>1109</v>
      </c>
      <c r="D3241" s="612" t="s">
        <v>98</v>
      </c>
      <c r="E3241" s="613">
        <v>9</v>
      </c>
      <c r="F3241" s="611" t="e">
        <f>chain_saw</f>
        <v>#NAME?</v>
      </c>
      <c r="G3241" s="611" t="e">
        <f t="shared" si="40"/>
        <v>#NAME?</v>
      </c>
    </row>
    <row r="3242" spans="1:13" ht="15.75" customHeight="1" outlineLevel="2">
      <c r="A3242" s="613"/>
      <c r="B3242" s="612"/>
      <c r="C3242" s="613"/>
      <c r="D3242" s="612"/>
      <c r="E3242" s="613"/>
      <c r="F3242" s="611"/>
      <c r="G3242" s="611">
        <f t="shared" si="40"/>
        <v>0</v>
      </c>
    </row>
    <row r="3243" spans="1:13" ht="15.75" customHeight="1" outlineLevel="2">
      <c r="A3243" s="613"/>
      <c r="B3243" s="612"/>
      <c r="C3243" s="613" t="s">
        <v>292</v>
      </c>
      <c r="D3243" s="612"/>
      <c r="E3243" s="613"/>
      <c r="F3243" s="611"/>
      <c r="G3243" s="611">
        <f t="shared" si="40"/>
        <v>0</v>
      </c>
    </row>
    <row r="3244" spans="1:13" ht="15.75" customHeight="1" outlineLevel="2">
      <c r="A3244" s="613"/>
      <c r="B3244" s="612"/>
      <c r="C3244" s="613" t="s">
        <v>517</v>
      </c>
      <c r="D3244" s="612" t="s">
        <v>798</v>
      </c>
      <c r="E3244" s="613">
        <v>90</v>
      </c>
      <c r="F3244" s="611">
        <f>bbm</f>
        <v>12100.000000000002</v>
      </c>
      <c r="G3244" s="611">
        <f t="shared" si="40"/>
        <v>1089000.0000000002</v>
      </c>
    </row>
    <row r="3245" spans="1:13" ht="15.75" customHeight="1" outlineLevel="2">
      <c r="A3245" s="613"/>
      <c r="B3245" s="612"/>
      <c r="C3245" s="613"/>
      <c r="D3245" s="612"/>
      <c r="E3245" s="613"/>
      <c r="F3245" s="611"/>
      <c r="G3245" s="611" t="e">
        <f>SUM(G3237:G3244)</f>
        <v>#NAME?</v>
      </c>
    </row>
    <row r="3246" spans="1:13" ht="15.75" customHeight="1" outlineLevel="2">
      <c r="A3246" s="613"/>
      <c r="B3246" s="612"/>
      <c r="C3246" s="613"/>
      <c r="D3246" s="612"/>
      <c r="E3246" s="613"/>
      <c r="F3246" s="611" t="s">
        <v>1108</v>
      </c>
      <c r="G3246" s="611" t="e">
        <f>G3245/6</f>
        <v>#NAME?</v>
      </c>
    </row>
    <row r="3247" spans="1:13" ht="15.75" customHeight="1" outlineLevel="1">
      <c r="A3247" s="613" t="s">
        <v>2074</v>
      </c>
      <c r="B3247" s="612">
        <f>B3235+1</f>
        <v>13</v>
      </c>
      <c r="C3247" s="613" t="s">
        <v>4283</v>
      </c>
      <c r="D3247" s="612"/>
      <c r="E3247" s="613"/>
      <c r="F3247" s="611"/>
      <c r="G3247" s="808">
        <f>G3263</f>
        <v>190510694</v>
      </c>
    </row>
    <row r="3248" spans="1:13" ht="15.75" customHeight="1" outlineLevel="2">
      <c r="A3248" s="613"/>
      <c r="B3248" s="612"/>
      <c r="C3248" s="613" t="s">
        <v>1052</v>
      </c>
      <c r="D3248" s="612"/>
      <c r="E3248" s="613"/>
      <c r="F3248" s="611"/>
      <c r="G3248" s="611"/>
      <c r="I3248" s="800"/>
      <c r="J3248" s="806">
        <v>2</v>
      </c>
      <c r="K3248" s="806" t="s">
        <v>4284</v>
      </c>
      <c r="L3248" s="802"/>
      <c r="M3248" s="804"/>
    </row>
    <row r="3249" spans="1:13" ht="15.75" customHeight="1" outlineLevel="2">
      <c r="A3249" s="613"/>
      <c r="B3249" s="612"/>
      <c r="C3249" s="613" t="s">
        <v>1017</v>
      </c>
      <c r="D3249" s="612" t="s">
        <v>921</v>
      </c>
      <c r="E3249" s="613">
        <f>M3249</f>
        <v>300</v>
      </c>
      <c r="F3249" s="611">
        <f>stringing_worker</f>
        <v>207570.00000000003</v>
      </c>
      <c r="G3249" s="611">
        <f>E3249*F3249</f>
        <v>62271000.000000007</v>
      </c>
      <c r="I3249" s="807">
        <f>30*J3248</f>
        <v>60</v>
      </c>
      <c r="J3249" s="800" t="s">
        <v>922</v>
      </c>
      <c r="K3249" s="800">
        <v>5</v>
      </c>
      <c r="L3249" s="802" t="s">
        <v>939</v>
      </c>
      <c r="M3249" s="804">
        <f>I3249*K3249</f>
        <v>300</v>
      </c>
    </row>
    <row r="3250" spans="1:13" ht="15.75" customHeight="1" outlineLevel="2">
      <c r="A3250" s="613"/>
      <c r="B3250" s="612"/>
      <c r="C3250" s="613" t="s">
        <v>1018</v>
      </c>
      <c r="D3250" s="612" t="s">
        <v>921</v>
      </c>
      <c r="E3250" s="613">
        <f t="shared" ref="E3250:E3253" si="41">M3250</f>
        <v>40</v>
      </c>
      <c r="F3250" s="611">
        <f>supervisor_Asli</f>
        <v>155155</v>
      </c>
      <c r="G3250" s="611">
        <f>E3250*F3250</f>
        <v>6206200</v>
      </c>
      <c r="I3250" s="807">
        <f>4*J3248</f>
        <v>8</v>
      </c>
      <c r="J3250" s="800" t="s">
        <v>922</v>
      </c>
      <c r="K3250" s="800">
        <f>K3249</f>
        <v>5</v>
      </c>
      <c r="L3250" s="802" t="s">
        <v>939</v>
      </c>
      <c r="M3250" s="804">
        <f>I3250*K3250</f>
        <v>40</v>
      </c>
    </row>
    <row r="3251" spans="1:13" ht="15.75" customHeight="1" outlineLevel="2">
      <c r="A3251" s="613"/>
      <c r="B3251" s="612"/>
      <c r="C3251" s="613" t="s">
        <v>996</v>
      </c>
      <c r="D3251" s="612" t="s">
        <v>921</v>
      </c>
      <c r="E3251" s="613">
        <f t="shared" si="41"/>
        <v>10</v>
      </c>
      <c r="F3251" s="611">
        <f>engineer</f>
        <v>429000.00000000006</v>
      </c>
      <c r="G3251" s="611">
        <f>E3251*F3251</f>
        <v>4290000.0000000009</v>
      </c>
      <c r="I3251" s="807">
        <f>1*J3248</f>
        <v>2</v>
      </c>
      <c r="J3251" s="800" t="s">
        <v>922</v>
      </c>
      <c r="K3251" s="800">
        <f>K3249</f>
        <v>5</v>
      </c>
      <c r="L3251" s="802" t="s">
        <v>939</v>
      </c>
      <c r="M3251" s="804">
        <f>I3251*K3251</f>
        <v>10</v>
      </c>
    </row>
    <row r="3252" spans="1:13" ht="15.75" customHeight="1" outlineLevel="2">
      <c r="A3252" s="613"/>
      <c r="B3252" s="612"/>
      <c r="C3252" s="613" t="s">
        <v>2125</v>
      </c>
      <c r="D3252" s="612" t="s">
        <v>921</v>
      </c>
      <c r="E3252" s="613">
        <f t="shared" si="41"/>
        <v>30</v>
      </c>
      <c r="F3252" s="611">
        <f>operator</f>
        <v>191914.80000000002</v>
      </c>
      <c r="G3252" s="611">
        <f>E3252*F3252</f>
        <v>5757444.0000000009</v>
      </c>
      <c r="I3252" s="807">
        <f>3*J3248</f>
        <v>6</v>
      </c>
      <c r="J3252" s="800" t="s">
        <v>922</v>
      </c>
      <c r="K3252" s="800">
        <f>K3249</f>
        <v>5</v>
      </c>
      <c r="L3252" s="802" t="s">
        <v>939</v>
      </c>
      <c r="M3252" s="804">
        <f>I3252*K3252</f>
        <v>30</v>
      </c>
    </row>
    <row r="3253" spans="1:13" ht="15.75" customHeight="1" outlineLevel="2">
      <c r="A3253" s="613"/>
      <c r="B3253" s="612"/>
      <c r="C3253" s="613" t="s">
        <v>1019</v>
      </c>
      <c r="D3253" s="612" t="s">
        <v>921</v>
      </c>
      <c r="E3253" s="613">
        <f t="shared" si="41"/>
        <v>0</v>
      </c>
      <c r="F3253" s="611">
        <f>engineer_expert</f>
        <v>465666.30000000005</v>
      </c>
      <c r="G3253" s="611">
        <f>E3253*F3253</f>
        <v>0</v>
      </c>
      <c r="I3253" s="800">
        <f>0*J3248</f>
        <v>0</v>
      </c>
      <c r="J3253" s="800" t="s">
        <v>922</v>
      </c>
      <c r="K3253" s="800">
        <f>K3249</f>
        <v>5</v>
      </c>
      <c r="L3253" s="802" t="s">
        <v>939</v>
      </c>
      <c r="M3253" s="804">
        <f>I3253*K3253</f>
        <v>0</v>
      </c>
    </row>
    <row r="3254" spans="1:13" ht="15.75" customHeight="1" outlineLevel="2">
      <c r="A3254" s="613"/>
      <c r="B3254" s="612"/>
      <c r="C3254" s="613"/>
      <c r="D3254" s="612"/>
      <c r="E3254" s="613"/>
      <c r="F3254" s="611"/>
      <c r="G3254" s="611"/>
      <c r="I3254" s="800"/>
      <c r="J3254" s="800"/>
      <c r="K3254" s="800"/>
      <c r="L3254" s="802"/>
      <c r="M3254" s="804"/>
    </row>
    <row r="3255" spans="1:13" ht="15.75" customHeight="1" outlineLevel="2">
      <c r="A3255" s="613"/>
      <c r="B3255" s="612"/>
      <c r="C3255" s="613" t="s">
        <v>114</v>
      </c>
      <c r="D3255" s="612"/>
      <c r="E3255" s="613"/>
      <c r="F3255" s="611"/>
      <c r="G3255" s="611"/>
      <c r="I3255" s="800"/>
      <c r="J3255" s="800"/>
      <c r="K3255" s="800"/>
      <c r="L3255" s="802"/>
      <c r="M3255" s="804"/>
    </row>
    <row r="3256" spans="1:13" ht="15.75" customHeight="1" outlineLevel="2">
      <c r="A3256" s="613"/>
      <c r="B3256" s="612"/>
      <c r="C3256" s="613" t="s">
        <v>1106</v>
      </c>
      <c r="D3256" s="612" t="s">
        <v>1044</v>
      </c>
      <c r="E3256" s="613">
        <f t="shared" ref="E3256:E3258" si="42">M3256</f>
        <v>9</v>
      </c>
      <c r="F3256" s="611">
        <f>stringing_equipment</f>
        <v>11916666.666666668</v>
      </c>
      <c r="G3256" s="611">
        <f>E3256*F3256</f>
        <v>107250000.00000001</v>
      </c>
      <c r="I3256" s="800">
        <v>2</v>
      </c>
      <c r="J3256" s="800" t="s">
        <v>2</v>
      </c>
      <c r="K3256" s="800">
        <v>4.5</v>
      </c>
      <c r="L3256" s="802" t="s">
        <v>939</v>
      </c>
      <c r="M3256" s="804">
        <f>I3256*K3256</f>
        <v>9</v>
      </c>
    </row>
    <row r="3257" spans="1:13" ht="15.75" customHeight="1" outlineLevel="2">
      <c r="A3257" s="613"/>
      <c r="B3257" s="612"/>
      <c r="C3257" s="613" t="s">
        <v>743</v>
      </c>
      <c r="D3257" s="612" t="s">
        <v>72</v>
      </c>
      <c r="E3257" s="613">
        <f t="shared" si="42"/>
        <v>8</v>
      </c>
      <c r="F3257" s="611">
        <v>37125</v>
      </c>
      <c r="G3257" s="611">
        <f>E3257*F3257</f>
        <v>297000</v>
      </c>
      <c r="I3257" s="800">
        <f>1*J3248</f>
        <v>2</v>
      </c>
      <c r="J3257" s="800" t="s">
        <v>2</v>
      </c>
      <c r="K3257" s="800">
        <v>4</v>
      </c>
      <c r="L3257" s="802" t="s">
        <v>975</v>
      </c>
      <c r="M3257" s="804">
        <f>I3257*K3257</f>
        <v>8</v>
      </c>
    </row>
    <row r="3258" spans="1:13" ht="15.75" customHeight="1" outlineLevel="2">
      <c r="A3258" s="613"/>
      <c r="B3258" s="612"/>
      <c r="C3258" s="613" t="s">
        <v>1105</v>
      </c>
      <c r="D3258" s="612" t="s">
        <v>1044</v>
      </c>
      <c r="E3258" s="613">
        <f t="shared" si="42"/>
        <v>32</v>
      </c>
      <c r="F3258" s="611">
        <f>communication_equipment</f>
        <v>97900.000000000015</v>
      </c>
      <c r="G3258" s="611">
        <f>E3258*F3258</f>
        <v>3132800.0000000005</v>
      </c>
      <c r="I3258" s="800">
        <f>4*J3248</f>
        <v>8</v>
      </c>
      <c r="J3258" s="800" t="s">
        <v>2</v>
      </c>
      <c r="K3258" s="800">
        <v>4</v>
      </c>
      <c r="L3258" s="802" t="s">
        <v>939</v>
      </c>
      <c r="M3258" s="804">
        <f>I3258*K3258</f>
        <v>32</v>
      </c>
    </row>
    <row r="3259" spans="1:13" ht="15.75" customHeight="1" outlineLevel="2">
      <c r="A3259" s="613"/>
      <c r="B3259" s="612"/>
      <c r="C3259" s="613"/>
      <c r="D3259" s="612"/>
      <c r="E3259" s="613"/>
      <c r="F3259" s="611"/>
      <c r="G3259" s="611"/>
    </row>
    <row r="3260" spans="1:13" ht="15.75" customHeight="1" outlineLevel="2">
      <c r="A3260" s="613"/>
      <c r="B3260" s="612"/>
      <c r="C3260" s="613" t="s">
        <v>292</v>
      </c>
      <c r="D3260" s="612"/>
      <c r="E3260" s="613"/>
      <c r="F3260" s="611"/>
      <c r="G3260" s="611"/>
    </row>
    <row r="3261" spans="1:13" ht="15.75" customHeight="1" outlineLevel="2">
      <c r="A3261" s="613"/>
      <c r="B3261" s="612"/>
      <c r="C3261" s="613" t="s">
        <v>826</v>
      </c>
      <c r="D3261" s="612" t="s">
        <v>50</v>
      </c>
      <c r="E3261" s="613">
        <v>50</v>
      </c>
      <c r="F3261" s="611">
        <f>bambu*7</f>
        <v>16500</v>
      </c>
      <c r="G3261" s="611">
        <f>E3261*F3261</f>
        <v>825000</v>
      </c>
    </row>
    <row r="3262" spans="1:13" ht="15.75" customHeight="1" outlineLevel="2">
      <c r="A3262" s="613"/>
      <c r="B3262" s="612"/>
      <c r="C3262" s="613" t="s">
        <v>1104</v>
      </c>
      <c r="D3262" s="612" t="s">
        <v>1</v>
      </c>
      <c r="E3262" s="613">
        <v>25</v>
      </c>
      <c r="F3262" s="611">
        <f>galvanis_wiremesh_4mm</f>
        <v>19250</v>
      </c>
      <c r="G3262" s="611">
        <f>E3262*F3262</f>
        <v>481250</v>
      </c>
    </row>
    <row r="3263" spans="1:13" ht="15.75" customHeight="1" outlineLevel="2">
      <c r="A3263" s="613"/>
      <c r="B3263" s="612"/>
      <c r="C3263" s="613"/>
      <c r="D3263" s="612"/>
      <c r="E3263" s="613"/>
      <c r="F3263" s="611"/>
      <c r="G3263" s="805">
        <f>SUM(G3249:G3262)</f>
        <v>190510694</v>
      </c>
    </row>
    <row r="3264" spans="1:13" ht="15.75" customHeight="1" outlineLevel="2">
      <c r="A3264" s="613"/>
      <c r="B3264" s="612"/>
      <c r="C3264" s="613"/>
      <c r="D3264" s="612"/>
      <c r="E3264" s="613"/>
      <c r="F3264" s="611" t="s">
        <v>1108</v>
      </c>
      <c r="G3264" s="805">
        <f>G3263/2</f>
        <v>95255347</v>
      </c>
      <c r="I3264" s="810"/>
    </row>
    <row r="3265" spans="1:13" ht="15.75" customHeight="1" outlineLevel="1">
      <c r="A3265" s="613" t="s">
        <v>2074</v>
      </c>
      <c r="B3265" s="612">
        <f>B3247+1</f>
        <v>14</v>
      </c>
      <c r="C3265" s="613" t="s">
        <v>1107</v>
      </c>
      <c r="D3265" s="612"/>
      <c r="E3265" s="613"/>
      <c r="F3265" s="611"/>
      <c r="G3265" s="809">
        <f>G3281</f>
        <v>14715203.800000001</v>
      </c>
      <c r="J3265" s="1200"/>
      <c r="K3265" s="1200"/>
      <c r="L3265" s="1200"/>
      <c r="M3265" s="1200"/>
    </row>
    <row r="3266" spans="1:13" ht="15.75" customHeight="1" outlineLevel="2">
      <c r="A3266" s="613"/>
      <c r="B3266" s="612"/>
      <c r="C3266" s="613" t="s">
        <v>1052</v>
      </c>
      <c r="D3266" s="612"/>
      <c r="E3266" s="613"/>
      <c r="F3266" s="611"/>
      <c r="G3266" s="611"/>
      <c r="I3266" s="800"/>
      <c r="J3266" s="806">
        <v>2</v>
      </c>
      <c r="K3266" s="806" t="s">
        <v>4284</v>
      </c>
      <c r="L3266" s="802"/>
      <c r="M3266" s="804"/>
    </row>
    <row r="3267" spans="1:13" ht="15.75" customHeight="1" outlineLevel="2">
      <c r="A3267" s="613"/>
      <c r="B3267" s="612"/>
      <c r="C3267" s="613" t="s">
        <v>1017</v>
      </c>
      <c r="D3267" s="612" t="s">
        <v>921</v>
      </c>
      <c r="E3267" s="613">
        <f t="shared" ref="E3267:E3271" si="43">M3267</f>
        <v>15</v>
      </c>
      <c r="F3267" s="611">
        <f>stringing_worker</f>
        <v>207570.00000000003</v>
      </c>
      <c r="G3267" s="611">
        <f t="shared" ref="G3267:G3280" si="44">E3267*F3267</f>
        <v>3113550.0000000005</v>
      </c>
      <c r="I3267" s="799">
        <f>5*J3266</f>
        <v>10</v>
      </c>
      <c r="J3267" s="800" t="s">
        <v>922</v>
      </c>
      <c r="K3267" s="800">
        <v>1.5</v>
      </c>
      <c r="L3267" s="802" t="s">
        <v>939</v>
      </c>
      <c r="M3267" s="804">
        <f>I3267*K3267</f>
        <v>15</v>
      </c>
    </row>
    <row r="3268" spans="1:13" ht="15.75" customHeight="1" outlineLevel="2">
      <c r="A3268" s="613"/>
      <c r="B3268" s="612"/>
      <c r="C3268" s="613" t="s">
        <v>1018</v>
      </c>
      <c r="D3268" s="612" t="s">
        <v>921</v>
      </c>
      <c r="E3268" s="613">
        <f t="shared" si="43"/>
        <v>3</v>
      </c>
      <c r="F3268" s="611">
        <f>supervisor_Asli</f>
        <v>155155</v>
      </c>
      <c r="G3268" s="611">
        <f t="shared" si="44"/>
        <v>465465</v>
      </c>
      <c r="I3268" s="799">
        <f>1*J3266</f>
        <v>2</v>
      </c>
      <c r="J3268" s="800" t="s">
        <v>922</v>
      </c>
      <c r="K3268" s="800">
        <f>K3267</f>
        <v>1.5</v>
      </c>
      <c r="L3268" s="802" t="s">
        <v>939</v>
      </c>
      <c r="M3268" s="804">
        <f>I3268*K3268</f>
        <v>3</v>
      </c>
    </row>
    <row r="3269" spans="1:13" ht="15.75" customHeight="1" outlineLevel="2">
      <c r="A3269" s="613"/>
      <c r="B3269" s="612"/>
      <c r="C3269" s="613" t="s">
        <v>996</v>
      </c>
      <c r="D3269" s="612" t="s">
        <v>921</v>
      </c>
      <c r="E3269" s="613">
        <f t="shared" si="43"/>
        <v>1.5</v>
      </c>
      <c r="F3269" s="611">
        <f>engineer</f>
        <v>429000.00000000006</v>
      </c>
      <c r="G3269" s="611">
        <f t="shared" si="44"/>
        <v>643500.00000000012</v>
      </c>
      <c r="I3269" s="799">
        <f>0.5*J3266</f>
        <v>1</v>
      </c>
      <c r="J3269" s="800" t="s">
        <v>922</v>
      </c>
      <c r="K3269" s="800">
        <f>K3267</f>
        <v>1.5</v>
      </c>
      <c r="L3269" s="802" t="s">
        <v>939</v>
      </c>
      <c r="M3269" s="804">
        <f>I3269*K3269</f>
        <v>1.5</v>
      </c>
    </row>
    <row r="3270" spans="1:13" ht="15.75" customHeight="1" outlineLevel="2">
      <c r="A3270" s="613"/>
      <c r="B3270" s="612"/>
      <c r="C3270" s="613" t="s">
        <v>720</v>
      </c>
      <c r="D3270" s="612" t="s">
        <v>921</v>
      </c>
      <c r="E3270" s="613">
        <f t="shared" si="43"/>
        <v>6</v>
      </c>
      <c r="F3270" s="611">
        <f>operator</f>
        <v>191914.80000000002</v>
      </c>
      <c r="G3270" s="611">
        <f t="shared" si="44"/>
        <v>1151488.8</v>
      </c>
      <c r="I3270" s="799">
        <f>2*J3266</f>
        <v>4</v>
      </c>
      <c r="J3270" s="800" t="s">
        <v>922</v>
      </c>
      <c r="K3270" s="800">
        <f>K3267</f>
        <v>1.5</v>
      </c>
      <c r="L3270" s="802" t="s">
        <v>939</v>
      </c>
      <c r="M3270" s="804">
        <f>I3270*K3270</f>
        <v>6</v>
      </c>
    </row>
    <row r="3271" spans="1:13" ht="15.75" customHeight="1" outlineLevel="2">
      <c r="A3271" s="613"/>
      <c r="B3271" s="612"/>
      <c r="C3271" s="613" t="s">
        <v>1019</v>
      </c>
      <c r="D3271" s="612" t="s">
        <v>921</v>
      </c>
      <c r="E3271" s="613">
        <f t="shared" si="43"/>
        <v>0</v>
      </c>
      <c r="F3271" s="611">
        <f>engineer_expert</f>
        <v>465666.30000000005</v>
      </c>
      <c r="G3271" s="611">
        <f t="shared" si="44"/>
        <v>0</v>
      </c>
      <c r="I3271" s="799">
        <v>0</v>
      </c>
      <c r="J3271" s="800" t="s">
        <v>922</v>
      </c>
      <c r="K3271" s="800">
        <f>K3267</f>
        <v>1.5</v>
      </c>
      <c r="L3271" s="802" t="s">
        <v>939</v>
      </c>
      <c r="M3271" s="804">
        <f>I3271*K3271</f>
        <v>0</v>
      </c>
    </row>
    <row r="3272" spans="1:13" ht="15.75" customHeight="1" outlineLevel="2">
      <c r="A3272" s="613"/>
      <c r="B3272" s="612"/>
      <c r="C3272" s="613"/>
      <c r="D3272" s="612"/>
      <c r="E3272" s="613"/>
      <c r="F3272" s="611"/>
      <c r="G3272" s="611">
        <f t="shared" si="44"/>
        <v>0</v>
      </c>
      <c r="I3272" s="800"/>
      <c r="J3272" s="800"/>
      <c r="K3272" s="800"/>
      <c r="L3272" s="802"/>
      <c r="M3272" s="804"/>
    </row>
    <row r="3273" spans="1:13" ht="15.75" customHeight="1" outlineLevel="2">
      <c r="A3273" s="613"/>
      <c r="B3273" s="612"/>
      <c r="C3273" s="613" t="s">
        <v>114</v>
      </c>
      <c r="D3273" s="612"/>
      <c r="E3273" s="613"/>
      <c r="F3273" s="611"/>
      <c r="G3273" s="611">
        <f t="shared" si="44"/>
        <v>0</v>
      </c>
      <c r="I3273" s="800"/>
      <c r="J3273" s="800"/>
      <c r="K3273" s="800"/>
      <c r="L3273" s="802"/>
      <c r="M3273" s="804"/>
    </row>
    <row r="3274" spans="1:13" ht="15.75" customHeight="1" outlineLevel="2">
      <c r="A3274" s="613"/>
      <c r="B3274" s="612"/>
      <c r="C3274" s="613" t="s">
        <v>1106</v>
      </c>
      <c r="D3274" s="612" t="s">
        <v>1044</v>
      </c>
      <c r="E3274" s="613">
        <f t="shared" ref="E3274:E3276" si="45">M3274</f>
        <v>0.75</v>
      </c>
      <c r="F3274" s="611">
        <f>stringing_equipment</f>
        <v>11916666.666666668</v>
      </c>
      <c r="G3274" s="611">
        <f t="shared" si="44"/>
        <v>8937500</v>
      </c>
      <c r="I3274" s="799">
        <f>0.25*J3266</f>
        <v>0.5</v>
      </c>
      <c r="J3274" s="800" t="s">
        <v>2</v>
      </c>
      <c r="K3274" s="800">
        <f>K3267</f>
        <v>1.5</v>
      </c>
      <c r="L3274" s="802" t="s">
        <v>939</v>
      </c>
      <c r="M3274" s="804">
        <f>I3274*K3274</f>
        <v>0.75</v>
      </c>
    </row>
    <row r="3275" spans="1:13" ht="15.75" customHeight="1" outlineLevel="2">
      <c r="A3275" s="613"/>
      <c r="B3275" s="612"/>
      <c r="C3275" s="613" t="s">
        <v>743</v>
      </c>
      <c r="D3275" s="612" t="s">
        <v>72</v>
      </c>
      <c r="E3275" s="613">
        <f t="shared" si="45"/>
        <v>4</v>
      </c>
      <c r="F3275" s="611">
        <f>theodolit/8</f>
        <v>27500.000000000004</v>
      </c>
      <c r="G3275" s="611">
        <f t="shared" si="44"/>
        <v>110000.00000000001</v>
      </c>
      <c r="I3275" s="799">
        <f>1*J3266</f>
        <v>2</v>
      </c>
      <c r="J3275" s="800" t="s">
        <v>2</v>
      </c>
      <c r="K3275" s="800">
        <v>2</v>
      </c>
      <c r="L3275" s="802" t="s">
        <v>975</v>
      </c>
      <c r="M3275" s="804">
        <f>I3275*K3275</f>
        <v>4</v>
      </c>
    </row>
    <row r="3276" spans="1:13" ht="15.75" customHeight="1" outlineLevel="2">
      <c r="A3276" s="613"/>
      <c r="B3276" s="612"/>
      <c r="C3276" s="613" t="s">
        <v>1105</v>
      </c>
      <c r="D3276" s="612" t="s">
        <v>1044</v>
      </c>
      <c r="E3276" s="613">
        <f t="shared" si="45"/>
        <v>3</v>
      </c>
      <c r="F3276" s="611">
        <f>communication_equipment</f>
        <v>97900.000000000015</v>
      </c>
      <c r="G3276" s="611">
        <f t="shared" si="44"/>
        <v>293700.00000000006</v>
      </c>
      <c r="I3276" s="799">
        <f>1*J3266</f>
        <v>2</v>
      </c>
      <c r="J3276" s="800" t="s">
        <v>2</v>
      </c>
      <c r="K3276" s="800">
        <f>K3267</f>
        <v>1.5</v>
      </c>
      <c r="L3276" s="802" t="s">
        <v>939</v>
      </c>
      <c r="M3276" s="804">
        <f>I3276*K3276</f>
        <v>3</v>
      </c>
    </row>
    <row r="3277" spans="1:13" ht="15.75" customHeight="1" outlineLevel="2">
      <c r="A3277" s="613"/>
      <c r="B3277" s="612"/>
      <c r="C3277" s="613"/>
      <c r="D3277" s="612"/>
      <c r="E3277" s="613"/>
      <c r="F3277" s="611"/>
      <c r="G3277" s="611">
        <f t="shared" si="44"/>
        <v>0</v>
      </c>
    </row>
    <row r="3278" spans="1:13" ht="15.75" customHeight="1" outlineLevel="2">
      <c r="A3278" s="613"/>
      <c r="B3278" s="612"/>
      <c r="C3278" s="613" t="s">
        <v>292</v>
      </c>
      <c r="D3278" s="612"/>
      <c r="E3278" s="613"/>
      <c r="F3278" s="611"/>
      <c r="G3278" s="611">
        <f t="shared" si="44"/>
        <v>0</v>
      </c>
    </row>
    <row r="3279" spans="1:13" ht="15.75" customHeight="1" outlineLevel="2">
      <c r="A3279" s="613"/>
      <c r="B3279" s="612"/>
      <c r="C3279" s="613" t="s">
        <v>826</v>
      </c>
      <c r="D3279" s="612" t="s">
        <v>50</v>
      </c>
      <c r="E3279" s="613">
        <v>0</v>
      </c>
      <c r="F3279" s="611">
        <f>F3261</f>
        <v>16500</v>
      </c>
      <c r="G3279" s="611">
        <f t="shared" si="44"/>
        <v>0</v>
      </c>
    </row>
    <row r="3280" spans="1:13" ht="15.75" customHeight="1" outlineLevel="2">
      <c r="A3280" s="613"/>
      <c r="B3280" s="612"/>
      <c r="C3280" s="613" t="s">
        <v>1104</v>
      </c>
      <c r="D3280" s="612" t="s">
        <v>1</v>
      </c>
      <c r="E3280" s="613">
        <v>0</v>
      </c>
      <c r="F3280" s="611">
        <f>F3262</f>
        <v>19250</v>
      </c>
      <c r="G3280" s="611">
        <f t="shared" si="44"/>
        <v>0</v>
      </c>
    </row>
    <row r="3281" spans="1:13" ht="15.75" customHeight="1" outlineLevel="2">
      <c r="A3281" s="613"/>
      <c r="B3281" s="612"/>
      <c r="C3281" s="613"/>
      <c r="D3281" s="612"/>
      <c r="E3281" s="613"/>
      <c r="F3281" s="611"/>
      <c r="G3281" s="805">
        <f>SUM(G3267:G3280)</f>
        <v>14715203.800000001</v>
      </c>
      <c r="J3281" s="1200"/>
      <c r="K3281" s="1200"/>
      <c r="L3281" s="1200"/>
      <c r="M3281" s="1200"/>
    </row>
    <row r="3282" spans="1:13" ht="15.75" customHeight="1" outlineLevel="1">
      <c r="A3282" s="613" t="s">
        <v>2074</v>
      </c>
      <c r="B3282" s="612">
        <f>B3265+1</f>
        <v>15</v>
      </c>
      <c r="C3282" s="613" t="s">
        <v>2061</v>
      </c>
      <c r="D3282" s="612"/>
      <c r="E3282" s="613"/>
      <c r="F3282" s="611"/>
      <c r="G3282" s="611">
        <f>G3290</f>
        <v>11634040</v>
      </c>
    </row>
    <row r="3283" spans="1:13" ht="15.75" customHeight="1" outlineLevel="2">
      <c r="A3283" s="613"/>
      <c r="B3283" s="612"/>
      <c r="C3283" s="613" t="s">
        <v>1052</v>
      </c>
      <c r="D3283" s="612"/>
      <c r="E3283" s="613"/>
      <c r="F3283" s="611"/>
      <c r="G3283" s="611"/>
    </row>
    <row r="3284" spans="1:13" ht="15.75" customHeight="1" outlineLevel="2">
      <c r="A3284" s="613"/>
      <c r="B3284" s="612"/>
      <c r="C3284" s="613" t="s">
        <v>1017</v>
      </c>
      <c r="D3284" s="612" t="s">
        <v>921</v>
      </c>
      <c r="E3284" s="613">
        <f t="shared" ref="E3284:E3285" si="46">M3284</f>
        <v>40</v>
      </c>
      <c r="F3284" s="611">
        <f>stringing_worker</f>
        <v>207570.00000000003</v>
      </c>
      <c r="G3284" s="611">
        <f t="shared" ref="G3284:G3289" si="47">E3284*F3284</f>
        <v>8302800.0000000009</v>
      </c>
      <c r="I3284" s="799">
        <v>10</v>
      </c>
      <c r="J3284" s="800" t="s">
        <v>922</v>
      </c>
      <c r="K3284" s="800">
        <v>4</v>
      </c>
      <c r="L3284" s="802" t="s">
        <v>939</v>
      </c>
      <c r="M3284" s="804">
        <f>I3284*K3284</f>
        <v>40</v>
      </c>
    </row>
    <row r="3285" spans="1:13" ht="15.75" customHeight="1" outlineLevel="2">
      <c r="A3285" s="613"/>
      <c r="B3285" s="612"/>
      <c r="C3285" s="613" t="s">
        <v>1018</v>
      </c>
      <c r="D3285" s="612" t="s">
        <v>921</v>
      </c>
      <c r="E3285" s="613">
        <f t="shared" si="46"/>
        <v>8</v>
      </c>
      <c r="F3285" s="611">
        <f>supervisor_Asli</f>
        <v>155155</v>
      </c>
      <c r="G3285" s="611">
        <f t="shared" si="47"/>
        <v>1241240</v>
      </c>
      <c r="I3285" s="799">
        <v>2</v>
      </c>
      <c r="J3285" s="800" t="s">
        <v>922</v>
      </c>
      <c r="K3285" s="800">
        <v>4</v>
      </c>
      <c r="L3285" s="802" t="s">
        <v>939</v>
      </c>
      <c r="M3285" s="804">
        <f>I3285*K3285</f>
        <v>8</v>
      </c>
    </row>
    <row r="3286" spans="1:13" ht="15.75" customHeight="1" outlineLevel="2">
      <c r="A3286" s="613"/>
      <c r="B3286" s="612"/>
      <c r="C3286" s="613"/>
      <c r="D3286" s="612"/>
      <c r="E3286" s="613"/>
      <c r="F3286" s="611"/>
      <c r="G3286" s="611">
        <f t="shared" si="47"/>
        <v>0</v>
      </c>
      <c r="I3286" s="800"/>
      <c r="J3286" s="800"/>
      <c r="K3286" s="800"/>
      <c r="L3286" s="802"/>
      <c r="M3286" s="804"/>
    </row>
    <row r="3287" spans="1:13" ht="15.75" customHeight="1" outlineLevel="2">
      <c r="A3287" s="613"/>
      <c r="B3287" s="612"/>
      <c r="C3287" s="613" t="s">
        <v>114</v>
      </c>
      <c r="D3287" s="612"/>
      <c r="E3287" s="613"/>
      <c r="F3287" s="611"/>
      <c r="G3287" s="611">
        <f t="shared" si="47"/>
        <v>0</v>
      </c>
      <c r="I3287" s="800"/>
      <c r="J3287" s="800"/>
      <c r="K3287" s="800"/>
      <c r="L3287" s="802"/>
      <c r="M3287" s="804"/>
    </row>
    <row r="3288" spans="1:13" ht="15.75" customHeight="1" outlineLevel="2">
      <c r="A3288" s="613"/>
      <c r="B3288" s="612"/>
      <c r="C3288" s="613" t="s">
        <v>1102</v>
      </c>
      <c r="D3288" s="612" t="s">
        <v>1044</v>
      </c>
      <c r="E3288" s="613">
        <f t="shared" ref="E3288:E3289" si="48">M3288</f>
        <v>4</v>
      </c>
      <c r="F3288" s="611">
        <f>sagging_equipment</f>
        <v>302500</v>
      </c>
      <c r="G3288" s="611">
        <f t="shared" si="47"/>
        <v>1210000</v>
      </c>
      <c r="I3288" s="799">
        <v>1</v>
      </c>
      <c r="J3288" s="800" t="s">
        <v>2</v>
      </c>
      <c r="K3288" s="800">
        <v>4</v>
      </c>
      <c r="L3288" s="802" t="s">
        <v>939</v>
      </c>
      <c r="M3288" s="804">
        <f>I3288*K3288</f>
        <v>4</v>
      </c>
    </row>
    <row r="3289" spans="1:13" ht="15.75" customHeight="1" outlineLevel="2">
      <c r="A3289" s="613"/>
      <c r="B3289" s="612"/>
      <c r="C3289" s="613" t="s">
        <v>743</v>
      </c>
      <c r="D3289" s="612" t="s">
        <v>1044</v>
      </c>
      <c r="E3289" s="613">
        <f t="shared" si="48"/>
        <v>4</v>
      </c>
      <c r="F3289" s="611">
        <f>F3275*8</f>
        <v>220000.00000000003</v>
      </c>
      <c r="G3289" s="611">
        <f t="shared" si="47"/>
        <v>880000.00000000012</v>
      </c>
      <c r="I3289" s="799">
        <v>1</v>
      </c>
      <c r="J3289" s="800" t="s">
        <v>2</v>
      </c>
      <c r="K3289" s="800">
        <v>4</v>
      </c>
      <c r="L3289" s="802" t="s">
        <v>939</v>
      </c>
      <c r="M3289" s="804">
        <f>I3289*K3289</f>
        <v>4</v>
      </c>
    </row>
    <row r="3290" spans="1:13" ht="15.75" customHeight="1" outlineLevel="2">
      <c r="A3290" s="613"/>
      <c r="B3290" s="612"/>
      <c r="C3290" s="613"/>
      <c r="D3290" s="612"/>
      <c r="E3290" s="613"/>
      <c r="F3290" s="611"/>
      <c r="G3290" s="805">
        <f>SUM(G3284:G3289)</f>
        <v>11634040</v>
      </c>
    </row>
    <row r="3291" spans="1:13" ht="15.75" customHeight="1" outlineLevel="1">
      <c r="A3291" s="613" t="s">
        <v>2074</v>
      </c>
      <c r="B3291" s="612">
        <f>B3282+1</f>
        <v>16</v>
      </c>
      <c r="C3291" s="613" t="s">
        <v>4350</v>
      </c>
      <c r="D3291" s="612"/>
      <c r="E3291" s="613"/>
      <c r="F3291" s="611"/>
      <c r="G3291" s="611">
        <f>G3300</f>
        <v>586362.5625</v>
      </c>
    </row>
    <row r="3292" spans="1:13" ht="15.75" customHeight="1" outlineLevel="2">
      <c r="A3292" s="613"/>
      <c r="B3292" s="612"/>
      <c r="C3292" s="613"/>
      <c r="D3292" s="612"/>
      <c r="E3292" s="613"/>
      <c r="F3292" s="611"/>
      <c r="G3292" s="611"/>
      <c r="I3292" s="799">
        <v>4</v>
      </c>
      <c r="J3292" s="800" t="s">
        <v>922</v>
      </c>
      <c r="K3292" s="801">
        <f>3/8</f>
        <v>0.375</v>
      </c>
      <c r="L3292" s="802" t="s">
        <v>939</v>
      </c>
      <c r="M3292" s="803">
        <f>I3292*K3292</f>
        <v>1.5</v>
      </c>
    </row>
    <row r="3293" spans="1:13" ht="15.75" customHeight="1" outlineLevel="2">
      <c r="A3293" s="613"/>
      <c r="B3293" s="612"/>
      <c r="C3293" s="613" t="s">
        <v>1052</v>
      </c>
      <c r="D3293" s="612"/>
      <c r="E3293" s="613"/>
      <c r="F3293" s="611"/>
      <c r="G3293" s="611"/>
      <c r="I3293" s="799">
        <v>1</v>
      </c>
      <c r="J3293" s="800" t="s">
        <v>922</v>
      </c>
      <c r="K3293" s="801">
        <f>1.5/8</f>
        <v>0.1875</v>
      </c>
      <c r="L3293" s="802" t="s">
        <v>939</v>
      </c>
      <c r="M3293" s="803">
        <f>I3293*K3293</f>
        <v>0.1875</v>
      </c>
    </row>
    <row r="3294" spans="1:13" ht="15.75" customHeight="1" outlineLevel="2">
      <c r="A3294" s="613"/>
      <c r="B3294" s="612"/>
      <c r="C3294" s="613" t="s">
        <v>1017</v>
      </c>
      <c r="D3294" s="612" t="s">
        <v>921</v>
      </c>
      <c r="E3294" s="610">
        <f>M3292</f>
        <v>1.5</v>
      </c>
      <c r="F3294" s="611">
        <f>stringing_worker</f>
        <v>207570.00000000003</v>
      </c>
      <c r="G3294" s="611">
        <f t="shared" ref="G3294:G3299" si="49">E3294*F3294</f>
        <v>311355.00000000006</v>
      </c>
      <c r="I3294" s="799">
        <v>0</v>
      </c>
      <c r="J3294" s="800" t="s">
        <v>922</v>
      </c>
      <c r="K3294" s="801">
        <f>1.5/8</f>
        <v>0.1875</v>
      </c>
      <c r="L3294" s="802" t="s">
        <v>939</v>
      </c>
      <c r="M3294" s="803">
        <f>I3294*K3294</f>
        <v>0</v>
      </c>
    </row>
    <row r="3295" spans="1:13" ht="15.75" customHeight="1" outlineLevel="2">
      <c r="A3295" s="613"/>
      <c r="B3295" s="612"/>
      <c r="C3295" s="613" t="s">
        <v>1018</v>
      </c>
      <c r="D3295" s="612" t="s">
        <v>921</v>
      </c>
      <c r="E3295" s="610">
        <f t="shared" ref="E3295:E3296" si="50">M3293</f>
        <v>0.1875</v>
      </c>
      <c r="F3295" s="611">
        <f>supervisor_Asli</f>
        <v>155155</v>
      </c>
      <c r="G3295" s="611">
        <f t="shared" si="49"/>
        <v>29091.5625</v>
      </c>
      <c r="I3295" s="800"/>
      <c r="J3295" s="800"/>
      <c r="K3295" s="801"/>
      <c r="L3295" s="802"/>
      <c r="M3295" s="803"/>
    </row>
    <row r="3296" spans="1:13" ht="15.75" customHeight="1" outlineLevel="2">
      <c r="A3296" s="613"/>
      <c r="B3296" s="612"/>
      <c r="C3296" s="613" t="s">
        <v>1019</v>
      </c>
      <c r="D3296" s="612" t="s">
        <v>921</v>
      </c>
      <c r="E3296" s="610">
        <f t="shared" si="50"/>
        <v>0</v>
      </c>
      <c r="F3296" s="611">
        <f>engineer_expert</f>
        <v>465666.30000000005</v>
      </c>
      <c r="G3296" s="611">
        <f t="shared" si="49"/>
        <v>0</v>
      </c>
      <c r="I3296" s="799"/>
      <c r="J3296" s="800"/>
      <c r="K3296" s="801"/>
      <c r="L3296" s="802"/>
      <c r="M3296" s="803"/>
    </row>
    <row r="3297" spans="1:13" ht="15.75" customHeight="1" outlineLevel="2">
      <c r="A3297" s="613"/>
      <c r="B3297" s="612"/>
      <c r="C3297" s="613"/>
      <c r="D3297" s="612"/>
      <c r="E3297" s="613"/>
      <c r="F3297" s="611"/>
      <c r="G3297" s="611">
        <f t="shared" si="49"/>
        <v>0</v>
      </c>
      <c r="I3297" s="799">
        <v>4</v>
      </c>
      <c r="J3297" s="800" t="s">
        <v>2</v>
      </c>
      <c r="K3297" s="801">
        <f>3/8</f>
        <v>0.375</v>
      </c>
      <c r="L3297" s="802" t="s">
        <v>939</v>
      </c>
      <c r="M3297" s="803">
        <f>I3297*K3297</f>
        <v>1.5</v>
      </c>
    </row>
    <row r="3298" spans="1:13" ht="15.75" customHeight="1" outlineLevel="2">
      <c r="A3298" s="613"/>
      <c r="B3298" s="612"/>
      <c r="C3298" s="613" t="s">
        <v>114</v>
      </c>
      <c r="D3298" s="612"/>
      <c r="E3298" s="613"/>
      <c r="F3298" s="611"/>
      <c r="G3298" s="611">
        <f t="shared" si="49"/>
        <v>0</v>
      </c>
    </row>
    <row r="3299" spans="1:13" ht="15.75" customHeight="1" outlineLevel="2">
      <c r="A3299" s="613"/>
      <c r="B3299" s="612"/>
      <c r="C3299" s="613" t="s">
        <v>1020</v>
      </c>
      <c r="D3299" s="612" t="s">
        <v>1044</v>
      </c>
      <c r="E3299" s="610">
        <f t="shared" ref="E3299" si="51">M3297</f>
        <v>1.5</v>
      </c>
      <c r="F3299" s="611">
        <f>support_equipment_key.safety_belt</f>
        <v>163944</v>
      </c>
      <c r="G3299" s="611">
        <f t="shared" si="49"/>
        <v>245916</v>
      </c>
      <c r="I3299" s="779"/>
      <c r="J3299" s="779"/>
      <c r="K3299" s="779"/>
      <c r="L3299" s="779"/>
      <c r="M3299" s="779"/>
    </row>
    <row r="3300" spans="1:13" ht="16.5" customHeight="1" outlineLevel="2">
      <c r="A3300" s="613"/>
      <c r="B3300" s="612"/>
      <c r="C3300" s="613"/>
      <c r="D3300" s="612"/>
      <c r="E3300" s="613"/>
      <c r="F3300" s="611"/>
      <c r="G3300" s="805">
        <f>SUM(G3294:G3299)</f>
        <v>586362.5625</v>
      </c>
      <c r="I3300" s="779"/>
      <c r="J3300" s="779"/>
      <c r="K3300" s="779"/>
      <c r="L3300" s="779"/>
      <c r="M3300" s="779"/>
    </row>
    <row r="3301" spans="1:13" s="779" customFormat="1" ht="15.75" customHeight="1" outlineLevel="1">
      <c r="A3301" s="613" t="s">
        <v>2074</v>
      </c>
      <c r="B3301" s="612">
        <f>B3291+1</f>
        <v>17</v>
      </c>
      <c r="C3301" s="613" t="s">
        <v>4351</v>
      </c>
      <c r="D3301" s="612"/>
      <c r="E3301" s="613"/>
      <c r="F3301" s="611"/>
      <c r="G3301" s="611">
        <f>G3310</f>
        <v>864998.0625</v>
      </c>
    </row>
    <row r="3302" spans="1:13" s="779" customFormat="1" ht="15.75" customHeight="1" outlineLevel="2">
      <c r="A3302" s="613"/>
      <c r="B3302" s="612"/>
      <c r="C3302" s="613"/>
      <c r="D3302" s="612"/>
      <c r="E3302" s="613"/>
      <c r="F3302" s="611"/>
      <c r="G3302" s="611"/>
      <c r="I3302" s="799">
        <v>6</v>
      </c>
      <c r="J3302" s="800" t="s">
        <v>922</v>
      </c>
      <c r="K3302" s="801">
        <f>3/8</f>
        <v>0.375</v>
      </c>
      <c r="L3302" s="802" t="s">
        <v>939</v>
      </c>
      <c r="M3302" s="803">
        <f>I3302*K3302</f>
        <v>2.25</v>
      </c>
    </row>
    <row r="3303" spans="1:13" s="779" customFormat="1" ht="15.75" customHeight="1" outlineLevel="2">
      <c r="A3303" s="613"/>
      <c r="B3303" s="612"/>
      <c r="C3303" s="613" t="s">
        <v>1052</v>
      </c>
      <c r="D3303" s="612"/>
      <c r="E3303" s="613"/>
      <c r="F3303" s="611"/>
      <c r="G3303" s="611"/>
      <c r="I3303" s="799">
        <v>1</v>
      </c>
      <c r="J3303" s="800" t="s">
        <v>922</v>
      </c>
      <c r="K3303" s="801">
        <f>1.5/8</f>
        <v>0.1875</v>
      </c>
      <c r="L3303" s="802" t="s">
        <v>939</v>
      </c>
      <c r="M3303" s="803">
        <f>I3303*K3303</f>
        <v>0.1875</v>
      </c>
    </row>
    <row r="3304" spans="1:13" s="779" customFormat="1" ht="15.75" customHeight="1" outlineLevel="2">
      <c r="A3304" s="613"/>
      <c r="B3304" s="612"/>
      <c r="C3304" s="613" t="s">
        <v>1017</v>
      </c>
      <c r="D3304" s="612" t="s">
        <v>921</v>
      </c>
      <c r="E3304" s="610">
        <f>M3302</f>
        <v>2.25</v>
      </c>
      <c r="F3304" s="611">
        <f>stringing_worker</f>
        <v>207570.00000000003</v>
      </c>
      <c r="G3304" s="611">
        <f t="shared" ref="G3304:G3309" si="52">E3304*F3304</f>
        <v>467032.50000000006</v>
      </c>
      <c r="I3304" s="799">
        <v>0</v>
      </c>
      <c r="J3304" s="800" t="s">
        <v>922</v>
      </c>
      <c r="K3304" s="801">
        <f>1.5/8</f>
        <v>0.1875</v>
      </c>
      <c r="L3304" s="802" t="s">
        <v>939</v>
      </c>
      <c r="M3304" s="803">
        <f>I3304*K3304</f>
        <v>0</v>
      </c>
    </row>
    <row r="3305" spans="1:13" s="779" customFormat="1" ht="15.75" customHeight="1" outlineLevel="2">
      <c r="A3305" s="613"/>
      <c r="B3305" s="612"/>
      <c r="C3305" s="613" t="s">
        <v>1018</v>
      </c>
      <c r="D3305" s="612" t="s">
        <v>921</v>
      </c>
      <c r="E3305" s="610">
        <f t="shared" ref="E3305:E3306" si="53">M3303</f>
        <v>0.1875</v>
      </c>
      <c r="F3305" s="611">
        <f>supervisor_Asli</f>
        <v>155155</v>
      </c>
      <c r="G3305" s="611">
        <f t="shared" si="52"/>
        <v>29091.5625</v>
      </c>
      <c r="I3305" s="800"/>
      <c r="J3305" s="800"/>
      <c r="K3305" s="801"/>
      <c r="L3305" s="802"/>
      <c r="M3305" s="803"/>
    </row>
    <row r="3306" spans="1:13" s="779" customFormat="1" ht="15.75" customHeight="1" outlineLevel="2">
      <c r="A3306" s="613"/>
      <c r="B3306" s="612"/>
      <c r="C3306" s="613" t="s">
        <v>1019</v>
      </c>
      <c r="D3306" s="612" t="s">
        <v>921</v>
      </c>
      <c r="E3306" s="610">
        <f t="shared" si="53"/>
        <v>0</v>
      </c>
      <c r="F3306" s="611">
        <f>engineer_expert</f>
        <v>465666.30000000005</v>
      </c>
      <c r="G3306" s="611">
        <f t="shared" si="52"/>
        <v>0</v>
      </c>
      <c r="I3306" s="799"/>
      <c r="J3306" s="800"/>
      <c r="K3306" s="801"/>
      <c r="L3306" s="802"/>
      <c r="M3306" s="803"/>
    </row>
    <row r="3307" spans="1:13" s="779" customFormat="1" ht="15.75" customHeight="1" outlineLevel="2">
      <c r="A3307" s="613"/>
      <c r="B3307" s="612"/>
      <c r="C3307" s="613"/>
      <c r="D3307" s="612"/>
      <c r="E3307" s="613"/>
      <c r="F3307" s="611"/>
      <c r="G3307" s="611">
        <f t="shared" si="52"/>
        <v>0</v>
      </c>
      <c r="I3307" s="799">
        <v>6</v>
      </c>
      <c r="J3307" s="800" t="s">
        <v>2</v>
      </c>
      <c r="K3307" s="801">
        <f>3/8</f>
        <v>0.375</v>
      </c>
      <c r="L3307" s="802" t="s">
        <v>939</v>
      </c>
      <c r="M3307" s="804">
        <f>I3307*K3307</f>
        <v>2.25</v>
      </c>
    </row>
    <row r="3308" spans="1:13" s="779" customFormat="1" ht="15.75" customHeight="1" outlineLevel="2">
      <c r="A3308" s="613"/>
      <c r="B3308" s="612"/>
      <c r="C3308" s="613" t="s">
        <v>114</v>
      </c>
      <c r="D3308" s="612"/>
      <c r="E3308" s="613"/>
      <c r="F3308" s="611"/>
      <c r="G3308" s="611">
        <f t="shared" si="52"/>
        <v>0</v>
      </c>
    </row>
    <row r="3309" spans="1:13" s="779" customFormat="1" ht="15.75" customHeight="1" outlineLevel="2">
      <c r="A3309" s="613"/>
      <c r="B3309" s="612"/>
      <c r="C3309" s="613" t="s">
        <v>1020</v>
      </c>
      <c r="D3309" s="612" t="s">
        <v>1044</v>
      </c>
      <c r="E3309" s="610">
        <f t="shared" ref="E3309" si="54">M3307</f>
        <v>2.25</v>
      </c>
      <c r="F3309" s="611">
        <f>support_equipment_key.safety_belt</f>
        <v>163944</v>
      </c>
      <c r="G3309" s="611">
        <f t="shared" si="52"/>
        <v>368874</v>
      </c>
      <c r="I3309" s="633"/>
      <c r="J3309" s="633"/>
      <c r="K3309" s="633"/>
      <c r="L3309" s="633"/>
      <c r="M3309" s="633"/>
    </row>
    <row r="3310" spans="1:13" s="779" customFormat="1" ht="16.5" customHeight="1" outlineLevel="2">
      <c r="A3310" s="613"/>
      <c r="B3310" s="612"/>
      <c r="C3310" s="613"/>
      <c r="D3310" s="612"/>
      <c r="E3310" s="613"/>
      <c r="F3310" s="611"/>
      <c r="G3310" s="805">
        <f>SUM(G3304:G3309)</f>
        <v>864998.0625</v>
      </c>
      <c r="I3310" s="633"/>
      <c r="J3310" s="633"/>
      <c r="K3310" s="633"/>
      <c r="L3310" s="633"/>
      <c r="M3310" s="633"/>
    </row>
    <row r="3311" spans="1:13" ht="15.75" customHeight="1" outlineLevel="1">
      <c r="A3311" s="613" t="s">
        <v>2074</v>
      </c>
      <c r="B3311" s="612">
        <f>B3301+1</f>
        <v>18</v>
      </c>
      <c r="C3311" s="613" t="s">
        <v>4352</v>
      </c>
      <c r="D3311" s="612"/>
      <c r="E3311" s="613"/>
      <c r="F3311" s="611"/>
      <c r="G3311" s="611">
        <f>G3320</f>
        <v>390908.375</v>
      </c>
    </row>
    <row r="3312" spans="1:13" ht="15.75" customHeight="1" outlineLevel="2">
      <c r="A3312" s="613"/>
      <c r="B3312" s="612"/>
      <c r="C3312" s="613"/>
      <c r="D3312" s="612"/>
      <c r="E3312" s="613"/>
      <c r="F3312" s="611"/>
      <c r="G3312" s="611"/>
      <c r="I3312" s="799">
        <v>4</v>
      </c>
      <c r="J3312" s="800" t="s">
        <v>922</v>
      </c>
      <c r="K3312" s="801">
        <f>2/8</f>
        <v>0.25</v>
      </c>
      <c r="L3312" s="802" t="s">
        <v>939</v>
      </c>
      <c r="M3312" s="803">
        <f>I3312*K3312</f>
        <v>1</v>
      </c>
    </row>
    <row r="3313" spans="1:13" ht="15.75" customHeight="1" outlineLevel="2">
      <c r="A3313" s="613"/>
      <c r="B3313" s="612"/>
      <c r="C3313" s="613" t="s">
        <v>1052</v>
      </c>
      <c r="D3313" s="612"/>
      <c r="E3313" s="613"/>
      <c r="F3313" s="611"/>
      <c r="G3313" s="611"/>
      <c r="I3313" s="799">
        <v>1</v>
      </c>
      <c r="J3313" s="800" t="s">
        <v>922</v>
      </c>
      <c r="K3313" s="801">
        <f>1/8</f>
        <v>0.125</v>
      </c>
      <c r="L3313" s="802" t="s">
        <v>939</v>
      </c>
      <c r="M3313" s="803">
        <f>I3313*K3313</f>
        <v>0.125</v>
      </c>
    </row>
    <row r="3314" spans="1:13" ht="15.75" customHeight="1" outlineLevel="2">
      <c r="A3314" s="613"/>
      <c r="B3314" s="612"/>
      <c r="C3314" s="613" t="s">
        <v>1017</v>
      </c>
      <c r="D3314" s="612" t="s">
        <v>921</v>
      </c>
      <c r="E3314" s="610">
        <f t="shared" ref="E3314:E3316" si="55">M3312</f>
        <v>1</v>
      </c>
      <c r="F3314" s="611">
        <f>stringing_worker</f>
        <v>207570.00000000003</v>
      </c>
      <c r="G3314" s="611">
        <f t="shared" ref="G3314:G3319" si="56">E3314*F3314</f>
        <v>207570.00000000003</v>
      </c>
      <c r="I3314" s="799">
        <v>0</v>
      </c>
      <c r="J3314" s="800" t="s">
        <v>922</v>
      </c>
      <c r="K3314" s="801">
        <f>1/8</f>
        <v>0.125</v>
      </c>
      <c r="L3314" s="802" t="s">
        <v>939</v>
      </c>
      <c r="M3314" s="803">
        <f>I3314*K3314</f>
        <v>0</v>
      </c>
    </row>
    <row r="3315" spans="1:13" ht="15.75" customHeight="1" outlineLevel="2">
      <c r="A3315" s="613"/>
      <c r="B3315" s="612"/>
      <c r="C3315" s="613" t="s">
        <v>1018</v>
      </c>
      <c r="D3315" s="612" t="s">
        <v>921</v>
      </c>
      <c r="E3315" s="610">
        <f t="shared" si="55"/>
        <v>0.125</v>
      </c>
      <c r="F3315" s="611">
        <f>supervisor_Asli</f>
        <v>155155</v>
      </c>
      <c r="G3315" s="611">
        <f t="shared" si="56"/>
        <v>19394.375</v>
      </c>
      <c r="I3315" s="800"/>
      <c r="J3315" s="800"/>
      <c r="K3315" s="801"/>
      <c r="L3315" s="802"/>
      <c r="M3315" s="803"/>
    </row>
    <row r="3316" spans="1:13" ht="15.75" customHeight="1" outlineLevel="2">
      <c r="A3316" s="613"/>
      <c r="B3316" s="612"/>
      <c r="C3316" s="613" t="s">
        <v>1019</v>
      </c>
      <c r="D3316" s="612" t="s">
        <v>921</v>
      </c>
      <c r="E3316" s="610">
        <f t="shared" si="55"/>
        <v>0</v>
      </c>
      <c r="F3316" s="611">
        <f>engineer_expert</f>
        <v>465666.30000000005</v>
      </c>
      <c r="G3316" s="611">
        <f t="shared" si="56"/>
        <v>0</v>
      </c>
      <c r="I3316" s="799"/>
      <c r="J3316" s="800"/>
      <c r="K3316" s="801"/>
      <c r="L3316" s="802"/>
      <c r="M3316" s="803"/>
    </row>
    <row r="3317" spans="1:13" ht="15.75" customHeight="1" outlineLevel="2">
      <c r="A3317" s="613"/>
      <c r="B3317" s="612"/>
      <c r="C3317" s="613"/>
      <c r="D3317" s="612"/>
      <c r="E3317" s="613"/>
      <c r="F3317" s="611"/>
      <c r="G3317" s="611">
        <f t="shared" si="56"/>
        <v>0</v>
      </c>
      <c r="I3317" s="799">
        <v>4</v>
      </c>
      <c r="J3317" s="800" t="s">
        <v>2</v>
      </c>
      <c r="K3317" s="801">
        <f>2/8</f>
        <v>0.25</v>
      </c>
      <c r="L3317" s="802" t="s">
        <v>939</v>
      </c>
      <c r="M3317" s="803">
        <f>I3317*K3317</f>
        <v>1</v>
      </c>
    </row>
    <row r="3318" spans="1:13" ht="15.75" customHeight="1" outlineLevel="2">
      <c r="A3318" s="613"/>
      <c r="B3318" s="612"/>
      <c r="C3318" s="613" t="s">
        <v>114</v>
      </c>
      <c r="D3318" s="612"/>
      <c r="E3318" s="613"/>
      <c r="F3318" s="611"/>
      <c r="G3318" s="611">
        <f t="shared" si="56"/>
        <v>0</v>
      </c>
    </row>
    <row r="3319" spans="1:13" ht="15.75" customHeight="1" outlineLevel="2">
      <c r="A3319" s="613"/>
      <c r="B3319" s="612"/>
      <c r="C3319" s="613" t="s">
        <v>1020</v>
      </c>
      <c r="D3319" s="612" t="s">
        <v>98</v>
      </c>
      <c r="E3319" s="610">
        <f>M3317</f>
        <v>1</v>
      </c>
      <c r="F3319" s="611">
        <f>support_equipment_key.safety_belt</f>
        <v>163944</v>
      </c>
      <c r="G3319" s="611">
        <f t="shared" si="56"/>
        <v>163944</v>
      </c>
      <c r="I3319" s="779"/>
      <c r="J3319" s="779"/>
      <c r="K3319" s="779"/>
      <c r="L3319" s="779"/>
      <c r="M3319" s="779"/>
    </row>
    <row r="3320" spans="1:13" ht="15.75" customHeight="1" outlineLevel="2">
      <c r="A3320" s="613"/>
      <c r="B3320" s="612"/>
      <c r="C3320" s="613"/>
      <c r="D3320" s="612"/>
      <c r="E3320" s="613"/>
      <c r="F3320" s="611"/>
      <c r="G3320" s="805">
        <f>SUM(G3314:G3319)</f>
        <v>390908.375</v>
      </c>
      <c r="I3320" s="779"/>
      <c r="J3320" s="779"/>
      <c r="K3320" s="779"/>
      <c r="L3320" s="779"/>
      <c r="M3320" s="779"/>
    </row>
    <row r="3321" spans="1:13" s="779" customFormat="1" ht="15.75" customHeight="1" outlineLevel="1">
      <c r="A3321" s="613" t="s">
        <v>2074</v>
      </c>
      <c r="B3321" s="612">
        <f>B3311+1</f>
        <v>19</v>
      </c>
      <c r="C3321" s="613" t="s">
        <v>4353</v>
      </c>
      <c r="D3321" s="612"/>
      <c r="E3321" s="613"/>
      <c r="F3321" s="611"/>
      <c r="G3321" s="809">
        <f>G3330</f>
        <v>576665.375</v>
      </c>
    </row>
    <row r="3322" spans="1:13" s="779" customFormat="1" ht="15.75" customHeight="1" outlineLevel="2">
      <c r="A3322" s="613"/>
      <c r="B3322" s="612"/>
      <c r="C3322" s="613"/>
      <c r="D3322" s="612"/>
      <c r="E3322" s="613"/>
      <c r="F3322" s="611"/>
      <c r="G3322" s="611"/>
      <c r="I3322" s="799">
        <v>6</v>
      </c>
      <c r="J3322" s="800" t="s">
        <v>922</v>
      </c>
      <c r="K3322" s="801">
        <f>2/8</f>
        <v>0.25</v>
      </c>
      <c r="L3322" s="802" t="s">
        <v>939</v>
      </c>
      <c r="M3322" s="803">
        <f>I3322*K3322</f>
        <v>1.5</v>
      </c>
    </row>
    <row r="3323" spans="1:13" s="779" customFormat="1" ht="15.75" customHeight="1" outlineLevel="2">
      <c r="A3323" s="613"/>
      <c r="B3323" s="612"/>
      <c r="C3323" s="613" t="s">
        <v>1052</v>
      </c>
      <c r="D3323" s="612"/>
      <c r="E3323" s="613"/>
      <c r="F3323" s="611"/>
      <c r="G3323" s="611"/>
      <c r="I3323" s="799">
        <v>1</v>
      </c>
      <c r="J3323" s="800" t="s">
        <v>922</v>
      </c>
      <c r="K3323" s="801">
        <f>1/8</f>
        <v>0.125</v>
      </c>
      <c r="L3323" s="802" t="s">
        <v>939</v>
      </c>
      <c r="M3323" s="803">
        <f>I3323*K3323</f>
        <v>0.125</v>
      </c>
    </row>
    <row r="3324" spans="1:13" s="779" customFormat="1" ht="15.75" customHeight="1" outlineLevel="2">
      <c r="A3324" s="613"/>
      <c r="B3324" s="612"/>
      <c r="C3324" s="613" t="s">
        <v>1017</v>
      </c>
      <c r="D3324" s="612" t="s">
        <v>921</v>
      </c>
      <c r="E3324" s="610">
        <f>M3322</f>
        <v>1.5</v>
      </c>
      <c r="F3324" s="611">
        <f>stringing_worker</f>
        <v>207570.00000000003</v>
      </c>
      <c r="G3324" s="611">
        <f t="shared" ref="G3324:G3329" si="57">E3324*F3324</f>
        <v>311355.00000000006</v>
      </c>
      <c r="I3324" s="799">
        <v>0</v>
      </c>
      <c r="J3324" s="800" t="s">
        <v>922</v>
      </c>
      <c r="K3324" s="801">
        <f>1/8</f>
        <v>0.125</v>
      </c>
      <c r="L3324" s="802" t="s">
        <v>939</v>
      </c>
      <c r="M3324" s="803">
        <f>I3324*K3324</f>
        <v>0</v>
      </c>
    </row>
    <row r="3325" spans="1:13" s="779" customFormat="1" ht="15.75" customHeight="1" outlineLevel="2">
      <c r="A3325" s="613"/>
      <c r="B3325" s="612"/>
      <c r="C3325" s="613" t="s">
        <v>1018</v>
      </c>
      <c r="D3325" s="612" t="s">
        <v>921</v>
      </c>
      <c r="E3325" s="610">
        <f t="shared" ref="E3325:E3326" si="58">M3323</f>
        <v>0.125</v>
      </c>
      <c r="F3325" s="611">
        <f>supervisor_Asli</f>
        <v>155155</v>
      </c>
      <c r="G3325" s="611">
        <f t="shared" si="57"/>
        <v>19394.375</v>
      </c>
      <c r="I3325" s="800"/>
      <c r="J3325" s="800"/>
      <c r="K3325" s="801"/>
      <c r="L3325" s="802"/>
      <c r="M3325" s="803"/>
    </row>
    <row r="3326" spans="1:13" s="779" customFormat="1" ht="15.75" customHeight="1" outlineLevel="2">
      <c r="A3326" s="613"/>
      <c r="B3326" s="612"/>
      <c r="C3326" s="613" t="s">
        <v>1019</v>
      </c>
      <c r="D3326" s="612" t="s">
        <v>921</v>
      </c>
      <c r="E3326" s="610">
        <f t="shared" si="58"/>
        <v>0</v>
      </c>
      <c r="F3326" s="611">
        <f>engineer_expert</f>
        <v>465666.30000000005</v>
      </c>
      <c r="G3326" s="611">
        <f t="shared" si="57"/>
        <v>0</v>
      </c>
      <c r="I3326" s="799"/>
      <c r="J3326" s="800"/>
      <c r="K3326" s="801"/>
      <c r="L3326" s="802"/>
      <c r="M3326" s="803"/>
    </row>
    <row r="3327" spans="1:13" s="779" customFormat="1" ht="15.75" customHeight="1" outlineLevel="2">
      <c r="A3327" s="613"/>
      <c r="B3327" s="612"/>
      <c r="C3327" s="613"/>
      <c r="D3327" s="612"/>
      <c r="E3327" s="613"/>
      <c r="F3327" s="611"/>
      <c r="G3327" s="611">
        <f t="shared" si="57"/>
        <v>0</v>
      </c>
      <c r="I3327" s="799">
        <v>6</v>
      </c>
      <c r="J3327" s="800" t="s">
        <v>2</v>
      </c>
      <c r="K3327" s="801">
        <f>2/8</f>
        <v>0.25</v>
      </c>
      <c r="L3327" s="802" t="s">
        <v>939</v>
      </c>
      <c r="M3327" s="804">
        <f>I3327*K3327</f>
        <v>1.5</v>
      </c>
    </row>
    <row r="3328" spans="1:13" s="779" customFormat="1" ht="15.75" customHeight="1" outlineLevel="2">
      <c r="A3328" s="613"/>
      <c r="B3328" s="612"/>
      <c r="C3328" s="613" t="s">
        <v>114</v>
      </c>
      <c r="D3328" s="612"/>
      <c r="E3328" s="613"/>
      <c r="F3328" s="611"/>
      <c r="G3328" s="611">
        <f t="shared" si="57"/>
        <v>0</v>
      </c>
    </row>
    <row r="3329" spans="1:13" s="779" customFormat="1" ht="15.75" customHeight="1" outlineLevel="2">
      <c r="A3329" s="613"/>
      <c r="B3329" s="612"/>
      <c r="C3329" s="613" t="s">
        <v>1020</v>
      </c>
      <c r="D3329" s="612" t="s">
        <v>98</v>
      </c>
      <c r="E3329" s="610">
        <f>M3327</f>
        <v>1.5</v>
      </c>
      <c r="F3329" s="611">
        <f>support_equipment_key.safety_belt</f>
        <v>163944</v>
      </c>
      <c r="G3329" s="611">
        <f t="shared" si="57"/>
        <v>245916</v>
      </c>
      <c r="I3329" s="633"/>
      <c r="J3329" s="633"/>
      <c r="K3329" s="633"/>
      <c r="L3329" s="633"/>
      <c r="M3329" s="633"/>
    </row>
    <row r="3330" spans="1:13" s="779" customFormat="1" ht="15.75" customHeight="1" outlineLevel="2">
      <c r="A3330" s="613"/>
      <c r="B3330" s="612"/>
      <c r="C3330" s="613"/>
      <c r="D3330" s="612"/>
      <c r="E3330" s="613"/>
      <c r="F3330" s="611"/>
      <c r="G3330" s="805">
        <f>SUM(G3324:G3329)</f>
        <v>576665.375</v>
      </c>
      <c r="I3330" s="633"/>
      <c r="J3330" s="633"/>
      <c r="K3330" s="633"/>
      <c r="L3330" s="633"/>
      <c r="M3330" s="633"/>
    </row>
    <row r="3331" spans="1:13" ht="15.75" customHeight="1" outlineLevel="1">
      <c r="A3331" s="613" t="s">
        <v>2074</v>
      </c>
      <c r="B3331" s="612">
        <f>B3321+1</f>
        <v>20</v>
      </c>
      <c r="C3331" s="613" t="s">
        <v>1101</v>
      </c>
      <c r="D3331" s="612"/>
      <c r="E3331" s="613"/>
      <c r="F3331" s="611"/>
      <c r="G3331" s="611">
        <f>G3340</f>
        <v>237851.625</v>
      </c>
    </row>
    <row r="3332" spans="1:13" ht="15.75" customHeight="1" outlineLevel="2">
      <c r="A3332" s="613"/>
      <c r="B3332" s="612"/>
      <c r="C3332" s="613"/>
      <c r="D3332" s="612"/>
      <c r="E3332" s="613"/>
      <c r="F3332" s="611"/>
      <c r="G3332" s="611"/>
      <c r="I3332" s="799">
        <v>4</v>
      </c>
      <c r="J3332" s="800" t="s">
        <v>922</v>
      </c>
      <c r="K3332" s="801">
        <f>0.6/8</f>
        <v>7.4999999999999997E-2</v>
      </c>
      <c r="L3332" s="802" t="s">
        <v>939</v>
      </c>
      <c r="M3332" s="803">
        <f>I3332*K3332</f>
        <v>0.3</v>
      </c>
    </row>
    <row r="3333" spans="1:13" ht="15.75" customHeight="1" outlineLevel="2">
      <c r="A3333" s="613"/>
      <c r="B3333" s="612"/>
      <c r="C3333" s="613" t="s">
        <v>1052</v>
      </c>
      <c r="D3333" s="612"/>
      <c r="E3333" s="613"/>
      <c r="F3333" s="611"/>
      <c r="G3333" s="611"/>
      <c r="I3333" s="799">
        <v>1</v>
      </c>
      <c r="J3333" s="800" t="s">
        <v>922</v>
      </c>
      <c r="K3333" s="801">
        <f>0.6/8</f>
        <v>7.4999999999999997E-2</v>
      </c>
      <c r="L3333" s="802" t="s">
        <v>939</v>
      </c>
      <c r="M3333" s="803">
        <f>I3333*K3333</f>
        <v>7.4999999999999997E-2</v>
      </c>
    </row>
    <row r="3334" spans="1:13" ht="15.75" customHeight="1" outlineLevel="2">
      <c r="A3334" s="613"/>
      <c r="B3334" s="612"/>
      <c r="C3334" s="613" t="s">
        <v>1017</v>
      </c>
      <c r="D3334" s="612" t="s">
        <v>921</v>
      </c>
      <c r="E3334" s="610">
        <f t="shared" ref="E3334:E3336" si="59">M3332</f>
        <v>0.3</v>
      </c>
      <c r="F3334" s="611">
        <f>stringing_worker</f>
        <v>207570.00000000003</v>
      </c>
      <c r="G3334" s="611">
        <f t="shared" ref="G3334:G3339" si="60">E3334*F3334</f>
        <v>62271.000000000007</v>
      </c>
      <c r="I3334" s="799">
        <v>0</v>
      </c>
      <c r="J3334" s="800" t="s">
        <v>922</v>
      </c>
      <c r="K3334" s="801">
        <f>0.6/8</f>
        <v>7.4999999999999997E-2</v>
      </c>
      <c r="L3334" s="802" t="s">
        <v>939</v>
      </c>
      <c r="M3334" s="803">
        <f>I3334*K3334</f>
        <v>0</v>
      </c>
    </row>
    <row r="3335" spans="1:13" ht="15.75" customHeight="1" outlineLevel="2">
      <c r="A3335" s="613"/>
      <c r="B3335" s="612"/>
      <c r="C3335" s="613" t="s">
        <v>1018</v>
      </c>
      <c r="D3335" s="612" t="s">
        <v>921</v>
      </c>
      <c r="E3335" s="610">
        <f t="shared" si="59"/>
        <v>7.4999999999999997E-2</v>
      </c>
      <c r="F3335" s="611">
        <f>supervisor_Asli</f>
        <v>155155</v>
      </c>
      <c r="G3335" s="611">
        <f t="shared" si="60"/>
        <v>11636.625</v>
      </c>
      <c r="I3335" s="800"/>
      <c r="J3335" s="800"/>
      <c r="K3335" s="801"/>
      <c r="L3335" s="802"/>
      <c r="M3335" s="803"/>
    </row>
    <row r="3336" spans="1:13" ht="15.75" customHeight="1" outlineLevel="2">
      <c r="A3336" s="613"/>
      <c r="B3336" s="612"/>
      <c r="C3336" s="613" t="s">
        <v>1019</v>
      </c>
      <c r="D3336" s="612" t="s">
        <v>921</v>
      </c>
      <c r="E3336" s="610">
        <f t="shared" si="59"/>
        <v>0</v>
      </c>
      <c r="F3336" s="611">
        <f>engineer_expert</f>
        <v>465666.30000000005</v>
      </c>
      <c r="G3336" s="611">
        <f t="shared" si="60"/>
        <v>0</v>
      </c>
      <c r="I3336" s="799"/>
      <c r="J3336" s="800"/>
      <c r="K3336" s="801"/>
      <c r="L3336" s="802"/>
      <c r="M3336" s="803"/>
    </row>
    <row r="3337" spans="1:13" ht="15.75" customHeight="1" outlineLevel="2">
      <c r="A3337" s="613"/>
      <c r="B3337" s="612"/>
      <c r="C3337" s="613"/>
      <c r="D3337" s="612"/>
      <c r="E3337" s="613"/>
      <c r="F3337" s="611"/>
      <c r="G3337" s="611">
        <f t="shared" si="60"/>
        <v>0</v>
      </c>
      <c r="I3337" s="799">
        <v>4</v>
      </c>
      <c r="J3337" s="800" t="s">
        <v>2</v>
      </c>
      <c r="K3337" s="801">
        <f>2/8</f>
        <v>0.25</v>
      </c>
      <c r="L3337" s="802" t="s">
        <v>939</v>
      </c>
      <c r="M3337" s="803">
        <f>I3337*K3337</f>
        <v>1</v>
      </c>
    </row>
    <row r="3338" spans="1:13" ht="15.75" customHeight="1" outlineLevel="2">
      <c r="A3338" s="613"/>
      <c r="B3338" s="612"/>
      <c r="C3338" s="613" t="s">
        <v>114</v>
      </c>
      <c r="D3338" s="612"/>
      <c r="E3338" s="613"/>
      <c r="F3338" s="611"/>
      <c r="G3338" s="611">
        <f t="shared" si="60"/>
        <v>0</v>
      </c>
    </row>
    <row r="3339" spans="1:13" ht="15.75" customHeight="1" outlineLevel="2">
      <c r="A3339" s="613"/>
      <c r="B3339" s="612"/>
      <c r="C3339" s="613" t="s">
        <v>1020</v>
      </c>
      <c r="D3339" s="612" t="s">
        <v>98</v>
      </c>
      <c r="E3339" s="610">
        <f>M3337</f>
        <v>1</v>
      </c>
      <c r="F3339" s="611">
        <f>support_equipment_key.safety_belt</f>
        <v>163944</v>
      </c>
      <c r="G3339" s="611">
        <f t="shared" si="60"/>
        <v>163944</v>
      </c>
    </row>
    <row r="3340" spans="1:13" ht="15.75" customHeight="1" outlineLevel="2">
      <c r="A3340" s="613"/>
      <c r="B3340" s="612"/>
      <c r="C3340" s="613"/>
      <c r="D3340" s="612"/>
      <c r="E3340" s="613"/>
      <c r="F3340" s="611"/>
      <c r="G3340" s="805">
        <f>SUM(G3334:G3339)</f>
        <v>237851.625</v>
      </c>
    </row>
    <row r="3341" spans="1:13" ht="15.75" customHeight="1" outlineLevel="1">
      <c r="A3341" s="613" t="s">
        <v>2074</v>
      </c>
      <c r="B3341" s="612">
        <f>B3331+1</f>
        <v>21</v>
      </c>
      <c r="C3341" s="613" t="s">
        <v>1100</v>
      </c>
      <c r="D3341" s="612"/>
      <c r="E3341" s="613"/>
      <c r="F3341" s="611"/>
      <c r="G3341" s="611">
        <f>G3350</f>
        <v>118925.8125</v>
      </c>
    </row>
    <row r="3342" spans="1:13" ht="15.75" customHeight="1" outlineLevel="2">
      <c r="A3342" s="613"/>
      <c r="B3342" s="612"/>
      <c r="C3342" s="613"/>
      <c r="D3342" s="612"/>
      <c r="E3342" s="613"/>
      <c r="F3342" s="611"/>
      <c r="G3342" s="611"/>
      <c r="I3342" s="799">
        <v>2</v>
      </c>
      <c r="J3342" s="800" t="s">
        <v>922</v>
      </c>
      <c r="K3342" s="801">
        <f>0.6/8</f>
        <v>7.4999999999999997E-2</v>
      </c>
      <c r="L3342" s="802" t="s">
        <v>939</v>
      </c>
      <c r="M3342" s="803">
        <f>I3342*K3342</f>
        <v>0.15</v>
      </c>
    </row>
    <row r="3343" spans="1:13" ht="15.75" customHeight="1" outlineLevel="2">
      <c r="A3343" s="613"/>
      <c r="B3343" s="612"/>
      <c r="C3343" s="613" t="s">
        <v>1052</v>
      </c>
      <c r="D3343" s="612"/>
      <c r="E3343" s="613"/>
      <c r="F3343" s="611"/>
      <c r="G3343" s="611"/>
      <c r="I3343" s="799">
        <v>0.5</v>
      </c>
      <c r="J3343" s="800" t="s">
        <v>922</v>
      </c>
      <c r="K3343" s="801">
        <f>0.6/8</f>
        <v>7.4999999999999997E-2</v>
      </c>
      <c r="L3343" s="802" t="s">
        <v>939</v>
      </c>
      <c r="M3343" s="803">
        <f>I3343*K3343</f>
        <v>3.7499999999999999E-2</v>
      </c>
    </row>
    <row r="3344" spans="1:13" ht="15.75" customHeight="1" outlineLevel="2">
      <c r="A3344" s="613"/>
      <c r="B3344" s="612"/>
      <c r="C3344" s="613" t="s">
        <v>1017</v>
      </c>
      <c r="D3344" s="612" t="s">
        <v>921</v>
      </c>
      <c r="E3344" s="610">
        <f t="shared" ref="E3344:E3346" si="61">M3342</f>
        <v>0.15</v>
      </c>
      <c r="F3344" s="611">
        <f>stringing_worker</f>
        <v>207570.00000000003</v>
      </c>
      <c r="G3344" s="611">
        <f t="shared" ref="G3344:G3349" si="62">E3344*F3344</f>
        <v>31135.500000000004</v>
      </c>
      <c r="I3344" s="799">
        <v>0</v>
      </c>
      <c r="J3344" s="800" t="s">
        <v>922</v>
      </c>
      <c r="K3344" s="801">
        <f>0.6/8</f>
        <v>7.4999999999999997E-2</v>
      </c>
      <c r="L3344" s="802" t="s">
        <v>939</v>
      </c>
      <c r="M3344" s="803">
        <f>I3344*K3344</f>
        <v>0</v>
      </c>
    </row>
    <row r="3345" spans="1:13" ht="15.75" customHeight="1" outlineLevel="2">
      <c r="A3345" s="613"/>
      <c r="B3345" s="612"/>
      <c r="C3345" s="613" t="s">
        <v>1018</v>
      </c>
      <c r="D3345" s="612" t="s">
        <v>921</v>
      </c>
      <c r="E3345" s="610">
        <f t="shared" si="61"/>
        <v>3.7499999999999999E-2</v>
      </c>
      <c r="F3345" s="611">
        <f>supervisor_Asli</f>
        <v>155155</v>
      </c>
      <c r="G3345" s="611">
        <f t="shared" si="62"/>
        <v>5818.3125</v>
      </c>
      <c r="I3345" s="800"/>
      <c r="J3345" s="800"/>
      <c r="K3345" s="801"/>
      <c r="L3345" s="802"/>
      <c r="M3345" s="803"/>
    </row>
    <row r="3346" spans="1:13" ht="15.75" customHeight="1" outlineLevel="2">
      <c r="A3346" s="613"/>
      <c r="B3346" s="612"/>
      <c r="C3346" s="613" t="s">
        <v>1019</v>
      </c>
      <c r="D3346" s="612" t="s">
        <v>921</v>
      </c>
      <c r="E3346" s="610">
        <f t="shared" si="61"/>
        <v>0</v>
      </c>
      <c r="F3346" s="611">
        <f>engineer_expert</f>
        <v>465666.30000000005</v>
      </c>
      <c r="G3346" s="611">
        <f t="shared" si="62"/>
        <v>0</v>
      </c>
      <c r="I3346" s="799"/>
      <c r="J3346" s="800"/>
      <c r="K3346" s="801"/>
      <c r="L3346" s="802"/>
      <c r="M3346" s="803"/>
    </row>
    <row r="3347" spans="1:13" ht="15.75" customHeight="1" outlineLevel="2">
      <c r="A3347" s="613"/>
      <c r="B3347" s="612"/>
      <c r="C3347" s="613"/>
      <c r="D3347" s="612"/>
      <c r="E3347" s="613"/>
      <c r="F3347" s="611"/>
      <c r="G3347" s="611">
        <f t="shared" si="62"/>
        <v>0</v>
      </c>
      <c r="I3347" s="799">
        <v>2</v>
      </c>
      <c r="J3347" s="800" t="s">
        <v>2</v>
      </c>
      <c r="K3347" s="801">
        <f>2/8</f>
        <v>0.25</v>
      </c>
      <c r="L3347" s="802" t="s">
        <v>939</v>
      </c>
      <c r="M3347" s="803">
        <f>I3347*K3347</f>
        <v>0.5</v>
      </c>
    </row>
    <row r="3348" spans="1:13" ht="15.75" customHeight="1" outlineLevel="2">
      <c r="A3348" s="613"/>
      <c r="B3348" s="612"/>
      <c r="C3348" s="613" t="s">
        <v>114</v>
      </c>
      <c r="D3348" s="612"/>
      <c r="E3348" s="613"/>
      <c r="F3348" s="611"/>
      <c r="G3348" s="611">
        <f t="shared" si="62"/>
        <v>0</v>
      </c>
    </row>
    <row r="3349" spans="1:13" ht="15.75" customHeight="1" outlineLevel="2">
      <c r="A3349" s="613"/>
      <c r="B3349" s="612"/>
      <c r="C3349" s="613" t="s">
        <v>1020</v>
      </c>
      <c r="D3349" s="612" t="s">
        <v>98</v>
      </c>
      <c r="E3349" s="610">
        <f t="shared" ref="E3349" si="63">M3347</f>
        <v>0.5</v>
      </c>
      <c r="F3349" s="611">
        <f>support_equipment_key.safety_belt</f>
        <v>163944</v>
      </c>
      <c r="G3349" s="611">
        <f t="shared" si="62"/>
        <v>81972</v>
      </c>
    </row>
    <row r="3350" spans="1:13" ht="15.75" customHeight="1" outlineLevel="2">
      <c r="A3350" s="613"/>
      <c r="B3350" s="612"/>
      <c r="C3350" s="613"/>
      <c r="D3350" s="612"/>
      <c r="E3350" s="613"/>
      <c r="F3350" s="611"/>
      <c r="G3350" s="805">
        <f>SUM(G3344:G3349)</f>
        <v>118925.8125</v>
      </c>
    </row>
    <row r="3351" spans="1:13" ht="15.75" customHeight="1" outlineLevel="1">
      <c r="A3351" s="613" t="s">
        <v>2074</v>
      </c>
      <c r="B3351" s="612">
        <f>B3341+1</f>
        <v>22</v>
      </c>
      <c r="C3351" s="613" t="s">
        <v>1099</v>
      </c>
      <c r="D3351" s="612"/>
      <c r="E3351" s="613"/>
      <c r="F3351" s="611"/>
      <c r="G3351" s="611">
        <f>G3360</f>
        <v>504390.56250000006</v>
      </c>
    </row>
    <row r="3352" spans="1:13" ht="15.75" customHeight="1" outlineLevel="2">
      <c r="A3352" s="613"/>
      <c r="B3352" s="612"/>
      <c r="C3352" s="613"/>
      <c r="D3352" s="612"/>
      <c r="E3352" s="613"/>
      <c r="F3352" s="611"/>
      <c r="G3352" s="611"/>
      <c r="I3352" s="799">
        <v>4</v>
      </c>
      <c r="J3352" s="800" t="s">
        <v>922</v>
      </c>
      <c r="K3352" s="801">
        <f>3/8</f>
        <v>0.375</v>
      </c>
      <c r="L3352" s="802" t="s">
        <v>939</v>
      </c>
      <c r="M3352" s="803">
        <f>I3352*K3352</f>
        <v>1.5</v>
      </c>
    </row>
    <row r="3353" spans="1:13" ht="15.75" customHeight="1" outlineLevel="2">
      <c r="A3353" s="613"/>
      <c r="B3353" s="612"/>
      <c r="C3353" s="613" t="s">
        <v>1052</v>
      </c>
      <c r="D3353" s="612"/>
      <c r="E3353" s="613"/>
      <c r="F3353" s="611"/>
      <c r="G3353" s="611"/>
      <c r="I3353" s="799">
        <v>1</v>
      </c>
      <c r="J3353" s="800" t="s">
        <v>922</v>
      </c>
      <c r="K3353" s="801">
        <f>1.5/8</f>
        <v>0.1875</v>
      </c>
      <c r="L3353" s="802" t="s">
        <v>939</v>
      </c>
      <c r="M3353" s="803">
        <f>I3353*K3353</f>
        <v>0.1875</v>
      </c>
    </row>
    <row r="3354" spans="1:13" ht="15.75" customHeight="1" outlineLevel="2">
      <c r="A3354" s="613"/>
      <c r="B3354" s="612"/>
      <c r="C3354" s="613" t="s">
        <v>1017</v>
      </c>
      <c r="D3354" s="612" t="s">
        <v>921</v>
      </c>
      <c r="E3354" s="610">
        <f t="shared" ref="E3354:E3356" si="64">M3352</f>
        <v>1.5</v>
      </c>
      <c r="F3354" s="611">
        <f>stringing_worker</f>
        <v>207570.00000000003</v>
      </c>
      <c r="G3354" s="611">
        <f t="shared" ref="G3354:G3359" si="65">E3354*F3354</f>
        <v>311355.00000000006</v>
      </c>
      <c r="I3354" s="799">
        <v>0</v>
      </c>
      <c r="J3354" s="800" t="s">
        <v>922</v>
      </c>
      <c r="K3354" s="801">
        <f>1.5/8</f>
        <v>0.1875</v>
      </c>
      <c r="L3354" s="802" t="s">
        <v>939</v>
      </c>
      <c r="M3354" s="803">
        <f>I3354*K3354</f>
        <v>0</v>
      </c>
    </row>
    <row r="3355" spans="1:13" ht="15.75" customHeight="1" outlineLevel="2">
      <c r="A3355" s="613"/>
      <c r="B3355" s="612"/>
      <c r="C3355" s="613" t="s">
        <v>1018</v>
      </c>
      <c r="D3355" s="612" t="s">
        <v>921</v>
      </c>
      <c r="E3355" s="610">
        <f t="shared" si="64"/>
        <v>0.1875</v>
      </c>
      <c r="F3355" s="611">
        <f>supervisor_Asli</f>
        <v>155155</v>
      </c>
      <c r="G3355" s="611">
        <f t="shared" si="65"/>
        <v>29091.5625</v>
      </c>
      <c r="I3355" s="800"/>
      <c r="J3355" s="800"/>
      <c r="K3355" s="801"/>
      <c r="L3355" s="802"/>
      <c r="M3355" s="803"/>
    </row>
    <row r="3356" spans="1:13" ht="15.75" customHeight="1" outlineLevel="2">
      <c r="A3356" s="613"/>
      <c r="B3356" s="612"/>
      <c r="C3356" s="613" t="s">
        <v>1019</v>
      </c>
      <c r="D3356" s="612" t="s">
        <v>921</v>
      </c>
      <c r="E3356" s="610">
        <f t="shared" si="64"/>
        <v>0</v>
      </c>
      <c r="F3356" s="611">
        <f>engineer_expert</f>
        <v>465666.30000000005</v>
      </c>
      <c r="G3356" s="611">
        <f t="shared" si="65"/>
        <v>0</v>
      </c>
      <c r="I3356" s="799"/>
      <c r="J3356" s="800"/>
      <c r="K3356" s="801"/>
      <c r="L3356" s="802"/>
      <c r="M3356" s="803"/>
    </row>
    <row r="3357" spans="1:13" ht="15.75" customHeight="1" outlineLevel="2">
      <c r="A3357" s="613"/>
      <c r="B3357" s="612"/>
      <c r="C3357" s="613"/>
      <c r="D3357" s="612"/>
      <c r="E3357" s="613"/>
      <c r="F3357" s="611"/>
      <c r="G3357" s="611">
        <f t="shared" si="65"/>
        <v>0</v>
      </c>
      <c r="I3357" s="799">
        <v>4</v>
      </c>
      <c r="J3357" s="800" t="s">
        <v>2</v>
      </c>
      <c r="K3357" s="801">
        <f>2/8</f>
        <v>0.25</v>
      </c>
      <c r="L3357" s="802" t="s">
        <v>939</v>
      </c>
      <c r="M3357" s="803">
        <f>I3357*K3357</f>
        <v>1</v>
      </c>
    </row>
    <row r="3358" spans="1:13" ht="15.75" customHeight="1" outlineLevel="2">
      <c r="A3358" s="613"/>
      <c r="B3358" s="612"/>
      <c r="C3358" s="613" t="s">
        <v>114</v>
      </c>
      <c r="D3358" s="612"/>
      <c r="E3358" s="613"/>
      <c r="F3358" s="611"/>
      <c r="G3358" s="611">
        <f t="shared" si="65"/>
        <v>0</v>
      </c>
    </row>
    <row r="3359" spans="1:13" ht="15.75" customHeight="1" outlineLevel="2">
      <c r="A3359" s="613"/>
      <c r="B3359" s="612"/>
      <c r="C3359" s="613" t="s">
        <v>1020</v>
      </c>
      <c r="D3359" s="612" t="s">
        <v>98</v>
      </c>
      <c r="E3359" s="610">
        <f t="shared" ref="E3359" si="66">M3357</f>
        <v>1</v>
      </c>
      <c r="F3359" s="611">
        <f>support_equipment_key.safety_belt</f>
        <v>163944</v>
      </c>
      <c r="G3359" s="611">
        <f t="shared" si="65"/>
        <v>163944</v>
      </c>
      <c r="I3359" s="779"/>
      <c r="J3359" s="779"/>
      <c r="K3359" s="779"/>
      <c r="L3359" s="779"/>
      <c r="M3359" s="779"/>
    </row>
    <row r="3360" spans="1:13" ht="15.75" customHeight="1" outlineLevel="2">
      <c r="A3360" s="613"/>
      <c r="B3360" s="612"/>
      <c r="C3360" s="613"/>
      <c r="D3360" s="612"/>
      <c r="E3360" s="613"/>
      <c r="F3360" s="611"/>
      <c r="G3360" s="805">
        <f>SUM(G3354:G3359)</f>
        <v>504390.56250000006</v>
      </c>
      <c r="I3360" s="779"/>
      <c r="J3360" s="779"/>
      <c r="K3360" s="779"/>
      <c r="L3360" s="779"/>
      <c r="M3360" s="779"/>
    </row>
    <row r="3361" spans="1:13" s="779" customFormat="1" ht="15.75" customHeight="1" outlineLevel="1">
      <c r="A3361" s="613" t="s">
        <v>2074</v>
      </c>
      <c r="B3361" s="612">
        <f>B3351+1</f>
        <v>23</v>
      </c>
      <c r="C3361" s="613" t="s">
        <v>4354</v>
      </c>
      <c r="D3361" s="612"/>
      <c r="E3361" s="613"/>
      <c r="F3361" s="611"/>
      <c r="G3361" s="611">
        <f>G3370</f>
        <v>106607.875</v>
      </c>
    </row>
    <row r="3362" spans="1:13" s="779" customFormat="1" ht="15.75" customHeight="1" outlineLevel="2">
      <c r="A3362" s="613"/>
      <c r="B3362" s="612"/>
      <c r="C3362" s="613"/>
      <c r="D3362" s="612"/>
      <c r="E3362" s="613"/>
      <c r="F3362" s="611"/>
      <c r="G3362" s="611"/>
      <c r="I3362" s="799">
        <v>2</v>
      </c>
      <c r="J3362" s="800" t="s">
        <v>922</v>
      </c>
      <c r="K3362" s="801">
        <f>0.4/8</f>
        <v>0.05</v>
      </c>
      <c r="L3362" s="802" t="s">
        <v>939</v>
      </c>
      <c r="M3362" s="803">
        <f>I3362*K3362</f>
        <v>0.1</v>
      </c>
    </row>
    <row r="3363" spans="1:13" s="779" customFormat="1" ht="15.75" customHeight="1" outlineLevel="2">
      <c r="A3363" s="613"/>
      <c r="B3363" s="612"/>
      <c r="C3363" s="613" t="s">
        <v>1052</v>
      </c>
      <c r="D3363" s="612"/>
      <c r="E3363" s="613"/>
      <c r="F3363" s="611"/>
      <c r="G3363" s="611"/>
      <c r="I3363" s="799">
        <v>0.5</v>
      </c>
      <c r="J3363" s="800" t="s">
        <v>922</v>
      </c>
      <c r="K3363" s="801">
        <f>0.4/8</f>
        <v>0.05</v>
      </c>
      <c r="L3363" s="802" t="s">
        <v>939</v>
      </c>
      <c r="M3363" s="803">
        <f>I3363*K3363</f>
        <v>2.5000000000000001E-2</v>
      </c>
    </row>
    <row r="3364" spans="1:13" s="779" customFormat="1" ht="15.75" customHeight="1" outlineLevel="2">
      <c r="A3364" s="613"/>
      <c r="B3364" s="612"/>
      <c r="C3364" s="613" t="s">
        <v>1017</v>
      </c>
      <c r="D3364" s="612" t="s">
        <v>921</v>
      </c>
      <c r="E3364" s="610">
        <f t="shared" ref="E3364:E3366" si="67">M3362</f>
        <v>0.1</v>
      </c>
      <c r="F3364" s="611">
        <f>stringing_worker</f>
        <v>207570.00000000003</v>
      </c>
      <c r="G3364" s="611">
        <f t="shared" ref="G3364:G3369" si="68">E3364*F3364</f>
        <v>20757.000000000004</v>
      </c>
      <c r="I3364" s="799">
        <v>0</v>
      </c>
      <c r="J3364" s="800" t="s">
        <v>922</v>
      </c>
      <c r="K3364" s="801">
        <f>0.4/8</f>
        <v>0.05</v>
      </c>
      <c r="L3364" s="802" t="s">
        <v>939</v>
      </c>
      <c r="M3364" s="803">
        <f>I3364*K3364</f>
        <v>0</v>
      </c>
    </row>
    <row r="3365" spans="1:13" s="779" customFormat="1" ht="15.75" customHeight="1" outlineLevel="2">
      <c r="A3365" s="613"/>
      <c r="B3365" s="612"/>
      <c r="C3365" s="613" t="s">
        <v>1018</v>
      </c>
      <c r="D3365" s="612" t="s">
        <v>921</v>
      </c>
      <c r="E3365" s="610">
        <f t="shared" si="67"/>
        <v>2.5000000000000001E-2</v>
      </c>
      <c r="F3365" s="611">
        <f>supervisor_Asli</f>
        <v>155155</v>
      </c>
      <c r="G3365" s="611">
        <f t="shared" si="68"/>
        <v>3878.875</v>
      </c>
      <c r="I3365" s="800"/>
      <c r="J3365" s="800"/>
      <c r="K3365" s="801"/>
      <c r="L3365" s="802"/>
      <c r="M3365" s="803"/>
    </row>
    <row r="3366" spans="1:13" s="779" customFormat="1" ht="15.75" customHeight="1" outlineLevel="2">
      <c r="A3366" s="613"/>
      <c r="B3366" s="612"/>
      <c r="C3366" s="613" t="s">
        <v>1019</v>
      </c>
      <c r="D3366" s="612" t="s">
        <v>921</v>
      </c>
      <c r="E3366" s="610">
        <f t="shared" si="67"/>
        <v>0</v>
      </c>
      <c r="F3366" s="611">
        <f>engineer_expert</f>
        <v>465666.30000000005</v>
      </c>
      <c r="G3366" s="611">
        <f t="shared" si="68"/>
        <v>0</v>
      </c>
      <c r="I3366" s="799"/>
      <c r="J3366" s="800"/>
      <c r="K3366" s="801"/>
      <c r="L3366" s="802"/>
      <c r="M3366" s="803"/>
    </row>
    <row r="3367" spans="1:13" s="779" customFormat="1" ht="15.75" customHeight="1" outlineLevel="2">
      <c r="A3367" s="613"/>
      <c r="B3367" s="612"/>
      <c r="C3367" s="613"/>
      <c r="D3367" s="612"/>
      <c r="E3367" s="613"/>
      <c r="F3367" s="611"/>
      <c r="G3367" s="611">
        <f t="shared" si="68"/>
        <v>0</v>
      </c>
      <c r="I3367" s="799">
        <v>2</v>
      </c>
      <c r="J3367" s="800" t="s">
        <v>2</v>
      </c>
      <c r="K3367" s="801">
        <f>2/8</f>
        <v>0.25</v>
      </c>
      <c r="L3367" s="802" t="s">
        <v>939</v>
      </c>
      <c r="M3367" s="803">
        <f>I3367*K3367</f>
        <v>0.5</v>
      </c>
    </row>
    <row r="3368" spans="1:13" s="779" customFormat="1" ht="15.75" customHeight="1" outlineLevel="2">
      <c r="A3368" s="613"/>
      <c r="B3368" s="612"/>
      <c r="C3368" s="613" t="s">
        <v>114</v>
      </c>
      <c r="D3368" s="612"/>
      <c r="E3368" s="613"/>
      <c r="F3368" s="611"/>
      <c r="G3368" s="611">
        <f t="shared" si="68"/>
        <v>0</v>
      </c>
    </row>
    <row r="3369" spans="1:13" s="779" customFormat="1" ht="15.75" customHeight="1" outlineLevel="2">
      <c r="A3369" s="613"/>
      <c r="B3369" s="612"/>
      <c r="C3369" s="613" t="s">
        <v>1020</v>
      </c>
      <c r="D3369" s="612" t="s">
        <v>98</v>
      </c>
      <c r="E3369" s="610">
        <f t="shared" ref="E3369" si="69">M3367</f>
        <v>0.5</v>
      </c>
      <c r="F3369" s="611">
        <f>support_equipment_key.safety_belt</f>
        <v>163944</v>
      </c>
      <c r="G3369" s="611">
        <f t="shared" si="68"/>
        <v>81972</v>
      </c>
      <c r="I3369" s="633"/>
      <c r="J3369" s="633"/>
      <c r="K3369" s="633"/>
      <c r="L3369" s="633"/>
      <c r="M3369" s="633"/>
    </row>
    <row r="3370" spans="1:13" s="779" customFormat="1" ht="15.75" customHeight="1" outlineLevel="2">
      <c r="A3370" s="613"/>
      <c r="B3370" s="612"/>
      <c r="C3370" s="613"/>
      <c r="D3370" s="612"/>
      <c r="E3370" s="613"/>
      <c r="F3370" s="611"/>
      <c r="G3370" s="805">
        <f>SUM(G3364:G3369)</f>
        <v>106607.875</v>
      </c>
      <c r="I3370" s="633"/>
      <c r="J3370" s="633"/>
      <c r="K3370" s="633"/>
      <c r="L3370" s="633"/>
      <c r="M3370" s="633"/>
    </row>
    <row r="3371" spans="1:13" ht="15.75" customHeight="1" outlineLevel="1">
      <c r="A3371" s="613" t="s">
        <v>2074</v>
      </c>
      <c r="B3371" s="612">
        <f>B3351+1</f>
        <v>23</v>
      </c>
      <c r="C3371" s="613" t="s">
        <v>1098</v>
      </c>
      <c r="D3371" s="612"/>
      <c r="E3371" s="613"/>
      <c r="F3371" s="611"/>
      <c r="G3371" s="611">
        <f>G3378</f>
        <v>153258.875</v>
      </c>
      <c r="I3371" s="799">
        <v>2</v>
      </c>
      <c r="J3371" s="800" t="s">
        <v>922</v>
      </c>
      <c r="K3371" s="801">
        <f>1/8</f>
        <v>0.125</v>
      </c>
      <c r="L3371" s="802" t="s">
        <v>939</v>
      </c>
      <c r="M3371" s="803">
        <f>I3371*K3371</f>
        <v>0.25</v>
      </c>
    </row>
    <row r="3372" spans="1:13" ht="15.75" customHeight="1" outlineLevel="2">
      <c r="A3372" s="613"/>
      <c r="B3372" s="612"/>
      <c r="C3372" s="613" t="s">
        <v>1052</v>
      </c>
      <c r="D3372" s="612"/>
      <c r="E3372" s="613"/>
      <c r="F3372" s="611"/>
      <c r="G3372" s="611"/>
      <c r="I3372" s="799">
        <v>1</v>
      </c>
      <c r="J3372" s="800" t="s">
        <v>922</v>
      </c>
      <c r="K3372" s="801">
        <f>1/8</f>
        <v>0.125</v>
      </c>
      <c r="L3372" s="802" t="s">
        <v>939</v>
      </c>
      <c r="M3372" s="803">
        <f>I3372*K3372</f>
        <v>0.125</v>
      </c>
    </row>
    <row r="3373" spans="1:13" ht="15.75" customHeight="1" outlineLevel="2">
      <c r="A3373" s="613"/>
      <c r="B3373" s="612"/>
      <c r="C3373" s="613" t="s">
        <v>1017</v>
      </c>
      <c r="D3373" s="612" t="s">
        <v>921</v>
      </c>
      <c r="E3373" s="610">
        <f t="shared" ref="E3373:E3374" si="70">M3371</f>
        <v>0.25</v>
      </c>
      <c r="F3373" s="611">
        <f>stringing_worker</f>
        <v>207570.00000000003</v>
      </c>
      <c r="G3373" s="611">
        <f>E3373*F3373</f>
        <v>51892.500000000007</v>
      </c>
      <c r="I3373" s="799"/>
      <c r="J3373" s="800"/>
      <c r="K3373" s="801"/>
      <c r="L3373" s="802"/>
      <c r="M3373" s="803"/>
    </row>
    <row r="3374" spans="1:13" ht="15.75" customHeight="1" outlineLevel="2">
      <c r="A3374" s="613"/>
      <c r="B3374" s="612"/>
      <c r="C3374" s="613" t="s">
        <v>1018</v>
      </c>
      <c r="D3374" s="612" t="s">
        <v>921</v>
      </c>
      <c r="E3374" s="610">
        <f t="shared" si="70"/>
        <v>0.125</v>
      </c>
      <c r="F3374" s="611">
        <f>supervisor_Asli</f>
        <v>155155</v>
      </c>
      <c r="G3374" s="611">
        <f>E3374*F3374</f>
        <v>19394.375</v>
      </c>
    </row>
    <row r="3375" spans="1:13" ht="15.75" customHeight="1" outlineLevel="2">
      <c r="A3375" s="613"/>
      <c r="B3375" s="612"/>
      <c r="C3375" s="613"/>
      <c r="D3375" s="612"/>
      <c r="E3375" s="613"/>
      <c r="F3375" s="611"/>
      <c r="G3375" s="611">
        <f>E3375*F3375</f>
        <v>0</v>
      </c>
      <c r="I3375" s="799">
        <v>2</v>
      </c>
      <c r="J3375" s="800" t="s">
        <v>2</v>
      </c>
      <c r="K3375" s="801">
        <f>2/8</f>
        <v>0.25</v>
      </c>
      <c r="L3375" s="802" t="s">
        <v>939</v>
      </c>
      <c r="M3375" s="803">
        <f>I3375*K3375</f>
        <v>0.5</v>
      </c>
    </row>
    <row r="3376" spans="1:13" ht="15.75" customHeight="1" outlineLevel="2">
      <c r="A3376" s="613"/>
      <c r="B3376" s="612"/>
      <c r="C3376" s="613" t="s">
        <v>114</v>
      </c>
      <c r="D3376" s="612"/>
      <c r="E3376" s="613"/>
      <c r="F3376" s="611"/>
      <c r="G3376" s="611">
        <f>E3376*F3376</f>
        <v>0</v>
      </c>
    </row>
    <row r="3377" spans="1:13" ht="15.75" customHeight="1" outlineLevel="2">
      <c r="A3377" s="613"/>
      <c r="B3377" s="612"/>
      <c r="C3377" s="613" t="s">
        <v>1020</v>
      </c>
      <c r="D3377" s="612" t="s">
        <v>98</v>
      </c>
      <c r="E3377" s="610">
        <f t="shared" ref="E3377" si="71">M3375</f>
        <v>0.5</v>
      </c>
      <c r="F3377" s="611">
        <f>support_equipment_key.safety_belt</f>
        <v>163944</v>
      </c>
      <c r="G3377" s="611">
        <f>E3377*F3377</f>
        <v>81972</v>
      </c>
      <c r="I3377" s="779"/>
      <c r="J3377" s="779"/>
      <c r="K3377" s="779"/>
      <c r="L3377" s="779"/>
      <c r="M3377" s="779"/>
    </row>
    <row r="3378" spans="1:13" ht="15.75" customHeight="1" outlineLevel="2">
      <c r="A3378" s="613"/>
      <c r="B3378" s="612"/>
      <c r="C3378" s="613"/>
      <c r="D3378" s="612"/>
      <c r="E3378" s="613"/>
      <c r="F3378" s="611"/>
      <c r="G3378" s="805">
        <f>SUM(G3373:G3377)</f>
        <v>153258.875</v>
      </c>
      <c r="I3378" s="779"/>
      <c r="J3378" s="779"/>
      <c r="K3378" s="779"/>
      <c r="L3378" s="779"/>
      <c r="M3378" s="779"/>
    </row>
    <row r="3379" spans="1:13" s="779" customFormat="1" ht="15.75" customHeight="1" outlineLevel="1">
      <c r="A3379" s="613" t="s">
        <v>2074</v>
      </c>
      <c r="B3379" s="612">
        <f>B3371+1</f>
        <v>24</v>
      </c>
      <c r="C3379" s="613" t="s">
        <v>4355</v>
      </c>
      <c r="D3379" s="612"/>
      <c r="E3379" s="613"/>
      <c r="F3379" s="611"/>
      <c r="G3379" s="611">
        <f>G3386</f>
        <v>112766.84375</v>
      </c>
      <c r="I3379" s="799">
        <v>2</v>
      </c>
      <c r="J3379" s="800" t="s">
        <v>922</v>
      </c>
      <c r="K3379" s="801">
        <f>0.5/8</f>
        <v>6.25E-2</v>
      </c>
      <c r="L3379" s="802" t="s">
        <v>939</v>
      </c>
      <c r="M3379" s="803">
        <f>I3379*K3379</f>
        <v>0.125</v>
      </c>
    </row>
    <row r="3380" spans="1:13" s="779" customFormat="1" ht="15.75" customHeight="1" outlineLevel="2">
      <c r="A3380" s="613"/>
      <c r="B3380" s="612"/>
      <c r="C3380" s="613" t="s">
        <v>1052</v>
      </c>
      <c r="D3380" s="612"/>
      <c r="E3380" s="613"/>
      <c r="F3380" s="611"/>
      <c r="G3380" s="611"/>
      <c r="I3380" s="799">
        <v>0.5</v>
      </c>
      <c r="J3380" s="800" t="s">
        <v>922</v>
      </c>
      <c r="K3380" s="801">
        <f>0.5/8</f>
        <v>6.25E-2</v>
      </c>
      <c r="L3380" s="802" t="s">
        <v>939</v>
      </c>
      <c r="M3380" s="803">
        <f>I3380*K3380</f>
        <v>3.125E-2</v>
      </c>
    </row>
    <row r="3381" spans="1:13" s="779" customFormat="1" ht="15.75" customHeight="1" outlineLevel="2">
      <c r="A3381" s="613"/>
      <c r="B3381" s="612"/>
      <c r="C3381" s="613" t="s">
        <v>1017</v>
      </c>
      <c r="D3381" s="612" t="s">
        <v>921</v>
      </c>
      <c r="E3381" s="610">
        <f t="shared" ref="E3381:E3382" si="72">M3379</f>
        <v>0.125</v>
      </c>
      <c r="F3381" s="611">
        <f>stringing_worker</f>
        <v>207570.00000000003</v>
      </c>
      <c r="G3381" s="611">
        <f>E3381*F3381</f>
        <v>25946.250000000004</v>
      </c>
      <c r="I3381" s="800"/>
      <c r="J3381" s="800"/>
      <c r="K3381" s="801"/>
      <c r="L3381" s="802"/>
      <c r="M3381" s="803"/>
    </row>
    <row r="3382" spans="1:13" s="779" customFormat="1" ht="15.75" customHeight="1" outlineLevel="2">
      <c r="A3382" s="613"/>
      <c r="B3382" s="612"/>
      <c r="C3382" s="613" t="s">
        <v>1018</v>
      </c>
      <c r="D3382" s="612" t="s">
        <v>921</v>
      </c>
      <c r="E3382" s="610">
        <f t="shared" si="72"/>
        <v>3.125E-2</v>
      </c>
      <c r="F3382" s="611">
        <f>supervisor_Asli</f>
        <v>155155</v>
      </c>
      <c r="G3382" s="611">
        <f>E3382*F3382</f>
        <v>4848.59375</v>
      </c>
      <c r="I3382" s="799"/>
      <c r="J3382" s="800"/>
      <c r="K3382" s="801"/>
      <c r="L3382" s="802"/>
      <c r="M3382" s="803"/>
    </row>
    <row r="3383" spans="1:13" s="779" customFormat="1" ht="15.75" customHeight="1" outlineLevel="2">
      <c r="A3383" s="613"/>
      <c r="B3383" s="612"/>
      <c r="C3383" s="613"/>
      <c r="D3383" s="612"/>
      <c r="E3383" s="613"/>
      <c r="F3383" s="611"/>
      <c r="G3383" s="611">
        <f>E3383*F3383</f>
        <v>0</v>
      </c>
      <c r="I3383" s="799">
        <v>2</v>
      </c>
      <c r="J3383" s="800" t="s">
        <v>2</v>
      </c>
      <c r="K3383" s="801">
        <f>2/8</f>
        <v>0.25</v>
      </c>
      <c r="L3383" s="802" t="s">
        <v>939</v>
      </c>
      <c r="M3383" s="803">
        <f>I3383*K3383</f>
        <v>0.5</v>
      </c>
    </row>
    <row r="3384" spans="1:13" s="779" customFormat="1" ht="15.75" customHeight="1" outlineLevel="2">
      <c r="A3384" s="613"/>
      <c r="B3384" s="612"/>
      <c r="C3384" s="613" t="s">
        <v>114</v>
      </c>
      <c r="D3384" s="612"/>
      <c r="E3384" s="613"/>
      <c r="F3384" s="611"/>
      <c r="G3384" s="611">
        <f>E3384*F3384</f>
        <v>0</v>
      </c>
    </row>
    <row r="3385" spans="1:13" s="779" customFormat="1" ht="15.75" customHeight="1" outlineLevel="2">
      <c r="A3385" s="613"/>
      <c r="B3385" s="612"/>
      <c r="C3385" s="613" t="s">
        <v>1020</v>
      </c>
      <c r="D3385" s="612" t="s">
        <v>98</v>
      </c>
      <c r="E3385" s="610">
        <f t="shared" ref="E3385" si="73">M3383</f>
        <v>0.5</v>
      </c>
      <c r="F3385" s="611">
        <f>support_equipment_key.safety_belt</f>
        <v>163944</v>
      </c>
      <c r="G3385" s="611">
        <f>E3385*F3385</f>
        <v>81972</v>
      </c>
      <c r="I3385" s="633"/>
      <c r="J3385" s="633"/>
      <c r="K3385" s="633"/>
      <c r="L3385" s="633"/>
      <c r="M3385" s="633"/>
    </row>
    <row r="3386" spans="1:13" s="779" customFormat="1" ht="15.75" customHeight="1" outlineLevel="2">
      <c r="A3386" s="613"/>
      <c r="B3386" s="612"/>
      <c r="C3386" s="613"/>
      <c r="D3386" s="612"/>
      <c r="E3386" s="613"/>
      <c r="F3386" s="611"/>
      <c r="G3386" s="805">
        <f>SUM(G3381:G3385)</f>
        <v>112766.84375</v>
      </c>
      <c r="I3386" s="633"/>
      <c r="J3386" s="633"/>
      <c r="K3386" s="633"/>
      <c r="L3386" s="633"/>
      <c r="M3386" s="633"/>
    </row>
    <row r="3387" spans="1:13" ht="15.75" customHeight="1" outlineLevel="1">
      <c r="A3387" s="613" t="s">
        <v>2074</v>
      </c>
      <c r="B3387" s="612">
        <f>B3379+1</f>
        <v>25</v>
      </c>
      <c r="C3387" s="613" t="s">
        <v>1097</v>
      </c>
      <c r="D3387" s="612"/>
      <c r="E3387" s="613"/>
      <c r="F3387" s="611"/>
      <c r="G3387" s="611">
        <f>G3394</f>
        <v>143561.6875</v>
      </c>
      <c r="I3387" s="799">
        <v>2</v>
      </c>
      <c r="J3387" s="800" t="s">
        <v>922</v>
      </c>
      <c r="K3387" s="801">
        <f>1/8</f>
        <v>0.125</v>
      </c>
      <c r="L3387" s="802" t="s">
        <v>939</v>
      </c>
      <c r="M3387" s="803">
        <f>I3387*K3387</f>
        <v>0.25</v>
      </c>
    </row>
    <row r="3388" spans="1:13" ht="15.75" customHeight="1" outlineLevel="2">
      <c r="A3388" s="613"/>
      <c r="B3388" s="612"/>
      <c r="C3388" s="613" t="s">
        <v>1052</v>
      </c>
      <c r="D3388" s="612"/>
      <c r="E3388" s="613"/>
      <c r="F3388" s="611"/>
      <c r="G3388" s="611"/>
      <c r="I3388" s="799">
        <v>0.5</v>
      </c>
      <c r="J3388" s="800" t="s">
        <v>922</v>
      </c>
      <c r="K3388" s="801">
        <f>1/8</f>
        <v>0.125</v>
      </c>
      <c r="L3388" s="802" t="s">
        <v>939</v>
      </c>
      <c r="M3388" s="803">
        <f>I3388*K3388</f>
        <v>6.25E-2</v>
      </c>
    </row>
    <row r="3389" spans="1:13" ht="15.75" customHeight="1" outlineLevel="2">
      <c r="A3389" s="613"/>
      <c r="B3389" s="612"/>
      <c r="C3389" s="613" t="s">
        <v>1017</v>
      </c>
      <c r="D3389" s="612" t="s">
        <v>921</v>
      </c>
      <c r="E3389" s="610">
        <f>M3387</f>
        <v>0.25</v>
      </c>
      <c r="F3389" s="611">
        <f>stringing_worker</f>
        <v>207570.00000000003</v>
      </c>
      <c r="G3389" s="611">
        <f>E3389*F3389</f>
        <v>51892.500000000007</v>
      </c>
      <c r="I3389" s="800"/>
      <c r="J3389" s="800"/>
      <c r="K3389" s="801"/>
      <c r="L3389" s="802"/>
      <c r="M3389" s="803"/>
    </row>
    <row r="3390" spans="1:13" ht="15.75" customHeight="1" outlineLevel="2">
      <c r="A3390" s="613"/>
      <c r="B3390" s="612"/>
      <c r="C3390" s="613" t="s">
        <v>1018</v>
      </c>
      <c r="D3390" s="612" t="s">
        <v>921</v>
      </c>
      <c r="E3390" s="610">
        <f>M3388</f>
        <v>6.25E-2</v>
      </c>
      <c r="F3390" s="611">
        <f>supervisor_Asli</f>
        <v>155155</v>
      </c>
      <c r="G3390" s="611">
        <f>E3390*F3390</f>
        <v>9697.1875</v>
      </c>
      <c r="I3390" s="799"/>
      <c r="J3390" s="800"/>
      <c r="K3390" s="801"/>
      <c r="L3390" s="802"/>
      <c r="M3390" s="803"/>
    </row>
    <row r="3391" spans="1:13" ht="15.75" customHeight="1" outlineLevel="2">
      <c r="A3391" s="613"/>
      <c r="B3391" s="612"/>
      <c r="C3391" s="613"/>
      <c r="D3391" s="612"/>
      <c r="E3391" s="610"/>
      <c r="F3391" s="611"/>
      <c r="G3391" s="611">
        <f>E3391*F3391</f>
        <v>0</v>
      </c>
      <c r="I3391" s="799">
        <v>2</v>
      </c>
      <c r="J3391" s="800" t="s">
        <v>2</v>
      </c>
      <c r="K3391" s="801">
        <f>2/8</f>
        <v>0.25</v>
      </c>
      <c r="L3391" s="802" t="s">
        <v>939</v>
      </c>
      <c r="M3391" s="803">
        <f>I3391*K3391</f>
        <v>0.5</v>
      </c>
    </row>
    <row r="3392" spans="1:13" ht="15.75" customHeight="1" outlineLevel="2">
      <c r="A3392" s="613"/>
      <c r="B3392" s="612"/>
      <c r="C3392" s="613" t="s">
        <v>114</v>
      </c>
      <c r="D3392" s="612"/>
      <c r="E3392" s="610"/>
      <c r="F3392" s="611"/>
      <c r="G3392" s="611">
        <f>E3392*F3392</f>
        <v>0</v>
      </c>
    </row>
    <row r="3393" spans="1:13" ht="15.75" customHeight="1" outlineLevel="2">
      <c r="A3393" s="613"/>
      <c r="B3393" s="612"/>
      <c r="C3393" s="613" t="s">
        <v>1020</v>
      </c>
      <c r="D3393" s="612" t="s">
        <v>98</v>
      </c>
      <c r="E3393" s="610">
        <f>M3391</f>
        <v>0.5</v>
      </c>
      <c r="F3393" s="611">
        <f>support_equipment_key.safety_belt</f>
        <v>163944</v>
      </c>
      <c r="G3393" s="611">
        <f>E3393*F3393</f>
        <v>81972</v>
      </c>
    </row>
    <row r="3394" spans="1:13" ht="15.75" customHeight="1" outlineLevel="2">
      <c r="A3394" s="613"/>
      <c r="B3394" s="612"/>
      <c r="C3394" s="613"/>
      <c r="D3394" s="612"/>
      <c r="E3394" s="613"/>
      <c r="F3394" s="611"/>
      <c r="G3394" s="805">
        <f>SUM(G3389:G3393)</f>
        <v>143561.6875</v>
      </c>
    </row>
    <row r="3395" spans="1:13" ht="15.75" customHeight="1" outlineLevel="1">
      <c r="A3395" s="613" t="s">
        <v>2074</v>
      </c>
      <c r="B3395" s="612">
        <f>B3387+1</f>
        <v>26</v>
      </c>
      <c r="C3395" s="613" t="s">
        <v>1096</v>
      </c>
      <c r="D3395" s="612"/>
      <c r="E3395" s="613"/>
      <c r="F3395" s="611"/>
      <c r="G3395" s="611">
        <f>G3402</f>
        <v>205151.375</v>
      </c>
      <c r="I3395" s="799">
        <v>2</v>
      </c>
      <c r="J3395" s="800" t="s">
        <v>922</v>
      </c>
      <c r="K3395" s="801">
        <f>2/8</f>
        <v>0.25</v>
      </c>
      <c r="L3395" s="802" t="s">
        <v>939</v>
      </c>
      <c r="M3395" s="803">
        <f>I3395*K3395</f>
        <v>0.5</v>
      </c>
    </row>
    <row r="3396" spans="1:13" ht="15.75" customHeight="1" outlineLevel="2">
      <c r="A3396" s="613"/>
      <c r="B3396" s="612"/>
      <c r="C3396" s="613" t="s">
        <v>1052</v>
      </c>
      <c r="D3396" s="612"/>
      <c r="E3396" s="613"/>
      <c r="F3396" s="611"/>
      <c r="G3396" s="611"/>
      <c r="I3396" s="799">
        <v>0.5</v>
      </c>
      <c r="J3396" s="800" t="s">
        <v>922</v>
      </c>
      <c r="K3396" s="801">
        <f t="shared" ref="K3396" si="74">2/8</f>
        <v>0.25</v>
      </c>
      <c r="L3396" s="802" t="s">
        <v>939</v>
      </c>
      <c r="M3396" s="803">
        <f>I3396*K3396</f>
        <v>0.125</v>
      </c>
    </row>
    <row r="3397" spans="1:13" ht="15.75" customHeight="1" outlineLevel="2">
      <c r="A3397" s="613"/>
      <c r="B3397" s="612"/>
      <c r="C3397" s="613" t="s">
        <v>1017</v>
      </c>
      <c r="D3397" s="612" t="s">
        <v>921</v>
      </c>
      <c r="E3397" s="610">
        <f t="shared" ref="E3397:E3398" si="75">M3395</f>
        <v>0.5</v>
      </c>
      <c r="F3397" s="611">
        <f>stringing_worker</f>
        <v>207570.00000000003</v>
      </c>
      <c r="G3397" s="611">
        <f>E3397*F3397</f>
        <v>103785.00000000001</v>
      </c>
      <c r="I3397" s="799"/>
      <c r="J3397" s="800"/>
      <c r="K3397" s="801"/>
      <c r="L3397" s="802"/>
      <c r="M3397" s="803"/>
    </row>
    <row r="3398" spans="1:13" ht="15.75" customHeight="1" outlineLevel="2">
      <c r="A3398" s="613"/>
      <c r="B3398" s="612"/>
      <c r="C3398" s="613" t="s">
        <v>1018</v>
      </c>
      <c r="D3398" s="612" t="s">
        <v>921</v>
      </c>
      <c r="E3398" s="610">
        <f t="shared" si="75"/>
        <v>0.125</v>
      </c>
      <c r="F3398" s="611">
        <f>supervisor_Asli</f>
        <v>155155</v>
      </c>
      <c r="G3398" s="611">
        <f>E3398*F3398</f>
        <v>19394.375</v>
      </c>
      <c r="I3398" s="800"/>
      <c r="J3398" s="800"/>
      <c r="K3398" s="801"/>
      <c r="L3398" s="802"/>
      <c r="M3398" s="803"/>
    </row>
    <row r="3399" spans="1:13" ht="15.75" customHeight="1" outlineLevel="2">
      <c r="A3399" s="613"/>
      <c r="B3399" s="612"/>
      <c r="C3399" s="613"/>
      <c r="D3399" s="612"/>
      <c r="E3399" s="613"/>
      <c r="F3399" s="611"/>
      <c r="G3399" s="611">
        <f>E3399*F3399</f>
        <v>0</v>
      </c>
      <c r="I3399" s="799">
        <v>2</v>
      </c>
      <c r="J3399" s="800" t="s">
        <v>2</v>
      </c>
      <c r="K3399" s="801">
        <f>2/8</f>
        <v>0.25</v>
      </c>
      <c r="L3399" s="802" t="s">
        <v>939</v>
      </c>
      <c r="M3399" s="803">
        <f>I3399*K3399</f>
        <v>0.5</v>
      </c>
    </row>
    <row r="3400" spans="1:13" ht="15.75" customHeight="1" outlineLevel="2">
      <c r="A3400" s="613"/>
      <c r="B3400" s="612"/>
      <c r="C3400" s="613" t="s">
        <v>114</v>
      </c>
      <c r="D3400" s="612"/>
      <c r="E3400" s="613"/>
      <c r="F3400" s="611"/>
      <c r="G3400" s="611">
        <f>E3400*F3400</f>
        <v>0</v>
      </c>
    </row>
    <row r="3401" spans="1:13" ht="15.75" customHeight="1" outlineLevel="2">
      <c r="A3401" s="613"/>
      <c r="B3401" s="612"/>
      <c r="C3401" s="613" t="s">
        <v>1020</v>
      </c>
      <c r="D3401" s="612" t="s">
        <v>98</v>
      </c>
      <c r="E3401" s="613">
        <f t="shared" ref="E3401" si="76">M3399</f>
        <v>0.5</v>
      </c>
      <c r="F3401" s="611">
        <f>support_equipment_key.safety_belt</f>
        <v>163944</v>
      </c>
      <c r="G3401" s="611">
        <f>E3401*F3401</f>
        <v>81972</v>
      </c>
    </row>
    <row r="3402" spans="1:13" ht="15.75" customHeight="1" outlineLevel="2">
      <c r="A3402" s="613"/>
      <c r="B3402" s="612"/>
      <c r="C3402" s="613"/>
      <c r="D3402" s="612"/>
      <c r="E3402" s="613"/>
      <c r="F3402" s="611"/>
      <c r="G3402" s="805">
        <f>SUM(G3397:G3401)</f>
        <v>205151.375</v>
      </c>
    </row>
    <row r="3403" spans="1:13" ht="15.75" customHeight="1" outlineLevel="1">
      <c r="A3403" s="613" t="s">
        <v>2074</v>
      </c>
      <c r="B3403" s="612">
        <f>B3395+1</f>
        <v>27</v>
      </c>
      <c r="C3403" s="613" t="s">
        <v>1095</v>
      </c>
      <c r="D3403" s="612"/>
      <c r="E3403" s="613"/>
      <c r="F3403" s="611"/>
      <c r="G3403" s="611">
        <f>G3410</f>
        <v>174356.53125</v>
      </c>
      <c r="I3403" s="799">
        <v>2</v>
      </c>
      <c r="J3403" s="800" t="s">
        <v>922</v>
      </c>
      <c r="K3403" s="801">
        <f>1.5/8</f>
        <v>0.1875</v>
      </c>
      <c r="L3403" s="802" t="s">
        <v>939</v>
      </c>
      <c r="M3403" s="803">
        <f>I3403*K3403</f>
        <v>0.375</v>
      </c>
    </row>
    <row r="3404" spans="1:13" ht="15.75" customHeight="1" outlineLevel="2">
      <c r="A3404" s="613"/>
      <c r="B3404" s="612"/>
      <c r="C3404" s="613" t="s">
        <v>1052</v>
      </c>
      <c r="D3404" s="612"/>
      <c r="E3404" s="613"/>
      <c r="F3404" s="611"/>
      <c r="G3404" s="611"/>
      <c r="I3404" s="799">
        <v>0.5</v>
      </c>
      <c r="J3404" s="800" t="s">
        <v>922</v>
      </c>
      <c r="K3404" s="801">
        <f>1.5/8</f>
        <v>0.1875</v>
      </c>
      <c r="L3404" s="802" t="s">
        <v>939</v>
      </c>
      <c r="M3404" s="803">
        <f>I3404*K3404</f>
        <v>9.375E-2</v>
      </c>
    </row>
    <row r="3405" spans="1:13" ht="15.75" customHeight="1" outlineLevel="2">
      <c r="A3405" s="613"/>
      <c r="B3405" s="612"/>
      <c r="C3405" s="613" t="s">
        <v>1017</v>
      </c>
      <c r="D3405" s="612" t="s">
        <v>921</v>
      </c>
      <c r="E3405" s="610">
        <f t="shared" ref="E3405:E3406" si="77">M3403</f>
        <v>0.375</v>
      </c>
      <c r="F3405" s="611">
        <f>stringing_worker</f>
        <v>207570.00000000003</v>
      </c>
      <c r="G3405" s="611">
        <f>E3405*F3405</f>
        <v>77838.750000000015</v>
      </c>
      <c r="I3405" s="799"/>
      <c r="J3405" s="800"/>
      <c r="K3405" s="801"/>
      <c r="L3405" s="802"/>
      <c r="M3405" s="803"/>
    </row>
    <row r="3406" spans="1:13" ht="15.75" customHeight="1" outlineLevel="2">
      <c r="A3406" s="613"/>
      <c r="B3406" s="612"/>
      <c r="C3406" s="613" t="s">
        <v>1018</v>
      </c>
      <c r="D3406" s="612" t="s">
        <v>921</v>
      </c>
      <c r="E3406" s="610">
        <f t="shared" si="77"/>
        <v>9.375E-2</v>
      </c>
      <c r="F3406" s="611">
        <f>supervisor_Asli</f>
        <v>155155</v>
      </c>
      <c r="G3406" s="611">
        <f>E3406*F3406</f>
        <v>14545.78125</v>
      </c>
      <c r="I3406" s="800"/>
      <c r="J3406" s="800"/>
      <c r="K3406" s="801"/>
      <c r="L3406" s="802"/>
      <c r="M3406" s="803"/>
    </row>
    <row r="3407" spans="1:13" ht="15.75" customHeight="1" outlineLevel="2">
      <c r="A3407" s="613"/>
      <c r="B3407" s="612"/>
      <c r="C3407" s="613"/>
      <c r="D3407" s="612"/>
      <c r="E3407" s="613"/>
      <c r="F3407" s="611"/>
      <c r="G3407" s="611">
        <f>E3407*F3407</f>
        <v>0</v>
      </c>
      <c r="I3407" s="799">
        <v>2</v>
      </c>
      <c r="J3407" s="800" t="s">
        <v>2</v>
      </c>
      <c r="K3407" s="801">
        <f>2/8</f>
        <v>0.25</v>
      </c>
      <c r="L3407" s="802" t="s">
        <v>939</v>
      </c>
      <c r="M3407" s="803">
        <f>I3407*K3407</f>
        <v>0.5</v>
      </c>
    </row>
    <row r="3408" spans="1:13" ht="15.75" customHeight="1" outlineLevel="2">
      <c r="A3408" s="613"/>
      <c r="B3408" s="612"/>
      <c r="C3408" s="613" t="s">
        <v>114</v>
      </c>
      <c r="D3408" s="612"/>
      <c r="E3408" s="613"/>
      <c r="F3408" s="611"/>
      <c r="G3408" s="611">
        <f>E3408*F3408</f>
        <v>0</v>
      </c>
    </row>
    <row r="3409" spans="1:14" ht="15.75" customHeight="1" outlineLevel="2">
      <c r="A3409" s="613"/>
      <c r="B3409" s="612"/>
      <c r="C3409" s="613" t="s">
        <v>1020</v>
      </c>
      <c r="D3409" s="612" t="s">
        <v>98</v>
      </c>
      <c r="E3409" s="610">
        <f t="shared" ref="E3409" si="78">M3407</f>
        <v>0.5</v>
      </c>
      <c r="F3409" s="611">
        <f>support_equipment_key.safety_belt</f>
        <v>163944</v>
      </c>
      <c r="G3409" s="611">
        <f>E3409*F3409</f>
        <v>81972</v>
      </c>
    </row>
    <row r="3410" spans="1:14" ht="15.75" customHeight="1" outlineLevel="2">
      <c r="A3410" s="613"/>
      <c r="B3410" s="612"/>
      <c r="C3410" s="613"/>
      <c r="D3410" s="612"/>
      <c r="E3410" s="613"/>
      <c r="F3410" s="611"/>
      <c r="G3410" s="805">
        <f>SUM(G3405:G3409)</f>
        <v>174356.53125</v>
      </c>
    </row>
    <row r="3411" spans="1:14" ht="15.75" customHeight="1" outlineLevel="1">
      <c r="A3411" s="613" t="s">
        <v>2074</v>
      </c>
      <c r="B3411" s="612">
        <f>B3403+1</f>
        <v>28</v>
      </c>
      <c r="C3411" s="613" t="s">
        <v>1094</v>
      </c>
      <c r="D3411" s="612"/>
      <c r="E3411" s="613"/>
      <c r="F3411" s="611"/>
      <c r="G3411" s="611">
        <f>G3418</f>
        <v>224545.75</v>
      </c>
      <c r="I3411" s="799">
        <v>2</v>
      </c>
      <c r="J3411" s="800" t="s">
        <v>922</v>
      </c>
      <c r="K3411" s="801">
        <f>2/8</f>
        <v>0.25</v>
      </c>
      <c r="L3411" s="802" t="s">
        <v>939</v>
      </c>
      <c r="M3411" s="803">
        <f>I3411*K3411</f>
        <v>0.5</v>
      </c>
    </row>
    <row r="3412" spans="1:14" ht="15.75" customHeight="1" outlineLevel="2">
      <c r="A3412" s="613"/>
      <c r="B3412" s="612"/>
      <c r="C3412" s="613" t="s">
        <v>1052</v>
      </c>
      <c r="D3412" s="612"/>
      <c r="E3412" s="613"/>
      <c r="F3412" s="611"/>
      <c r="G3412" s="611"/>
      <c r="I3412" s="799">
        <v>1</v>
      </c>
      <c r="J3412" s="800" t="s">
        <v>922</v>
      </c>
      <c r="K3412" s="801">
        <f>2/8</f>
        <v>0.25</v>
      </c>
      <c r="L3412" s="802" t="s">
        <v>939</v>
      </c>
      <c r="M3412" s="803">
        <f>I3412*K3412</f>
        <v>0.25</v>
      </c>
    </row>
    <row r="3413" spans="1:14" ht="15.75" customHeight="1" outlineLevel="2">
      <c r="A3413" s="613"/>
      <c r="B3413" s="612"/>
      <c r="C3413" s="613" t="s">
        <v>1017</v>
      </c>
      <c r="D3413" s="612" t="s">
        <v>921</v>
      </c>
      <c r="E3413" s="610">
        <f t="shared" ref="E3413:E3414" si="79">M3411</f>
        <v>0.5</v>
      </c>
      <c r="F3413" s="611">
        <f>stringing_worker</f>
        <v>207570.00000000003</v>
      </c>
      <c r="G3413" s="611">
        <f>E3413*F3413</f>
        <v>103785.00000000001</v>
      </c>
      <c r="I3413" s="799"/>
      <c r="J3413" s="800"/>
      <c r="K3413" s="801"/>
      <c r="L3413" s="802"/>
      <c r="M3413" s="803"/>
    </row>
    <row r="3414" spans="1:14" ht="15.75" customHeight="1" outlineLevel="2">
      <c r="A3414" s="613"/>
      <c r="B3414" s="612"/>
      <c r="C3414" s="613" t="s">
        <v>1018</v>
      </c>
      <c r="D3414" s="612" t="s">
        <v>921</v>
      </c>
      <c r="E3414" s="610">
        <f t="shared" si="79"/>
        <v>0.25</v>
      </c>
      <c r="F3414" s="611">
        <f>supervisor_Asli</f>
        <v>155155</v>
      </c>
      <c r="G3414" s="611">
        <f>E3414*F3414</f>
        <v>38788.75</v>
      </c>
      <c r="I3414" s="800"/>
      <c r="J3414" s="800"/>
      <c r="K3414" s="801"/>
      <c r="L3414" s="802"/>
      <c r="M3414" s="803"/>
    </row>
    <row r="3415" spans="1:14" ht="15.75" customHeight="1" outlineLevel="2">
      <c r="A3415" s="613"/>
      <c r="B3415" s="612"/>
      <c r="C3415" s="613"/>
      <c r="D3415" s="612"/>
      <c r="E3415" s="613"/>
      <c r="F3415" s="611"/>
      <c r="G3415" s="611">
        <f>E3415*F3415</f>
        <v>0</v>
      </c>
      <c r="I3415" s="799">
        <v>2</v>
      </c>
      <c r="J3415" s="800" t="s">
        <v>2</v>
      </c>
      <c r="K3415" s="801">
        <f>2/8</f>
        <v>0.25</v>
      </c>
      <c r="L3415" s="802" t="s">
        <v>939</v>
      </c>
      <c r="M3415" s="803">
        <f>I3415*K3415</f>
        <v>0.5</v>
      </c>
    </row>
    <row r="3416" spans="1:14" ht="15.75" customHeight="1" outlineLevel="2">
      <c r="A3416" s="613"/>
      <c r="B3416" s="612"/>
      <c r="C3416" s="613" t="s">
        <v>114</v>
      </c>
      <c r="D3416" s="612"/>
      <c r="E3416" s="613"/>
      <c r="F3416" s="611"/>
      <c r="G3416" s="611">
        <f>E3416*F3416</f>
        <v>0</v>
      </c>
    </row>
    <row r="3417" spans="1:14" ht="15.75" customHeight="1" outlineLevel="2">
      <c r="A3417" s="613"/>
      <c r="B3417" s="612"/>
      <c r="C3417" s="613" t="s">
        <v>1020</v>
      </c>
      <c r="D3417" s="612" t="s">
        <v>98</v>
      </c>
      <c r="E3417" s="610">
        <f t="shared" ref="E3417" si="80">M3415</f>
        <v>0.5</v>
      </c>
      <c r="F3417" s="611">
        <f>support_equipment_key.safety_belt</f>
        <v>163944</v>
      </c>
      <c r="G3417" s="611">
        <f>E3417*F3417</f>
        <v>81972</v>
      </c>
      <c r="J3417" s="1200" t="s">
        <v>1079</v>
      </c>
      <c r="K3417" s="1200"/>
      <c r="L3417" s="1200" t="s">
        <v>1078</v>
      </c>
      <c r="M3417" s="1200"/>
    </row>
    <row r="3418" spans="1:14" ht="15.75" customHeight="1" outlineLevel="2">
      <c r="A3418" s="613"/>
      <c r="B3418" s="612"/>
      <c r="C3418" s="613"/>
      <c r="D3418" s="612"/>
      <c r="E3418" s="613"/>
      <c r="F3418" s="611"/>
      <c r="G3418" s="805">
        <f>SUM(G3413:G3417)</f>
        <v>224545.75</v>
      </c>
      <c r="J3418" s="633">
        <v>2</v>
      </c>
      <c r="K3418" s="633" t="s">
        <v>922</v>
      </c>
      <c r="L3418" s="633">
        <f>0.5/8</f>
        <v>6.25E-2</v>
      </c>
      <c r="M3418" s="633" t="s">
        <v>939</v>
      </c>
    </row>
    <row r="3419" spans="1:14" ht="15.75" hidden="1" customHeight="1" outlineLevel="2">
      <c r="A3419" s="613"/>
      <c r="B3419" s="612"/>
      <c r="C3419" s="613" t="s">
        <v>1052</v>
      </c>
      <c r="D3419" s="612"/>
      <c r="E3419" s="613"/>
      <c r="F3419" s="611"/>
      <c r="G3419" s="611"/>
      <c r="J3419" s="633">
        <v>0.5</v>
      </c>
      <c r="K3419" s="633" t="s">
        <v>922</v>
      </c>
      <c r="L3419" s="633">
        <f>0.5/8</f>
        <v>6.25E-2</v>
      </c>
      <c r="M3419" s="633" t="s">
        <v>939</v>
      </c>
      <c r="N3419" s="633" t="s">
        <v>4317</v>
      </c>
    </row>
    <row r="3420" spans="1:14" ht="15.75" hidden="1" customHeight="1" outlineLevel="2">
      <c r="A3420" s="613"/>
      <c r="B3420" s="612"/>
      <c r="C3420" s="613" t="s">
        <v>1017</v>
      </c>
      <c r="D3420" s="612" t="s">
        <v>921</v>
      </c>
      <c r="E3420" s="613">
        <v>0.25</v>
      </c>
      <c r="F3420" s="611">
        <f>stringing_worker</f>
        <v>207570.00000000003</v>
      </c>
      <c r="G3420" s="611">
        <f>E3420*F3420</f>
        <v>51892.500000000007</v>
      </c>
      <c r="N3420" s="633">
        <f>J3418*L3418</f>
        <v>0.125</v>
      </c>
    </row>
    <row r="3421" spans="1:14" ht="15.75" hidden="1" customHeight="1" outlineLevel="2">
      <c r="A3421" s="613"/>
      <c r="B3421" s="612"/>
      <c r="C3421" s="613" t="s">
        <v>1018</v>
      </c>
      <c r="D3421" s="612" t="s">
        <v>921</v>
      </c>
      <c r="E3421" s="613">
        <v>0.1</v>
      </c>
      <c r="F3421" s="611">
        <f>supervisor_Asli</f>
        <v>155155</v>
      </c>
      <c r="G3421" s="611">
        <f>E3421*F3421</f>
        <v>15515.5</v>
      </c>
      <c r="N3421" s="633">
        <f>J3419*L3419</f>
        <v>3.125E-2</v>
      </c>
    </row>
    <row r="3422" spans="1:14" ht="15.75" hidden="1" customHeight="1" outlineLevel="2">
      <c r="A3422" s="613"/>
      <c r="B3422" s="612"/>
      <c r="C3422" s="613"/>
      <c r="D3422" s="612"/>
      <c r="E3422" s="613"/>
      <c r="F3422" s="611"/>
      <c r="G3422" s="611">
        <f>E3422*F3422</f>
        <v>0</v>
      </c>
      <c r="J3422" s="633">
        <v>2</v>
      </c>
      <c r="K3422" s="633" t="s">
        <v>2</v>
      </c>
      <c r="L3422" s="633">
        <f>2/8</f>
        <v>0.25</v>
      </c>
      <c r="M3422" s="633" t="s">
        <v>939</v>
      </c>
    </row>
    <row r="3423" spans="1:14" ht="15.75" hidden="1" customHeight="1" outlineLevel="2">
      <c r="A3423" s="613"/>
      <c r="B3423" s="612"/>
      <c r="C3423" s="613" t="s">
        <v>114</v>
      </c>
      <c r="D3423" s="612"/>
      <c r="E3423" s="613"/>
      <c r="F3423" s="611"/>
      <c r="G3423" s="611">
        <f>E3423*F3423</f>
        <v>0</v>
      </c>
    </row>
    <row r="3424" spans="1:14" ht="15.75" hidden="1" customHeight="1" outlineLevel="2">
      <c r="A3424" s="613"/>
      <c r="B3424" s="612"/>
      <c r="C3424" s="613" t="s">
        <v>1020</v>
      </c>
      <c r="D3424" s="612" t="s">
        <v>98</v>
      </c>
      <c r="E3424" s="613">
        <v>0.5</v>
      </c>
      <c r="F3424" s="611">
        <f>support_equipment_key.safety_belt</f>
        <v>163944</v>
      </c>
      <c r="G3424" s="611">
        <f>E3424*F3424</f>
        <v>81972</v>
      </c>
      <c r="N3424" s="633">
        <f>J3422*L3422</f>
        <v>0.5</v>
      </c>
    </row>
    <row r="3425" spans="1:13" ht="15.75" hidden="1" customHeight="1" outlineLevel="2">
      <c r="A3425" s="613"/>
      <c r="B3425" s="612"/>
      <c r="C3425" s="613"/>
      <c r="D3425" s="612"/>
      <c r="E3425" s="613"/>
      <c r="F3425" s="611"/>
      <c r="G3425" s="611">
        <f>SUM(G3420:G3424)</f>
        <v>149380</v>
      </c>
      <c r="J3425" s="1200"/>
      <c r="K3425" s="1200"/>
      <c r="L3425" s="1200"/>
      <c r="M3425" s="1200"/>
    </row>
    <row r="3426" spans="1:13" ht="15.75" customHeight="1" outlineLevel="1">
      <c r="A3426" s="613" t="s">
        <v>2074</v>
      </c>
      <c r="B3426" s="609">
        <f>B3411+1</f>
        <v>29</v>
      </c>
      <c r="C3426" s="613" t="s">
        <v>1092</v>
      </c>
      <c r="D3426" s="612"/>
      <c r="E3426" s="613"/>
      <c r="F3426" s="611"/>
      <c r="G3426" s="611">
        <f>G3433</f>
        <v>224545.75</v>
      </c>
      <c r="I3426" s="799">
        <v>2</v>
      </c>
      <c r="J3426" s="800" t="s">
        <v>922</v>
      </c>
      <c r="K3426" s="801">
        <f>2/8</f>
        <v>0.25</v>
      </c>
      <c r="L3426" s="802" t="s">
        <v>939</v>
      </c>
      <c r="M3426" s="803">
        <f>I3426*K3426</f>
        <v>0.5</v>
      </c>
    </row>
    <row r="3427" spans="1:13" ht="15.75" customHeight="1" outlineLevel="2">
      <c r="A3427" s="613"/>
      <c r="B3427" s="612"/>
      <c r="C3427" s="613" t="s">
        <v>1052</v>
      </c>
      <c r="D3427" s="612"/>
      <c r="E3427" s="613"/>
      <c r="F3427" s="611"/>
      <c r="G3427" s="611"/>
      <c r="I3427" s="799">
        <v>1</v>
      </c>
      <c r="J3427" s="800" t="s">
        <v>922</v>
      </c>
      <c r="K3427" s="801">
        <f>2/8</f>
        <v>0.25</v>
      </c>
      <c r="L3427" s="802" t="s">
        <v>939</v>
      </c>
      <c r="M3427" s="803">
        <f>I3427*K3427</f>
        <v>0.25</v>
      </c>
    </row>
    <row r="3428" spans="1:13" ht="15.75" customHeight="1" outlineLevel="2">
      <c r="A3428" s="613"/>
      <c r="B3428" s="612"/>
      <c r="C3428" s="613" t="s">
        <v>1017</v>
      </c>
      <c r="D3428" s="612" t="s">
        <v>921</v>
      </c>
      <c r="E3428" s="610">
        <f>M3426</f>
        <v>0.5</v>
      </c>
      <c r="F3428" s="611">
        <f>stringing_worker</f>
        <v>207570.00000000003</v>
      </c>
      <c r="G3428" s="611">
        <f>E3428*F3428</f>
        <v>103785.00000000001</v>
      </c>
      <c r="I3428" s="800"/>
      <c r="J3428" s="800"/>
      <c r="K3428" s="801"/>
      <c r="L3428" s="802"/>
      <c r="M3428" s="803"/>
    </row>
    <row r="3429" spans="1:13" ht="15.75" customHeight="1" outlineLevel="2">
      <c r="A3429" s="613"/>
      <c r="B3429" s="612"/>
      <c r="C3429" s="613" t="s">
        <v>1018</v>
      </c>
      <c r="D3429" s="612" t="s">
        <v>921</v>
      </c>
      <c r="E3429" s="610">
        <f>M3427</f>
        <v>0.25</v>
      </c>
      <c r="F3429" s="611">
        <f>supervisor_Asli</f>
        <v>155155</v>
      </c>
      <c r="G3429" s="611">
        <f>E3429*F3429</f>
        <v>38788.75</v>
      </c>
      <c r="I3429" s="799"/>
      <c r="J3429" s="800"/>
      <c r="K3429" s="801"/>
      <c r="L3429" s="802"/>
      <c r="M3429" s="803"/>
    </row>
    <row r="3430" spans="1:13" ht="15.75" customHeight="1" outlineLevel="2">
      <c r="A3430" s="613"/>
      <c r="B3430" s="612"/>
      <c r="C3430" s="613"/>
      <c r="D3430" s="612"/>
      <c r="E3430" s="610"/>
      <c r="F3430" s="611"/>
      <c r="G3430" s="611">
        <f>E3430*F3430</f>
        <v>0</v>
      </c>
      <c r="I3430" s="799">
        <v>2</v>
      </c>
      <c r="J3430" s="800" t="s">
        <v>2</v>
      </c>
      <c r="K3430" s="801">
        <f>2/8</f>
        <v>0.25</v>
      </c>
      <c r="L3430" s="802" t="s">
        <v>939</v>
      </c>
      <c r="M3430" s="803">
        <f>I3430*K3430</f>
        <v>0.5</v>
      </c>
    </row>
    <row r="3431" spans="1:13" ht="15.75" customHeight="1" outlineLevel="2">
      <c r="A3431" s="613"/>
      <c r="B3431" s="612"/>
      <c r="C3431" s="613" t="s">
        <v>114</v>
      </c>
      <c r="D3431" s="612"/>
      <c r="E3431" s="610"/>
      <c r="F3431" s="611"/>
      <c r="G3431" s="611">
        <f>E3431*F3431</f>
        <v>0</v>
      </c>
    </row>
    <row r="3432" spans="1:13" ht="15.75" customHeight="1" outlineLevel="2">
      <c r="A3432" s="613"/>
      <c r="B3432" s="612"/>
      <c r="C3432" s="613" t="s">
        <v>1020</v>
      </c>
      <c r="D3432" s="612" t="s">
        <v>98</v>
      </c>
      <c r="E3432" s="610">
        <f>M3430</f>
        <v>0.5</v>
      </c>
      <c r="F3432" s="611">
        <f>support_equipment_key.safety_belt</f>
        <v>163944</v>
      </c>
      <c r="G3432" s="611">
        <f>E3432*F3432</f>
        <v>81972</v>
      </c>
    </row>
    <row r="3433" spans="1:13" ht="15.75" customHeight="1" outlineLevel="2">
      <c r="A3433" s="613"/>
      <c r="B3433" s="612"/>
      <c r="C3433" s="613"/>
      <c r="D3433" s="612"/>
      <c r="E3433" s="613"/>
      <c r="F3433" s="611"/>
      <c r="G3433" s="805">
        <f>SUM(G3428:G3432)</f>
        <v>224545.75</v>
      </c>
      <c r="J3433" s="1200"/>
      <c r="K3433" s="1200"/>
      <c r="L3433" s="1200"/>
      <c r="M3433" s="1200"/>
    </row>
    <row r="3434" spans="1:13" ht="15.75" customHeight="1" outlineLevel="1">
      <c r="A3434" s="613" t="s">
        <v>2074</v>
      </c>
      <c r="B3434" s="609">
        <f>B3426+1</f>
        <v>30</v>
      </c>
      <c r="C3434" s="613" t="s">
        <v>1091</v>
      </c>
      <c r="D3434" s="612"/>
      <c r="E3434" s="613"/>
      <c r="F3434" s="611"/>
      <c r="G3434" s="611">
        <f>G3441</f>
        <v>224545.75</v>
      </c>
      <c r="I3434" s="799">
        <v>2</v>
      </c>
      <c r="J3434" s="800" t="s">
        <v>922</v>
      </c>
      <c r="K3434" s="801">
        <f>2/8</f>
        <v>0.25</v>
      </c>
      <c r="L3434" s="802" t="s">
        <v>939</v>
      </c>
      <c r="M3434" s="803">
        <f>I3434*K3434</f>
        <v>0.5</v>
      </c>
    </row>
    <row r="3435" spans="1:13" ht="15.75" customHeight="1" outlineLevel="2">
      <c r="A3435" s="613"/>
      <c r="B3435" s="612"/>
      <c r="C3435" s="613" t="s">
        <v>1052</v>
      </c>
      <c r="D3435" s="612"/>
      <c r="E3435" s="613"/>
      <c r="F3435" s="611"/>
      <c r="G3435" s="611"/>
      <c r="I3435" s="799">
        <v>1</v>
      </c>
      <c r="J3435" s="800" t="s">
        <v>922</v>
      </c>
      <c r="K3435" s="801">
        <f>2/8</f>
        <v>0.25</v>
      </c>
      <c r="L3435" s="802" t="s">
        <v>939</v>
      </c>
      <c r="M3435" s="803">
        <f>I3435*K3435</f>
        <v>0.25</v>
      </c>
    </row>
    <row r="3436" spans="1:13" ht="15.75" customHeight="1" outlineLevel="2">
      <c r="A3436" s="613"/>
      <c r="B3436" s="612"/>
      <c r="C3436" s="613" t="s">
        <v>1017</v>
      </c>
      <c r="D3436" s="612" t="s">
        <v>921</v>
      </c>
      <c r="E3436" s="610">
        <f t="shared" ref="E3436:E3437" si="81">M3434</f>
        <v>0.5</v>
      </c>
      <c r="F3436" s="611">
        <f>stringing_worker</f>
        <v>207570.00000000003</v>
      </c>
      <c r="G3436" s="611">
        <f>E3436*F3436</f>
        <v>103785.00000000001</v>
      </c>
      <c r="I3436" s="800"/>
      <c r="J3436" s="800"/>
      <c r="K3436" s="801"/>
      <c r="L3436" s="802"/>
      <c r="M3436" s="803"/>
    </row>
    <row r="3437" spans="1:13" ht="15.75" customHeight="1" outlineLevel="2">
      <c r="A3437" s="613"/>
      <c r="B3437" s="612"/>
      <c r="C3437" s="613" t="s">
        <v>1018</v>
      </c>
      <c r="D3437" s="612" t="s">
        <v>921</v>
      </c>
      <c r="E3437" s="610">
        <f t="shared" si="81"/>
        <v>0.25</v>
      </c>
      <c r="F3437" s="611">
        <f>supervisor_Asli</f>
        <v>155155</v>
      </c>
      <c r="G3437" s="611">
        <f>E3437*F3437</f>
        <v>38788.75</v>
      </c>
      <c r="I3437" s="799"/>
      <c r="J3437" s="800"/>
      <c r="K3437" s="801"/>
      <c r="L3437" s="802"/>
      <c r="M3437" s="803"/>
    </row>
    <row r="3438" spans="1:13" ht="15.75" customHeight="1" outlineLevel="2">
      <c r="A3438" s="613"/>
      <c r="B3438" s="612"/>
      <c r="C3438" s="613"/>
      <c r="D3438" s="612"/>
      <c r="E3438" s="613"/>
      <c r="F3438" s="611"/>
      <c r="G3438" s="611">
        <f>E3438*F3438</f>
        <v>0</v>
      </c>
      <c r="I3438" s="799">
        <v>2</v>
      </c>
      <c r="J3438" s="800" t="s">
        <v>2</v>
      </c>
      <c r="K3438" s="801">
        <f>2/8</f>
        <v>0.25</v>
      </c>
      <c r="L3438" s="802" t="s">
        <v>939</v>
      </c>
      <c r="M3438" s="803">
        <f>I3438*K3438</f>
        <v>0.5</v>
      </c>
    </row>
    <row r="3439" spans="1:13" ht="15.75" customHeight="1" outlineLevel="2">
      <c r="A3439" s="613"/>
      <c r="B3439" s="612"/>
      <c r="C3439" s="613" t="s">
        <v>114</v>
      </c>
      <c r="D3439" s="612"/>
      <c r="E3439" s="613"/>
      <c r="F3439" s="611"/>
      <c r="G3439" s="611">
        <f>E3439*F3439</f>
        <v>0</v>
      </c>
    </row>
    <row r="3440" spans="1:13" ht="15.75" customHeight="1" outlineLevel="2">
      <c r="A3440" s="613"/>
      <c r="B3440" s="612"/>
      <c r="C3440" s="613" t="s">
        <v>1020</v>
      </c>
      <c r="D3440" s="612" t="s">
        <v>98</v>
      </c>
      <c r="E3440" s="610">
        <f t="shared" ref="E3440" si="82">M3438</f>
        <v>0.5</v>
      </c>
      <c r="F3440" s="611">
        <f>support_equipment_key.safety_belt</f>
        <v>163944</v>
      </c>
      <c r="G3440" s="611">
        <f>E3440*F3440</f>
        <v>81972</v>
      </c>
    </row>
    <row r="3441" spans="1:13" ht="15.75" customHeight="1" outlineLevel="2">
      <c r="A3441" s="613"/>
      <c r="B3441" s="612"/>
      <c r="C3441" s="613"/>
      <c r="D3441" s="612"/>
      <c r="E3441" s="613"/>
      <c r="F3441" s="611"/>
      <c r="G3441" s="805">
        <f>SUM(G3436:G3440)</f>
        <v>224545.75</v>
      </c>
      <c r="J3441" s="1200"/>
      <c r="K3441" s="1200"/>
      <c r="L3441" s="1200"/>
      <c r="M3441" s="1200"/>
    </row>
    <row r="3442" spans="1:13" ht="15.75" customHeight="1" outlineLevel="1">
      <c r="A3442" s="613" t="s">
        <v>2074</v>
      </c>
      <c r="B3442" s="609">
        <f>B3434+1</f>
        <v>31</v>
      </c>
      <c r="C3442" s="613" t="s">
        <v>1090</v>
      </c>
      <c r="D3442" s="612"/>
      <c r="E3442" s="613"/>
      <c r="F3442" s="611"/>
      <c r="G3442" s="611">
        <f>G3449</f>
        <v>224545.75</v>
      </c>
      <c r="I3442" s="799">
        <v>2</v>
      </c>
      <c r="J3442" s="800" t="s">
        <v>922</v>
      </c>
      <c r="K3442" s="801">
        <f>2/8</f>
        <v>0.25</v>
      </c>
      <c r="L3442" s="802" t="s">
        <v>939</v>
      </c>
      <c r="M3442" s="803">
        <f>I3442*K3442</f>
        <v>0.5</v>
      </c>
    </row>
    <row r="3443" spans="1:13" ht="15.75" customHeight="1" outlineLevel="2">
      <c r="A3443" s="613"/>
      <c r="B3443" s="612"/>
      <c r="C3443" s="613" t="s">
        <v>1052</v>
      </c>
      <c r="D3443" s="612"/>
      <c r="E3443" s="613"/>
      <c r="F3443" s="611"/>
      <c r="G3443" s="611"/>
      <c r="I3443" s="799">
        <v>1</v>
      </c>
      <c r="J3443" s="800" t="s">
        <v>922</v>
      </c>
      <c r="K3443" s="801">
        <f>2/8</f>
        <v>0.25</v>
      </c>
      <c r="L3443" s="802" t="s">
        <v>939</v>
      </c>
      <c r="M3443" s="803">
        <f>I3443*K3443</f>
        <v>0.25</v>
      </c>
    </row>
    <row r="3444" spans="1:13" ht="15.75" customHeight="1" outlineLevel="2">
      <c r="A3444" s="613"/>
      <c r="B3444" s="612"/>
      <c r="C3444" s="613" t="s">
        <v>1017</v>
      </c>
      <c r="D3444" s="612" t="s">
        <v>921</v>
      </c>
      <c r="E3444" s="610">
        <f t="shared" ref="E3444:E3445" si="83">M3442</f>
        <v>0.5</v>
      </c>
      <c r="F3444" s="611">
        <f>stringing_worker</f>
        <v>207570.00000000003</v>
      </c>
      <c r="G3444" s="611">
        <f>E3444*F3444</f>
        <v>103785.00000000001</v>
      </c>
      <c r="I3444" s="800"/>
      <c r="J3444" s="800"/>
      <c r="K3444" s="801"/>
      <c r="L3444" s="802"/>
      <c r="M3444" s="803"/>
    </row>
    <row r="3445" spans="1:13" ht="15.75" customHeight="1" outlineLevel="2">
      <c r="A3445" s="613"/>
      <c r="B3445" s="612"/>
      <c r="C3445" s="613" t="s">
        <v>1018</v>
      </c>
      <c r="D3445" s="612" t="s">
        <v>921</v>
      </c>
      <c r="E3445" s="610">
        <f t="shared" si="83"/>
        <v>0.25</v>
      </c>
      <c r="F3445" s="611">
        <f>supervisor_Asli</f>
        <v>155155</v>
      </c>
      <c r="G3445" s="611">
        <f>E3445*F3445</f>
        <v>38788.75</v>
      </c>
      <c r="I3445" s="799"/>
      <c r="J3445" s="800"/>
      <c r="K3445" s="801"/>
      <c r="L3445" s="802"/>
      <c r="M3445" s="803"/>
    </row>
    <row r="3446" spans="1:13" ht="15.75" customHeight="1" outlineLevel="2">
      <c r="A3446" s="613"/>
      <c r="B3446" s="612"/>
      <c r="C3446" s="613"/>
      <c r="D3446" s="612"/>
      <c r="E3446" s="613"/>
      <c r="F3446" s="611"/>
      <c r="G3446" s="611">
        <f>E3446*F3446</f>
        <v>0</v>
      </c>
      <c r="I3446" s="799">
        <v>2</v>
      </c>
      <c r="J3446" s="800" t="s">
        <v>2</v>
      </c>
      <c r="K3446" s="801">
        <f>2/8</f>
        <v>0.25</v>
      </c>
      <c r="L3446" s="802" t="s">
        <v>939</v>
      </c>
      <c r="M3446" s="803">
        <f>I3446*K3446</f>
        <v>0.5</v>
      </c>
    </row>
    <row r="3447" spans="1:13" ht="15.75" customHeight="1" outlineLevel="2">
      <c r="A3447" s="613"/>
      <c r="B3447" s="612"/>
      <c r="C3447" s="613" t="s">
        <v>114</v>
      </c>
      <c r="D3447" s="612"/>
      <c r="E3447" s="613"/>
      <c r="F3447" s="611"/>
      <c r="G3447" s="611">
        <f>E3447*F3447</f>
        <v>0</v>
      </c>
    </row>
    <row r="3448" spans="1:13" ht="15.75" customHeight="1" outlineLevel="2">
      <c r="A3448" s="613"/>
      <c r="B3448" s="612"/>
      <c r="C3448" s="613" t="s">
        <v>1020</v>
      </c>
      <c r="D3448" s="612" t="s">
        <v>98</v>
      </c>
      <c r="E3448" s="610">
        <f t="shared" ref="E3448" si="84">M3446</f>
        <v>0.5</v>
      </c>
      <c r="F3448" s="611">
        <f>support_equipment_key.safety_belt</f>
        <v>163944</v>
      </c>
      <c r="G3448" s="611">
        <f>E3448*F3448</f>
        <v>81972</v>
      </c>
    </row>
    <row r="3449" spans="1:13" ht="15.75" customHeight="1" outlineLevel="2">
      <c r="A3449" s="613"/>
      <c r="B3449" s="612"/>
      <c r="C3449" s="613"/>
      <c r="D3449" s="612"/>
      <c r="E3449" s="613"/>
      <c r="F3449" s="611"/>
      <c r="G3449" s="805">
        <f>SUM(G3444:G3448)</f>
        <v>224545.75</v>
      </c>
      <c r="J3449" s="1200"/>
      <c r="K3449" s="1200"/>
      <c r="L3449" s="1200"/>
      <c r="M3449" s="1200"/>
    </row>
    <row r="3450" spans="1:13" ht="15.75" customHeight="1" outlineLevel="1">
      <c r="A3450" s="613" t="s">
        <v>2074</v>
      </c>
      <c r="B3450" s="609">
        <f>B3442+1</f>
        <v>32</v>
      </c>
      <c r="C3450" s="613" t="s">
        <v>4285</v>
      </c>
      <c r="D3450" s="612"/>
      <c r="E3450" s="613"/>
      <c r="F3450" s="611"/>
      <c r="G3450" s="611">
        <f>G3459</f>
        <v>439699.79166666669</v>
      </c>
      <c r="I3450" s="799">
        <v>4</v>
      </c>
      <c r="J3450" s="800" t="s">
        <v>922</v>
      </c>
      <c r="K3450" s="801">
        <f>4/8</f>
        <v>0.5</v>
      </c>
      <c r="L3450" s="802" t="s">
        <v>939</v>
      </c>
      <c r="M3450" s="803">
        <f>I3450*K3450</f>
        <v>2</v>
      </c>
    </row>
    <row r="3451" spans="1:13" ht="15.75" customHeight="1" outlineLevel="2">
      <c r="A3451" s="613"/>
      <c r="B3451" s="612"/>
      <c r="C3451" s="613" t="s">
        <v>1052</v>
      </c>
      <c r="D3451" s="612"/>
      <c r="E3451" s="613"/>
      <c r="F3451" s="611"/>
      <c r="G3451" s="611"/>
      <c r="I3451" s="799">
        <v>1</v>
      </c>
      <c r="J3451" s="800" t="s">
        <v>922</v>
      </c>
      <c r="K3451" s="801">
        <f>2/8</f>
        <v>0.25</v>
      </c>
      <c r="L3451" s="802" t="s">
        <v>939</v>
      </c>
      <c r="M3451" s="803">
        <f>I3451*K3451</f>
        <v>0.25</v>
      </c>
    </row>
    <row r="3452" spans="1:13" ht="15.75" customHeight="1" outlineLevel="2">
      <c r="A3452" s="613"/>
      <c r="B3452" s="612"/>
      <c r="C3452" s="613" t="s">
        <v>493</v>
      </c>
      <c r="D3452" s="612" t="s">
        <v>921</v>
      </c>
      <c r="E3452" s="610">
        <f t="shared" ref="E3452:E3454" si="85">M3450</f>
        <v>2</v>
      </c>
      <c r="F3452" s="611">
        <f>worker</f>
        <v>107800.00000000001</v>
      </c>
      <c r="G3452" s="611">
        <f t="shared" ref="G3452:G3458" si="86">E3452*F3452</f>
        <v>215600.00000000003</v>
      </c>
      <c r="I3452" s="799">
        <v>1</v>
      </c>
      <c r="J3452" s="800" t="s">
        <v>922</v>
      </c>
      <c r="K3452" s="801">
        <f>3/8</f>
        <v>0.375</v>
      </c>
      <c r="L3452" s="802" t="s">
        <v>939</v>
      </c>
      <c r="M3452" s="803">
        <f>I3452*K3452</f>
        <v>0.375</v>
      </c>
    </row>
    <row r="3453" spans="1:13" ht="15.75" customHeight="1" outlineLevel="2">
      <c r="A3453" s="613"/>
      <c r="B3453" s="612"/>
      <c r="C3453" s="613" t="s">
        <v>4286</v>
      </c>
      <c r="D3453" s="612" t="s">
        <v>921</v>
      </c>
      <c r="E3453" s="610">
        <f t="shared" si="85"/>
        <v>0.25</v>
      </c>
      <c r="F3453" s="611">
        <f>electrical_technician</f>
        <v>366666.66666666669</v>
      </c>
      <c r="G3453" s="611">
        <f t="shared" si="86"/>
        <v>91666.666666666672</v>
      </c>
      <c r="I3453" s="800"/>
      <c r="J3453" s="800"/>
      <c r="K3453" s="801"/>
      <c r="L3453" s="802"/>
      <c r="M3453" s="803"/>
    </row>
    <row r="3454" spans="1:13" ht="15.75" customHeight="1" outlineLevel="2">
      <c r="A3454" s="613"/>
      <c r="B3454" s="612"/>
      <c r="C3454" s="613" t="s">
        <v>495</v>
      </c>
      <c r="D3454" s="612" t="s">
        <v>921</v>
      </c>
      <c r="E3454" s="610">
        <f t="shared" si="85"/>
        <v>0.375</v>
      </c>
      <c r="F3454" s="611">
        <f>supervisor_Asli</f>
        <v>155155</v>
      </c>
      <c r="G3454" s="611">
        <f t="shared" si="86"/>
        <v>58183.125</v>
      </c>
      <c r="I3454" s="799"/>
      <c r="J3454" s="800"/>
      <c r="K3454" s="801"/>
      <c r="L3454" s="802"/>
      <c r="M3454" s="803"/>
    </row>
    <row r="3455" spans="1:13" ht="15.75" customHeight="1" outlineLevel="2">
      <c r="A3455" s="613"/>
      <c r="B3455" s="612"/>
      <c r="C3455" s="613"/>
      <c r="D3455" s="612"/>
      <c r="E3455" s="613"/>
      <c r="F3455" s="611"/>
      <c r="G3455" s="611">
        <f t="shared" si="86"/>
        <v>0</v>
      </c>
      <c r="I3455" s="799">
        <v>1</v>
      </c>
      <c r="J3455" s="800" t="s">
        <v>2</v>
      </c>
      <c r="K3455" s="801">
        <f>2/8</f>
        <v>0.25</v>
      </c>
      <c r="L3455" s="802" t="s">
        <v>939</v>
      </c>
      <c r="M3455" s="803">
        <f>I3455*K3455</f>
        <v>0.25</v>
      </c>
    </row>
    <row r="3456" spans="1:13" ht="15.75" customHeight="1" outlineLevel="2">
      <c r="A3456" s="613"/>
      <c r="B3456" s="612"/>
      <c r="C3456" s="613" t="s">
        <v>114</v>
      </c>
      <c r="D3456" s="612"/>
      <c r="E3456" s="613"/>
      <c r="F3456" s="611"/>
      <c r="G3456" s="611">
        <f t="shared" si="86"/>
        <v>0</v>
      </c>
      <c r="I3456" s="799">
        <v>1</v>
      </c>
      <c r="J3456" s="800" t="s">
        <v>2</v>
      </c>
      <c r="K3456" s="801">
        <f>2/8</f>
        <v>0.25</v>
      </c>
      <c r="L3456" s="802" t="s">
        <v>939</v>
      </c>
      <c r="M3456" s="803">
        <f>I3456*K3456</f>
        <v>0.25</v>
      </c>
    </row>
    <row r="3457" spans="1:13" ht="15.75" customHeight="1" outlineLevel="2">
      <c r="A3457" s="613"/>
      <c r="B3457" s="612"/>
      <c r="C3457" s="613" t="s">
        <v>2133</v>
      </c>
      <c r="D3457" s="612" t="s">
        <v>98</v>
      </c>
      <c r="E3457" s="610">
        <f t="shared" ref="E3457:E3458" si="87">M3455</f>
        <v>0.25</v>
      </c>
      <c r="F3457" s="611">
        <f>insulation_test_equipment</f>
        <v>165000</v>
      </c>
      <c r="G3457" s="611">
        <f t="shared" si="86"/>
        <v>41250</v>
      </c>
    </row>
    <row r="3458" spans="1:13" ht="15.75" customHeight="1" outlineLevel="2">
      <c r="A3458" s="613"/>
      <c r="B3458" s="612"/>
      <c r="C3458" s="613" t="s">
        <v>2134</v>
      </c>
      <c r="D3458" s="612" t="s">
        <v>98</v>
      </c>
      <c r="E3458" s="610">
        <f t="shared" si="87"/>
        <v>0.25</v>
      </c>
      <c r="F3458" s="611">
        <f>supporting_earthing_device</f>
        <v>132000</v>
      </c>
      <c r="G3458" s="611">
        <f t="shared" si="86"/>
        <v>33000</v>
      </c>
      <c r="I3458" s="779"/>
      <c r="J3458" s="779"/>
      <c r="K3458" s="779"/>
      <c r="L3458" s="779"/>
      <c r="M3458" s="779"/>
    </row>
    <row r="3459" spans="1:13" ht="15.75" customHeight="1" outlineLevel="2">
      <c r="A3459" s="613"/>
      <c r="B3459" s="612"/>
      <c r="C3459" s="613"/>
      <c r="D3459" s="612"/>
      <c r="E3459" s="613"/>
      <c r="F3459" s="611"/>
      <c r="G3459" s="805">
        <f>SUM(G3452:G3458)</f>
        <v>439699.79166666669</v>
      </c>
      <c r="I3459" s="779"/>
      <c r="J3459" s="1200"/>
      <c r="K3459" s="1200"/>
      <c r="L3459" s="1200"/>
      <c r="M3459" s="1200"/>
    </row>
    <row r="3460" spans="1:13" s="779" customFormat="1" ht="15.75" customHeight="1" outlineLevel="1">
      <c r="A3460" s="613" t="s">
        <v>2074</v>
      </c>
      <c r="B3460" s="609">
        <f>B3450+1</f>
        <v>33</v>
      </c>
      <c r="C3460" s="613" t="s">
        <v>4356</v>
      </c>
      <c r="D3460" s="612"/>
      <c r="E3460" s="613"/>
      <c r="F3460" s="611"/>
      <c r="G3460" s="611">
        <f>G3469</f>
        <v>488671.79166666669</v>
      </c>
      <c r="I3460" s="799">
        <v>4</v>
      </c>
      <c r="J3460" s="800" t="s">
        <v>922</v>
      </c>
      <c r="K3460" s="801">
        <f>4/8</f>
        <v>0.5</v>
      </c>
      <c r="L3460" s="802" t="s">
        <v>939</v>
      </c>
      <c r="M3460" s="803">
        <f>I3460*K3460</f>
        <v>2</v>
      </c>
    </row>
    <row r="3461" spans="1:13" s="779" customFormat="1" ht="15.75" customHeight="1" outlineLevel="2">
      <c r="A3461" s="613"/>
      <c r="B3461" s="612"/>
      <c r="C3461" s="613" t="s">
        <v>1052</v>
      </c>
      <c r="D3461" s="612"/>
      <c r="E3461" s="613"/>
      <c r="F3461" s="611"/>
      <c r="G3461" s="611"/>
      <c r="I3461" s="799">
        <v>1</v>
      </c>
      <c r="J3461" s="800" t="s">
        <v>922</v>
      </c>
      <c r="K3461" s="801">
        <f>2/8</f>
        <v>0.25</v>
      </c>
      <c r="L3461" s="802" t="s">
        <v>939</v>
      </c>
      <c r="M3461" s="803">
        <f>I3461*K3461</f>
        <v>0.25</v>
      </c>
    </row>
    <row r="3462" spans="1:13" s="779" customFormat="1" ht="15.75" customHeight="1" outlineLevel="2">
      <c r="A3462" s="613"/>
      <c r="B3462" s="612"/>
      <c r="C3462" s="613" t="s">
        <v>493</v>
      </c>
      <c r="D3462" s="612" t="s">
        <v>921</v>
      </c>
      <c r="E3462" s="610">
        <f t="shared" ref="E3462:E3464" si="88">M3460</f>
        <v>2</v>
      </c>
      <c r="F3462" s="611">
        <f>worker</f>
        <v>107800.00000000001</v>
      </c>
      <c r="G3462" s="611">
        <f t="shared" ref="G3462:G3468" si="89">E3462*F3462</f>
        <v>215600.00000000003</v>
      </c>
      <c r="I3462" s="799">
        <v>1</v>
      </c>
      <c r="J3462" s="800" t="s">
        <v>922</v>
      </c>
      <c r="K3462" s="801">
        <f>3/8</f>
        <v>0.375</v>
      </c>
      <c r="L3462" s="802" t="s">
        <v>939</v>
      </c>
      <c r="M3462" s="803">
        <f>I3462*K3462</f>
        <v>0.375</v>
      </c>
    </row>
    <row r="3463" spans="1:13" s="779" customFormat="1" ht="15.75" customHeight="1" outlineLevel="2">
      <c r="A3463" s="613"/>
      <c r="B3463" s="612"/>
      <c r="C3463" s="613" t="s">
        <v>4286</v>
      </c>
      <c r="D3463" s="612" t="s">
        <v>921</v>
      </c>
      <c r="E3463" s="610">
        <f t="shared" si="88"/>
        <v>0.25</v>
      </c>
      <c r="F3463" s="611">
        <f>electrical_technician</f>
        <v>366666.66666666669</v>
      </c>
      <c r="G3463" s="611">
        <f t="shared" si="89"/>
        <v>91666.666666666672</v>
      </c>
      <c r="I3463" s="800"/>
      <c r="J3463" s="800"/>
      <c r="K3463" s="801"/>
      <c r="L3463" s="802"/>
      <c r="M3463" s="803"/>
    </row>
    <row r="3464" spans="1:13" s="779" customFormat="1" ht="15.75" customHeight="1" outlineLevel="2">
      <c r="A3464" s="613"/>
      <c r="B3464" s="612"/>
      <c r="C3464" s="613" t="s">
        <v>495</v>
      </c>
      <c r="D3464" s="612" t="s">
        <v>921</v>
      </c>
      <c r="E3464" s="610">
        <f t="shared" si="88"/>
        <v>0.375</v>
      </c>
      <c r="F3464" s="611">
        <f>supervisor_Asli</f>
        <v>155155</v>
      </c>
      <c r="G3464" s="611">
        <f t="shared" si="89"/>
        <v>58183.125</v>
      </c>
      <c r="I3464" s="799"/>
      <c r="J3464" s="800"/>
      <c r="K3464" s="801"/>
      <c r="L3464" s="802"/>
      <c r="M3464" s="803"/>
    </row>
    <row r="3465" spans="1:13" s="779" customFormat="1" ht="15.75" customHeight="1" outlineLevel="2">
      <c r="A3465" s="613"/>
      <c r="B3465" s="612"/>
      <c r="C3465" s="613"/>
      <c r="D3465" s="612"/>
      <c r="E3465" s="613"/>
      <c r="F3465" s="611"/>
      <c r="G3465" s="611">
        <f t="shared" si="89"/>
        <v>0</v>
      </c>
      <c r="I3465" s="799">
        <v>2</v>
      </c>
      <c r="J3465" s="800" t="s">
        <v>2</v>
      </c>
      <c r="K3465" s="801">
        <f>2/8</f>
        <v>0.25</v>
      </c>
      <c r="L3465" s="802" t="s">
        <v>939</v>
      </c>
      <c r="M3465" s="803">
        <f>I3465*K3465</f>
        <v>0.5</v>
      </c>
    </row>
    <row r="3466" spans="1:13" s="779" customFormat="1" ht="15.75" customHeight="1" outlineLevel="2">
      <c r="A3466" s="613"/>
      <c r="B3466" s="612"/>
      <c r="C3466" s="613" t="s">
        <v>114</v>
      </c>
      <c r="D3466" s="612"/>
      <c r="E3466" s="613"/>
      <c r="F3466" s="611"/>
      <c r="G3466" s="611">
        <f t="shared" si="89"/>
        <v>0</v>
      </c>
      <c r="I3466" s="799">
        <v>1</v>
      </c>
      <c r="J3466" s="800" t="s">
        <v>2</v>
      </c>
      <c r="K3466" s="801">
        <f>2/8</f>
        <v>0.25</v>
      </c>
      <c r="L3466" s="802" t="s">
        <v>939</v>
      </c>
      <c r="M3466" s="803">
        <f>I3466*K3466</f>
        <v>0.25</v>
      </c>
    </row>
    <row r="3467" spans="1:13" s="779" customFormat="1" ht="15.75" customHeight="1" outlineLevel="2">
      <c r="A3467" s="613"/>
      <c r="B3467" s="612"/>
      <c r="C3467" s="613" t="s">
        <v>1020</v>
      </c>
      <c r="D3467" s="612" t="s">
        <v>98</v>
      </c>
      <c r="E3467" s="610">
        <f t="shared" ref="E3467:E3468" si="90">M3465</f>
        <v>0.5</v>
      </c>
      <c r="F3467" s="611">
        <f>F3448</f>
        <v>163944</v>
      </c>
      <c r="G3467" s="611">
        <f t="shared" si="89"/>
        <v>81972</v>
      </c>
    </row>
    <row r="3468" spans="1:13" s="779" customFormat="1" ht="15.75" customHeight="1" outlineLevel="2">
      <c r="A3468" s="613"/>
      <c r="B3468" s="612"/>
      <c r="C3468" s="613" t="s">
        <v>2133</v>
      </c>
      <c r="D3468" s="612" t="s">
        <v>98</v>
      </c>
      <c r="E3468" s="610">
        <f t="shared" si="90"/>
        <v>0.25</v>
      </c>
      <c r="F3468" s="611">
        <f>F3457</f>
        <v>165000</v>
      </c>
      <c r="G3468" s="611">
        <f t="shared" si="89"/>
        <v>41250</v>
      </c>
      <c r="I3468" s="633"/>
      <c r="J3468" s="633"/>
      <c r="K3468" s="633"/>
      <c r="L3468" s="633"/>
      <c r="M3468" s="633"/>
    </row>
    <row r="3469" spans="1:13" s="779" customFormat="1" ht="15.75" customHeight="1" outlineLevel="2">
      <c r="A3469" s="613"/>
      <c r="B3469" s="612"/>
      <c r="C3469" s="613"/>
      <c r="D3469" s="612"/>
      <c r="E3469" s="613"/>
      <c r="F3469" s="611"/>
      <c r="G3469" s="805">
        <f>SUM(G3462:G3468)</f>
        <v>488671.79166666669</v>
      </c>
      <c r="I3469" s="633"/>
      <c r="J3469" s="633"/>
      <c r="K3469" s="633"/>
      <c r="L3469" s="633"/>
      <c r="M3469" s="633"/>
    </row>
    <row r="3470" spans="1:13" ht="15.75" customHeight="1" outlineLevel="1">
      <c r="A3470" s="613" t="s">
        <v>2074</v>
      </c>
      <c r="B3470" s="612">
        <f>B3450+1</f>
        <v>33</v>
      </c>
      <c r="C3470" s="613" t="s">
        <v>2054</v>
      </c>
      <c r="D3470" s="612" t="s">
        <v>40</v>
      </c>
      <c r="E3470" s="613"/>
      <c r="F3470" s="611"/>
      <c r="G3470" s="611">
        <f>G3479</f>
        <v>1613943.4300000002</v>
      </c>
    </row>
    <row r="3471" spans="1:13" ht="15.75" hidden="1" customHeight="1" outlineLevel="2">
      <c r="A3471" s="613"/>
      <c r="B3471" s="612"/>
      <c r="C3471" s="613" t="s">
        <v>114</v>
      </c>
      <c r="D3471" s="612"/>
      <c r="E3471" s="613"/>
      <c r="F3471" s="611"/>
      <c r="G3471" s="611"/>
    </row>
    <row r="3472" spans="1:13" ht="15.75" hidden="1" customHeight="1" outlineLevel="2">
      <c r="A3472" s="613"/>
      <c r="B3472" s="612"/>
      <c r="C3472" s="613" t="s">
        <v>747</v>
      </c>
      <c r="D3472" s="612" t="s">
        <v>98</v>
      </c>
      <c r="E3472" s="613">
        <v>0.16</v>
      </c>
      <c r="F3472" s="611">
        <f>jack_hammer</f>
        <v>286000</v>
      </c>
      <c r="G3472" s="611">
        <f t="shared" ref="G3472:G3478" si="91">E3472*F3472</f>
        <v>45760</v>
      </c>
    </row>
    <row r="3473" spans="1:7" ht="15.75" hidden="1" customHeight="1" outlineLevel="2">
      <c r="A3473" s="613"/>
      <c r="B3473" s="612"/>
      <c r="C3473" s="613" t="s">
        <v>764</v>
      </c>
      <c r="D3473" s="612" t="s">
        <v>226</v>
      </c>
      <c r="E3473" s="613">
        <v>0.05</v>
      </c>
      <c r="F3473" s="611">
        <f>hammer</f>
        <v>229900.00000000003</v>
      </c>
      <c r="G3473" s="611">
        <f t="shared" si="91"/>
        <v>11495.000000000002</v>
      </c>
    </row>
    <row r="3474" spans="1:7" ht="15.75" hidden="1" customHeight="1" outlineLevel="2">
      <c r="A3474" s="613"/>
      <c r="B3474" s="612"/>
      <c r="C3474" s="613" t="s">
        <v>1089</v>
      </c>
      <c r="D3474" s="612" t="s">
        <v>226</v>
      </c>
      <c r="E3474" s="613">
        <v>0.1</v>
      </c>
      <c r="F3474" s="611">
        <f>steel_saw</f>
        <v>159500</v>
      </c>
      <c r="G3474" s="611">
        <f t="shared" si="91"/>
        <v>15950</v>
      </c>
    </row>
    <row r="3475" spans="1:7" ht="15.75" hidden="1" customHeight="1" outlineLevel="2">
      <c r="A3475" s="613"/>
      <c r="B3475" s="612"/>
      <c r="C3475" s="613"/>
      <c r="D3475" s="612"/>
      <c r="E3475" s="613"/>
      <c r="F3475" s="611"/>
      <c r="G3475" s="611">
        <f t="shared" si="91"/>
        <v>0</v>
      </c>
    </row>
    <row r="3476" spans="1:7" ht="15.75" hidden="1" customHeight="1" outlineLevel="2">
      <c r="A3476" s="613"/>
      <c r="B3476" s="612"/>
      <c r="C3476" s="613" t="s">
        <v>1052</v>
      </c>
      <c r="D3476" s="612"/>
      <c r="E3476" s="613"/>
      <c r="F3476" s="611"/>
      <c r="G3476" s="611">
        <f t="shared" si="91"/>
        <v>0</v>
      </c>
    </row>
    <row r="3477" spans="1:7" ht="15.75" hidden="1" customHeight="1" outlineLevel="2">
      <c r="A3477" s="613"/>
      <c r="B3477" s="612"/>
      <c r="C3477" s="613" t="s">
        <v>493</v>
      </c>
      <c r="D3477" s="612" t="s">
        <v>921</v>
      </c>
      <c r="E3477" s="613">
        <v>13.334</v>
      </c>
      <c r="F3477" s="611">
        <f>worker</f>
        <v>107800.00000000001</v>
      </c>
      <c r="G3477" s="611">
        <f t="shared" si="91"/>
        <v>1437405.2000000002</v>
      </c>
    </row>
    <row r="3478" spans="1:7" ht="15.75" hidden="1" customHeight="1" outlineLevel="2">
      <c r="A3478" s="613"/>
      <c r="B3478" s="612"/>
      <c r="C3478" s="613" t="s">
        <v>1029</v>
      </c>
      <c r="D3478" s="612" t="s">
        <v>921</v>
      </c>
      <c r="E3478" s="613">
        <v>0.66600000000000004</v>
      </c>
      <c r="F3478" s="611">
        <f>supervisor_Asli</f>
        <v>155155</v>
      </c>
      <c r="G3478" s="611">
        <f t="shared" si="91"/>
        <v>103333.23000000001</v>
      </c>
    </row>
    <row r="3479" spans="1:7" ht="15.75" hidden="1" customHeight="1" outlineLevel="2">
      <c r="A3479" s="613"/>
      <c r="B3479" s="612"/>
      <c r="C3479" s="613"/>
      <c r="D3479" s="612"/>
      <c r="E3479" s="613"/>
      <c r="F3479" s="611"/>
      <c r="G3479" s="611">
        <f>SUM(G3472:G3478)</f>
        <v>1613943.4300000002</v>
      </c>
    </row>
    <row r="3480" spans="1:7" ht="15.75" customHeight="1" outlineLevel="1" collapsed="1">
      <c r="A3480" s="613" t="s">
        <v>2074</v>
      </c>
      <c r="B3480" s="612">
        <f>B3470+1</f>
        <v>34</v>
      </c>
      <c r="C3480" s="613" t="s">
        <v>1088</v>
      </c>
      <c r="D3480" s="612"/>
      <c r="E3480" s="613"/>
      <c r="F3480" s="611"/>
      <c r="G3480" s="611">
        <f>G3491</f>
        <v>1389705.9000000001</v>
      </c>
    </row>
    <row r="3481" spans="1:7" ht="15.75" hidden="1" customHeight="1" outlineLevel="2">
      <c r="A3481" s="613"/>
      <c r="B3481" s="612"/>
      <c r="C3481" s="613" t="s">
        <v>93</v>
      </c>
      <c r="D3481" s="612"/>
      <c r="E3481" s="613"/>
      <c r="F3481" s="611"/>
      <c r="G3481" s="611"/>
    </row>
    <row r="3482" spans="1:7" ht="15.75" hidden="1" customHeight="1" outlineLevel="2">
      <c r="A3482" s="613"/>
      <c r="B3482" s="612"/>
      <c r="C3482" s="613" t="s">
        <v>1059</v>
      </c>
      <c r="D3482" s="612" t="s">
        <v>77</v>
      </c>
      <c r="E3482" s="613">
        <v>72.599999999999994</v>
      </c>
      <c r="F3482" s="611">
        <f>bbm</f>
        <v>12100.000000000002</v>
      </c>
      <c r="G3482" s="611">
        <f t="shared" ref="G3482:G3490" si="92">E3482*F3482</f>
        <v>878460.00000000012</v>
      </c>
    </row>
    <row r="3483" spans="1:7" ht="15.75" hidden="1" customHeight="1" outlineLevel="2">
      <c r="A3483" s="613"/>
      <c r="B3483" s="612"/>
      <c r="C3483" s="613" t="s">
        <v>1058</v>
      </c>
      <c r="D3483" s="612" t="s">
        <v>77</v>
      </c>
      <c r="E3483" s="613">
        <v>0.3</v>
      </c>
      <c r="F3483" s="611">
        <f>oil_machine</f>
        <v>38500</v>
      </c>
      <c r="G3483" s="611">
        <f t="shared" si="92"/>
        <v>11550</v>
      </c>
    </row>
    <row r="3484" spans="1:7" ht="15.75" hidden="1" customHeight="1" outlineLevel="2">
      <c r="A3484" s="613"/>
      <c r="B3484" s="612"/>
      <c r="C3484" s="613"/>
      <c r="D3484" s="612"/>
      <c r="E3484" s="613"/>
      <c r="F3484" s="611"/>
      <c r="G3484" s="611">
        <f t="shared" si="92"/>
        <v>0</v>
      </c>
    </row>
    <row r="3485" spans="1:7" ht="15.75" hidden="1" customHeight="1" outlineLevel="2">
      <c r="A3485" s="613"/>
      <c r="B3485" s="612"/>
      <c r="C3485" s="613" t="s">
        <v>114</v>
      </c>
      <c r="D3485" s="612"/>
      <c r="E3485" s="613"/>
      <c r="F3485" s="611"/>
      <c r="G3485" s="611">
        <f t="shared" si="92"/>
        <v>0</v>
      </c>
    </row>
    <row r="3486" spans="1:7" ht="15.75" hidden="1" customHeight="1" outlineLevel="2">
      <c r="A3486" s="613"/>
      <c r="B3486" s="612"/>
      <c r="C3486" s="613" t="s">
        <v>1087</v>
      </c>
      <c r="D3486" s="612" t="s">
        <v>939</v>
      </c>
      <c r="E3486" s="613">
        <v>1</v>
      </c>
      <c r="F3486" s="611">
        <f>water_pump_30_m3</f>
        <v>52980.4</v>
      </c>
      <c r="G3486" s="611">
        <f t="shared" si="92"/>
        <v>52980.4</v>
      </c>
    </row>
    <row r="3487" spans="1:7" ht="15.75" hidden="1" customHeight="1" outlineLevel="2">
      <c r="A3487" s="613"/>
      <c r="B3487" s="612"/>
      <c r="C3487" s="613"/>
      <c r="D3487" s="612"/>
      <c r="E3487" s="613"/>
      <c r="F3487" s="611"/>
      <c r="G3487" s="611">
        <f t="shared" si="92"/>
        <v>0</v>
      </c>
    </row>
    <row r="3488" spans="1:7" ht="15.75" hidden="1" customHeight="1" outlineLevel="2">
      <c r="A3488" s="613"/>
      <c r="B3488" s="612"/>
      <c r="C3488" s="613" t="s">
        <v>1052</v>
      </c>
      <c r="D3488" s="612"/>
      <c r="E3488" s="613"/>
      <c r="F3488" s="611"/>
      <c r="G3488" s="611">
        <f t="shared" si="92"/>
        <v>0</v>
      </c>
    </row>
    <row r="3489" spans="1:14" ht="15.75" hidden="1" customHeight="1" outlineLevel="2">
      <c r="A3489" s="613"/>
      <c r="B3489" s="612"/>
      <c r="C3489" s="613" t="s">
        <v>493</v>
      </c>
      <c r="D3489" s="612" t="s">
        <v>921</v>
      </c>
      <c r="E3489" s="613">
        <v>4</v>
      </c>
      <c r="F3489" s="611">
        <f>worker</f>
        <v>107800.00000000001</v>
      </c>
      <c r="G3489" s="611">
        <f t="shared" si="92"/>
        <v>431200.00000000006</v>
      </c>
    </row>
    <row r="3490" spans="1:14" ht="15.75" hidden="1" customHeight="1" outlineLevel="2">
      <c r="A3490" s="613"/>
      <c r="B3490" s="612"/>
      <c r="C3490" s="613" t="s">
        <v>1029</v>
      </c>
      <c r="D3490" s="612" t="s">
        <v>921</v>
      </c>
      <c r="E3490" s="613">
        <v>0.1</v>
      </c>
      <c r="F3490" s="611">
        <f>supervisor_Asli</f>
        <v>155155</v>
      </c>
      <c r="G3490" s="611">
        <f t="shared" si="92"/>
        <v>15515.5</v>
      </c>
    </row>
    <row r="3491" spans="1:14" ht="15.75" hidden="1" customHeight="1" outlineLevel="2">
      <c r="A3491" s="613"/>
      <c r="B3491" s="612"/>
      <c r="C3491" s="613"/>
      <c r="D3491" s="612"/>
      <c r="E3491" s="613"/>
      <c r="F3491" s="611"/>
      <c r="G3491" s="611">
        <f>SUM(G3482:G3490)</f>
        <v>1389705.9000000001</v>
      </c>
      <c r="J3491" s="1200"/>
      <c r="K3491" s="1200"/>
      <c r="L3491" s="1200"/>
      <c r="M3491" s="1200"/>
    </row>
    <row r="3492" spans="1:14" ht="15.75" customHeight="1" outlineLevel="1" collapsed="1">
      <c r="A3492" s="613" t="s">
        <v>2074</v>
      </c>
      <c r="B3492" s="612">
        <f>B3480+1</f>
        <v>35</v>
      </c>
      <c r="C3492" s="613" t="s">
        <v>4319</v>
      </c>
      <c r="D3492" s="612" t="s">
        <v>4</v>
      </c>
      <c r="E3492" s="613"/>
      <c r="F3492" s="611"/>
      <c r="G3492" s="611">
        <f>G3502</f>
        <v>22845517.199999999</v>
      </c>
      <c r="J3492" s="633">
        <v>1.25</v>
      </c>
      <c r="K3492" s="633" t="s">
        <v>1875</v>
      </c>
      <c r="L3492" s="633">
        <f>(3*3)*4*21</f>
        <v>756</v>
      </c>
      <c r="M3492" s="633" t="s">
        <v>4</v>
      </c>
    </row>
    <row r="3493" spans="1:14" ht="15.75" customHeight="1" outlineLevel="2">
      <c r="A3493" s="613"/>
      <c r="B3493" s="612"/>
      <c r="C3493" s="613" t="s">
        <v>93</v>
      </c>
      <c r="D3493" s="612"/>
      <c r="E3493" s="613"/>
      <c r="F3493" s="611"/>
      <c r="G3493" s="611"/>
      <c r="J3493" s="633">
        <v>0.186</v>
      </c>
      <c r="K3493" s="633" t="s">
        <v>40</v>
      </c>
      <c r="L3493" s="633">
        <f>(3*3)*4*24</f>
        <v>864</v>
      </c>
      <c r="M3493" s="633" t="s">
        <v>4</v>
      </c>
      <c r="N3493" s="633" t="s">
        <v>4317</v>
      </c>
    </row>
    <row r="3494" spans="1:14" ht="15.75" customHeight="1" outlineLevel="2">
      <c r="A3494" s="613"/>
      <c r="B3494" s="612"/>
      <c r="C3494" s="613" t="s">
        <v>826</v>
      </c>
      <c r="D3494" s="612" t="s">
        <v>582</v>
      </c>
      <c r="E3494" s="613">
        <f>N3494</f>
        <v>945</v>
      </c>
      <c r="F3494" s="611">
        <f>bambu*7</f>
        <v>16500</v>
      </c>
      <c r="G3494" s="611">
        <f t="shared" ref="G3494:G3501" si="93">E3494*F3494</f>
        <v>15592500</v>
      </c>
      <c r="N3494" s="633">
        <f>J3492*L3492</f>
        <v>945</v>
      </c>
    </row>
    <row r="3495" spans="1:14" ht="15.75" customHeight="1" outlineLevel="2">
      <c r="A3495" s="613"/>
      <c r="B3495" s="612"/>
      <c r="C3495" s="613" t="s">
        <v>1086</v>
      </c>
      <c r="D3495" s="612" t="s">
        <v>40</v>
      </c>
      <c r="E3495" s="613">
        <f t="shared" ref="E3495:E3501" si="94">N3495</f>
        <v>160.70400000000001</v>
      </c>
      <c r="F3495" s="611">
        <f>rope_fiber</f>
        <v>14300.000000000002</v>
      </c>
      <c r="G3495" s="611">
        <f t="shared" si="93"/>
        <v>2298067.2000000002</v>
      </c>
      <c r="N3495" s="633">
        <f>J3493*L3493</f>
        <v>160.70400000000001</v>
      </c>
    </row>
    <row r="3496" spans="1:14" ht="15.75" customHeight="1" outlineLevel="2">
      <c r="A3496" s="613"/>
      <c r="B3496" s="612"/>
      <c r="C3496" s="613"/>
      <c r="D3496" s="612"/>
      <c r="E3496" s="613"/>
      <c r="F3496" s="611"/>
      <c r="G3496" s="611">
        <f t="shared" si="93"/>
        <v>0</v>
      </c>
      <c r="J3496" s="633">
        <v>6</v>
      </c>
      <c r="K3496" s="633" t="s">
        <v>922</v>
      </c>
      <c r="L3496" s="633">
        <v>3</v>
      </c>
      <c r="M3496" s="633" t="s">
        <v>939</v>
      </c>
    </row>
    <row r="3497" spans="1:14" ht="15.75" customHeight="1" outlineLevel="2">
      <c r="A3497" s="613"/>
      <c r="B3497" s="612"/>
      <c r="C3497" s="613" t="s">
        <v>1052</v>
      </c>
      <c r="D3497" s="612"/>
      <c r="E3497" s="613"/>
      <c r="F3497" s="611"/>
      <c r="G3497" s="611">
        <f t="shared" si="93"/>
        <v>0</v>
      </c>
      <c r="J3497" s="633">
        <v>6</v>
      </c>
      <c r="K3497" s="633" t="s">
        <v>922</v>
      </c>
      <c r="L3497" s="633">
        <v>3</v>
      </c>
      <c r="M3497" s="633" t="s">
        <v>939</v>
      </c>
    </row>
    <row r="3498" spans="1:14" ht="15.75" customHeight="1" outlineLevel="2">
      <c r="A3498" s="613"/>
      <c r="B3498" s="612"/>
      <c r="C3498" s="613" t="s">
        <v>493</v>
      </c>
      <c r="D3498" s="612" t="s">
        <v>921</v>
      </c>
      <c r="E3498" s="613">
        <f t="shared" si="94"/>
        <v>18</v>
      </c>
      <c r="F3498" s="611">
        <f>worker</f>
        <v>107800.00000000001</v>
      </c>
      <c r="G3498" s="611">
        <f t="shared" si="93"/>
        <v>1940400.0000000002</v>
      </c>
      <c r="J3498" s="633">
        <v>2</v>
      </c>
      <c r="K3498" s="633" t="s">
        <v>922</v>
      </c>
      <c r="L3498" s="633">
        <v>3</v>
      </c>
      <c r="M3498" s="633" t="s">
        <v>939</v>
      </c>
      <c r="N3498" s="633">
        <f>J3496*L3496</f>
        <v>18</v>
      </c>
    </row>
    <row r="3499" spans="1:14" ht="15.75" customHeight="1" outlineLevel="2">
      <c r="A3499" s="613"/>
      <c r="B3499" s="612"/>
      <c r="C3499" s="613" t="s">
        <v>725</v>
      </c>
      <c r="D3499" s="612" t="s">
        <v>921</v>
      </c>
      <c r="E3499" s="613">
        <f t="shared" si="94"/>
        <v>18</v>
      </c>
      <c r="F3499" s="611">
        <f>carpenter</f>
        <v>107800.00000000001</v>
      </c>
      <c r="G3499" s="611">
        <f t="shared" si="93"/>
        <v>1940400.0000000002</v>
      </c>
      <c r="J3499" s="633">
        <v>1</v>
      </c>
      <c r="K3499" s="633" t="s">
        <v>922</v>
      </c>
      <c r="L3499" s="633">
        <v>3</v>
      </c>
      <c r="M3499" s="633" t="s">
        <v>939</v>
      </c>
      <c r="N3499" s="633">
        <f>J3497*L3497</f>
        <v>18</v>
      </c>
    </row>
    <row r="3500" spans="1:14" ht="15.75" customHeight="1" outlineLevel="2">
      <c r="A3500" s="613"/>
      <c r="B3500" s="612"/>
      <c r="C3500" s="613" t="s">
        <v>1056</v>
      </c>
      <c r="D3500" s="612" t="s">
        <v>921</v>
      </c>
      <c r="E3500" s="613">
        <f t="shared" si="94"/>
        <v>6</v>
      </c>
      <c r="F3500" s="611">
        <f>carpenter_chief</f>
        <v>119350.00000000001</v>
      </c>
      <c r="G3500" s="611">
        <f t="shared" si="93"/>
        <v>716100.00000000012</v>
      </c>
      <c r="N3500" s="633">
        <f>J3498*L3498</f>
        <v>6</v>
      </c>
    </row>
    <row r="3501" spans="1:14" ht="15.75" customHeight="1" outlineLevel="2">
      <c r="A3501" s="613"/>
      <c r="B3501" s="612"/>
      <c r="C3501" s="613" t="s">
        <v>1029</v>
      </c>
      <c r="D3501" s="612" t="s">
        <v>921</v>
      </c>
      <c r="E3501" s="613">
        <f t="shared" si="94"/>
        <v>3</v>
      </c>
      <c r="F3501" s="611">
        <f>Foreman</f>
        <v>119350.00000000001</v>
      </c>
      <c r="G3501" s="611">
        <f t="shared" si="93"/>
        <v>358050.00000000006</v>
      </c>
      <c r="N3501" s="633">
        <f>J3499*L3499</f>
        <v>3</v>
      </c>
    </row>
    <row r="3502" spans="1:14" ht="15.75" customHeight="1" outlineLevel="2">
      <c r="A3502" s="613"/>
      <c r="B3502" s="612"/>
      <c r="C3502" s="613"/>
      <c r="D3502" s="612"/>
      <c r="E3502" s="613"/>
      <c r="F3502" s="611"/>
      <c r="G3502" s="790">
        <f>SUM(G3494:G3501)</f>
        <v>22845517.199999999</v>
      </c>
    </row>
    <row r="3503" spans="1:14" ht="15.75" customHeight="1" outlineLevel="1">
      <c r="A3503" s="613" t="s">
        <v>2074</v>
      </c>
      <c r="B3503" s="609">
        <f>B3492+1</f>
        <v>36</v>
      </c>
      <c r="C3503" s="613" t="s">
        <v>2053</v>
      </c>
      <c r="D3503" s="612" t="s">
        <v>673</v>
      </c>
      <c r="E3503" s="613"/>
      <c r="F3503" s="611"/>
      <c r="G3503" s="611">
        <f>G3511</f>
        <v>181849.04</v>
      </c>
    </row>
    <row r="3504" spans="1:14" ht="15.75" hidden="1" customHeight="1" outlineLevel="2">
      <c r="A3504" s="613"/>
      <c r="B3504" s="612"/>
      <c r="C3504" s="613" t="s">
        <v>93</v>
      </c>
      <c r="D3504" s="612"/>
      <c r="E3504" s="613"/>
      <c r="F3504" s="611"/>
      <c r="G3504" s="611"/>
    </row>
    <row r="3505" spans="1:13" ht="15.75" hidden="1" customHeight="1" outlineLevel="2">
      <c r="A3505" s="613"/>
      <c r="B3505" s="612"/>
      <c r="C3505" s="613" t="s">
        <v>1085</v>
      </c>
      <c r="D3505" s="612" t="s">
        <v>74</v>
      </c>
      <c r="E3505" s="613">
        <v>1.25</v>
      </c>
      <c r="F3505" s="611">
        <v>38250</v>
      </c>
      <c r="G3505" s="611">
        <f t="shared" ref="G3505:G3510" si="95">E3505*F3505</f>
        <v>47812.5</v>
      </c>
    </row>
    <row r="3506" spans="1:13" ht="15.75" hidden="1" customHeight="1" outlineLevel="2">
      <c r="A3506" s="613"/>
      <c r="B3506" s="612"/>
      <c r="C3506" s="613" t="s">
        <v>1084</v>
      </c>
      <c r="D3506" s="612" t="s">
        <v>1</v>
      </c>
      <c r="E3506" s="613">
        <v>0.186</v>
      </c>
      <c r="F3506" s="611">
        <f>paint_wall_watershield</f>
        <v>57640.000000000007</v>
      </c>
      <c r="G3506" s="611">
        <f t="shared" si="95"/>
        <v>10721.04</v>
      </c>
    </row>
    <row r="3507" spans="1:13" ht="15.75" hidden="1" customHeight="1" outlineLevel="2">
      <c r="A3507" s="613"/>
      <c r="B3507" s="612"/>
      <c r="C3507" s="613"/>
      <c r="D3507" s="612"/>
      <c r="E3507" s="613"/>
      <c r="F3507" s="611"/>
      <c r="G3507" s="611">
        <f t="shared" si="95"/>
        <v>0</v>
      </c>
    </row>
    <row r="3508" spans="1:13" ht="15.75" hidden="1" customHeight="1" outlineLevel="2">
      <c r="A3508" s="613"/>
      <c r="B3508" s="612"/>
      <c r="C3508" s="613" t="s">
        <v>1052</v>
      </c>
      <c r="D3508" s="612"/>
      <c r="E3508" s="613"/>
      <c r="F3508" s="611"/>
      <c r="G3508" s="611">
        <f t="shared" si="95"/>
        <v>0</v>
      </c>
    </row>
    <row r="3509" spans="1:13" ht="15.75" hidden="1" customHeight="1" outlineLevel="2">
      <c r="A3509" s="613"/>
      <c r="B3509" s="612"/>
      <c r="C3509" s="613" t="s">
        <v>493</v>
      </c>
      <c r="D3509" s="612" t="s">
        <v>921</v>
      </c>
      <c r="E3509" s="613">
        <v>1</v>
      </c>
      <c r="F3509" s="611">
        <f>worker</f>
        <v>107800.00000000001</v>
      </c>
      <c r="G3509" s="611">
        <f t="shared" si="95"/>
        <v>107800.00000000001</v>
      </c>
    </row>
    <row r="3510" spans="1:13" ht="15.75" hidden="1" customHeight="1" outlineLevel="2">
      <c r="A3510" s="613"/>
      <c r="B3510" s="612"/>
      <c r="C3510" s="613" t="s">
        <v>1029</v>
      </c>
      <c r="D3510" s="612" t="s">
        <v>921</v>
      </c>
      <c r="E3510" s="613">
        <v>0.1</v>
      </c>
      <c r="F3510" s="611">
        <f>supervisor_Asli</f>
        <v>155155</v>
      </c>
      <c r="G3510" s="611">
        <f t="shared" si="95"/>
        <v>15515.5</v>
      </c>
    </row>
    <row r="3511" spans="1:13" ht="15.75" hidden="1" customHeight="1" outlineLevel="2">
      <c r="A3511" s="613"/>
      <c r="B3511" s="612"/>
      <c r="C3511" s="613"/>
      <c r="D3511" s="612"/>
      <c r="E3511" s="613"/>
      <c r="F3511" s="611"/>
      <c r="G3511" s="611">
        <f>SUM(G3505:G3510)</f>
        <v>181849.04</v>
      </c>
    </row>
    <row r="3512" spans="1:13" ht="15.75" customHeight="1" outlineLevel="1" collapsed="1">
      <c r="A3512" s="613" t="s">
        <v>2074</v>
      </c>
      <c r="B3512" s="612">
        <f>B3503+1</f>
        <v>37</v>
      </c>
      <c r="C3512" s="613" t="s">
        <v>2052</v>
      </c>
      <c r="D3512" s="612" t="s">
        <v>2051</v>
      </c>
      <c r="E3512" s="613"/>
      <c r="F3512" s="611"/>
      <c r="G3512" s="611"/>
      <c r="J3512" s="1200" t="s">
        <v>1079</v>
      </c>
      <c r="K3512" s="1200"/>
      <c r="L3512" s="1200" t="s">
        <v>1078</v>
      </c>
      <c r="M3512" s="1200"/>
    </row>
    <row r="3513" spans="1:13" ht="15.75" hidden="1" customHeight="1" outlineLevel="2">
      <c r="A3513" s="613"/>
      <c r="B3513" s="612"/>
      <c r="C3513" s="613" t="s">
        <v>93</v>
      </c>
      <c r="D3513" s="612"/>
      <c r="E3513" s="613"/>
      <c r="F3513" s="611"/>
      <c r="G3513" s="611"/>
      <c r="J3513" s="633">
        <v>1</v>
      </c>
      <c r="K3513" s="633" t="s">
        <v>1076</v>
      </c>
      <c r="L3513" s="633">
        <v>19</v>
      </c>
      <c r="M3513" s="633" t="s">
        <v>1081</v>
      </c>
    </row>
    <row r="3514" spans="1:13" ht="15.75" hidden="1" customHeight="1" outlineLevel="2">
      <c r="A3514" s="613"/>
      <c r="B3514" s="612"/>
      <c r="C3514" s="613" t="s">
        <v>1083</v>
      </c>
      <c r="D3514" s="612" t="s">
        <v>40</v>
      </c>
      <c r="E3514" s="613">
        <v>1</v>
      </c>
      <c r="F3514" s="611">
        <v>2897500</v>
      </c>
      <c r="G3514" s="611">
        <f t="shared" ref="G3514:G3530" si="96">E3514*F3514</f>
        <v>2897500</v>
      </c>
    </row>
    <row r="3515" spans="1:13" ht="15.75" hidden="1" customHeight="1" outlineLevel="2">
      <c r="A3515" s="613"/>
      <c r="B3515" s="612"/>
      <c r="C3515" s="613" t="s">
        <v>1082</v>
      </c>
      <c r="D3515" s="612" t="s">
        <v>1</v>
      </c>
      <c r="E3515" s="613">
        <f>J3513*L3513</f>
        <v>19</v>
      </c>
      <c r="F3515" s="611">
        <v>20933</v>
      </c>
      <c r="G3515" s="611">
        <f t="shared" si="96"/>
        <v>397727</v>
      </c>
      <c r="J3515" s="633">
        <v>8</v>
      </c>
      <c r="K3515" s="633" t="s">
        <v>710</v>
      </c>
      <c r="L3515" s="633">
        <v>8</v>
      </c>
      <c r="M3515" s="633" t="s">
        <v>1073</v>
      </c>
    </row>
    <row r="3516" spans="1:13" ht="15.75" hidden="1" customHeight="1" outlineLevel="2">
      <c r="A3516" s="613"/>
      <c r="B3516" s="612"/>
      <c r="C3516" s="613" t="s">
        <v>1080</v>
      </c>
      <c r="D3516" s="612" t="s">
        <v>1</v>
      </c>
      <c r="E3516" s="613">
        <v>8</v>
      </c>
      <c r="F3516" s="611">
        <v>31400</v>
      </c>
      <c r="G3516" s="611">
        <f t="shared" si="96"/>
        <v>251200</v>
      </c>
    </row>
    <row r="3517" spans="1:13" ht="15.75" hidden="1" customHeight="1" outlineLevel="2">
      <c r="A3517" s="613"/>
      <c r="B3517" s="612"/>
      <c r="C3517" s="613" t="s">
        <v>1074</v>
      </c>
      <c r="D3517" s="612" t="s">
        <v>710</v>
      </c>
      <c r="E3517" s="613">
        <f>J3515*L3515</f>
        <v>64</v>
      </c>
      <c r="F3517" s="611">
        <v>13200.000000000002</v>
      </c>
      <c r="G3517" s="611">
        <f t="shared" si="96"/>
        <v>844800.00000000012</v>
      </c>
    </row>
    <row r="3518" spans="1:13" ht="15.75" hidden="1" customHeight="1" outlineLevel="2">
      <c r="A3518" s="613"/>
      <c r="B3518" s="612"/>
      <c r="C3518" s="613"/>
      <c r="D3518" s="612"/>
      <c r="E3518" s="613"/>
      <c r="F3518" s="611"/>
      <c r="G3518" s="611">
        <f t="shared" si="96"/>
        <v>0</v>
      </c>
      <c r="J3518" s="633">
        <v>1</v>
      </c>
      <c r="K3518" s="633" t="s">
        <v>2</v>
      </c>
      <c r="L3518" s="633">
        <v>0.125</v>
      </c>
      <c r="M3518" s="633" t="s">
        <v>224</v>
      </c>
    </row>
    <row r="3519" spans="1:13" ht="15.75" hidden="1" customHeight="1" outlineLevel="2">
      <c r="A3519" s="613"/>
      <c r="B3519" s="612"/>
      <c r="C3519" s="613" t="s">
        <v>63</v>
      </c>
      <c r="D3519" s="612"/>
      <c r="E3519" s="613"/>
      <c r="F3519" s="611"/>
      <c r="G3519" s="611">
        <f t="shared" si="96"/>
        <v>0</v>
      </c>
      <c r="J3519" s="633">
        <v>1</v>
      </c>
      <c r="K3519" s="633" t="s">
        <v>2</v>
      </c>
      <c r="L3519" s="633">
        <v>6.25E-2</v>
      </c>
      <c r="M3519" s="633" t="s">
        <v>224</v>
      </c>
    </row>
    <row r="3520" spans="1:13" ht="15.75" hidden="1" customHeight="1" outlineLevel="2">
      <c r="A3520" s="613"/>
      <c r="B3520" s="612"/>
      <c r="C3520" s="613" t="s">
        <v>926</v>
      </c>
      <c r="D3520" s="612" t="s">
        <v>98</v>
      </c>
      <c r="E3520" s="613">
        <f>J3518*L3518</f>
        <v>0.125</v>
      </c>
      <c r="F3520" s="611" t="e">
        <f>truck_crane*8</f>
        <v>#NAME?</v>
      </c>
      <c r="G3520" s="611" t="e">
        <f t="shared" si="96"/>
        <v>#NAME?</v>
      </c>
      <c r="J3520" s="633">
        <v>2</v>
      </c>
      <c r="K3520" s="633" t="s">
        <v>2</v>
      </c>
      <c r="L3520" s="633">
        <v>0.25</v>
      </c>
      <c r="M3520" s="633" t="s">
        <v>224</v>
      </c>
    </row>
    <row r="3521" spans="1:13" ht="15.75" hidden="1" customHeight="1" outlineLevel="2">
      <c r="A3521" s="613"/>
      <c r="B3521" s="612"/>
      <c r="C3521" s="613" t="s">
        <v>1072</v>
      </c>
      <c r="D3521" s="612" t="s">
        <v>98</v>
      </c>
      <c r="E3521" s="613">
        <f>J3519*L3519</f>
        <v>6.25E-2</v>
      </c>
      <c r="F3521" s="611">
        <f>forklift*8</f>
        <v>1925000.0000000002</v>
      </c>
      <c r="G3521" s="611">
        <f t="shared" si="96"/>
        <v>120312.50000000001</v>
      </c>
      <c r="J3521" s="633">
        <v>2</v>
      </c>
      <c r="K3521" s="633" t="s">
        <v>2</v>
      </c>
      <c r="L3521" s="633">
        <v>0.25</v>
      </c>
      <c r="M3521" s="633" t="s">
        <v>224</v>
      </c>
    </row>
    <row r="3522" spans="1:13" ht="15.75" hidden="1" customHeight="1" outlineLevel="2">
      <c r="A3522" s="613"/>
      <c r="B3522" s="612"/>
      <c r="C3522" s="613" t="s">
        <v>1071</v>
      </c>
      <c r="D3522" s="612" t="s">
        <v>98</v>
      </c>
      <c r="E3522" s="613">
        <f>J3520*L3520</f>
        <v>0.5</v>
      </c>
      <c r="F3522" s="611">
        <v>220000.00000000003</v>
      </c>
      <c r="G3522" s="611">
        <f t="shared" si="96"/>
        <v>110000.00000000001</v>
      </c>
      <c r="J3522" s="633">
        <v>2</v>
      </c>
      <c r="K3522" s="633" t="s">
        <v>2</v>
      </c>
      <c r="L3522" s="633">
        <v>0.25</v>
      </c>
      <c r="M3522" s="633" t="s">
        <v>224</v>
      </c>
    </row>
    <row r="3523" spans="1:13" ht="15.75" hidden="1" customHeight="1" outlineLevel="2">
      <c r="A3523" s="613"/>
      <c r="B3523" s="612"/>
      <c r="C3523" s="613" t="s">
        <v>1070</v>
      </c>
      <c r="D3523" s="612" t="s">
        <v>98</v>
      </c>
      <c r="E3523" s="613">
        <f>J3521*L3521</f>
        <v>0.5</v>
      </c>
      <c r="F3523" s="611">
        <f>jack_hydrolic*8</f>
        <v>142560</v>
      </c>
      <c r="G3523" s="611">
        <f t="shared" si="96"/>
        <v>71280</v>
      </c>
    </row>
    <row r="3524" spans="1:13" ht="15.75" hidden="1" customHeight="1" outlineLevel="2">
      <c r="A3524" s="613"/>
      <c r="B3524" s="612"/>
      <c r="C3524" s="613" t="s">
        <v>1069</v>
      </c>
      <c r="D3524" s="612" t="s">
        <v>98</v>
      </c>
      <c r="E3524" s="613">
        <f>J3522*L3522</f>
        <v>0.5</v>
      </c>
      <c r="F3524" s="611">
        <f>chain_block_5ton</f>
        <v>16575.339</v>
      </c>
      <c r="G3524" s="611">
        <f t="shared" si="96"/>
        <v>8287.6695</v>
      </c>
    </row>
    <row r="3525" spans="1:13" ht="15.75" hidden="1" customHeight="1" outlineLevel="2">
      <c r="A3525" s="613"/>
      <c r="B3525" s="612"/>
      <c r="C3525" s="613"/>
      <c r="D3525" s="612"/>
      <c r="E3525" s="613"/>
      <c r="F3525" s="611"/>
      <c r="G3525" s="611">
        <f t="shared" si="96"/>
        <v>0</v>
      </c>
      <c r="J3525" s="633">
        <v>8</v>
      </c>
      <c r="K3525" s="633" t="s">
        <v>922</v>
      </c>
      <c r="L3525" s="633">
        <f>4/8</f>
        <v>0.5</v>
      </c>
      <c r="M3525" s="633" t="s">
        <v>939</v>
      </c>
    </row>
    <row r="3526" spans="1:13" ht="15.75" hidden="1" customHeight="1" outlineLevel="2">
      <c r="A3526" s="613"/>
      <c r="B3526" s="612"/>
      <c r="C3526" s="613" t="s">
        <v>1052</v>
      </c>
      <c r="D3526" s="612"/>
      <c r="E3526" s="613"/>
      <c r="F3526" s="611"/>
      <c r="G3526" s="611">
        <f t="shared" si="96"/>
        <v>0</v>
      </c>
      <c r="J3526" s="633">
        <v>2</v>
      </c>
      <c r="K3526" s="633" t="s">
        <v>922</v>
      </c>
      <c r="L3526" s="633">
        <f>4/8</f>
        <v>0.5</v>
      </c>
      <c r="M3526" s="633" t="s">
        <v>939</v>
      </c>
    </row>
    <row r="3527" spans="1:13" ht="15.75" hidden="1" customHeight="1" outlineLevel="2">
      <c r="A3527" s="613"/>
      <c r="B3527" s="612"/>
      <c r="C3527" s="613" t="s">
        <v>493</v>
      </c>
      <c r="D3527" s="612" t="s">
        <v>921</v>
      </c>
      <c r="E3527" s="613">
        <f>J3525*L3525</f>
        <v>4</v>
      </c>
      <c r="F3527" s="611">
        <f>worker</f>
        <v>107800.00000000001</v>
      </c>
      <c r="G3527" s="611">
        <f t="shared" si="96"/>
        <v>431200.00000000006</v>
      </c>
      <c r="J3527" s="633">
        <v>4</v>
      </c>
      <c r="K3527" s="633" t="s">
        <v>922</v>
      </c>
      <c r="L3527" s="633">
        <v>2</v>
      </c>
      <c r="M3527" s="633" t="s">
        <v>939</v>
      </c>
    </row>
    <row r="3528" spans="1:13" ht="15.75" hidden="1" customHeight="1" outlineLevel="2">
      <c r="A3528" s="613"/>
      <c r="B3528" s="612"/>
      <c r="C3528" s="613" t="s">
        <v>724</v>
      </c>
      <c r="D3528" s="612" t="s">
        <v>921</v>
      </c>
      <c r="E3528" s="613">
        <f>J3526*L3526</f>
        <v>1</v>
      </c>
      <c r="F3528" s="611">
        <f>steel_worker</f>
        <v>119350.00000000001</v>
      </c>
      <c r="G3528" s="611">
        <f t="shared" si="96"/>
        <v>119350.00000000001</v>
      </c>
      <c r="J3528" s="633">
        <v>2</v>
      </c>
      <c r="K3528" s="633" t="s">
        <v>922</v>
      </c>
      <c r="L3528" s="633">
        <f>2/8</f>
        <v>0.25</v>
      </c>
      <c r="M3528" s="633" t="s">
        <v>939</v>
      </c>
    </row>
    <row r="3529" spans="1:13" ht="15.75" hidden="1" customHeight="1" outlineLevel="2">
      <c r="A3529" s="613"/>
      <c r="B3529" s="612"/>
      <c r="C3529" s="613" t="s">
        <v>725</v>
      </c>
      <c r="D3529" s="612" t="s">
        <v>921</v>
      </c>
      <c r="E3529" s="613">
        <f>J3527*L3527</f>
        <v>8</v>
      </c>
      <c r="F3529" s="611">
        <f>carpenter</f>
        <v>107800.00000000001</v>
      </c>
      <c r="G3529" s="611">
        <f t="shared" si="96"/>
        <v>862400.00000000012</v>
      </c>
    </row>
    <row r="3530" spans="1:13" ht="15.75" hidden="1" customHeight="1" outlineLevel="2">
      <c r="A3530" s="613"/>
      <c r="B3530" s="612"/>
      <c r="C3530" s="613" t="s">
        <v>1029</v>
      </c>
      <c r="D3530" s="612" t="s">
        <v>921</v>
      </c>
      <c r="E3530" s="613">
        <f>J3528*L3528</f>
        <v>0.5</v>
      </c>
      <c r="F3530" s="611">
        <f>Foreman</f>
        <v>119350.00000000001</v>
      </c>
      <c r="G3530" s="611">
        <f t="shared" si="96"/>
        <v>59675.000000000007</v>
      </c>
    </row>
    <row r="3531" spans="1:13" ht="15.75" hidden="1" customHeight="1" outlineLevel="2">
      <c r="A3531" s="613"/>
      <c r="B3531" s="612"/>
      <c r="C3531" s="613"/>
      <c r="D3531" s="612"/>
      <c r="E3531" s="613"/>
      <c r="F3531" s="611"/>
      <c r="G3531" s="611" t="e">
        <f>SUM(G3514:G3530)</f>
        <v>#NAME?</v>
      </c>
      <c r="J3531" s="1200" t="s">
        <v>1079</v>
      </c>
      <c r="K3531" s="1200"/>
      <c r="L3531" s="1200" t="s">
        <v>1078</v>
      </c>
      <c r="M3531" s="1200"/>
    </row>
    <row r="3532" spans="1:13" ht="15.75" customHeight="1" outlineLevel="1" collapsed="1">
      <c r="A3532" s="613" t="s">
        <v>2074</v>
      </c>
      <c r="B3532" s="612">
        <f>B3512+1</f>
        <v>38</v>
      </c>
      <c r="C3532" s="613" t="s">
        <v>2052</v>
      </c>
      <c r="D3532" s="612" t="s">
        <v>2051</v>
      </c>
      <c r="E3532" s="613"/>
      <c r="F3532" s="611"/>
      <c r="G3532" s="611"/>
      <c r="J3532" s="633">
        <v>12</v>
      </c>
      <c r="K3532" s="633" t="s">
        <v>1076</v>
      </c>
      <c r="L3532" s="633">
        <v>1</v>
      </c>
    </row>
    <row r="3533" spans="1:13" ht="15.75" hidden="1" customHeight="1" outlineLevel="2">
      <c r="A3533" s="613"/>
      <c r="B3533" s="612"/>
      <c r="C3533" s="613" t="s">
        <v>93</v>
      </c>
      <c r="D3533" s="612"/>
      <c r="E3533" s="613"/>
      <c r="F3533" s="611"/>
      <c r="G3533" s="611"/>
    </row>
    <row r="3534" spans="1:13" ht="15.75" hidden="1" customHeight="1" outlineLevel="2">
      <c r="A3534" s="613"/>
      <c r="B3534" s="612"/>
      <c r="C3534" s="613" t="s">
        <v>1077</v>
      </c>
      <c r="D3534" s="612" t="s">
        <v>50</v>
      </c>
      <c r="E3534" s="613">
        <f>J3532*L3532</f>
        <v>12</v>
      </c>
      <c r="F3534" s="611" t="e">
        <f>pipa_gip_2in</f>
        <v>#NAME?</v>
      </c>
      <c r="G3534" s="611" t="e">
        <f t="shared" ref="G3534:G3550" si="97">E3534*F3534</f>
        <v>#NAME?</v>
      </c>
      <c r="J3534" s="633">
        <v>2</v>
      </c>
      <c r="K3534" s="633" t="s">
        <v>710</v>
      </c>
      <c r="L3534" s="633">
        <v>8</v>
      </c>
      <c r="M3534" s="633" t="s">
        <v>1073</v>
      </c>
    </row>
    <row r="3535" spans="1:13" ht="15.75" hidden="1" customHeight="1" outlineLevel="2">
      <c r="A3535" s="613"/>
      <c r="B3535" s="612"/>
      <c r="C3535" s="613" t="s">
        <v>1075</v>
      </c>
      <c r="D3535" s="612" t="s">
        <v>3</v>
      </c>
      <c r="E3535" s="613">
        <v>2.8260000000000001</v>
      </c>
      <c r="F3535" s="611" t="e">
        <f>kawat_las_harmonika</f>
        <v>#NAME?</v>
      </c>
      <c r="G3535" s="611" t="e">
        <f t="shared" si="97"/>
        <v>#NAME?</v>
      </c>
    </row>
    <row r="3536" spans="1:13" ht="15.75" hidden="1" customHeight="1" outlineLevel="2">
      <c r="A3536" s="613"/>
      <c r="B3536" s="612"/>
      <c r="C3536" s="613" t="s">
        <v>1074</v>
      </c>
      <c r="D3536" s="612" t="s">
        <v>710</v>
      </c>
      <c r="E3536" s="613">
        <f>J3534*L3534</f>
        <v>16</v>
      </c>
      <c r="F3536" s="611">
        <f>F3517</f>
        <v>13200.000000000002</v>
      </c>
      <c r="G3536" s="611">
        <f t="shared" si="97"/>
        <v>211200.00000000003</v>
      </c>
    </row>
    <row r="3537" spans="1:13" ht="15.75" hidden="1" customHeight="1" outlineLevel="2">
      <c r="A3537" s="613"/>
      <c r="B3537" s="612"/>
      <c r="C3537" s="613"/>
      <c r="D3537" s="612"/>
      <c r="E3537" s="613"/>
      <c r="F3537" s="611"/>
      <c r="G3537" s="611">
        <f t="shared" si="97"/>
        <v>0</v>
      </c>
      <c r="J3537" s="633">
        <v>1</v>
      </c>
      <c r="K3537" s="633" t="s">
        <v>2</v>
      </c>
      <c r="L3537" s="633">
        <v>0.125</v>
      </c>
      <c r="M3537" s="633" t="s">
        <v>939</v>
      </c>
    </row>
    <row r="3538" spans="1:13" ht="15.75" hidden="1" customHeight="1" outlineLevel="2">
      <c r="A3538" s="613"/>
      <c r="B3538" s="612"/>
      <c r="C3538" s="613" t="s">
        <v>63</v>
      </c>
      <c r="D3538" s="612"/>
      <c r="E3538" s="613"/>
      <c r="F3538" s="611"/>
      <c r="G3538" s="611">
        <f t="shared" si="97"/>
        <v>0</v>
      </c>
      <c r="J3538" s="633">
        <v>1</v>
      </c>
      <c r="K3538" s="633" t="s">
        <v>2</v>
      </c>
      <c r="L3538" s="633">
        <v>6.25E-2</v>
      </c>
      <c r="M3538" s="633" t="s">
        <v>939</v>
      </c>
    </row>
    <row r="3539" spans="1:13" ht="15.75" hidden="1" customHeight="1" outlineLevel="2">
      <c r="A3539" s="613"/>
      <c r="B3539" s="612"/>
      <c r="C3539" s="613" t="s">
        <v>926</v>
      </c>
      <c r="D3539" s="612" t="s">
        <v>98</v>
      </c>
      <c r="E3539" s="613">
        <f t="shared" ref="E3539:E3544" si="98">J3537*L3537</f>
        <v>0.125</v>
      </c>
      <c r="F3539" s="611" t="e">
        <f>truck_crane*8</f>
        <v>#NAME?</v>
      </c>
      <c r="G3539" s="611" t="e">
        <f t="shared" si="97"/>
        <v>#NAME?</v>
      </c>
      <c r="J3539" s="633">
        <v>2</v>
      </c>
      <c r="K3539" s="633" t="s">
        <v>2</v>
      </c>
      <c r="L3539" s="633">
        <v>0.25</v>
      </c>
      <c r="M3539" s="633" t="s">
        <v>939</v>
      </c>
    </row>
    <row r="3540" spans="1:13" ht="15.75" hidden="1" customHeight="1" outlineLevel="2">
      <c r="A3540" s="613"/>
      <c r="B3540" s="612"/>
      <c r="C3540" s="613" t="s">
        <v>1072</v>
      </c>
      <c r="D3540" s="612" t="s">
        <v>98</v>
      </c>
      <c r="E3540" s="613">
        <f t="shared" si="98"/>
        <v>6.25E-2</v>
      </c>
      <c r="F3540" s="611">
        <f>forklift*8</f>
        <v>1925000.0000000002</v>
      </c>
      <c r="G3540" s="611">
        <f t="shared" si="97"/>
        <v>120312.50000000001</v>
      </c>
      <c r="J3540" s="633">
        <v>1</v>
      </c>
      <c r="K3540" s="633" t="s">
        <v>2</v>
      </c>
      <c r="L3540" s="633">
        <v>0.25</v>
      </c>
      <c r="M3540" s="633" t="s">
        <v>939</v>
      </c>
    </row>
    <row r="3541" spans="1:13" ht="15.75" hidden="1" customHeight="1" outlineLevel="2">
      <c r="A3541" s="613"/>
      <c r="B3541" s="612"/>
      <c r="C3541" s="613" t="s">
        <v>1071</v>
      </c>
      <c r="D3541" s="612" t="s">
        <v>98</v>
      </c>
      <c r="E3541" s="613">
        <f t="shared" si="98"/>
        <v>0.5</v>
      </c>
      <c r="F3541" s="611">
        <f>F3522</f>
        <v>220000.00000000003</v>
      </c>
      <c r="G3541" s="611">
        <f t="shared" si="97"/>
        <v>110000.00000000001</v>
      </c>
      <c r="J3541" s="633">
        <v>2</v>
      </c>
      <c r="K3541" s="633" t="s">
        <v>2</v>
      </c>
      <c r="L3541" s="633">
        <v>0.25</v>
      </c>
      <c r="M3541" s="633" t="s">
        <v>939</v>
      </c>
    </row>
    <row r="3542" spans="1:13" ht="15.75" hidden="1" customHeight="1" outlineLevel="2">
      <c r="A3542" s="613"/>
      <c r="B3542" s="612"/>
      <c r="C3542" s="613" t="s">
        <v>1070</v>
      </c>
      <c r="D3542" s="612" t="s">
        <v>98</v>
      </c>
      <c r="E3542" s="613">
        <f t="shared" si="98"/>
        <v>0.25</v>
      </c>
      <c r="F3542" s="611">
        <f>jack_hydrolic*8</f>
        <v>142560</v>
      </c>
      <c r="G3542" s="611">
        <f t="shared" si="97"/>
        <v>35640</v>
      </c>
      <c r="J3542" s="633">
        <v>1</v>
      </c>
      <c r="K3542" s="633" t="s">
        <v>2</v>
      </c>
      <c r="L3542" s="633">
        <v>2</v>
      </c>
      <c r="M3542" s="633" t="s">
        <v>939</v>
      </c>
    </row>
    <row r="3543" spans="1:13" ht="15.75" hidden="1" customHeight="1" outlineLevel="2">
      <c r="A3543" s="613"/>
      <c r="B3543" s="612"/>
      <c r="C3543" s="613" t="s">
        <v>1069</v>
      </c>
      <c r="D3543" s="612" t="s">
        <v>98</v>
      </c>
      <c r="E3543" s="613">
        <f t="shared" si="98"/>
        <v>0.5</v>
      </c>
      <c r="F3543" s="611">
        <f>chain_block_5ton</f>
        <v>16575.339</v>
      </c>
      <c r="G3543" s="611">
        <f t="shared" si="97"/>
        <v>8287.6695</v>
      </c>
    </row>
    <row r="3544" spans="1:13" ht="15.75" hidden="1" customHeight="1" outlineLevel="2">
      <c r="A3544" s="613"/>
      <c r="B3544" s="612"/>
      <c r="C3544" s="613" t="s">
        <v>1068</v>
      </c>
      <c r="D3544" s="612" t="s">
        <v>98</v>
      </c>
      <c r="E3544" s="613">
        <f t="shared" si="98"/>
        <v>2</v>
      </c>
      <c r="F3544" s="611">
        <f>welding_machine_day</f>
        <v>891000.00000000012</v>
      </c>
      <c r="G3544" s="611">
        <f t="shared" si="97"/>
        <v>1782000.0000000002</v>
      </c>
    </row>
    <row r="3545" spans="1:13" ht="15.75" hidden="1" customHeight="1" outlineLevel="2">
      <c r="A3545" s="613"/>
      <c r="B3545" s="612"/>
      <c r="C3545" s="613"/>
      <c r="D3545" s="612"/>
      <c r="E3545" s="613"/>
      <c r="F3545" s="611"/>
      <c r="G3545" s="611">
        <f t="shared" si="97"/>
        <v>0</v>
      </c>
      <c r="J3545" s="633">
        <v>8</v>
      </c>
      <c r="K3545" s="633" t="s">
        <v>922</v>
      </c>
      <c r="L3545" s="633">
        <f>4/8</f>
        <v>0.5</v>
      </c>
      <c r="M3545" s="633" t="s">
        <v>939</v>
      </c>
    </row>
    <row r="3546" spans="1:13" ht="15.75" hidden="1" customHeight="1" outlineLevel="2">
      <c r="A3546" s="613"/>
      <c r="B3546" s="612"/>
      <c r="C3546" s="613" t="s">
        <v>1052</v>
      </c>
      <c r="D3546" s="612"/>
      <c r="E3546" s="613"/>
      <c r="F3546" s="611"/>
      <c r="G3546" s="611">
        <f t="shared" si="97"/>
        <v>0</v>
      </c>
      <c r="J3546" s="633">
        <v>2</v>
      </c>
      <c r="K3546" s="633" t="s">
        <v>922</v>
      </c>
      <c r="L3546" s="633">
        <f>3/8</f>
        <v>0.375</v>
      </c>
      <c r="M3546" s="633" t="s">
        <v>939</v>
      </c>
    </row>
    <row r="3547" spans="1:13" ht="15.75" hidden="1" customHeight="1" outlineLevel="2">
      <c r="A3547" s="613"/>
      <c r="B3547" s="612"/>
      <c r="C3547" s="613" t="s">
        <v>493</v>
      </c>
      <c r="D3547" s="612" t="s">
        <v>921</v>
      </c>
      <c r="E3547" s="613">
        <f>J3545*L3545</f>
        <v>4</v>
      </c>
      <c r="F3547" s="611">
        <f>worker</f>
        <v>107800.00000000001</v>
      </c>
      <c r="G3547" s="611">
        <f t="shared" si="97"/>
        <v>431200.00000000006</v>
      </c>
      <c r="J3547" s="633">
        <v>2</v>
      </c>
      <c r="K3547" s="633" t="s">
        <v>922</v>
      </c>
      <c r="L3547" s="633">
        <v>2</v>
      </c>
      <c r="M3547" s="633" t="s">
        <v>939</v>
      </c>
    </row>
    <row r="3548" spans="1:13" ht="15.75" hidden="1" customHeight="1" outlineLevel="2">
      <c r="A3548" s="613"/>
      <c r="B3548" s="612"/>
      <c r="C3548" s="613" t="s">
        <v>724</v>
      </c>
      <c r="D3548" s="612" t="s">
        <v>921</v>
      </c>
      <c r="E3548" s="613">
        <f>J3546*L3546</f>
        <v>0.75</v>
      </c>
      <c r="F3548" s="611">
        <f>steel_worker</f>
        <v>119350.00000000001</v>
      </c>
      <c r="G3548" s="611">
        <f t="shared" si="97"/>
        <v>89512.500000000015</v>
      </c>
      <c r="J3548" s="633">
        <v>2</v>
      </c>
      <c r="K3548" s="633" t="s">
        <v>922</v>
      </c>
      <c r="L3548" s="633">
        <f>2/8</f>
        <v>0.25</v>
      </c>
      <c r="M3548" s="633" t="s">
        <v>939</v>
      </c>
    </row>
    <row r="3549" spans="1:13" ht="15.75" hidden="1" customHeight="1" outlineLevel="2">
      <c r="A3549" s="613"/>
      <c r="B3549" s="612"/>
      <c r="C3549" s="613" t="s">
        <v>730</v>
      </c>
      <c r="D3549" s="612" t="s">
        <v>921</v>
      </c>
      <c r="E3549" s="613">
        <f>J3547*L3547</f>
        <v>4</v>
      </c>
      <c r="F3549" s="611">
        <f>welder</f>
        <v>127600.00000000001</v>
      </c>
      <c r="G3549" s="611">
        <f t="shared" si="97"/>
        <v>510400.00000000006</v>
      </c>
    </row>
    <row r="3550" spans="1:13" ht="15.75" hidden="1" customHeight="1" outlineLevel="2">
      <c r="A3550" s="613"/>
      <c r="B3550" s="612"/>
      <c r="C3550" s="613" t="s">
        <v>1029</v>
      </c>
      <c r="D3550" s="612" t="s">
        <v>921</v>
      </c>
      <c r="E3550" s="613">
        <f>J3548*L3548</f>
        <v>0.5</v>
      </c>
      <c r="F3550" s="611">
        <f>Foreman</f>
        <v>119350.00000000001</v>
      </c>
      <c r="G3550" s="611">
        <f t="shared" si="97"/>
        <v>59675.000000000007</v>
      </c>
    </row>
    <row r="3551" spans="1:13" ht="15.75" hidden="1" customHeight="1" outlineLevel="2">
      <c r="A3551" s="613"/>
      <c r="B3551" s="612"/>
      <c r="C3551" s="613"/>
      <c r="D3551" s="612"/>
      <c r="E3551" s="613"/>
      <c r="F3551" s="611"/>
      <c r="G3551" s="611" t="e">
        <f>SUM(G3534:G3550)</f>
        <v>#NAME?</v>
      </c>
    </row>
    <row r="3552" spans="1:13" ht="15.75" customHeight="1" outlineLevel="1" collapsed="1">
      <c r="A3552" s="613" t="s">
        <v>2074</v>
      </c>
      <c r="B3552" s="609">
        <f>B3532+1</f>
        <v>39</v>
      </c>
      <c r="C3552" s="613" t="s">
        <v>2049</v>
      </c>
      <c r="D3552" s="612" t="s">
        <v>455</v>
      </c>
      <c r="E3552" s="613"/>
      <c r="F3552" s="611"/>
      <c r="G3552" s="611">
        <f>G3566</f>
        <v>567322.91</v>
      </c>
    </row>
    <row r="3553" spans="1:13" ht="15.75" hidden="1" customHeight="1" outlineLevel="2">
      <c r="A3553" s="613"/>
      <c r="B3553" s="612"/>
      <c r="C3553" s="613" t="s">
        <v>1052</v>
      </c>
      <c r="D3553" s="612"/>
      <c r="E3553" s="613"/>
      <c r="F3553" s="611"/>
      <c r="G3553" s="611"/>
    </row>
    <row r="3554" spans="1:13" ht="15.75" hidden="1" customHeight="1" outlineLevel="2">
      <c r="A3554" s="613"/>
      <c r="B3554" s="612"/>
      <c r="C3554" s="613" t="s">
        <v>32</v>
      </c>
      <c r="D3554" s="612" t="s">
        <v>33</v>
      </c>
      <c r="E3554" s="613">
        <v>0.3</v>
      </c>
      <c r="F3554" s="611">
        <f>worker</f>
        <v>107800.00000000001</v>
      </c>
      <c r="G3554" s="611">
        <f t="shared" ref="G3554:G3565" si="99">E3554*F3554</f>
        <v>32340.000000000004</v>
      </c>
    </row>
    <row r="3555" spans="1:13" ht="15.75" hidden="1" customHeight="1" outlineLevel="2">
      <c r="A3555" s="613"/>
      <c r="B3555" s="612"/>
      <c r="C3555" s="613" t="s">
        <v>45</v>
      </c>
      <c r="D3555" s="612" t="s">
        <v>33</v>
      </c>
      <c r="E3555" s="613">
        <v>0.2</v>
      </c>
      <c r="F3555" s="611">
        <f>carpenter</f>
        <v>107800.00000000001</v>
      </c>
      <c r="G3555" s="611">
        <f t="shared" si="99"/>
        <v>21560.000000000004</v>
      </c>
    </row>
    <row r="3556" spans="1:13" ht="15.75" hidden="1" customHeight="1" outlineLevel="2">
      <c r="A3556" s="613"/>
      <c r="B3556" s="612"/>
      <c r="C3556" s="613" t="s">
        <v>1067</v>
      </c>
      <c r="D3556" s="612" t="s">
        <v>33</v>
      </c>
      <c r="E3556" s="613">
        <v>1</v>
      </c>
      <c r="F3556" s="611">
        <f>carpenter_chief</f>
        <v>119350.00000000001</v>
      </c>
      <c r="G3556" s="611">
        <f t="shared" si="99"/>
        <v>119350.00000000001</v>
      </c>
    </row>
    <row r="3557" spans="1:13" ht="15.75" hidden="1" customHeight="1" outlineLevel="2">
      <c r="A3557" s="613"/>
      <c r="B3557" s="612"/>
      <c r="C3557" s="613" t="s">
        <v>800</v>
      </c>
      <c r="D3557" s="612" t="s">
        <v>33</v>
      </c>
      <c r="E3557" s="613">
        <v>1</v>
      </c>
      <c r="F3557" s="611">
        <f>surveyor</f>
        <v>330000</v>
      </c>
      <c r="G3557" s="611">
        <f t="shared" si="99"/>
        <v>330000</v>
      </c>
    </row>
    <row r="3558" spans="1:13" ht="15.75" hidden="1" customHeight="1" outlineLevel="2">
      <c r="A3558" s="613"/>
      <c r="B3558" s="612"/>
      <c r="C3558" s="613"/>
      <c r="D3558" s="612"/>
      <c r="E3558" s="613"/>
      <c r="F3558" s="611"/>
      <c r="G3558" s="611">
        <f t="shared" si="99"/>
        <v>0</v>
      </c>
    </row>
    <row r="3559" spans="1:13" ht="15.75" hidden="1" customHeight="1" outlineLevel="2">
      <c r="A3559" s="613"/>
      <c r="B3559" s="612"/>
      <c r="C3559" s="613" t="s">
        <v>93</v>
      </c>
      <c r="D3559" s="612"/>
      <c r="E3559" s="613"/>
      <c r="F3559" s="611"/>
      <c r="G3559" s="611">
        <f t="shared" si="99"/>
        <v>0</v>
      </c>
    </row>
    <row r="3560" spans="1:13" ht="15.75" hidden="1" customHeight="1" outlineLevel="2">
      <c r="A3560" s="613"/>
      <c r="B3560" s="612"/>
      <c r="C3560" s="613" t="s">
        <v>1066</v>
      </c>
      <c r="D3560" s="612" t="s">
        <v>52</v>
      </c>
      <c r="E3560" s="613">
        <v>7.0000000000000001E-3</v>
      </c>
      <c r="F3560" s="611">
        <f>plank_meranti_3.20</f>
        <v>2730970</v>
      </c>
      <c r="G3560" s="611">
        <f t="shared" si="99"/>
        <v>19116.79</v>
      </c>
    </row>
    <row r="3561" spans="1:13" ht="15.75" hidden="1" customHeight="1" outlineLevel="2">
      <c r="A3561" s="613"/>
      <c r="B3561" s="612"/>
      <c r="C3561" s="613" t="s">
        <v>1065</v>
      </c>
      <c r="D3561" s="612" t="s">
        <v>1064</v>
      </c>
      <c r="E3561" s="613">
        <v>1.2E-2</v>
      </c>
      <c r="F3561" s="611">
        <f>meranti_beam_5.7</f>
        <v>2669260</v>
      </c>
      <c r="G3561" s="611">
        <f t="shared" si="99"/>
        <v>32031.119999999999</v>
      </c>
    </row>
    <row r="3562" spans="1:13" ht="15.75" hidden="1" customHeight="1" outlineLevel="2">
      <c r="A3562" s="613"/>
      <c r="B3562" s="612"/>
      <c r="C3562" s="613" t="s">
        <v>1063</v>
      </c>
      <c r="D3562" s="612" t="s">
        <v>141</v>
      </c>
      <c r="E3562" s="613">
        <v>0.02</v>
      </c>
      <c r="F3562" s="611">
        <f>nail</f>
        <v>96250.000000000015</v>
      </c>
      <c r="G3562" s="611">
        <f t="shared" si="99"/>
        <v>1925.0000000000002</v>
      </c>
    </row>
    <row r="3563" spans="1:13" ht="15.75" hidden="1" customHeight="1" outlineLevel="2">
      <c r="A3563" s="613"/>
      <c r="B3563" s="612"/>
      <c r="C3563" s="613"/>
      <c r="D3563" s="612"/>
      <c r="E3563" s="613"/>
      <c r="F3563" s="611"/>
      <c r="G3563" s="611">
        <f t="shared" si="99"/>
        <v>0</v>
      </c>
    </row>
    <row r="3564" spans="1:13" ht="15.75" hidden="1" customHeight="1" outlineLevel="2">
      <c r="A3564" s="613"/>
      <c r="B3564" s="612"/>
      <c r="C3564" s="613" t="s">
        <v>63</v>
      </c>
      <c r="D3564" s="612"/>
      <c r="E3564" s="613"/>
      <c r="F3564" s="611"/>
      <c r="G3564" s="611">
        <f t="shared" si="99"/>
        <v>0</v>
      </c>
    </row>
    <row r="3565" spans="1:13" ht="15.75" hidden="1" customHeight="1" outlineLevel="2">
      <c r="A3565" s="613"/>
      <c r="B3565" s="612"/>
      <c r="C3565" s="613" t="s">
        <v>1062</v>
      </c>
      <c r="D3565" s="612" t="s">
        <v>72</v>
      </c>
      <c r="E3565" s="613">
        <v>0.25</v>
      </c>
      <c r="F3565" s="611">
        <f>theodolit/5</f>
        <v>44000.000000000007</v>
      </c>
      <c r="G3565" s="611">
        <f t="shared" si="99"/>
        <v>11000.000000000002</v>
      </c>
    </row>
    <row r="3566" spans="1:13" ht="15.75" hidden="1" customHeight="1" outlineLevel="2">
      <c r="A3566" s="613"/>
      <c r="B3566" s="612"/>
      <c r="C3566" s="613"/>
      <c r="D3566" s="612"/>
      <c r="E3566" s="613"/>
      <c r="F3566" s="611"/>
      <c r="G3566" s="611">
        <f>SUM(G3554:G3565)</f>
        <v>567322.91</v>
      </c>
    </row>
    <row r="3567" spans="1:13" ht="15.75" hidden="1" customHeight="1" outlineLevel="2">
      <c r="A3567" s="613"/>
      <c r="B3567" s="612"/>
      <c r="C3567" s="613"/>
      <c r="D3567" s="612"/>
      <c r="E3567" s="613"/>
      <c r="F3567" s="611"/>
      <c r="G3567" s="611"/>
      <c r="J3567" s="1200" t="s">
        <v>1079</v>
      </c>
      <c r="K3567" s="1200"/>
      <c r="L3567" s="1200" t="s">
        <v>1078</v>
      </c>
      <c r="M3567" s="1200"/>
    </row>
    <row r="3568" spans="1:13" ht="15.75" customHeight="1" outlineLevel="1" collapsed="1">
      <c r="A3568" s="613" t="s">
        <v>2074</v>
      </c>
      <c r="B3568" s="609">
        <f>B3552+1</f>
        <v>40</v>
      </c>
      <c r="C3568" s="613" t="s">
        <v>2050</v>
      </c>
      <c r="D3568" s="612" t="s">
        <v>4320</v>
      </c>
      <c r="E3568" s="613"/>
      <c r="F3568" s="611"/>
      <c r="G3568" s="611">
        <f>SUM(G3570:G3581)</f>
        <v>18828.125</v>
      </c>
      <c r="J3568" s="633">
        <v>1</v>
      </c>
      <c r="K3568" s="633" t="s">
        <v>922</v>
      </c>
      <c r="L3568" s="633">
        <f>0.25/8</f>
        <v>3.125E-2</v>
      </c>
      <c r="M3568" s="633" t="s">
        <v>939</v>
      </c>
    </row>
    <row r="3569" spans="1:14" ht="15.75" hidden="1" customHeight="1" outlineLevel="2">
      <c r="A3569" s="613"/>
      <c r="B3569" s="612"/>
      <c r="C3569" s="613" t="s">
        <v>1052</v>
      </c>
      <c r="D3569" s="612"/>
      <c r="E3569" s="613"/>
      <c r="F3569" s="611"/>
      <c r="G3569" s="611"/>
      <c r="J3569" s="633">
        <v>1</v>
      </c>
      <c r="K3569" s="633" t="s">
        <v>922</v>
      </c>
      <c r="L3569" s="633">
        <f>0.25/8</f>
        <v>3.125E-2</v>
      </c>
      <c r="M3569" s="633" t="s">
        <v>939</v>
      </c>
      <c r="N3569" s="633" t="s">
        <v>4317</v>
      </c>
    </row>
    <row r="3570" spans="1:14" ht="15.75" hidden="1" customHeight="1" outlineLevel="2">
      <c r="A3570" s="613"/>
      <c r="B3570" s="612"/>
      <c r="C3570" s="613" t="s">
        <v>493</v>
      </c>
      <c r="D3570" s="612" t="s">
        <v>921</v>
      </c>
      <c r="E3570" s="613">
        <f>N3570</f>
        <v>3.125E-2</v>
      </c>
      <c r="F3570" s="611">
        <f>worker</f>
        <v>107800.00000000001</v>
      </c>
      <c r="G3570" s="611">
        <f t="shared" ref="G3570:G3581" si="100">E3570*F3570</f>
        <v>3368.7500000000005</v>
      </c>
      <c r="J3570" s="633">
        <v>1</v>
      </c>
      <c r="K3570" s="633" t="s">
        <v>922</v>
      </c>
      <c r="L3570" s="633">
        <f>0.025/8</f>
        <v>3.1250000000000002E-3</v>
      </c>
      <c r="M3570" s="633" t="s">
        <v>939</v>
      </c>
      <c r="N3570" s="633">
        <f>J3568*L3568</f>
        <v>3.125E-2</v>
      </c>
    </row>
    <row r="3571" spans="1:14" ht="15.75" hidden="1" customHeight="1" outlineLevel="2">
      <c r="A3571" s="613"/>
      <c r="B3571" s="612"/>
      <c r="C3571" s="613" t="s">
        <v>1061</v>
      </c>
      <c r="D3571" s="612" t="s">
        <v>921</v>
      </c>
      <c r="E3571" s="613">
        <f t="shared" ref="E3571:E3573" si="101">N3571</f>
        <v>3.125E-2</v>
      </c>
      <c r="F3571" s="611">
        <f>welder</f>
        <v>127600.00000000001</v>
      </c>
      <c r="G3571" s="611">
        <f t="shared" si="100"/>
        <v>3987.5000000000005</v>
      </c>
      <c r="J3571" s="633">
        <v>1</v>
      </c>
      <c r="K3571" s="633" t="s">
        <v>922</v>
      </c>
      <c r="L3571" s="633">
        <f>0.025/8</f>
        <v>3.1250000000000002E-3</v>
      </c>
      <c r="M3571" s="633" t="s">
        <v>939</v>
      </c>
      <c r="N3571" s="633">
        <f>J3569*L3569</f>
        <v>3.125E-2</v>
      </c>
    </row>
    <row r="3572" spans="1:14" ht="15.75" hidden="1" customHeight="1" outlineLevel="2">
      <c r="A3572" s="613"/>
      <c r="B3572" s="612"/>
      <c r="C3572" s="613" t="s">
        <v>1056</v>
      </c>
      <c r="D3572" s="612" t="s">
        <v>921</v>
      </c>
      <c r="E3572" s="613">
        <f t="shared" si="101"/>
        <v>3.1250000000000002E-3</v>
      </c>
      <c r="F3572" s="611">
        <f>supervisor</f>
        <v>119350.00000000001</v>
      </c>
      <c r="G3572" s="611">
        <f t="shared" si="100"/>
        <v>372.96875000000006</v>
      </c>
      <c r="N3572" s="633">
        <f>J3570*L3570</f>
        <v>3.1250000000000002E-3</v>
      </c>
    </row>
    <row r="3573" spans="1:14" ht="15.75" hidden="1" customHeight="1" outlineLevel="2">
      <c r="A3573" s="613"/>
      <c r="B3573" s="612"/>
      <c r="C3573" s="613" t="s">
        <v>1029</v>
      </c>
      <c r="D3573" s="612" t="s">
        <v>921</v>
      </c>
      <c r="E3573" s="613">
        <f t="shared" si="101"/>
        <v>3.1250000000000002E-3</v>
      </c>
      <c r="F3573" s="611">
        <f>Foreman</f>
        <v>119350.00000000001</v>
      </c>
      <c r="G3573" s="611">
        <f t="shared" si="100"/>
        <v>372.96875000000006</v>
      </c>
      <c r="N3573" s="633">
        <f>J3571*L3571</f>
        <v>3.1250000000000002E-3</v>
      </c>
    </row>
    <row r="3574" spans="1:14" ht="15.75" hidden="1" customHeight="1" outlineLevel="2">
      <c r="A3574" s="613"/>
      <c r="B3574" s="612"/>
      <c r="C3574" s="613"/>
      <c r="D3574" s="612"/>
      <c r="E3574" s="613"/>
      <c r="F3574" s="611"/>
      <c r="G3574" s="611">
        <f t="shared" si="100"/>
        <v>0</v>
      </c>
      <c r="J3574" s="633">
        <v>0.1</v>
      </c>
      <c r="K3574" s="633" t="s">
        <v>1</v>
      </c>
      <c r="L3574" s="633">
        <v>1</v>
      </c>
      <c r="M3574" s="633" t="s">
        <v>1</v>
      </c>
    </row>
    <row r="3575" spans="1:14" ht="15.75" hidden="1" customHeight="1" outlineLevel="2">
      <c r="A3575" s="613"/>
      <c r="B3575" s="612"/>
      <c r="C3575" s="613" t="s">
        <v>93</v>
      </c>
      <c r="D3575" s="612"/>
      <c r="E3575" s="613"/>
      <c r="F3575" s="611"/>
      <c r="G3575" s="611">
        <f t="shared" si="100"/>
        <v>0</v>
      </c>
      <c r="J3575" s="633">
        <v>2.5000000000000001E-2</v>
      </c>
      <c r="K3575" s="633" t="s">
        <v>77</v>
      </c>
      <c r="L3575" s="633">
        <v>1</v>
      </c>
      <c r="M3575" s="633" t="s">
        <v>1</v>
      </c>
    </row>
    <row r="3576" spans="1:14" ht="15.75" hidden="1" customHeight="1" outlineLevel="2">
      <c r="A3576" s="613"/>
      <c r="B3576" s="612"/>
      <c r="C3576" s="613" t="s">
        <v>1060</v>
      </c>
      <c r="D3576" s="612" t="s">
        <v>1</v>
      </c>
      <c r="E3576" s="613">
        <f>N3576</f>
        <v>0.1</v>
      </c>
      <c r="F3576" s="611">
        <v>25000</v>
      </c>
      <c r="G3576" s="611">
        <f t="shared" si="100"/>
        <v>2500</v>
      </c>
      <c r="J3576" s="633">
        <v>2.5000000000000001E-2</v>
      </c>
      <c r="K3576" s="633" t="s">
        <v>77</v>
      </c>
      <c r="L3576" s="633">
        <v>1</v>
      </c>
      <c r="M3576" s="633" t="s">
        <v>1</v>
      </c>
      <c r="N3576" s="633">
        <f>J3574*L3574</f>
        <v>0.1</v>
      </c>
    </row>
    <row r="3577" spans="1:14" ht="15.75" hidden="1" customHeight="1" outlineLevel="2">
      <c r="A3577" s="613"/>
      <c r="B3577" s="612"/>
      <c r="C3577" s="613" t="s">
        <v>1059</v>
      </c>
      <c r="D3577" s="612" t="s">
        <v>77</v>
      </c>
      <c r="E3577" s="613">
        <f t="shared" ref="E3577:E3578" si="102">N3577</f>
        <v>2.5000000000000001E-2</v>
      </c>
      <c r="F3577" s="611">
        <f>bbm</f>
        <v>12100.000000000002</v>
      </c>
      <c r="G3577" s="611">
        <f t="shared" si="100"/>
        <v>302.50000000000006</v>
      </c>
      <c r="N3577" s="633">
        <f>J3575*L3575</f>
        <v>2.5000000000000001E-2</v>
      </c>
    </row>
    <row r="3578" spans="1:14" ht="15.75" hidden="1" customHeight="1" outlineLevel="2">
      <c r="A3578" s="613"/>
      <c r="B3578" s="612"/>
      <c r="C3578" s="613" t="s">
        <v>1058</v>
      </c>
      <c r="D3578" s="612" t="s">
        <v>77</v>
      </c>
      <c r="E3578" s="613">
        <f t="shared" si="102"/>
        <v>2.5000000000000001E-2</v>
      </c>
      <c r="F3578" s="611">
        <f>oil_machine</f>
        <v>38500</v>
      </c>
      <c r="G3578" s="611">
        <f t="shared" si="100"/>
        <v>962.5</v>
      </c>
      <c r="N3578" s="633">
        <f>J3576*L3576</f>
        <v>2.5000000000000001E-2</v>
      </c>
    </row>
    <row r="3579" spans="1:14" ht="15.75" hidden="1" customHeight="1" outlineLevel="2">
      <c r="A3579" s="613"/>
      <c r="B3579" s="612"/>
      <c r="C3579" s="613"/>
      <c r="D3579" s="612"/>
      <c r="E3579" s="613"/>
      <c r="F3579" s="611"/>
      <c r="G3579" s="611">
        <f t="shared" si="100"/>
        <v>0</v>
      </c>
      <c r="J3579" s="633">
        <v>1</v>
      </c>
      <c r="K3579" s="633" t="s">
        <v>2</v>
      </c>
      <c r="L3579" s="633">
        <f>0.5/8</f>
        <v>6.25E-2</v>
      </c>
      <c r="M3579" s="633" t="s">
        <v>939</v>
      </c>
    </row>
    <row r="3580" spans="1:14" ht="15.75" hidden="1" customHeight="1" outlineLevel="2">
      <c r="A3580" s="613"/>
      <c r="B3580" s="612"/>
      <c r="C3580" s="613" t="s">
        <v>63</v>
      </c>
      <c r="D3580" s="612"/>
      <c r="E3580" s="613"/>
      <c r="F3580" s="611"/>
      <c r="G3580" s="611">
        <f t="shared" si="100"/>
        <v>0</v>
      </c>
    </row>
    <row r="3581" spans="1:14" ht="15.75" hidden="1" customHeight="1" outlineLevel="2">
      <c r="A3581" s="613"/>
      <c r="B3581" s="612"/>
      <c r="C3581" s="613" t="s">
        <v>768</v>
      </c>
      <c r="D3581" s="612" t="s">
        <v>72</v>
      </c>
      <c r="E3581" s="613">
        <f>N3581</f>
        <v>6.25E-2</v>
      </c>
      <c r="F3581" s="611">
        <f>welding_machine_day/8</f>
        <v>111375.00000000001</v>
      </c>
      <c r="G3581" s="611">
        <f t="shared" si="100"/>
        <v>6960.9375000000009</v>
      </c>
      <c r="N3581" s="633">
        <f>J3579*L3579</f>
        <v>6.25E-2</v>
      </c>
    </row>
    <row r="3582" spans="1:14" ht="15.75" customHeight="1" outlineLevel="1" collapsed="1">
      <c r="A3582" s="613" t="s">
        <v>2074</v>
      </c>
      <c r="B3582" s="609">
        <f>B3568+1</f>
        <v>41</v>
      </c>
      <c r="C3582" s="613" t="s">
        <v>2042</v>
      </c>
      <c r="D3582" s="612" t="s">
        <v>194</v>
      </c>
      <c r="E3582" s="613"/>
      <c r="F3582" s="611"/>
      <c r="G3582" s="611">
        <f>G3591</f>
        <v>159677.50000000003</v>
      </c>
    </row>
    <row r="3583" spans="1:14" ht="15.75" hidden="1" customHeight="1" outlineLevel="2">
      <c r="A3583" s="613"/>
      <c r="B3583" s="612"/>
      <c r="C3583" s="613" t="s">
        <v>1052</v>
      </c>
      <c r="D3583" s="612"/>
      <c r="E3583" s="613"/>
      <c r="F3583" s="611"/>
      <c r="G3583" s="611"/>
    </row>
    <row r="3584" spans="1:14" ht="15.75" hidden="1" customHeight="1" outlineLevel="2">
      <c r="A3584" s="613"/>
      <c r="B3584" s="612"/>
      <c r="C3584" s="613" t="s">
        <v>493</v>
      </c>
      <c r="D3584" s="612" t="s">
        <v>921</v>
      </c>
      <c r="E3584" s="613">
        <v>1</v>
      </c>
      <c r="F3584" s="611">
        <f>worker</f>
        <v>107800.00000000001</v>
      </c>
      <c r="G3584" s="611">
        <f t="shared" ref="G3584:G3590" si="103">E3584*F3584</f>
        <v>107800.00000000001</v>
      </c>
    </row>
    <row r="3585" spans="1:7" ht="15.75" hidden="1" customHeight="1" outlineLevel="2">
      <c r="A3585" s="613"/>
      <c r="B3585" s="612"/>
      <c r="C3585" s="613" t="s">
        <v>1056</v>
      </c>
      <c r="D3585" s="612" t="s">
        <v>921</v>
      </c>
      <c r="E3585" s="613">
        <v>0.2</v>
      </c>
      <c r="F3585" s="611">
        <f>supervisor</f>
        <v>119350.00000000001</v>
      </c>
      <c r="G3585" s="611">
        <f t="shared" si="103"/>
        <v>23870.000000000004</v>
      </c>
    </row>
    <row r="3586" spans="1:7" ht="15.75" hidden="1" customHeight="1" outlineLevel="2">
      <c r="A3586" s="613"/>
      <c r="B3586" s="612"/>
      <c r="C3586" s="613" t="s">
        <v>1029</v>
      </c>
      <c r="D3586" s="612" t="s">
        <v>921</v>
      </c>
      <c r="E3586" s="613">
        <v>0.05</v>
      </c>
      <c r="F3586" s="611">
        <f>supervisor</f>
        <v>119350.00000000001</v>
      </c>
      <c r="G3586" s="611">
        <f t="shared" si="103"/>
        <v>5967.5000000000009</v>
      </c>
    </row>
    <row r="3587" spans="1:7" ht="15.75" hidden="1" customHeight="1" outlineLevel="2">
      <c r="A3587" s="613"/>
      <c r="B3587" s="612"/>
      <c r="C3587" s="613"/>
      <c r="D3587" s="612"/>
      <c r="E3587" s="613"/>
      <c r="F3587" s="611"/>
      <c r="G3587" s="611">
        <f t="shared" si="103"/>
        <v>0</v>
      </c>
    </row>
    <row r="3588" spans="1:7" ht="15.75" hidden="1" customHeight="1" outlineLevel="2">
      <c r="A3588" s="613"/>
      <c r="B3588" s="612"/>
      <c r="C3588" s="613" t="s">
        <v>93</v>
      </c>
      <c r="D3588" s="612"/>
      <c r="E3588" s="613"/>
      <c r="F3588" s="611"/>
      <c r="G3588" s="611">
        <f t="shared" si="103"/>
        <v>0</v>
      </c>
    </row>
    <row r="3589" spans="1:7" ht="15.75" hidden="1" customHeight="1" outlineLevel="2">
      <c r="A3589" s="613"/>
      <c r="B3589" s="612"/>
      <c r="C3589" s="613" t="s">
        <v>1055</v>
      </c>
      <c r="D3589" s="612" t="s">
        <v>582</v>
      </c>
      <c r="E3589" s="613">
        <v>1.25</v>
      </c>
      <c r="F3589" s="611">
        <f>pvc_dia2</f>
        <v>15400.000000000002</v>
      </c>
      <c r="G3589" s="611">
        <f t="shared" si="103"/>
        <v>19250.000000000004</v>
      </c>
    </row>
    <row r="3590" spans="1:7" ht="15.75" hidden="1" customHeight="1" outlineLevel="2">
      <c r="A3590" s="613"/>
      <c r="B3590" s="612"/>
      <c r="C3590" s="613" t="s">
        <v>1054</v>
      </c>
      <c r="D3590" s="612" t="s">
        <v>40</v>
      </c>
      <c r="E3590" s="613">
        <v>0.186</v>
      </c>
      <c r="F3590" s="611">
        <v>15000</v>
      </c>
      <c r="G3590" s="611">
        <f t="shared" si="103"/>
        <v>2790</v>
      </c>
    </row>
    <row r="3591" spans="1:7" ht="15.75" hidden="1" customHeight="1" outlineLevel="2">
      <c r="A3591" s="613"/>
      <c r="B3591" s="612"/>
      <c r="C3591" s="613"/>
      <c r="D3591" s="612"/>
      <c r="E3591" s="613"/>
      <c r="F3591" s="611"/>
      <c r="G3591" s="611">
        <f>SUM(G3584:G3590)</f>
        <v>159677.50000000003</v>
      </c>
    </row>
    <row r="3592" spans="1:7" ht="15.75" customHeight="1" outlineLevel="1" collapsed="1">
      <c r="A3592" s="613" t="s">
        <v>2074</v>
      </c>
      <c r="B3592" s="612">
        <f>B3582+1</f>
        <v>42</v>
      </c>
      <c r="C3592" s="613" t="s">
        <v>2041</v>
      </c>
      <c r="D3592" s="612" t="s">
        <v>194</v>
      </c>
      <c r="E3592" s="613"/>
      <c r="F3592" s="611"/>
      <c r="G3592" s="611">
        <f>G3601</f>
        <v>181677.50000000003</v>
      </c>
    </row>
    <row r="3593" spans="1:7" ht="15.75" hidden="1" customHeight="1" outlineLevel="2">
      <c r="A3593" s="613"/>
      <c r="B3593" s="612"/>
      <c r="C3593" s="613" t="s">
        <v>1052</v>
      </c>
      <c r="D3593" s="612"/>
      <c r="E3593" s="613"/>
      <c r="F3593" s="611"/>
      <c r="G3593" s="611"/>
    </row>
    <row r="3594" spans="1:7" ht="15.75" hidden="1" customHeight="1" outlineLevel="2">
      <c r="A3594" s="613"/>
      <c r="B3594" s="612"/>
      <c r="C3594" s="613" t="s">
        <v>493</v>
      </c>
      <c r="D3594" s="612" t="s">
        <v>921</v>
      </c>
      <c r="E3594" s="613">
        <v>1</v>
      </c>
      <c r="F3594" s="611">
        <f>worker</f>
        <v>107800.00000000001</v>
      </c>
      <c r="G3594" s="611">
        <f t="shared" ref="G3594:G3600" si="104">E3594*F3594</f>
        <v>107800.00000000001</v>
      </c>
    </row>
    <row r="3595" spans="1:7" ht="15.75" hidden="1" customHeight="1" outlineLevel="2">
      <c r="A3595" s="613"/>
      <c r="B3595" s="612"/>
      <c r="C3595" s="613" t="s">
        <v>1056</v>
      </c>
      <c r="D3595" s="612" t="s">
        <v>921</v>
      </c>
      <c r="E3595" s="613">
        <v>0.2</v>
      </c>
      <c r="F3595" s="611">
        <f>supervisor</f>
        <v>119350.00000000001</v>
      </c>
      <c r="G3595" s="611">
        <f t="shared" si="104"/>
        <v>23870.000000000004</v>
      </c>
    </row>
    <row r="3596" spans="1:7" ht="15.75" hidden="1" customHeight="1" outlineLevel="2">
      <c r="A3596" s="613"/>
      <c r="B3596" s="612"/>
      <c r="C3596" s="613" t="s">
        <v>1029</v>
      </c>
      <c r="D3596" s="612" t="s">
        <v>921</v>
      </c>
      <c r="E3596" s="613">
        <v>0.05</v>
      </c>
      <c r="F3596" s="611">
        <f>supervisor</f>
        <v>119350.00000000001</v>
      </c>
      <c r="G3596" s="611">
        <f t="shared" si="104"/>
        <v>5967.5000000000009</v>
      </c>
    </row>
    <row r="3597" spans="1:7" ht="15.75" hidden="1" customHeight="1" outlineLevel="2">
      <c r="A3597" s="613"/>
      <c r="B3597" s="612"/>
      <c r="C3597" s="613"/>
      <c r="D3597" s="612"/>
      <c r="E3597" s="613"/>
      <c r="F3597" s="611"/>
      <c r="G3597" s="611">
        <f t="shared" si="104"/>
        <v>0</v>
      </c>
    </row>
    <row r="3598" spans="1:7" ht="15.75" hidden="1" customHeight="1" outlineLevel="2">
      <c r="A3598" s="613"/>
      <c r="B3598" s="612"/>
      <c r="C3598" s="613" t="s">
        <v>93</v>
      </c>
      <c r="D3598" s="612"/>
      <c r="E3598" s="613"/>
      <c r="F3598" s="611"/>
      <c r="G3598" s="611">
        <f t="shared" si="104"/>
        <v>0</v>
      </c>
    </row>
    <row r="3599" spans="1:7" ht="15.75" hidden="1" customHeight="1" outlineLevel="2">
      <c r="A3599" s="613"/>
      <c r="B3599" s="612"/>
      <c r="C3599" s="613" t="s">
        <v>1055</v>
      </c>
      <c r="D3599" s="612" t="s">
        <v>582</v>
      </c>
      <c r="E3599" s="613">
        <v>1.25</v>
      </c>
      <c r="F3599" s="611">
        <f>pvc_dia4</f>
        <v>33000</v>
      </c>
      <c r="G3599" s="611">
        <f t="shared" si="104"/>
        <v>41250</v>
      </c>
    </row>
    <row r="3600" spans="1:7" ht="15.75" hidden="1" customHeight="1" outlineLevel="2">
      <c r="A3600" s="613"/>
      <c r="B3600" s="612"/>
      <c r="C3600" s="613" t="s">
        <v>1054</v>
      </c>
      <c r="D3600" s="612" t="s">
        <v>40</v>
      </c>
      <c r="E3600" s="613">
        <v>0.186</v>
      </c>
      <c r="F3600" s="611">
        <v>15000</v>
      </c>
      <c r="G3600" s="611">
        <f t="shared" si="104"/>
        <v>2790</v>
      </c>
    </row>
    <row r="3601" spans="1:7" ht="15.75" hidden="1" customHeight="1" outlineLevel="2">
      <c r="A3601" s="613"/>
      <c r="B3601" s="612"/>
      <c r="C3601" s="613"/>
      <c r="D3601" s="612"/>
      <c r="E3601" s="613"/>
      <c r="F3601" s="611"/>
      <c r="G3601" s="611">
        <f>SUM(G3594:G3600)</f>
        <v>181677.50000000003</v>
      </c>
    </row>
    <row r="3602" spans="1:7" ht="15.75" customHeight="1" outlineLevel="1" collapsed="1">
      <c r="A3602" s="613" t="s">
        <v>2074</v>
      </c>
      <c r="B3602" s="612">
        <f>B3592+1</f>
        <v>43</v>
      </c>
      <c r="C3602" s="613" t="s">
        <v>2039</v>
      </c>
      <c r="D3602" s="612" t="s">
        <v>918</v>
      </c>
      <c r="E3602" s="613"/>
      <c r="F3602" s="611"/>
      <c r="G3602" s="611">
        <f>G3611</f>
        <v>344166.50000000006</v>
      </c>
    </row>
    <row r="3603" spans="1:7" ht="15.75" hidden="1" customHeight="1" outlineLevel="2">
      <c r="A3603" s="613"/>
      <c r="B3603" s="612"/>
      <c r="C3603" s="613" t="s">
        <v>1052</v>
      </c>
      <c r="D3603" s="612"/>
      <c r="E3603" s="613"/>
      <c r="F3603" s="611"/>
      <c r="G3603" s="611"/>
    </row>
    <row r="3604" spans="1:7" ht="15.75" hidden="1" customHeight="1" outlineLevel="2">
      <c r="A3604" s="613"/>
      <c r="B3604" s="612"/>
      <c r="C3604" s="613" t="s">
        <v>493</v>
      </c>
      <c r="D3604" s="612" t="s">
        <v>921</v>
      </c>
      <c r="E3604" s="613">
        <v>1</v>
      </c>
      <c r="F3604" s="611">
        <f>worker</f>
        <v>107800.00000000001</v>
      </c>
      <c r="G3604" s="611">
        <f t="shared" ref="G3604:G3610" si="105">E3604*F3604</f>
        <v>107800.00000000001</v>
      </c>
    </row>
    <row r="3605" spans="1:7" ht="15.75" hidden="1" customHeight="1" outlineLevel="2">
      <c r="A3605" s="613"/>
      <c r="B3605" s="612"/>
      <c r="C3605" s="613" t="s">
        <v>1029</v>
      </c>
      <c r="D3605" s="612" t="s">
        <v>921</v>
      </c>
      <c r="E3605" s="613">
        <v>0.1</v>
      </c>
      <c r="F3605" s="611">
        <f>supervisor_Asli</f>
        <v>155155</v>
      </c>
      <c r="G3605" s="611">
        <f t="shared" si="105"/>
        <v>15515.5</v>
      </c>
    </row>
    <row r="3606" spans="1:7" ht="15.75" hidden="1" customHeight="1" outlineLevel="2">
      <c r="A3606" s="613"/>
      <c r="B3606" s="612"/>
      <c r="C3606" s="613"/>
      <c r="D3606" s="612"/>
      <c r="E3606" s="613"/>
      <c r="F3606" s="611"/>
      <c r="G3606" s="611">
        <f t="shared" si="105"/>
        <v>0</v>
      </c>
    </row>
    <row r="3607" spans="1:7" ht="15.75" hidden="1" customHeight="1" outlineLevel="2">
      <c r="A3607" s="613"/>
      <c r="B3607" s="612"/>
      <c r="C3607" s="613" t="s">
        <v>93</v>
      </c>
      <c r="D3607" s="612"/>
      <c r="E3607" s="613"/>
      <c r="F3607" s="611"/>
      <c r="G3607" s="611">
        <f t="shared" si="105"/>
        <v>0</v>
      </c>
    </row>
    <row r="3608" spans="1:7" ht="15.75" hidden="1" customHeight="1" outlineLevel="2">
      <c r="A3608" s="613"/>
      <c r="B3608" s="612"/>
      <c r="C3608" s="613" t="s">
        <v>1051</v>
      </c>
      <c r="D3608" s="612" t="s">
        <v>1</v>
      </c>
      <c r="E3608" s="613">
        <f>3.77*1.5</f>
        <v>5.6550000000000002</v>
      </c>
      <c r="F3608" s="611">
        <f>Galvanis_steel_angle_MS</f>
        <v>24200.000000000004</v>
      </c>
      <c r="G3608" s="611">
        <f t="shared" si="105"/>
        <v>136851.00000000003</v>
      </c>
    </row>
    <row r="3609" spans="1:7" ht="15.75" hidden="1" customHeight="1" outlineLevel="2">
      <c r="A3609" s="613"/>
      <c r="B3609" s="612"/>
      <c r="C3609" s="613" t="s">
        <v>1050</v>
      </c>
      <c r="D3609" s="612" t="s">
        <v>3</v>
      </c>
      <c r="E3609" s="613">
        <v>3</v>
      </c>
      <c r="F3609" s="611">
        <v>18000</v>
      </c>
      <c r="G3609" s="611">
        <f t="shared" si="105"/>
        <v>54000</v>
      </c>
    </row>
    <row r="3610" spans="1:7" ht="15.75" hidden="1" customHeight="1" outlineLevel="2">
      <c r="A3610" s="613"/>
      <c r="B3610" s="612"/>
      <c r="C3610" s="613" t="s">
        <v>1049</v>
      </c>
      <c r="D3610" s="612" t="s">
        <v>141</v>
      </c>
      <c r="E3610" s="613">
        <v>2</v>
      </c>
      <c r="F3610" s="611">
        <v>15000</v>
      </c>
      <c r="G3610" s="611">
        <f t="shared" si="105"/>
        <v>30000</v>
      </c>
    </row>
    <row r="3611" spans="1:7" ht="15.75" hidden="1" customHeight="1" outlineLevel="2">
      <c r="A3611" s="613"/>
      <c r="B3611" s="612"/>
      <c r="C3611" s="613"/>
      <c r="D3611" s="612"/>
      <c r="E3611" s="613"/>
      <c r="F3611" s="611"/>
      <c r="G3611" s="611">
        <f>SUM(G3604:G3610)</f>
        <v>344166.50000000006</v>
      </c>
    </row>
    <row r="3612" spans="1:7" ht="15.75" customHeight="1" outlineLevel="1" collapsed="1">
      <c r="A3612" s="613" t="s">
        <v>2074</v>
      </c>
      <c r="B3612" s="609">
        <f>B3602+1</f>
        <v>44</v>
      </c>
      <c r="C3612" s="613" t="s">
        <v>2040</v>
      </c>
      <c r="D3612" s="612" t="s">
        <v>673</v>
      </c>
      <c r="E3612" s="613"/>
      <c r="F3612" s="611"/>
      <c r="G3612" s="611">
        <f>G3621</f>
        <v>218047.5</v>
      </c>
    </row>
    <row r="3613" spans="1:7" ht="15.75" hidden="1" customHeight="1" outlineLevel="2">
      <c r="A3613" s="613"/>
      <c r="B3613" s="612"/>
      <c r="C3613" s="613" t="s">
        <v>1052</v>
      </c>
      <c r="D3613" s="612"/>
      <c r="E3613" s="613"/>
      <c r="F3613" s="611"/>
      <c r="G3613" s="611"/>
    </row>
    <row r="3614" spans="1:7" ht="15.75" hidden="1" customHeight="1" outlineLevel="2">
      <c r="A3614" s="613"/>
      <c r="B3614" s="612"/>
      <c r="C3614" s="613" t="s">
        <v>493</v>
      </c>
      <c r="D3614" s="612" t="s">
        <v>921</v>
      </c>
      <c r="E3614" s="613">
        <v>1</v>
      </c>
      <c r="F3614" s="611">
        <f>worker</f>
        <v>107800.00000000001</v>
      </c>
      <c r="G3614" s="611">
        <f t="shared" ref="G3614:G3619" si="106">E3614*F3614</f>
        <v>107800.00000000001</v>
      </c>
    </row>
    <row r="3615" spans="1:7" ht="15.75" hidden="1" customHeight="1" outlineLevel="2">
      <c r="A3615" s="613"/>
      <c r="B3615" s="612"/>
      <c r="C3615" s="613" t="s">
        <v>1029</v>
      </c>
      <c r="D3615" s="612" t="s">
        <v>921</v>
      </c>
      <c r="E3615" s="613">
        <v>0.1</v>
      </c>
      <c r="F3615" s="611">
        <f>supervisor_Asli</f>
        <v>155155</v>
      </c>
      <c r="G3615" s="611">
        <f t="shared" si="106"/>
        <v>15515.5</v>
      </c>
    </row>
    <row r="3616" spans="1:7" ht="15.75" hidden="1" customHeight="1" outlineLevel="2">
      <c r="A3616" s="613"/>
      <c r="B3616" s="612"/>
      <c r="C3616" s="613"/>
      <c r="D3616" s="612"/>
      <c r="E3616" s="613"/>
      <c r="F3616" s="611"/>
      <c r="G3616" s="611">
        <f t="shared" si="106"/>
        <v>0</v>
      </c>
    </row>
    <row r="3617" spans="1:7" ht="15.75" hidden="1" customHeight="1" outlineLevel="2">
      <c r="A3617" s="613"/>
      <c r="B3617" s="612"/>
      <c r="C3617" s="613" t="s">
        <v>93</v>
      </c>
      <c r="D3617" s="612"/>
      <c r="E3617" s="613"/>
      <c r="F3617" s="611"/>
      <c r="G3617" s="611">
        <f t="shared" si="106"/>
        <v>0</v>
      </c>
    </row>
    <row r="3618" spans="1:7" ht="15.75" hidden="1" customHeight="1" outlineLevel="2">
      <c r="A3618" s="613"/>
      <c r="B3618" s="612"/>
      <c r="C3618" s="613" t="s">
        <v>1402</v>
      </c>
      <c r="D3618" s="612" t="s">
        <v>1</v>
      </c>
      <c r="E3618" s="613">
        <f>0.25*0.002*7800</f>
        <v>3.9</v>
      </c>
      <c r="F3618" s="611">
        <f>Besi_Pelat_kg</f>
        <v>21450</v>
      </c>
      <c r="G3618" s="611">
        <f t="shared" si="106"/>
        <v>83655</v>
      </c>
    </row>
    <row r="3619" spans="1:7" ht="15.75" hidden="1" customHeight="1" outlineLevel="2">
      <c r="A3619" s="613"/>
      <c r="B3619" s="612"/>
      <c r="C3619" s="613" t="s">
        <v>1403</v>
      </c>
      <c r="D3619" s="612" t="s">
        <v>1</v>
      </c>
      <c r="E3619" s="613">
        <v>0.1</v>
      </c>
      <c r="F3619" s="611">
        <f>paint_steel</f>
        <v>110770.00000000001</v>
      </c>
      <c r="G3619" s="611">
        <f t="shared" si="106"/>
        <v>11077.000000000002</v>
      </c>
    </row>
    <row r="3620" spans="1:7" ht="15.75" hidden="1" customHeight="1" outlineLevel="2">
      <c r="A3620" s="613"/>
      <c r="B3620" s="612"/>
      <c r="C3620" s="613"/>
      <c r="D3620" s="612"/>
      <c r="E3620" s="613"/>
      <c r="F3620" s="611"/>
      <c r="G3620" s="611"/>
    </row>
    <row r="3621" spans="1:7" ht="15.75" hidden="1" customHeight="1" outlineLevel="2">
      <c r="A3621" s="613"/>
      <c r="B3621" s="612"/>
      <c r="C3621" s="613"/>
      <c r="D3621" s="612"/>
      <c r="E3621" s="613"/>
      <c r="F3621" s="611"/>
      <c r="G3621" s="611">
        <f>SUM(G3614:G3620)</f>
        <v>218047.5</v>
      </c>
    </row>
    <row r="3622" spans="1:7" ht="15.75" customHeight="1" outlineLevel="1" collapsed="1">
      <c r="A3622" s="613" t="s">
        <v>2074</v>
      </c>
      <c r="B3622" s="612">
        <f>B3612+1</f>
        <v>45</v>
      </c>
      <c r="C3622" s="613" t="s">
        <v>1404</v>
      </c>
      <c r="D3622" s="612"/>
      <c r="E3622" s="613"/>
      <c r="F3622" s="611"/>
      <c r="G3622" s="611">
        <f>G3645</f>
        <v>26618360</v>
      </c>
    </row>
    <row r="3623" spans="1:7" ht="15.75" hidden="1" customHeight="1" outlineLevel="2">
      <c r="A3623" s="613"/>
      <c r="B3623" s="612"/>
      <c r="C3623" s="613" t="s">
        <v>1052</v>
      </c>
      <c r="D3623" s="612"/>
      <c r="E3623" s="613"/>
      <c r="F3623" s="611"/>
      <c r="G3623" s="611"/>
    </row>
    <row r="3624" spans="1:7" ht="15.75" hidden="1" customHeight="1" outlineLevel="2">
      <c r="A3624" s="613"/>
      <c r="B3624" s="612"/>
      <c r="C3624" s="613" t="s">
        <v>1030</v>
      </c>
      <c r="D3624" s="612" t="s">
        <v>921</v>
      </c>
      <c r="E3624" s="613">
        <v>1</v>
      </c>
      <c r="F3624" s="611">
        <f>driver</f>
        <v>184800.00000000003</v>
      </c>
      <c r="G3624" s="611">
        <f>E3624*F3624</f>
        <v>184800.00000000003</v>
      </c>
    </row>
    <row r="3625" spans="1:7" ht="15.75" hidden="1" customHeight="1" outlineLevel="2">
      <c r="A3625" s="613"/>
      <c r="B3625" s="612"/>
      <c r="C3625" s="613" t="s">
        <v>493</v>
      </c>
      <c r="D3625" s="612" t="s">
        <v>921</v>
      </c>
      <c r="E3625" s="613">
        <v>25</v>
      </c>
      <c r="F3625" s="611">
        <f>worker</f>
        <v>107800.00000000001</v>
      </c>
      <c r="G3625" s="611">
        <f>E3625*F3625</f>
        <v>2695000.0000000005</v>
      </c>
    </row>
    <row r="3626" spans="1:7" ht="15.75" hidden="1" customHeight="1" outlineLevel="2">
      <c r="A3626" s="613"/>
      <c r="B3626" s="612"/>
      <c r="C3626" s="613" t="s">
        <v>996</v>
      </c>
      <c r="D3626" s="612" t="s">
        <v>921</v>
      </c>
      <c r="E3626" s="613">
        <v>4</v>
      </c>
      <c r="F3626" s="611">
        <f>engineer</f>
        <v>429000.00000000006</v>
      </c>
      <c r="G3626" s="611">
        <f>E3626*F3626</f>
        <v>1716000.0000000002</v>
      </c>
    </row>
    <row r="3627" spans="1:7" ht="15.75" hidden="1" customHeight="1" outlineLevel="2">
      <c r="A3627" s="613"/>
      <c r="B3627" s="612"/>
      <c r="C3627" s="613" t="s">
        <v>1405</v>
      </c>
      <c r="D3627" s="612" t="s">
        <v>921</v>
      </c>
      <c r="E3627" s="613">
        <v>1</v>
      </c>
      <c r="F3627" s="611">
        <v>456000</v>
      </c>
      <c r="G3627" s="611">
        <f>E3627*F3627</f>
        <v>456000</v>
      </c>
    </row>
    <row r="3628" spans="1:7" ht="15.75" hidden="1" customHeight="1" outlineLevel="2">
      <c r="A3628" s="613"/>
      <c r="B3628" s="612"/>
      <c r="C3628" s="613" t="s">
        <v>1406</v>
      </c>
      <c r="D3628" s="612" t="s">
        <v>921</v>
      </c>
      <c r="E3628" s="613">
        <v>1</v>
      </c>
      <c r="F3628" s="611">
        <v>10000000</v>
      </c>
      <c r="G3628" s="611">
        <f>E3628*F3628</f>
        <v>10000000</v>
      </c>
    </row>
    <row r="3629" spans="1:7" ht="15.75" hidden="1" customHeight="1" outlineLevel="2">
      <c r="A3629" s="613"/>
      <c r="B3629" s="612"/>
      <c r="C3629" s="613"/>
      <c r="D3629" s="612"/>
      <c r="E3629" s="613"/>
      <c r="F3629" s="611"/>
      <c r="G3629" s="611"/>
    </row>
    <row r="3630" spans="1:7" ht="15.75" hidden="1" customHeight="1" outlineLevel="2">
      <c r="A3630" s="613"/>
      <c r="B3630" s="612"/>
      <c r="C3630" s="613" t="s">
        <v>114</v>
      </c>
      <c r="D3630" s="612"/>
      <c r="E3630" s="613"/>
      <c r="F3630" s="611"/>
      <c r="G3630" s="611"/>
    </row>
    <row r="3631" spans="1:7" ht="15.75" hidden="1" customHeight="1" outlineLevel="2">
      <c r="A3631" s="613"/>
      <c r="B3631" s="612"/>
      <c r="C3631" s="613" t="s">
        <v>713</v>
      </c>
      <c r="D3631" s="612" t="s">
        <v>98</v>
      </c>
      <c r="E3631" s="613">
        <v>8</v>
      </c>
      <c r="F3631" s="611">
        <v>150000</v>
      </c>
      <c r="G3631" s="611">
        <f t="shared" ref="G3631:G3641" si="107">E3631*F3631</f>
        <v>1200000</v>
      </c>
    </row>
    <row r="3632" spans="1:7" ht="15.75" hidden="1" customHeight="1" outlineLevel="2">
      <c r="A3632" s="613"/>
      <c r="B3632" s="612"/>
      <c r="C3632" s="613" t="s">
        <v>1407</v>
      </c>
      <c r="D3632" s="612" t="s">
        <v>1411</v>
      </c>
      <c r="E3632" s="613">
        <v>1</v>
      </c>
      <c r="F3632" s="611">
        <v>3000000</v>
      </c>
      <c r="G3632" s="611">
        <f t="shared" si="107"/>
        <v>3000000</v>
      </c>
    </row>
    <row r="3633" spans="1:13" ht="15.75" hidden="1" customHeight="1" outlineLevel="2">
      <c r="A3633" s="613"/>
      <c r="B3633" s="612"/>
      <c r="C3633" s="613" t="s">
        <v>1408</v>
      </c>
      <c r="D3633" s="612" t="s">
        <v>98</v>
      </c>
      <c r="E3633" s="613">
        <v>1</v>
      </c>
      <c r="F3633" s="611">
        <v>500000</v>
      </c>
      <c r="G3633" s="611">
        <f t="shared" si="107"/>
        <v>500000</v>
      </c>
    </row>
    <row r="3634" spans="1:13" ht="15.75" hidden="1" customHeight="1" outlineLevel="2">
      <c r="A3634" s="613"/>
      <c r="B3634" s="612"/>
      <c r="C3634" s="613" t="s">
        <v>1409</v>
      </c>
      <c r="D3634" s="612" t="s">
        <v>98</v>
      </c>
      <c r="E3634" s="613">
        <v>1</v>
      </c>
      <c r="F3634" s="611">
        <v>186000</v>
      </c>
      <c r="G3634" s="611">
        <f t="shared" si="107"/>
        <v>186000</v>
      </c>
    </row>
    <row r="3635" spans="1:13" ht="15.75" hidden="1" customHeight="1" outlineLevel="2">
      <c r="A3635" s="613"/>
      <c r="B3635" s="612"/>
      <c r="C3635" s="613" t="s">
        <v>1410</v>
      </c>
      <c r="D3635" s="612" t="s">
        <v>98</v>
      </c>
      <c r="E3635" s="613">
        <v>1</v>
      </c>
      <c r="F3635" s="611">
        <v>3000000</v>
      </c>
      <c r="G3635" s="611">
        <f t="shared" si="107"/>
        <v>3000000</v>
      </c>
    </row>
    <row r="3636" spans="1:13" ht="15.75" hidden="1" customHeight="1" outlineLevel="2">
      <c r="A3636" s="613"/>
      <c r="B3636" s="612"/>
      <c r="C3636" s="613"/>
      <c r="D3636" s="612"/>
      <c r="E3636" s="613"/>
      <c r="F3636" s="611"/>
      <c r="G3636" s="611">
        <f t="shared" si="107"/>
        <v>0</v>
      </c>
    </row>
    <row r="3637" spans="1:13" ht="15.75" hidden="1" customHeight="1" outlineLevel="2">
      <c r="A3637" s="613"/>
      <c r="B3637" s="612"/>
      <c r="C3637" s="613" t="s">
        <v>1413</v>
      </c>
      <c r="D3637" s="612" t="s">
        <v>98</v>
      </c>
      <c r="E3637" s="613">
        <v>1</v>
      </c>
      <c r="F3637" s="611">
        <v>1000000</v>
      </c>
      <c r="G3637" s="611">
        <f t="shared" si="107"/>
        <v>1000000</v>
      </c>
    </row>
    <row r="3638" spans="1:13" ht="15.75" hidden="1" customHeight="1" outlineLevel="2">
      <c r="A3638" s="613"/>
      <c r="B3638" s="612"/>
      <c r="C3638" s="613" t="s">
        <v>1414</v>
      </c>
      <c r="D3638" s="612" t="s">
        <v>98</v>
      </c>
      <c r="E3638" s="613">
        <v>2</v>
      </c>
      <c r="F3638" s="611">
        <v>240000</v>
      </c>
      <c r="G3638" s="611">
        <f t="shared" si="107"/>
        <v>480000</v>
      </c>
    </row>
    <row r="3639" spans="1:13" ht="15.75" hidden="1" customHeight="1" outlineLevel="2">
      <c r="A3639" s="613"/>
      <c r="B3639" s="612"/>
      <c r="C3639" s="613" t="s">
        <v>1415</v>
      </c>
      <c r="D3639" s="612" t="s">
        <v>98</v>
      </c>
      <c r="E3639" s="613">
        <v>5</v>
      </c>
      <c r="F3639" s="611">
        <v>150000</v>
      </c>
      <c r="G3639" s="611">
        <f t="shared" si="107"/>
        <v>750000</v>
      </c>
    </row>
    <row r="3640" spans="1:13" ht="15.75" hidden="1" customHeight="1" outlineLevel="2">
      <c r="A3640" s="613"/>
      <c r="B3640" s="612"/>
      <c r="C3640" s="613" t="s">
        <v>1416</v>
      </c>
      <c r="D3640" s="612" t="s">
        <v>98</v>
      </c>
      <c r="E3640" s="613">
        <v>1</v>
      </c>
      <c r="F3640" s="611">
        <v>500000</v>
      </c>
      <c r="G3640" s="611">
        <f t="shared" si="107"/>
        <v>500000</v>
      </c>
    </row>
    <row r="3641" spans="1:13" ht="15.75" hidden="1" customHeight="1" outlineLevel="2">
      <c r="A3641" s="613"/>
      <c r="B3641" s="612"/>
      <c r="C3641" s="613" t="s">
        <v>1417</v>
      </c>
      <c r="D3641" s="612" t="s">
        <v>98</v>
      </c>
      <c r="E3641" s="613">
        <v>1</v>
      </c>
      <c r="F3641" s="611">
        <v>466560</v>
      </c>
      <c r="G3641" s="611">
        <f t="shared" si="107"/>
        <v>466560</v>
      </c>
    </row>
    <row r="3642" spans="1:13" ht="15.75" hidden="1" customHeight="1" outlineLevel="2">
      <c r="A3642" s="613"/>
      <c r="B3642" s="612"/>
      <c r="C3642" s="613"/>
      <c r="D3642" s="612"/>
      <c r="E3642" s="613"/>
      <c r="F3642" s="611"/>
      <c r="G3642" s="611"/>
    </row>
    <row r="3643" spans="1:13" ht="15.75" hidden="1" customHeight="1" outlineLevel="2">
      <c r="A3643" s="613"/>
      <c r="B3643" s="612"/>
      <c r="C3643" s="613" t="s">
        <v>93</v>
      </c>
      <c r="D3643" s="612"/>
      <c r="E3643" s="613"/>
      <c r="F3643" s="611"/>
      <c r="G3643" s="611">
        <f>E3643*F3643</f>
        <v>0</v>
      </c>
    </row>
    <row r="3644" spans="1:13" ht="15.75" hidden="1" customHeight="1" outlineLevel="2">
      <c r="A3644" s="613"/>
      <c r="B3644" s="612"/>
      <c r="C3644" s="613" t="s">
        <v>1412</v>
      </c>
      <c r="D3644" s="612" t="s">
        <v>798</v>
      </c>
      <c r="E3644" s="613">
        <v>40</v>
      </c>
      <c r="F3644" s="611">
        <f>bbm</f>
        <v>12100.000000000002</v>
      </c>
      <c r="G3644" s="611">
        <f>E3644*F3644</f>
        <v>484000.00000000006</v>
      </c>
    </row>
    <row r="3645" spans="1:13" ht="15.75" hidden="1" customHeight="1" outlineLevel="2">
      <c r="A3645" s="613"/>
      <c r="B3645" s="612"/>
      <c r="C3645" s="613"/>
      <c r="D3645" s="612"/>
      <c r="E3645" s="613"/>
      <c r="F3645" s="611"/>
      <c r="G3645" s="611">
        <f>SUM(G3624:G3644)</f>
        <v>26618360</v>
      </c>
      <c r="J3645" s="633" t="s">
        <v>4317</v>
      </c>
      <c r="K3645" s="633" t="s">
        <v>1944</v>
      </c>
      <c r="L3645" s="633" t="s">
        <v>1213</v>
      </c>
    </row>
    <row r="3646" spans="1:13" ht="15.75" customHeight="1" outlineLevel="1" collapsed="1">
      <c r="A3646" s="613" t="s">
        <v>2074</v>
      </c>
      <c r="B3646" s="609">
        <f>B3622+1</f>
        <v>46</v>
      </c>
      <c r="C3646" s="613" t="s">
        <v>4315</v>
      </c>
      <c r="D3646" s="612" t="s">
        <v>4316</v>
      </c>
      <c r="E3646" s="613"/>
      <c r="F3646" s="611"/>
      <c r="G3646" s="611">
        <f>G3654</f>
        <v>674025</v>
      </c>
    </row>
    <row r="3647" spans="1:13" ht="15.75" customHeight="1" outlineLevel="2">
      <c r="A3647" s="613"/>
      <c r="B3647" s="612"/>
      <c r="C3647" s="613" t="s">
        <v>1052</v>
      </c>
      <c r="D3647" s="612"/>
      <c r="E3647" s="613"/>
      <c r="F3647" s="611"/>
      <c r="G3647" s="611"/>
    </row>
    <row r="3648" spans="1:13" ht="15.75" customHeight="1" outlineLevel="2">
      <c r="A3648" s="613"/>
      <c r="B3648" s="612"/>
      <c r="C3648" s="613" t="s">
        <v>1280</v>
      </c>
      <c r="D3648" s="612" t="s">
        <v>921</v>
      </c>
      <c r="E3648" s="613">
        <f>M3648</f>
        <v>1.25</v>
      </c>
      <c r="F3648" s="611">
        <f>electrician</f>
        <v>143220</v>
      </c>
      <c r="G3648" s="611">
        <f>E3648*F3648</f>
        <v>179025</v>
      </c>
      <c r="I3648" s="820">
        <v>2</v>
      </c>
      <c r="J3648" s="820" t="s">
        <v>922</v>
      </c>
      <c r="K3648" s="820">
        <f>5/8</f>
        <v>0.625</v>
      </c>
      <c r="L3648" s="820" t="s">
        <v>939</v>
      </c>
      <c r="M3648" s="633">
        <f>I3648*K3648</f>
        <v>1.25</v>
      </c>
    </row>
    <row r="3649" spans="1:13" ht="15.75" customHeight="1" outlineLevel="2">
      <c r="A3649" s="613"/>
      <c r="B3649" s="612"/>
      <c r="C3649" s="613" t="s">
        <v>952</v>
      </c>
      <c r="D3649" s="612" t="s">
        <v>921</v>
      </c>
      <c r="E3649" s="613">
        <f>M3649</f>
        <v>2.5</v>
      </c>
      <c r="F3649" s="611">
        <f>worker</f>
        <v>107800.00000000001</v>
      </c>
      <c r="G3649" s="611">
        <f>E3649*F3649</f>
        <v>269500.00000000006</v>
      </c>
      <c r="I3649" s="820">
        <v>4</v>
      </c>
      <c r="J3649" s="820" t="s">
        <v>922</v>
      </c>
      <c r="K3649" s="820">
        <f>5/8</f>
        <v>0.625</v>
      </c>
      <c r="L3649" s="820" t="s">
        <v>939</v>
      </c>
      <c r="M3649" s="779">
        <f>I3649*K3649</f>
        <v>2.5</v>
      </c>
    </row>
    <row r="3650" spans="1:13" ht="15.75" customHeight="1" outlineLevel="2">
      <c r="A3650" s="613"/>
      <c r="B3650" s="612"/>
      <c r="C3650" s="613"/>
      <c r="D3650" s="612"/>
      <c r="E3650" s="613"/>
      <c r="F3650" s="611"/>
      <c r="G3650" s="611"/>
      <c r="I3650" s="821"/>
      <c r="J3650" s="822"/>
      <c r="K3650" s="822"/>
      <c r="L3650" s="821"/>
    </row>
    <row r="3651" spans="1:13" ht="15.75" customHeight="1" outlineLevel="2">
      <c r="A3651" s="613"/>
      <c r="B3651" s="612"/>
      <c r="C3651" s="613" t="s">
        <v>114</v>
      </c>
      <c r="D3651" s="612"/>
      <c r="E3651" s="613"/>
      <c r="F3651" s="611"/>
      <c r="G3651" s="611"/>
      <c r="I3651" s="821"/>
      <c r="J3651" s="822"/>
      <c r="K3651" s="822"/>
      <c r="L3651" s="821"/>
    </row>
    <row r="3652" spans="1:13" ht="15.75" customHeight="1" outlineLevel="2">
      <c r="A3652" s="613"/>
      <c r="B3652" s="612"/>
      <c r="C3652" s="613" t="s">
        <v>2131</v>
      </c>
      <c r="D3652" s="612" t="s">
        <v>98</v>
      </c>
      <c r="E3652" s="613">
        <f t="shared" ref="E3652:E3653" si="108">M3652</f>
        <v>0.625</v>
      </c>
      <c r="F3652" s="611">
        <f>alat_megger_day</f>
        <v>30800.000000000004</v>
      </c>
      <c r="G3652" s="611">
        <f>E3652*F3652</f>
        <v>19250.000000000004</v>
      </c>
      <c r="I3652" s="820">
        <v>1</v>
      </c>
      <c r="J3652" s="820" t="s">
        <v>2</v>
      </c>
      <c r="K3652" s="820">
        <f>5/8</f>
        <v>0.625</v>
      </c>
      <c r="L3652" s="820" t="s">
        <v>939</v>
      </c>
      <c r="M3652" s="779">
        <f t="shared" ref="M3652:M3653" si="109">I3652*K3652</f>
        <v>0.625</v>
      </c>
    </row>
    <row r="3653" spans="1:13" ht="15.75" customHeight="1" outlineLevel="2">
      <c r="A3653" s="613"/>
      <c r="B3653" s="612"/>
      <c r="C3653" s="613" t="s">
        <v>2132</v>
      </c>
      <c r="D3653" s="612" t="s">
        <v>98</v>
      </c>
      <c r="E3653" s="613">
        <f t="shared" si="108"/>
        <v>1.25</v>
      </c>
      <c r="F3653" s="611">
        <f>alat_earth_tester_day</f>
        <v>165000</v>
      </c>
      <c r="G3653" s="611">
        <f>E3653*F3653</f>
        <v>206250</v>
      </c>
      <c r="I3653" s="820">
        <v>2</v>
      </c>
      <c r="J3653" s="820" t="s">
        <v>2</v>
      </c>
      <c r="K3653" s="820">
        <f>5/8</f>
        <v>0.625</v>
      </c>
      <c r="L3653" s="820" t="s">
        <v>939</v>
      </c>
      <c r="M3653" s="779">
        <f t="shared" si="109"/>
        <v>1.25</v>
      </c>
    </row>
    <row r="3654" spans="1:13" ht="15.75" customHeight="1" outlineLevel="2">
      <c r="A3654" s="613"/>
      <c r="B3654" s="612"/>
      <c r="C3654" s="613"/>
      <c r="D3654" s="612"/>
      <c r="E3654" s="613"/>
      <c r="F3654" s="611"/>
      <c r="G3654" s="805">
        <f>SUM(G3648:G3653)</f>
        <v>674025</v>
      </c>
    </row>
    <row r="3655" spans="1:13" ht="15.75" customHeight="1" outlineLevel="1">
      <c r="A3655" s="613" t="s">
        <v>2074</v>
      </c>
      <c r="B3655" s="612">
        <f>B3646+1</f>
        <v>47</v>
      </c>
      <c r="C3655" s="613" t="s">
        <v>4328</v>
      </c>
      <c r="D3655" s="612" t="s">
        <v>918</v>
      </c>
      <c r="E3655" s="613"/>
      <c r="F3655" s="611"/>
      <c r="G3655" s="611">
        <f>SUM(G3657:G3663)</f>
        <v>587449</v>
      </c>
    </row>
    <row r="3656" spans="1:13" ht="15.75" hidden="1" customHeight="1" outlineLevel="2">
      <c r="A3656" s="613"/>
      <c r="B3656" s="612"/>
      <c r="C3656" s="613" t="s">
        <v>93</v>
      </c>
      <c r="D3656" s="612"/>
      <c r="E3656" s="613"/>
      <c r="F3656" s="611"/>
      <c r="G3656" s="611"/>
      <c r="J3656" s="633">
        <f>K3656*L3656</f>
        <v>1.25</v>
      </c>
      <c r="K3656" s="633">
        <v>2</v>
      </c>
      <c r="L3656" s="633">
        <f>5/8</f>
        <v>0.625</v>
      </c>
    </row>
    <row r="3657" spans="1:13" ht="15.75" hidden="1" customHeight="1" outlineLevel="2">
      <c r="A3657" s="613"/>
      <c r="B3657" s="612"/>
      <c r="C3657" s="613" t="s">
        <v>1051</v>
      </c>
      <c r="D3657" s="612" t="s">
        <v>1</v>
      </c>
      <c r="E3657" s="613">
        <v>3.77</v>
      </c>
      <c r="F3657" s="611">
        <f>Galvanis_steel_angle_MS</f>
        <v>24200.000000000004</v>
      </c>
      <c r="G3657" s="611">
        <f>E3657*F3657</f>
        <v>91234.000000000015</v>
      </c>
    </row>
    <row r="3658" spans="1:13" ht="15.75" hidden="1" customHeight="1" outlineLevel="2">
      <c r="A3658" s="613"/>
      <c r="B3658" s="612"/>
      <c r="C3658" s="613" t="s">
        <v>1050</v>
      </c>
      <c r="D3658" s="612" t="s">
        <v>3</v>
      </c>
      <c r="E3658" s="613">
        <v>30</v>
      </c>
      <c r="F3658" s="611">
        <v>9000</v>
      </c>
      <c r="G3658" s="611">
        <f>E3658*F3658</f>
        <v>270000</v>
      </c>
    </row>
    <row r="3659" spans="1:13" ht="15.75" hidden="1" customHeight="1" outlineLevel="2">
      <c r="A3659" s="613"/>
      <c r="B3659" s="612"/>
      <c r="C3659" s="613" t="s">
        <v>1049</v>
      </c>
      <c r="D3659" s="612" t="s">
        <v>141</v>
      </c>
      <c r="E3659" s="613">
        <v>8</v>
      </c>
      <c r="F3659" s="611">
        <f>clamp_kabel_no.4</f>
        <v>13310.000000000002</v>
      </c>
      <c r="G3659" s="611">
        <f>E3659*F3659</f>
        <v>106480.00000000001</v>
      </c>
    </row>
    <row r="3660" spans="1:13" ht="15.75" hidden="1" customHeight="1" outlineLevel="2">
      <c r="A3660" s="613"/>
      <c r="B3660" s="612"/>
      <c r="C3660" s="613"/>
      <c r="D3660" s="612"/>
      <c r="E3660" s="613"/>
      <c r="F3660" s="611"/>
      <c r="G3660" s="611"/>
      <c r="J3660" s="633">
        <f t="shared" ref="J3660" si="110">K3660*L3660</f>
        <v>0.625</v>
      </c>
      <c r="K3660" s="633">
        <v>1</v>
      </c>
      <c r="L3660" s="633">
        <f t="shared" ref="L3660" si="111">5/8</f>
        <v>0.625</v>
      </c>
    </row>
    <row r="3661" spans="1:13" ht="15.75" hidden="1" customHeight="1" outlineLevel="2">
      <c r="A3661" s="613"/>
      <c r="B3661" s="612"/>
      <c r="C3661" s="613" t="s">
        <v>1052</v>
      </c>
      <c r="D3661" s="612"/>
      <c r="E3661" s="613"/>
      <c r="F3661" s="611"/>
      <c r="G3661" s="611"/>
    </row>
    <row r="3662" spans="1:13" ht="15.75" hidden="1" customHeight="1" outlineLevel="2">
      <c r="A3662" s="613"/>
      <c r="B3662" s="612"/>
      <c r="C3662" s="613" t="s">
        <v>493</v>
      </c>
      <c r="D3662" s="612" t="s">
        <v>98</v>
      </c>
      <c r="E3662" s="613">
        <v>1</v>
      </c>
      <c r="F3662" s="611">
        <f>worker</f>
        <v>107800.00000000001</v>
      </c>
      <c r="G3662" s="611">
        <f>E3662*F3662</f>
        <v>107800.00000000001</v>
      </c>
    </row>
    <row r="3663" spans="1:13" ht="15.75" hidden="1" customHeight="1" outlineLevel="2">
      <c r="A3663" s="613"/>
      <c r="B3663" s="612"/>
      <c r="C3663" s="613" t="s">
        <v>1029</v>
      </c>
      <c r="D3663" s="612" t="s">
        <v>98</v>
      </c>
      <c r="E3663" s="613">
        <v>0.1</v>
      </c>
      <c r="F3663" s="611">
        <f>Foreman</f>
        <v>119350.00000000001</v>
      </c>
      <c r="G3663" s="611">
        <f>E3663*F3663</f>
        <v>11935.000000000002</v>
      </c>
    </row>
    <row r="3664" spans="1:13" ht="15.75" hidden="1" customHeight="1" outlineLevel="2">
      <c r="A3664" s="613"/>
      <c r="B3664" s="612"/>
      <c r="C3664" s="613"/>
      <c r="D3664" s="612"/>
      <c r="E3664" s="613"/>
      <c r="F3664" s="611"/>
      <c r="G3664" s="611"/>
    </row>
    <row r="3665" spans="1:15" ht="15.75" customHeight="1" outlineLevel="1" collapsed="1" thickBot="1">
      <c r="A3665" s="608" t="s">
        <v>2074</v>
      </c>
      <c r="B3665" s="607"/>
      <c r="C3665" s="608"/>
      <c r="D3665" s="607"/>
      <c r="E3665" s="608"/>
      <c r="F3665" s="606"/>
      <c r="G3665" s="606"/>
    </row>
    <row r="3666" spans="1:15" ht="15.75" customHeight="1" thickBot="1">
      <c r="A3666" s="1213" t="s">
        <v>1424</v>
      </c>
      <c r="B3666" s="1214"/>
      <c r="C3666" s="1214"/>
      <c r="D3666" s="1214"/>
      <c r="E3666" s="1214"/>
      <c r="F3666" s="1214"/>
      <c r="G3666" s="1215"/>
    </row>
    <row r="3667" spans="1:15" ht="15.75" customHeight="1" outlineLevel="1">
      <c r="A3667" s="633" t="s">
        <v>2074</v>
      </c>
      <c r="B3667" s="619">
        <v>1</v>
      </c>
      <c r="C3667" s="633" t="s">
        <v>2060</v>
      </c>
      <c r="D3667" s="619" t="s">
        <v>918</v>
      </c>
      <c r="G3667" s="618">
        <f>G3689</f>
        <v>6369130</v>
      </c>
    </row>
    <row r="3668" spans="1:15" ht="15.75" hidden="1" customHeight="1" outlineLevel="2">
      <c r="B3668" s="619" t="s">
        <v>816</v>
      </c>
      <c r="C3668" s="633" t="s">
        <v>920</v>
      </c>
      <c r="J3668" s="633" t="s">
        <v>495</v>
      </c>
      <c r="L3668" s="633">
        <f>M3668*O3670</f>
        <v>1</v>
      </c>
      <c r="M3668" s="633">
        <v>1</v>
      </c>
    </row>
    <row r="3669" spans="1:15" ht="15.75" hidden="1" customHeight="1" outlineLevel="2">
      <c r="C3669" s="633" t="s">
        <v>1052</v>
      </c>
      <c r="J3669" s="633" t="s">
        <v>923</v>
      </c>
      <c r="L3669" s="633">
        <f>M3669*O3671</f>
        <v>2</v>
      </c>
      <c r="M3669" s="633">
        <v>2</v>
      </c>
    </row>
    <row r="3670" spans="1:15" ht="15.75" hidden="1" customHeight="1" outlineLevel="2">
      <c r="C3670" s="633" t="s">
        <v>393</v>
      </c>
      <c r="D3670" s="619" t="s">
        <v>921</v>
      </c>
      <c r="E3670" s="633">
        <f>L3668</f>
        <v>1</v>
      </c>
      <c r="F3670" s="618">
        <f>supervisor_Asli</f>
        <v>155155</v>
      </c>
      <c r="G3670" s="618">
        <f t="shared" ref="G3670:G3676" si="112">E3670*F3670</f>
        <v>155155</v>
      </c>
      <c r="J3670" s="633" t="s">
        <v>493</v>
      </c>
      <c r="L3670" s="633">
        <f>M3670*O3672</f>
        <v>1</v>
      </c>
      <c r="M3670" s="633">
        <v>1</v>
      </c>
      <c r="N3670" s="633" t="s">
        <v>922</v>
      </c>
      <c r="O3670" s="633">
        <v>1</v>
      </c>
    </row>
    <row r="3671" spans="1:15" ht="15.75" hidden="1" customHeight="1" outlineLevel="2">
      <c r="C3671" s="633" t="s">
        <v>1227</v>
      </c>
      <c r="D3671" s="619" t="s">
        <v>921</v>
      </c>
      <c r="E3671" s="633">
        <f>L3669</f>
        <v>2</v>
      </c>
      <c r="F3671" s="618">
        <v>177600</v>
      </c>
      <c r="G3671" s="618">
        <f t="shared" si="112"/>
        <v>355200</v>
      </c>
      <c r="J3671" s="633" t="s">
        <v>924</v>
      </c>
      <c r="L3671" s="633">
        <f>M3671*O3673</f>
        <v>1</v>
      </c>
      <c r="M3671" s="633">
        <v>1</v>
      </c>
      <c r="N3671" s="633" t="s">
        <v>922</v>
      </c>
      <c r="O3671" s="633">
        <v>1</v>
      </c>
    </row>
    <row r="3672" spans="1:15" ht="15.75" hidden="1" customHeight="1" outlineLevel="2">
      <c r="C3672" s="633" t="s">
        <v>952</v>
      </c>
      <c r="D3672" s="619" t="s">
        <v>921</v>
      </c>
      <c r="E3672" s="633">
        <f>L3670</f>
        <v>1</v>
      </c>
      <c r="F3672" s="618">
        <f>worker</f>
        <v>107800.00000000001</v>
      </c>
      <c r="G3672" s="618">
        <f t="shared" si="112"/>
        <v>107800.00000000001</v>
      </c>
      <c r="N3672" s="633" t="s">
        <v>922</v>
      </c>
      <c r="O3672" s="633">
        <v>1</v>
      </c>
    </row>
    <row r="3673" spans="1:15" ht="15.75" hidden="1" customHeight="1" outlineLevel="2">
      <c r="C3673" s="633" t="s">
        <v>1228</v>
      </c>
      <c r="D3673" s="619" t="s">
        <v>921</v>
      </c>
      <c r="E3673" s="633">
        <f>L3671</f>
        <v>1</v>
      </c>
      <c r="F3673" s="618">
        <f>mechanic</f>
        <v>184800.00000000003</v>
      </c>
      <c r="G3673" s="618">
        <f t="shared" si="112"/>
        <v>184800.00000000003</v>
      </c>
      <c r="N3673" s="633" t="s">
        <v>922</v>
      </c>
      <c r="O3673" s="633">
        <v>1</v>
      </c>
    </row>
    <row r="3674" spans="1:15" ht="15.75" hidden="1" customHeight="1" outlineLevel="2">
      <c r="G3674" s="618">
        <f t="shared" si="112"/>
        <v>0</v>
      </c>
    </row>
    <row r="3675" spans="1:15" ht="15.75" hidden="1" customHeight="1" outlineLevel="2">
      <c r="C3675" s="633" t="s">
        <v>925</v>
      </c>
      <c r="G3675" s="618">
        <f t="shared" si="112"/>
        <v>0</v>
      </c>
    </row>
    <row r="3676" spans="1:15" ht="15.75" hidden="1" customHeight="1" outlineLevel="2">
      <c r="C3676" s="633" t="s">
        <v>926</v>
      </c>
      <c r="D3676" s="619" t="s">
        <v>98</v>
      </c>
      <c r="E3676" s="633">
        <v>0.3</v>
      </c>
      <c r="F3676" s="618">
        <f>Truck_crane_cap_5t_hour*8</f>
        <v>3850000.0000000005</v>
      </c>
      <c r="G3676" s="618">
        <f t="shared" si="112"/>
        <v>1155000</v>
      </c>
    </row>
    <row r="3677" spans="1:15" ht="15.75" hidden="1" customHeight="1" outlineLevel="2">
      <c r="F3677" s="618" t="str">
        <f>"Total " &amp;B3668</f>
        <v>Total A</v>
      </c>
      <c r="G3677" s="618">
        <f>SUM(G3670:G3676)</f>
        <v>1957955</v>
      </c>
    </row>
    <row r="3678" spans="1:15" ht="15.75" hidden="1" customHeight="1" outlineLevel="2">
      <c r="B3678" s="619" t="s">
        <v>818</v>
      </c>
      <c r="C3678" s="633" t="s">
        <v>927</v>
      </c>
      <c r="J3678" s="633" t="s">
        <v>495</v>
      </c>
      <c r="L3678" s="633">
        <f>M3678*O3680</f>
        <v>1</v>
      </c>
      <c r="M3678" s="633">
        <v>1</v>
      </c>
    </row>
    <row r="3679" spans="1:15" ht="15.75" hidden="1" customHeight="1" outlineLevel="2">
      <c r="C3679" s="633" t="s">
        <v>1052</v>
      </c>
      <c r="J3679" s="633" t="s">
        <v>923</v>
      </c>
      <c r="L3679" s="633">
        <f>M3679*O3681</f>
        <v>2</v>
      </c>
      <c r="M3679" s="633">
        <v>2</v>
      </c>
    </row>
    <row r="3680" spans="1:15" ht="15.75" hidden="1" customHeight="1" outlineLevel="2">
      <c r="C3680" s="633" t="s">
        <v>393</v>
      </c>
      <c r="D3680" s="619" t="s">
        <v>921</v>
      </c>
      <c r="E3680" s="633">
        <f>L3678</f>
        <v>1</v>
      </c>
      <c r="F3680" s="618">
        <f>supervisor_Asli</f>
        <v>155155</v>
      </c>
      <c r="G3680" s="618">
        <f t="shared" ref="G3680:G3687" si="113">E3680*F3680</f>
        <v>155155</v>
      </c>
      <c r="J3680" s="633" t="s">
        <v>493</v>
      </c>
      <c r="L3680" s="633">
        <f>M3680*O3682</f>
        <v>3</v>
      </c>
      <c r="M3680" s="633">
        <v>3</v>
      </c>
      <c r="N3680" s="633" t="s">
        <v>922</v>
      </c>
      <c r="O3680" s="633">
        <v>1</v>
      </c>
    </row>
    <row r="3681" spans="1:15" ht="15.75" hidden="1" customHeight="1" outlineLevel="2">
      <c r="C3681" s="633" t="s">
        <v>1227</v>
      </c>
      <c r="D3681" s="619" t="s">
        <v>921</v>
      </c>
      <c r="E3681" s="633">
        <f>L3679</f>
        <v>2</v>
      </c>
      <c r="F3681" s="618">
        <v>177600</v>
      </c>
      <c r="G3681" s="618">
        <f t="shared" si="113"/>
        <v>355200</v>
      </c>
      <c r="J3681" s="633" t="s">
        <v>924</v>
      </c>
      <c r="L3681" s="633">
        <f>M3681*O3683</f>
        <v>4</v>
      </c>
      <c r="M3681" s="633">
        <v>2</v>
      </c>
      <c r="N3681" s="633" t="s">
        <v>922</v>
      </c>
      <c r="O3681" s="633">
        <v>1</v>
      </c>
    </row>
    <row r="3682" spans="1:15" ht="15.75" hidden="1" customHeight="1" outlineLevel="2">
      <c r="C3682" s="633" t="s">
        <v>952</v>
      </c>
      <c r="D3682" s="619" t="s">
        <v>921</v>
      </c>
      <c r="E3682" s="633">
        <f>L3680</f>
        <v>3</v>
      </c>
      <c r="F3682" s="618">
        <f>worker</f>
        <v>107800.00000000001</v>
      </c>
      <c r="G3682" s="618">
        <f t="shared" si="113"/>
        <v>323400.00000000006</v>
      </c>
      <c r="J3682" s="633" t="s">
        <v>732</v>
      </c>
      <c r="L3682" s="633">
        <f>M3682*O3684</f>
        <v>1</v>
      </c>
      <c r="M3682" s="633">
        <v>1</v>
      </c>
      <c r="N3682" s="633" t="s">
        <v>922</v>
      </c>
      <c r="O3682" s="633">
        <v>1</v>
      </c>
    </row>
    <row r="3683" spans="1:15" ht="15.75" hidden="1" customHeight="1" outlineLevel="2">
      <c r="C3683" s="633" t="s">
        <v>1228</v>
      </c>
      <c r="D3683" s="619" t="s">
        <v>921</v>
      </c>
      <c r="E3683" s="633">
        <f>L3681</f>
        <v>4</v>
      </c>
      <c r="F3683" s="618">
        <f>mechanic</f>
        <v>184800.00000000003</v>
      </c>
      <c r="G3683" s="618">
        <f t="shared" si="113"/>
        <v>739200.00000000012</v>
      </c>
      <c r="N3683" s="633" t="s">
        <v>922</v>
      </c>
      <c r="O3683" s="633">
        <v>2</v>
      </c>
    </row>
    <row r="3684" spans="1:15" ht="15.75" hidden="1" customHeight="1" outlineLevel="2">
      <c r="C3684" s="633" t="s">
        <v>1229</v>
      </c>
      <c r="D3684" s="619" t="s">
        <v>921</v>
      </c>
      <c r="E3684" s="633">
        <f>L3682</f>
        <v>1</v>
      </c>
      <c r="F3684" s="618">
        <f>electrician</f>
        <v>143220</v>
      </c>
      <c r="G3684" s="618">
        <f t="shared" si="113"/>
        <v>143220</v>
      </c>
      <c r="N3684" s="633" t="s">
        <v>922</v>
      </c>
      <c r="O3684" s="633">
        <v>1</v>
      </c>
    </row>
    <row r="3685" spans="1:15" ht="15.75" hidden="1" customHeight="1" outlineLevel="2">
      <c r="G3685" s="618">
        <f t="shared" si="113"/>
        <v>0</v>
      </c>
    </row>
    <row r="3686" spans="1:15" ht="15.75" hidden="1" customHeight="1" outlineLevel="2">
      <c r="C3686" s="633" t="s">
        <v>925</v>
      </c>
      <c r="G3686" s="618">
        <f t="shared" si="113"/>
        <v>0</v>
      </c>
    </row>
    <row r="3687" spans="1:15" ht="15.75" hidden="1" customHeight="1" outlineLevel="2">
      <c r="C3687" s="633" t="s">
        <v>926</v>
      </c>
      <c r="D3687" s="619" t="s">
        <v>98</v>
      </c>
      <c r="E3687" s="633">
        <v>0.7</v>
      </c>
      <c r="F3687" s="618">
        <f>Truck_crane_cap_5t_hour*8</f>
        <v>3850000.0000000005</v>
      </c>
      <c r="G3687" s="618">
        <f t="shared" si="113"/>
        <v>2695000</v>
      </c>
    </row>
    <row r="3688" spans="1:15" ht="15.75" hidden="1" customHeight="1" outlineLevel="2">
      <c r="F3688" s="618" t="str">
        <f>"Total " &amp;B3678</f>
        <v>Total B</v>
      </c>
      <c r="G3688" s="618">
        <f>SUM(G3680:G3687)</f>
        <v>4411175</v>
      </c>
    </row>
    <row r="3689" spans="1:15" ht="15.75" hidden="1" customHeight="1" outlineLevel="2">
      <c r="C3689" s="1200" t="str">
        <f>"TOTAL "&amp;C3667</f>
        <v>TOTAL Pemasangan DS 150 kV dan Steel Structure</v>
      </c>
      <c r="D3689" s="1200"/>
      <c r="E3689" s="1200"/>
      <c r="F3689" s="1200"/>
      <c r="G3689" s="618">
        <f>SUM(G3688,G3677)</f>
        <v>6369130</v>
      </c>
    </row>
    <row r="3690" spans="1:15" ht="15.75" customHeight="1" outlineLevel="1" collapsed="1">
      <c r="A3690" s="633" t="s">
        <v>2074</v>
      </c>
      <c r="B3690" s="619">
        <f>1+B3667</f>
        <v>2</v>
      </c>
      <c r="C3690" s="633" t="s">
        <v>2059</v>
      </c>
      <c r="D3690" s="619" t="s">
        <v>918</v>
      </c>
      <c r="G3690" s="618">
        <f>G3712</f>
        <v>7205350</v>
      </c>
      <c r="J3690" s="633" t="s">
        <v>495</v>
      </c>
      <c r="L3690" s="633">
        <f>M3690*O3692</f>
        <v>1</v>
      </c>
      <c r="M3690" s="633">
        <v>1</v>
      </c>
    </row>
    <row r="3691" spans="1:15" ht="15.75" hidden="1" customHeight="1" outlineLevel="2">
      <c r="B3691" s="619" t="s">
        <v>816</v>
      </c>
      <c r="C3691" s="633" t="s">
        <v>928</v>
      </c>
      <c r="J3691" s="633" t="s">
        <v>923</v>
      </c>
      <c r="L3691" s="633">
        <f>M3691*O3693</f>
        <v>2</v>
      </c>
      <c r="M3691" s="633">
        <v>2</v>
      </c>
    </row>
    <row r="3692" spans="1:15" ht="15.75" hidden="1" customHeight="1" outlineLevel="2">
      <c r="C3692" s="633" t="s">
        <v>1052</v>
      </c>
      <c r="J3692" s="633" t="s">
        <v>493</v>
      </c>
      <c r="L3692" s="633">
        <f>M3692*O3694</f>
        <v>1</v>
      </c>
      <c r="M3692" s="633">
        <v>1</v>
      </c>
      <c r="N3692" s="633" t="s">
        <v>922</v>
      </c>
      <c r="O3692" s="633">
        <v>1</v>
      </c>
    </row>
    <row r="3693" spans="1:15" ht="15.75" hidden="1" customHeight="1" outlineLevel="2">
      <c r="C3693" s="633" t="s">
        <v>393</v>
      </c>
      <c r="D3693" s="619" t="s">
        <v>921</v>
      </c>
      <c r="E3693" s="633">
        <f>L3690</f>
        <v>1</v>
      </c>
      <c r="F3693" s="618">
        <f>supervisor_Asli</f>
        <v>155155</v>
      </c>
      <c r="G3693" s="618">
        <f t="shared" ref="G3693:G3699" si="114">E3693*F3693</f>
        <v>155155</v>
      </c>
      <c r="J3693" s="633" t="s">
        <v>924</v>
      </c>
      <c r="L3693" s="633">
        <f>M3693*O3695</f>
        <v>1</v>
      </c>
      <c r="M3693" s="633">
        <v>1</v>
      </c>
      <c r="N3693" s="633" t="s">
        <v>922</v>
      </c>
      <c r="O3693" s="633">
        <v>1</v>
      </c>
    </row>
    <row r="3694" spans="1:15" ht="15.75" hidden="1" customHeight="1" outlineLevel="2">
      <c r="C3694" s="633" t="s">
        <v>1227</v>
      </c>
      <c r="D3694" s="619" t="s">
        <v>921</v>
      </c>
      <c r="E3694" s="633">
        <f t="shared" ref="E3694:E3696" si="115">L3691</f>
        <v>2</v>
      </c>
      <c r="F3694" s="618">
        <v>177600</v>
      </c>
      <c r="G3694" s="618">
        <f t="shared" si="114"/>
        <v>355200</v>
      </c>
      <c r="N3694" s="633" t="s">
        <v>922</v>
      </c>
      <c r="O3694" s="633">
        <v>1</v>
      </c>
    </row>
    <row r="3695" spans="1:15" ht="15.75" hidden="1" customHeight="1" outlineLevel="2">
      <c r="C3695" s="633" t="s">
        <v>952</v>
      </c>
      <c r="D3695" s="619" t="s">
        <v>921</v>
      </c>
      <c r="E3695" s="633">
        <f t="shared" si="115"/>
        <v>1</v>
      </c>
      <c r="F3695" s="618">
        <f>worker</f>
        <v>107800.00000000001</v>
      </c>
      <c r="G3695" s="618">
        <f t="shared" si="114"/>
        <v>107800.00000000001</v>
      </c>
      <c r="N3695" s="633" t="s">
        <v>922</v>
      </c>
      <c r="O3695" s="633">
        <v>1</v>
      </c>
    </row>
    <row r="3696" spans="1:15" ht="15.75" hidden="1" customHeight="1" outlineLevel="2">
      <c r="C3696" s="633" t="s">
        <v>1228</v>
      </c>
      <c r="D3696" s="619" t="s">
        <v>921</v>
      </c>
      <c r="E3696" s="633">
        <f t="shared" si="115"/>
        <v>1</v>
      </c>
      <c r="F3696" s="618">
        <f>mechanic</f>
        <v>184800.00000000003</v>
      </c>
      <c r="G3696" s="618">
        <f t="shared" si="114"/>
        <v>184800.00000000003</v>
      </c>
    </row>
    <row r="3697" spans="2:15" ht="15.75" hidden="1" customHeight="1" outlineLevel="2">
      <c r="G3697" s="618">
        <f t="shared" si="114"/>
        <v>0</v>
      </c>
    </row>
    <row r="3698" spans="2:15" ht="15.75" hidden="1" customHeight="1" outlineLevel="2">
      <c r="C3698" s="633" t="s">
        <v>925</v>
      </c>
      <c r="G3698" s="618">
        <f t="shared" si="114"/>
        <v>0</v>
      </c>
    </row>
    <row r="3699" spans="2:15" ht="15.75" hidden="1" customHeight="1" outlineLevel="2">
      <c r="C3699" s="633" t="s">
        <v>926</v>
      </c>
      <c r="D3699" s="619" t="s">
        <v>98</v>
      </c>
      <c r="E3699" s="633">
        <v>0.3</v>
      </c>
      <c r="F3699" s="618">
        <f>Truck_crane_cap_5t_hour*8</f>
        <v>3850000.0000000005</v>
      </c>
      <c r="G3699" s="618">
        <f t="shared" si="114"/>
        <v>1155000</v>
      </c>
    </row>
    <row r="3700" spans="2:15" ht="15.75" hidden="1" customHeight="1" outlineLevel="2">
      <c r="F3700" s="618" t="str">
        <f>"Total " &amp;B3691</f>
        <v>Total A</v>
      </c>
      <c r="G3700" s="618">
        <f>SUM(G3693:G3699)</f>
        <v>1957955</v>
      </c>
    </row>
    <row r="3701" spans="2:15" ht="15.75" hidden="1" customHeight="1" outlineLevel="2">
      <c r="B3701" s="619" t="s">
        <v>818</v>
      </c>
      <c r="C3701" s="633" t="s">
        <v>929</v>
      </c>
      <c r="J3701" s="633" t="s">
        <v>495</v>
      </c>
      <c r="L3701" s="633">
        <f>M3701*O3703</f>
        <v>1</v>
      </c>
      <c r="M3701" s="633">
        <v>1</v>
      </c>
    </row>
    <row r="3702" spans="2:15" ht="15.75" hidden="1" customHeight="1" outlineLevel="2">
      <c r="C3702" s="633" t="s">
        <v>1052</v>
      </c>
      <c r="J3702" s="633" t="s">
        <v>923</v>
      </c>
      <c r="L3702" s="633">
        <f>M3702*O3704</f>
        <v>2</v>
      </c>
      <c r="M3702" s="633">
        <v>2</v>
      </c>
    </row>
    <row r="3703" spans="2:15" ht="15.75" hidden="1" customHeight="1" outlineLevel="2">
      <c r="C3703" s="633" t="s">
        <v>393</v>
      </c>
      <c r="D3703" s="619" t="s">
        <v>921</v>
      </c>
      <c r="E3703" s="633">
        <f>L3701</f>
        <v>1</v>
      </c>
      <c r="F3703" s="618">
        <f>supervisor_Asli</f>
        <v>155155</v>
      </c>
      <c r="G3703" s="618">
        <f t="shared" ref="G3703:G3710" si="116">E3703*F3703</f>
        <v>155155</v>
      </c>
      <c r="J3703" s="633" t="s">
        <v>493</v>
      </c>
      <c r="L3703" s="633">
        <f>M3703*O3705</f>
        <v>6</v>
      </c>
      <c r="M3703" s="633">
        <v>3</v>
      </c>
      <c r="N3703" s="633" t="s">
        <v>922</v>
      </c>
      <c r="O3703" s="633">
        <v>1</v>
      </c>
    </row>
    <row r="3704" spans="2:15" ht="15.75" hidden="1" customHeight="1" outlineLevel="2">
      <c r="C3704" s="633" t="s">
        <v>1227</v>
      </c>
      <c r="D3704" s="619" t="s">
        <v>921</v>
      </c>
      <c r="E3704" s="633">
        <f>L3702</f>
        <v>2</v>
      </c>
      <c r="F3704" s="618">
        <v>177600</v>
      </c>
      <c r="G3704" s="618">
        <f t="shared" si="116"/>
        <v>355200</v>
      </c>
      <c r="J3704" s="633" t="s">
        <v>924</v>
      </c>
      <c r="L3704" s="633">
        <f>M3704*O3706</f>
        <v>6</v>
      </c>
      <c r="M3704" s="633">
        <v>2</v>
      </c>
      <c r="N3704" s="633" t="s">
        <v>922</v>
      </c>
      <c r="O3704" s="633">
        <v>1</v>
      </c>
    </row>
    <row r="3705" spans="2:15" ht="15.75" hidden="1" customHeight="1" outlineLevel="2">
      <c r="C3705" s="633" t="s">
        <v>952</v>
      </c>
      <c r="D3705" s="619" t="s">
        <v>921</v>
      </c>
      <c r="E3705" s="633">
        <f>L3703</f>
        <v>6</v>
      </c>
      <c r="F3705" s="618">
        <f>worker</f>
        <v>107800.00000000001</v>
      </c>
      <c r="G3705" s="618">
        <f t="shared" si="116"/>
        <v>646800.00000000012</v>
      </c>
      <c r="J3705" s="633" t="s">
        <v>732</v>
      </c>
      <c r="L3705" s="633">
        <f>M3705*O3707</f>
        <v>2</v>
      </c>
      <c r="M3705" s="633">
        <v>1</v>
      </c>
      <c r="N3705" s="633" t="s">
        <v>922</v>
      </c>
      <c r="O3705" s="633">
        <v>2</v>
      </c>
    </row>
    <row r="3706" spans="2:15" ht="15.75" hidden="1" customHeight="1" outlineLevel="2">
      <c r="C3706" s="633" t="s">
        <v>1228</v>
      </c>
      <c r="D3706" s="619" t="s">
        <v>921</v>
      </c>
      <c r="E3706" s="633">
        <f>L3704</f>
        <v>6</v>
      </c>
      <c r="F3706" s="618">
        <f>mechanic</f>
        <v>184800.00000000003</v>
      </c>
      <c r="G3706" s="618">
        <f t="shared" si="116"/>
        <v>1108800.0000000002</v>
      </c>
      <c r="N3706" s="633" t="s">
        <v>922</v>
      </c>
      <c r="O3706" s="633">
        <v>3</v>
      </c>
    </row>
    <row r="3707" spans="2:15" ht="15.75" hidden="1" customHeight="1" outlineLevel="2">
      <c r="C3707" s="633" t="s">
        <v>1229</v>
      </c>
      <c r="D3707" s="619" t="s">
        <v>921</v>
      </c>
      <c r="E3707" s="633">
        <f>L3705</f>
        <v>2</v>
      </c>
      <c r="F3707" s="618">
        <f>electrician</f>
        <v>143220</v>
      </c>
      <c r="G3707" s="618">
        <f t="shared" si="116"/>
        <v>286440</v>
      </c>
      <c r="N3707" s="633" t="s">
        <v>922</v>
      </c>
      <c r="O3707" s="633">
        <v>2</v>
      </c>
    </row>
    <row r="3708" spans="2:15" ht="15.75" hidden="1" customHeight="1" outlineLevel="2">
      <c r="G3708" s="618">
        <f t="shared" si="116"/>
        <v>0</v>
      </c>
    </row>
    <row r="3709" spans="2:15" ht="15.75" hidden="1" customHeight="1" outlineLevel="2">
      <c r="C3709" s="633" t="s">
        <v>925</v>
      </c>
      <c r="G3709" s="618">
        <f t="shared" si="116"/>
        <v>0</v>
      </c>
    </row>
    <row r="3710" spans="2:15" ht="15.75" hidden="1" customHeight="1" outlineLevel="2">
      <c r="C3710" s="633" t="s">
        <v>926</v>
      </c>
      <c r="D3710" s="619" t="s">
        <v>98</v>
      </c>
      <c r="E3710" s="633">
        <v>0.7</v>
      </c>
      <c r="F3710" s="618">
        <f>Truck_crane_cap_5t_hour*8</f>
        <v>3850000.0000000005</v>
      </c>
      <c r="G3710" s="618">
        <f t="shared" si="116"/>
        <v>2695000</v>
      </c>
    </row>
    <row r="3711" spans="2:15" ht="15.75" hidden="1" customHeight="1" outlineLevel="2">
      <c r="F3711" s="618" t="str">
        <f>"Total " &amp;B3701</f>
        <v>Total B</v>
      </c>
      <c r="G3711" s="618">
        <f>SUM(G3703:G3710)</f>
        <v>5247395</v>
      </c>
    </row>
    <row r="3712" spans="2:15" ht="15.75" hidden="1" customHeight="1" outlineLevel="2">
      <c r="C3712" s="1200" t="str">
        <f>"TOTAL "&amp;C3690</f>
        <v>TOTAL Pemasangan DS+E 150 kV dan Steel Structure</v>
      </c>
      <c r="D3712" s="1200"/>
      <c r="E3712" s="1200"/>
      <c r="F3712" s="1200"/>
      <c r="G3712" s="618">
        <f>SUM(G3711,G3700)</f>
        <v>7205350</v>
      </c>
    </row>
    <row r="3713" spans="1:15" ht="15.75" customHeight="1" outlineLevel="1" collapsed="1">
      <c r="A3713" s="633" t="s">
        <v>2074</v>
      </c>
      <c r="B3713" s="619">
        <f>1+B3690</f>
        <v>3</v>
      </c>
      <c r="C3713" s="633" t="s">
        <v>2058</v>
      </c>
      <c r="D3713" s="619" t="s">
        <v>918</v>
      </c>
      <c r="G3713" s="618">
        <f>G3735</f>
        <v>16968985</v>
      </c>
    </row>
    <row r="3714" spans="1:15" ht="15.75" hidden="1" customHeight="1" outlineLevel="2">
      <c r="B3714" s="619" t="s">
        <v>816</v>
      </c>
      <c r="C3714" s="633" t="s">
        <v>930</v>
      </c>
      <c r="J3714" s="633" t="s">
        <v>495</v>
      </c>
      <c r="L3714" s="633">
        <f>M3714*O3716</f>
        <v>1</v>
      </c>
      <c r="M3714" s="633">
        <v>1</v>
      </c>
    </row>
    <row r="3715" spans="1:15" ht="15.75" hidden="1" customHeight="1" outlineLevel="2">
      <c r="C3715" s="633" t="s">
        <v>1052</v>
      </c>
      <c r="J3715" s="633" t="s">
        <v>923</v>
      </c>
      <c r="L3715" s="633">
        <f>M3715*O3717</f>
        <v>2</v>
      </c>
      <c r="M3715" s="633">
        <v>2</v>
      </c>
    </row>
    <row r="3716" spans="1:15" ht="15.75" hidden="1" customHeight="1" outlineLevel="2">
      <c r="C3716" s="633" t="s">
        <v>393</v>
      </c>
      <c r="D3716" s="619" t="s">
        <v>921</v>
      </c>
      <c r="E3716" s="633">
        <f>L3714</f>
        <v>1</v>
      </c>
      <c r="F3716" s="618">
        <f>supervisor_Asli</f>
        <v>155155</v>
      </c>
      <c r="G3716" s="618">
        <f t="shared" ref="G3716:G3722" si="117">E3716*F3716</f>
        <v>155155</v>
      </c>
      <c r="J3716" s="633" t="s">
        <v>493</v>
      </c>
      <c r="L3716" s="633">
        <f>M3716*O3718</f>
        <v>3</v>
      </c>
      <c r="M3716" s="633">
        <v>3</v>
      </c>
      <c r="N3716" s="633" t="s">
        <v>922</v>
      </c>
      <c r="O3716" s="633">
        <v>1</v>
      </c>
    </row>
    <row r="3717" spans="1:15" ht="15.75" hidden="1" customHeight="1" outlineLevel="2">
      <c r="C3717" s="633" t="s">
        <v>1227</v>
      </c>
      <c r="D3717" s="619" t="s">
        <v>921</v>
      </c>
      <c r="E3717" s="633">
        <f t="shared" ref="E3717:E3719" si="118">L3715</f>
        <v>2</v>
      </c>
      <c r="F3717" s="618">
        <v>177600</v>
      </c>
      <c r="G3717" s="618">
        <f t="shared" si="117"/>
        <v>355200</v>
      </c>
      <c r="J3717" s="633" t="s">
        <v>924</v>
      </c>
      <c r="L3717" s="633">
        <f>M3717*O3719</f>
        <v>3</v>
      </c>
      <c r="M3717" s="633">
        <v>3</v>
      </c>
      <c r="N3717" s="633" t="s">
        <v>922</v>
      </c>
      <c r="O3717" s="633">
        <v>1</v>
      </c>
    </row>
    <row r="3718" spans="1:15" ht="15.75" hidden="1" customHeight="1" outlineLevel="2">
      <c r="C3718" s="633" t="s">
        <v>952</v>
      </c>
      <c r="D3718" s="619" t="s">
        <v>921</v>
      </c>
      <c r="E3718" s="633">
        <f t="shared" si="118"/>
        <v>3</v>
      </c>
      <c r="F3718" s="618">
        <f>worker</f>
        <v>107800.00000000001</v>
      </c>
      <c r="G3718" s="618">
        <f t="shared" si="117"/>
        <v>323400.00000000006</v>
      </c>
      <c r="N3718" s="633" t="s">
        <v>922</v>
      </c>
      <c r="O3718" s="633">
        <v>1</v>
      </c>
    </row>
    <row r="3719" spans="1:15" ht="15.75" hidden="1" customHeight="1" outlineLevel="2">
      <c r="C3719" s="633" t="s">
        <v>1228</v>
      </c>
      <c r="D3719" s="619" t="s">
        <v>921</v>
      </c>
      <c r="E3719" s="633">
        <f t="shared" si="118"/>
        <v>3</v>
      </c>
      <c r="F3719" s="618">
        <f>mechanic</f>
        <v>184800.00000000003</v>
      </c>
      <c r="G3719" s="618">
        <f t="shared" si="117"/>
        <v>554400.00000000012</v>
      </c>
      <c r="N3719" s="633" t="s">
        <v>922</v>
      </c>
      <c r="O3719" s="633">
        <v>1</v>
      </c>
    </row>
    <row r="3720" spans="1:15" ht="15.75" hidden="1" customHeight="1" outlineLevel="2">
      <c r="G3720" s="618">
        <f t="shared" si="117"/>
        <v>0</v>
      </c>
    </row>
    <row r="3721" spans="1:15" ht="15.75" hidden="1" customHeight="1" outlineLevel="2">
      <c r="C3721" s="633" t="s">
        <v>925</v>
      </c>
      <c r="G3721" s="618">
        <f t="shared" si="117"/>
        <v>0</v>
      </c>
    </row>
    <row r="3722" spans="1:15" ht="15.75" hidden="1" customHeight="1" outlineLevel="2">
      <c r="C3722" s="633" t="s">
        <v>926</v>
      </c>
      <c r="D3722" s="619" t="s">
        <v>98</v>
      </c>
      <c r="E3722" s="633">
        <v>0.5</v>
      </c>
      <c r="F3722" s="618">
        <f>Truck_crane_cap_5t_hour*8</f>
        <v>3850000.0000000005</v>
      </c>
      <c r="G3722" s="618">
        <f t="shared" si="117"/>
        <v>1925000.0000000002</v>
      </c>
    </row>
    <row r="3723" spans="1:15" ht="15.75" hidden="1" customHeight="1" outlineLevel="2">
      <c r="F3723" s="618" t="str">
        <f>"Total " &amp;B3714</f>
        <v>Total A</v>
      </c>
      <c r="G3723" s="618">
        <f>SUM(G3716:G3722)</f>
        <v>3313155</v>
      </c>
    </row>
    <row r="3724" spans="1:15" ht="15.75" hidden="1" customHeight="1" outlineLevel="2">
      <c r="B3724" s="619" t="s">
        <v>818</v>
      </c>
      <c r="C3724" s="633" t="s">
        <v>931</v>
      </c>
      <c r="J3724" s="633" t="s">
        <v>495</v>
      </c>
      <c r="L3724" s="633">
        <f>M3724*O3726</f>
        <v>2</v>
      </c>
      <c r="M3724" s="633">
        <v>1</v>
      </c>
    </row>
    <row r="3725" spans="1:15" ht="15.75" hidden="1" customHeight="1" outlineLevel="2">
      <c r="C3725" s="633" t="s">
        <v>1052</v>
      </c>
      <c r="J3725" s="633" t="s">
        <v>923</v>
      </c>
      <c r="L3725" s="633">
        <f>M3725*O3727</f>
        <v>9</v>
      </c>
      <c r="M3725" s="633">
        <v>3</v>
      </c>
    </row>
    <row r="3726" spans="1:15" ht="15.75" hidden="1" customHeight="1" outlineLevel="2">
      <c r="C3726" s="633" t="s">
        <v>393</v>
      </c>
      <c r="D3726" s="619" t="s">
        <v>921</v>
      </c>
      <c r="E3726" s="633">
        <f>L3724</f>
        <v>2</v>
      </c>
      <c r="F3726" s="618">
        <f>supervisor_Asli</f>
        <v>155155</v>
      </c>
      <c r="G3726" s="618">
        <f t="shared" ref="G3726:G3733" si="119">E3726*F3726</f>
        <v>310310</v>
      </c>
      <c r="J3726" s="633" t="s">
        <v>493</v>
      </c>
      <c r="L3726" s="633">
        <f>M3726*O3728</f>
        <v>9</v>
      </c>
      <c r="M3726" s="633">
        <v>3</v>
      </c>
      <c r="N3726" s="633" t="s">
        <v>922</v>
      </c>
      <c r="O3726" s="633">
        <v>2</v>
      </c>
    </row>
    <row r="3727" spans="1:15" ht="15.75" hidden="1" customHeight="1" outlineLevel="2">
      <c r="C3727" s="633" t="s">
        <v>1227</v>
      </c>
      <c r="D3727" s="619" t="s">
        <v>921</v>
      </c>
      <c r="E3727" s="633">
        <f t="shared" ref="E3727:E3730" si="120">L3725</f>
        <v>9</v>
      </c>
      <c r="F3727" s="618">
        <f>F3717</f>
        <v>177600</v>
      </c>
      <c r="G3727" s="618">
        <f t="shared" si="119"/>
        <v>1598400</v>
      </c>
      <c r="J3727" s="633" t="s">
        <v>924</v>
      </c>
      <c r="L3727" s="633">
        <f>M3727*O3729</f>
        <v>12</v>
      </c>
      <c r="M3727" s="633">
        <v>3</v>
      </c>
      <c r="N3727" s="633" t="s">
        <v>922</v>
      </c>
      <c r="O3727" s="633">
        <v>3</v>
      </c>
    </row>
    <row r="3728" spans="1:15" ht="15.75" hidden="1" customHeight="1" outlineLevel="2">
      <c r="C3728" s="633" t="s">
        <v>952</v>
      </c>
      <c r="D3728" s="619" t="s">
        <v>921</v>
      </c>
      <c r="E3728" s="633">
        <f t="shared" si="120"/>
        <v>9</v>
      </c>
      <c r="F3728" s="618">
        <f>worker</f>
        <v>107800.00000000001</v>
      </c>
      <c r="G3728" s="618">
        <f t="shared" si="119"/>
        <v>970200.00000000012</v>
      </c>
      <c r="J3728" s="633" t="s">
        <v>732</v>
      </c>
      <c r="L3728" s="633">
        <f>M3728*O3730</f>
        <v>6</v>
      </c>
      <c r="M3728" s="633">
        <v>3</v>
      </c>
      <c r="N3728" s="633" t="s">
        <v>922</v>
      </c>
      <c r="O3728" s="633">
        <v>3</v>
      </c>
    </row>
    <row r="3729" spans="1:15" ht="15.75" hidden="1" customHeight="1" outlineLevel="2">
      <c r="C3729" s="633" t="s">
        <v>1228</v>
      </c>
      <c r="D3729" s="619" t="s">
        <v>921</v>
      </c>
      <c r="E3729" s="633">
        <f t="shared" si="120"/>
        <v>12</v>
      </c>
      <c r="F3729" s="618">
        <f>mechanic</f>
        <v>184800.00000000003</v>
      </c>
      <c r="G3729" s="618">
        <f t="shared" si="119"/>
        <v>2217600.0000000005</v>
      </c>
      <c r="N3729" s="633" t="s">
        <v>922</v>
      </c>
      <c r="O3729" s="633">
        <v>4</v>
      </c>
    </row>
    <row r="3730" spans="1:15" ht="15.75" hidden="1" customHeight="1" outlineLevel="2">
      <c r="C3730" s="633" t="s">
        <v>1229</v>
      </c>
      <c r="D3730" s="619" t="s">
        <v>921</v>
      </c>
      <c r="E3730" s="633">
        <f t="shared" si="120"/>
        <v>6</v>
      </c>
      <c r="F3730" s="618">
        <f>electrician</f>
        <v>143220</v>
      </c>
      <c r="G3730" s="618">
        <f t="shared" si="119"/>
        <v>859320</v>
      </c>
      <c r="N3730" s="633" t="s">
        <v>922</v>
      </c>
      <c r="O3730" s="633">
        <v>2</v>
      </c>
    </row>
    <row r="3731" spans="1:15" ht="15.75" hidden="1" customHeight="1" outlineLevel="2">
      <c r="G3731" s="618">
        <f t="shared" si="119"/>
        <v>0</v>
      </c>
    </row>
    <row r="3732" spans="1:15" ht="15.75" hidden="1" customHeight="1" outlineLevel="2">
      <c r="C3732" s="633" t="s">
        <v>925</v>
      </c>
      <c r="G3732" s="618">
        <f t="shared" si="119"/>
        <v>0</v>
      </c>
    </row>
    <row r="3733" spans="1:15" ht="15.75" hidden="1" customHeight="1" outlineLevel="2">
      <c r="C3733" s="633" t="s">
        <v>926</v>
      </c>
      <c r="D3733" s="619" t="s">
        <v>98</v>
      </c>
      <c r="E3733" s="633">
        <v>2</v>
      </c>
      <c r="F3733" s="618">
        <f>Truck_crane_cap_5t_hour*8</f>
        <v>3850000.0000000005</v>
      </c>
      <c r="G3733" s="618">
        <f t="shared" si="119"/>
        <v>7700000.0000000009</v>
      </c>
    </row>
    <row r="3734" spans="1:15" ht="15.75" hidden="1" customHeight="1" outlineLevel="2">
      <c r="F3734" s="618" t="str">
        <f>"Total " &amp;B3724</f>
        <v>Total B</v>
      </c>
      <c r="G3734" s="618">
        <f>SUM(G3726:G3733)</f>
        <v>13655830</v>
      </c>
    </row>
    <row r="3735" spans="1:15" ht="15.75" hidden="1" customHeight="1" outlineLevel="2">
      <c r="C3735" s="1200" t="str">
        <f>"TOTAL "&amp;C3713</f>
        <v>TOTAL Pemasangan CB 150 kV dan Steel Structure</v>
      </c>
      <c r="D3735" s="1200"/>
      <c r="E3735" s="1200"/>
      <c r="F3735" s="1200"/>
      <c r="G3735" s="618">
        <f>SUM(G3734,G3723)</f>
        <v>16968985</v>
      </c>
    </row>
    <row r="3736" spans="1:15" ht="15.75" customHeight="1" outlineLevel="1" collapsed="1">
      <c r="A3736" s="633" t="s">
        <v>2074</v>
      </c>
      <c r="B3736" s="619">
        <f>1+B3713</f>
        <v>4</v>
      </c>
      <c r="C3736" s="633" t="s">
        <v>2057</v>
      </c>
      <c r="D3736" s="619" t="s">
        <v>673</v>
      </c>
      <c r="G3736" s="618">
        <f>G3758</f>
        <v>5529330</v>
      </c>
    </row>
    <row r="3737" spans="1:15" ht="15.75" hidden="1" customHeight="1" outlineLevel="2">
      <c r="B3737" s="619" t="s">
        <v>816</v>
      </c>
      <c r="C3737" s="633" t="s">
        <v>932</v>
      </c>
      <c r="J3737" s="633" t="s">
        <v>495</v>
      </c>
      <c r="L3737" s="633">
        <f>M3737*O3739</f>
        <v>1</v>
      </c>
      <c r="M3737" s="633">
        <v>1</v>
      </c>
    </row>
    <row r="3738" spans="1:15" ht="15.75" hidden="1" customHeight="1" outlineLevel="2">
      <c r="C3738" s="633" t="s">
        <v>1052</v>
      </c>
      <c r="J3738" s="633" t="s">
        <v>923</v>
      </c>
      <c r="L3738" s="633">
        <f>M3738*O3740</f>
        <v>2</v>
      </c>
      <c r="M3738" s="633">
        <v>2</v>
      </c>
    </row>
    <row r="3739" spans="1:15" ht="15.75" hidden="1" customHeight="1" outlineLevel="2">
      <c r="C3739" s="633" t="s">
        <v>393</v>
      </c>
      <c r="D3739" s="619" t="s">
        <v>921</v>
      </c>
      <c r="E3739" s="633">
        <f>L3737</f>
        <v>1</v>
      </c>
      <c r="F3739" s="618">
        <f>supervisor_Asli</f>
        <v>155155</v>
      </c>
      <c r="G3739" s="618">
        <f t="shared" ref="G3739:G3745" si="121">E3739*F3739</f>
        <v>155155</v>
      </c>
      <c r="J3739" s="633" t="s">
        <v>493</v>
      </c>
      <c r="L3739" s="633">
        <f>M3739*O3741</f>
        <v>1</v>
      </c>
      <c r="M3739" s="633">
        <v>1</v>
      </c>
      <c r="N3739" s="633" t="s">
        <v>922</v>
      </c>
      <c r="O3739" s="633">
        <v>1</v>
      </c>
    </row>
    <row r="3740" spans="1:15" ht="15.75" hidden="1" customHeight="1" outlineLevel="2">
      <c r="C3740" s="633" t="s">
        <v>1227</v>
      </c>
      <c r="D3740" s="619" t="s">
        <v>921</v>
      </c>
      <c r="E3740" s="633">
        <f t="shared" ref="E3740:E3742" si="122">L3738</f>
        <v>2</v>
      </c>
      <c r="F3740" s="618">
        <v>177600</v>
      </c>
      <c r="G3740" s="618">
        <f t="shared" si="121"/>
        <v>355200</v>
      </c>
      <c r="J3740" s="633" t="s">
        <v>924</v>
      </c>
      <c r="L3740" s="633">
        <f>M3740*O3742</f>
        <v>1</v>
      </c>
      <c r="M3740" s="633">
        <v>1</v>
      </c>
      <c r="N3740" s="633" t="s">
        <v>922</v>
      </c>
      <c r="O3740" s="633">
        <v>1</v>
      </c>
    </row>
    <row r="3741" spans="1:15" ht="15.75" hidden="1" customHeight="1" outlineLevel="2">
      <c r="C3741" s="633" t="s">
        <v>952</v>
      </c>
      <c r="D3741" s="619" t="s">
        <v>921</v>
      </c>
      <c r="E3741" s="633">
        <f t="shared" si="122"/>
        <v>1</v>
      </c>
      <c r="F3741" s="618">
        <f>worker</f>
        <v>107800.00000000001</v>
      </c>
      <c r="G3741" s="618">
        <f t="shared" si="121"/>
        <v>107800.00000000001</v>
      </c>
      <c r="N3741" s="633" t="s">
        <v>922</v>
      </c>
      <c r="O3741" s="633">
        <v>1</v>
      </c>
    </row>
    <row r="3742" spans="1:15" ht="15.75" hidden="1" customHeight="1" outlineLevel="2">
      <c r="C3742" s="633" t="s">
        <v>1228</v>
      </c>
      <c r="D3742" s="619" t="s">
        <v>921</v>
      </c>
      <c r="E3742" s="633">
        <f t="shared" si="122"/>
        <v>1</v>
      </c>
      <c r="F3742" s="618">
        <f>mechanic</f>
        <v>184800.00000000003</v>
      </c>
      <c r="G3742" s="618">
        <f t="shared" si="121"/>
        <v>184800.00000000003</v>
      </c>
      <c r="N3742" s="633" t="s">
        <v>922</v>
      </c>
      <c r="O3742" s="633">
        <v>1</v>
      </c>
    </row>
    <row r="3743" spans="1:15" ht="15.75" hidden="1" customHeight="1" outlineLevel="2">
      <c r="G3743" s="618">
        <f t="shared" si="121"/>
        <v>0</v>
      </c>
    </row>
    <row r="3744" spans="1:15" ht="15.75" hidden="1" customHeight="1" outlineLevel="2">
      <c r="C3744" s="633" t="s">
        <v>925</v>
      </c>
      <c r="G3744" s="618">
        <f t="shared" si="121"/>
        <v>0</v>
      </c>
    </row>
    <row r="3745" spans="1:15" ht="15.75" hidden="1" customHeight="1" outlineLevel="2">
      <c r="C3745" s="633" t="s">
        <v>926</v>
      </c>
      <c r="D3745" s="619" t="s">
        <v>98</v>
      </c>
      <c r="E3745" s="633">
        <v>0.3</v>
      </c>
      <c r="F3745" s="618">
        <f>Truck_crane_cap_5t_hour*8</f>
        <v>3850000.0000000005</v>
      </c>
      <c r="G3745" s="618">
        <f t="shared" si="121"/>
        <v>1155000</v>
      </c>
    </row>
    <row r="3746" spans="1:15" ht="15.75" hidden="1" customHeight="1" outlineLevel="2">
      <c r="F3746" s="618" t="str">
        <f>"Total " &amp;B3737</f>
        <v>Total A</v>
      </c>
      <c r="G3746" s="618">
        <f>SUM(G3739:G3745)</f>
        <v>1957955</v>
      </c>
      <c r="J3746" s="633" t="s">
        <v>495</v>
      </c>
      <c r="L3746" s="633">
        <f>M3746*O3748</f>
        <v>1</v>
      </c>
      <c r="M3746" s="633">
        <v>1</v>
      </c>
    </row>
    <row r="3747" spans="1:15" ht="15.75" hidden="1" customHeight="1" outlineLevel="2">
      <c r="B3747" s="619" t="s">
        <v>818</v>
      </c>
      <c r="C3747" s="633" t="s">
        <v>933</v>
      </c>
      <c r="J3747" s="633" t="s">
        <v>923</v>
      </c>
      <c r="L3747" s="633">
        <f>M3747*O3749</f>
        <v>1</v>
      </c>
      <c r="M3747" s="633">
        <v>1</v>
      </c>
    </row>
    <row r="3748" spans="1:15" ht="15.75" hidden="1" customHeight="1" outlineLevel="2">
      <c r="C3748" s="633" t="s">
        <v>1052</v>
      </c>
      <c r="J3748" s="633" t="s">
        <v>493</v>
      </c>
      <c r="L3748" s="633">
        <f>M3748*O3750</f>
        <v>2</v>
      </c>
      <c r="M3748" s="633">
        <v>2</v>
      </c>
      <c r="N3748" s="633" t="s">
        <v>922</v>
      </c>
      <c r="O3748" s="633">
        <v>1</v>
      </c>
    </row>
    <row r="3749" spans="1:15" ht="15.75" hidden="1" customHeight="1" outlineLevel="2">
      <c r="C3749" s="633" t="s">
        <v>393</v>
      </c>
      <c r="D3749" s="619" t="s">
        <v>921</v>
      </c>
      <c r="E3749" s="633">
        <f>L3746</f>
        <v>1</v>
      </c>
      <c r="F3749" s="618">
        <f>supervisor_Asli</f>
        <v>155155</v>
      </c>
      <c r="G3749" s="618">
        <f t="shared" ref="G3749:G3756" si="123">E3749*F3749</f>
        <v>155155</v>
      </c>
      <c r="J3749" s="633" t="s">
        <v>924</v>
      </c>
      <c r="L3749" s="633">
        <f>M3749*O3751</f>
        <v>1</v>
      </c>
      <c r="M3749" s="633">
        <v>1</v>
      </c>
      <c r="N3749" s="633" t="s">
        <v>922</v>
      </c>
      <c r="O3749" s="633">
        <v>1</v>
      </c>
    </row>
    <row r="3750" spans="1:15" ht="15.75" hidden="1" customHeight="1" outlineLevel="2">
      <c r="C3750" s="633" t="s">
        <v>1227</v>
      </c>
      <c r="D3750" s="619" t="s">
        <v>921</v>
      </c>
      <c r="E3750" s="633">
        <f t="shared" ref="E3750:E3753" si="124">L3747</f>
        <v>1</v>
      </c>
      <c r="F3750" s="618">
        <v>177600</v>
      </c>
      <c r="G3750" s="618">
        <f t="shared" si="123"/>
        <v>177600</v>
      </c>
      <c r="J3750" s="633" t="s">
        <v>732</v>
      </c>
      <c r="L3750" s="633">
        <f>M3750*O3752</f>
        <v>1</v>
      </c>
      <c r="M3750" s="633">
        <v>1</v>
      </c>
      <c r="N3750" s="633" t="s">
        <v>922</v>
      </c>
      <c r="O3750" s="633">
        <v>1</v>
      </c>
    </row>
    <row r="3751" spans="1:15" ht="15.75" hidden="1" customHeight="1" outlineLevel="2">
      <c r="C3751" s="633" t="s">
        <v>952</v>
      </c>
      <c r="D3751" s="619" t="s">
        <v>921</v>
      </c>
      <c r="E3751" s="633">
        <f t="shared" si="124"/>
        <v>2</v>
      </c>
      <c r="F3751" s="618">
        <f>worker</f>
        <v>107800.00000000001</v>
      </c>
      <c r="G3751" s="618">
        <f t="shared" si="123"/>
        <v>215600.00000000003</v>
      </c>
      <c r="N3751" s="633" t="s">
        <v>922</v>
      </c>
      <c r="O3751" s="633">
        <v>1</v>
      </c>
    </row>
    <row r="3752" spans="1:15" ht="15.75" hidden="1" customHeight="1" outlineLevel="2">
      <c r="C3752" s="633" t="s">
        <v>1228</v>
      </c>
      <c r="D3752" s="619" t="s">
        <v>921</v>
      </c>
      <c r="E3752" s="633">
        <f t="shared" si="124"/>
        <v>1</v>
      </c>
      <c r="F3752" s="618">
        <f>mechanic</f>
        <v>184800.00000000003</v>
      </c>
      <c r="G3752" s="618">
        <f t="shared" si="123"/>
        <v>184800.00000000003</v>
      </c>
      <c r="N3752" s="633" t="s">
        <v>922</v>
      </c>
      <c r="O3752" s="633">
        <v>1</v>
      </c>
    </row>
    <row r="3753" spans="1:15" ht="15.75" hidden="1" customHeight="1" outlineLevel="2">
      <c r="C3753" s="633" t="s">
        <v>1229</v>
      </c>
      <c r="D3753" s="619" t="s">
        <v>921</v>
      </c>
      <c r="E3753" s="633">
        <f t="shared" si="124"/>
        <v>1</v>
      </c>
      <c r="F3753" s="618">
        <f>electrician</f>
        <v>143220</v>
      </c>
      <c r="G3753" s="618">
        <f t="shared" si="123"/>
        <v>143220</v>
      </c>
    </row>
    <row r="3754" spans="1:15" ht="15.75" hidden="1" customHeight="1" outlineLevel="2">
      <c r="G3754" s="618">
        <f t="shared" si="123"/>
        <v>0</v>
      </c>
    </row>
    <row r="3755" spans="1:15" ht="15.75" hidden="1" customHeight="1" outlineLevel="2">
      <c r="C3755" s="633" t="s">
        <v>925</v>
      </c>
      <c r="G3755" s="618">
        <f t="shared" si="123"/>
        <v>0</v>
      </c>
    </row>
    <row r="3756" spans="1:15" ht="15.75" hidden="1" customHeight="1" outlineLevel="2">
      <c r="C3756" s="633" t="s">
        <v>926</v>
      </c>
      <c r="D3756" s="619" t="s">
        <v>98</v>
      </c>
      <c r="E3756" s="633">
        <v>0.7</v>
      </c>
      <c r="F3756" s="618">
        <f>Truck_crane_cap_5t_hour*8</f>
        <v>3850000.0000000005</v>
      </c>
      <c r="G3756" s="618">
        <f t="shared" si="123"/>
        <v>2695000</v>
      </c>
    </row>
    <row r="3757" spans="1:15" ht="15.75" hidden="1" customHeight="1" outlineLevel="2">
      <c r="F3757" s="618" t="str">
        <f>"Total " &amp;B3747</f>
        <v>Total B</v>
      </c>
      <c r="G3757" s="618">
        <f>SUM(G3749:G3756)</f>
        <v>3571375</v>
      </c>
    </row>
    <row r="3758" spans="1:15" ht="15.75" hidden="1" customHeight="1" outlineLevel="2">
      <c r="C3758" s="1200" t="str">
        <f>"TOTAL "&amp;C3736</f>
        <v>TOTAL Pemasangan CT 150 kV dan Steel Structure</v>
      </c>
      <c r="D3758" s="1200"/>
      <c r="E3758" s="1200"/>
      <c r="F3758" s="1200"/>
      <c r="G3758" s="618">
        <f>SUM(G3757,G3746)</f>
        <v>5529330</v>
      </c>
    </row>
    <row r="3759" spans="1:15" ht="15.75" customHeight="1" outlineLevel="1" collapsed="1">
      <c r="A3759" s="633" t="s">
        <v>2074</v>
      </c>
      <c r="B3759" s="619">
        <f>1+B3736</f>
        <v>5</v>
      </c>
      <c r="C3759" s="633" t="s">
        <v>2056</v>
      </c>
      <c r="D3759" s="619" t="s">
        <v>673</v>
      </c>
      <c r="G3759" s="618">
        <f>G3781</f>
        <v>5529330</v>
      </c>
    </row>
    <row r="3760" spans="1:15" ht="15.75" hidden="1" customHeight="1" outlineLevel="2">
      <c r="B3760" s="619" t="s">
        <v>816</v>
      </c>
      <c r="C3760" s="633" t="s">
        <v>934</v>
      </c>
      <c r="J3760" s="633" t="s">
        <v>495</v>
      </c>
      <c r="L3760" s="633">
        <f>M3760*O3762</f>
        <v>1</v>
      </c>
      <c r="M3760" s="633">
        <v>1</v>
      </c>
    </row>
    <row r="3761" spans="2:15" ht="15.75" hidden="1" customHeight="1" outlineLevel="2">
      <c r="C3761" s="633" t="s">
        <v>1052</v>
      </c>
      <c r="J3761" s="633" t="s">
        <v>923</v>
      </c>
      <c r="L3761" s="633">
        <f>M3761*O3763</f>
        <v>2</v>
      </c>
      <c r="M3761" s="633">
        <v>2</v>
      </c>
    </row>
    <row r="3762" spans="2:15" ht="15.75" hidden="1" customHeight="1" outlineLevel="2">
      <c r="C3762" s="633" t="s">
        <v>393</v>
      </c>
      <c r="D3762" s="619" t="s">
        <v>921</v>
      </c>
      <c r="E3762" s="633">
        <f>L3760</f>
        <v>1</v>
      </c>
      <c r="F3762" s="618">
        <f>supervisor_Asli</f>
        <v>155155</v>
      </c>
      <c r="G3762" s="618">
        <f t="shared" ref="G3762:G3768" si="125">E3762*F3762</f>
        <v>155155</v>
      </c>
      <c r="J3762" s="633" t="s">
        <v>493</v>
      </c>
      <c r="L3762" s="633">
        <f>M3762*O3764</f>
        <v>1</v>
      </c>
      <c r="M3762" s="633">
        <v>1</v>
      </c>
      <c r="N3762" s="633" t="s">
        <v>922</v>
      </c>
      <c r="O3762" s="633">
        <v>1</v>
      </c>
    </row>
    <row r="3763" spans="2:15" ht="15.75" hidden="1" customHeight="1" outlineLevel="2">
      <c r="C3763" s="633" t="s">
        <v>1227</v>
      </c>
      <c r="D3763" s="619" t="s">
        <v>921</v>
      </c>
      <c r="E3763" s="633">
        <f t="shared" ref="E3763:E3765" si="126">L3761</f>
        <v>2</v>
      </c>
      <c r="F3763" s="618">
        <v>177600</v>
      </c>
      <c r="G3763" s="618">
        <f t="shared" si="125"/>
        <v>355200</v>
      </c>
      <c r="J3763" s="633" t="s">
        <v>924</v>
      </c>
      <c r="L3763" s="633">
        <f>M3763*O3765</f>
        <v>1</v>
      </c>
      <c r="M3763" s="633">
        <v>1</v>
      </c>
      <c r="N3763" s="633" t="s">
        <v>922</v>
      </c>
      <c r="O3763" s="633">
        <v>1</v>
      </c>
    </row>
    <row r="3764" spans="2:15" ht="15.75" hidden="1" customHeight="1" outlineLevel="2">
      <c r="C3764" s="633" t="s">
        <v>952</v>
      </c>
      <c r="D3764" s="619" t="s">
        <v>921</v>
      </c>
      <c r="E3764" s="633">
        <f t="shared" si="126"/>
        <v>1</v>
      </c>
      <c r="F3764" s="618">
        <f>worker</f>
        <v>107800.00000000001</v>
      </c>
      <c r="G3764" s="618">
        <f t="shared" si="125"/>
        <v>107800.00000000001</v>
      </c>
      <c r="N3764" s="633" t="s">
        <v>922</v>
      </c>
      <c r="O3764" s="633">
        <v>1</v>
      </c>
    </row>
    <row r="3765" spans="2:15" ht="15.75" hidden="1" customHeight="1" outlineLevel="2">
      <c r="C3765" s="633" t="s">
        <v>1228</v>
      </c>
      <c r="D3765" s="619" t="s">
        <v>921</v>
      </c>
      <c r="E3765" s="633">
        <f t="shared" si="126"/>
        <v>1</v>
      </c>
      <c r="F3765" s="618">
        <f>mechanic</f>
        <v>184800.00000000003</v>
      </c>
      <c r="G3765" s="618">
        <f t="shared" si="125"/>
        <v>184800.00000000003</v>
      </c>
      <c r="N3765" s="633" t="s">
        <v>922</v>
      </c>
      <c r="O3765" s="633">
        <v>1</v>
      </c>
    </row>
    <row r="3766" spans="2:15" ht="15.75" hidden="1" customHeight="1" outlineLevel="2">
      <c r="G3766" s="618">
        <f t="shared" si="125"/>
        <v>0</v>
      </c>
    </row>
    <row r="3767" spans="2:15" ht="15.75" hidden="1" customHeight="1" outlineLevel="2">
      <c r="C3767" s="633" t="s">
        <v>925</v>
      </c>
      <c r="G3767" s="618">
        <f t="shared" si="125"/>
        <v>0</v>
      </c>
    </row>
    <row r="3768" spans="2:15" ht="15.75" hidden="1" customHeight="1" outlineLevel="2">
      <c r="C3768" s="633" t="s">
        <v>926</v>
      </c>
      <c r="D3768" s="619" t="s">
        <v>98</v>
      </c>
      <c r="E3768" s="633">
        <v>0.3</v>
      </c>
      <c r="F3768" s="618">
        <f>Truck_crane_cap_5t_hour*8</f>
        <v>3850000.0000000005</v>
      </c>
      <c r="G3768" s="618">
        <f t="shared" si="125"/>
        <v>1155000</v>
      </c>
    </row>
    <row r="3769" spans="2:15" ht="15.75" hidden="1" customHeight="1" outlineLevel="2">
      <c r="F3769" s="618" t="str">
        <f>"Total " &amp;B3760</f>
        <v>Total A</v>
      </c>
      <c r="G3769" s="618">
        <f>SUM(G3762:G3768)</f>
        <v>1957955</v>
      </c>
      <c r="J3769" s="633" t="s">
        <v>495</v>
      </c>
      <c r="L3769" s="633">
        <f>M3769*O3771</f>
        <v>1</v>
      </c>
      <c r="M3769" s="633">
        <v>1</v>
      </c>
    </row>
    <row r="3770" spans="2:15" ht="15.75" hidden="1" customHeight="1" outlineLevel="2">
      <c r="B3770" s="619" t="s">
        <v>818</v>
      </c>
      <c r="C3770" s="633" t="s">
        <v>935</v>
      </c>
      <c r="J3770" s="633" t="s">
        <v>923</v>
      </c>
      <c r="L3770" s="633">
        <f>M3770*O3772</f>
        <v>1</v>
      </c>
      <c r="M3770" s="633">
        <v>1</v>
      </c>
    </row>
    <row r="3771" spans="2:15" ht="15.75" hidden="1" customHeight="1" outlineLevel="2">
      <c r="C3771" s="633" t="s">
        <v>1052</v>
      </c>
      <c r="J3771" s="633" t="s">
        <v>493</v>
      </c>
      <c r="L3771" s="633">
        <f>M3771*O3773</f>
        <v>2</v>
      </c>
      <c r="M3771" s="633">
        <v>2</v>
      </c>
      <c r="N3771" s="633" t="s">
        <v>922</v>
      </c>
      <c r="O3771" s="633">
        <v>1</v>
      </c>
    </row>
    <row r="3772" spans="2:15" ht="15.75" hidden="1" customHeight="1" outlineLevel="2">
      <c r="C3772" s="633" t="s">
        <v>393</v>
      </c>
      <c r="D3772" s="619" t="s">
        <v>921</v>
      </c>
      <c r="E3772" s="633">
        <f>L3769</f>
        <v>1</v>
      </c>
      <c r="F3772" s="618">
        <f>supervisor_Asli</f>
        <v>155155</v>
      </c>
      <c r="G3772" s="618">
        <f t="shared" ref="G3772:G3779" si="127">E3772*F3772</f>
        <v>155155</v>
      </c>
      <c r="J3772" s="633" t="s">
        <v>924</v>
      </c>
      <c r="L3772" s="633">
        <f>M3772*O3774</f>
        <v>1</v>
      </c>
      <c r="M3772" s="633">
        <v>1</v>
      </c>
      <c r="N3772" s="633" t="s">
        <v>922</v>
      </c>
      <c r="O3772" s="633">
        <v>1</v>
      </c>
    </row>
    <row r="3773" spans="2:15" ht="15.75" hidden="1" customHeight="1" outlineLevel="2">
      <c r="C3773" s="633" t="s">
        <v>1227</v>
      </c>
      <c r="D3773" s="619" t="s">
        <v>921</v>
      </c>
      <c r="E3773" s="633">
        <f t="shared" ref="E3773:E3776" si="128">L3770</f>
        <v>1</v>
      </c>
      <c r="F3773" s="618">
        <v>177600</v>
      </c>
      <c r="G3773" s="618">
        <f t="shared" si="127"/>
        <v>177600</v>
      </c>
      <c r="J3773" s="633" t="s">
        <v>732</v>
      </c>
      <c r="L3773" s="633">
        <f>M3773*O3775</f>
        <v>1</v>
      </c>
      <c r="M3773" s="633">
        <v>1</v>
      </c>
      <c r="N3773" s="633" t="s">
        <v>922</v>
      </c>
      <c r="O3773" s="633">
        <v>1</v>
      </c>
    </row>
    <row r="3774" spans="2:15" ht="15.75" hidden="1" customHeight="1" outlineLevel="2">
      <c r="C3774" s="633" t="s">
        <v>952</v>
      </c>
      <c r="D3774" s="619" t="s">
        <v>921</v>
      </c>
      <c r="E3774" s="633">
        <f t="shared" si="128"/>
        <v>2</v>
      </c>
      <c r="F3774" s="618">
        <f>worker</f>
        <v>107800.00000000001</v>
      </c>
      <c r="G3774" s="618">
        <f t="shared" si="127"/>
        <v>215600.00000000003</v>
      </c>
      <c r="N3774" s="633" t="s">
        <v>922</v>
      </c>
      <c r="O3774" s="633">
        <v>1</v>
      </c>
    </row>
    <row r="3775" spans="2:15" ht="15.75" hidden="1" customHeight="1" outlineLevel="2">
      <c r="C3775" s="633" t="s">
        <v>1228</v>
      </c>
      <c r="D3775" s="619" t="s">
        <v>921</v>
      </c>
      <c r="E3775" s="633">
        <f t="shared" si="128"/>
        <v>1</v>
      </c>
      <c r="F3775" s="618">
        <f>mechanic</f>
        <v>184800.00000000003</v>
      </c>
      <c r="G3775" s="618">
        <f t="shared" si="127"/>
        <v>184800.00000000003</v>
      </c>
      <c r="N3775" s="633" t="s">
        <v>922</v>
      </c>
      <c r="O3775" s="633">
        <v>1</v>
      </c>
    </row>
    <row r="3776" spans="2:15" ht="15.75" hidden="1" customHeight="1" outlineLevel="2">
      <c r="C3776" s="633" t="s">
        <v>1229</v>
      </c>
      <c r="D3776" s="619" t="s">
        <v>921</v>
      </c>
      <c r="E3776" s="633">
        <f t="shared" si="128"/>
        <v>1</v>
      </c>
      <c r="F3776" s="618">
        <f>electrician</f>
        <v>143220</v>
      </c>
      <c r="G3776" s="618">
        <f t="shared" si="127"/>
        <v>143220</v>
      </c>
    </row>
    <row r="3777" spans="1:15" ht="15.75" hidden="1" customHeight="1" outlineLevel="2">
      <c r="G3777" s="618">
        <f t="shared" si="127"/>
        <v>0</v>
      </c>
    </row>
    <row r="3778" spans="1:15" ht="15.75" hidden="1" customHeight="1" outlineLevel="2">
      <c r="C3778" s="633" t="s">
        <v>925</v>
      </c>
      <c r="G3778" s="618">
        <f t="shared" si="127"/>
        <v>0</v>
      </c>
    </row>
    <row r="3779" spans="1:15" ht="15.75" hidden="1" customHeight="1" outlineLevel="2">
      <c r="C3779" s="633" t="s">
        <v>926</v>
      </c>
      <c r="D3779" s="619" t="s">
        <v>98</v>
      </c>
      <c r="E3779" s="633">
        <v>0.7</v>
      </c>
      <c r="F3779" s="618">
        <f>Truck_crane_cap_5t_hour*8</f>
        <v>3850000.0000000005</v>
      </c>
      <c r="G3779" s="618">
        <f t="shared" si="127"/>
        <v>2695000</v>
      </c>
    </row>
    <row r="3780" spans="1:15" ht="15.75" hidden="1" customHeight="1" outlineLevel="2">
      <c r="F3780" s="618" t="str">
        <f>"Total " &amp;B3770</f>
        <v>Total B</v>
      </c>
      <c r="G3780" s="618">
        <f>SUM(G3772:G3779)</f>
        <v>3571375</v>
      </c>
    </row>
    <row r="3781" spans="1:15" ht="15.75" hidden="1" customHeight="1" outlineLevel="2">
      <c r="C3781" s="1200" t="str">
        <f>"TOTAL "&amp;C3759</f>
        <v>TOTAL Pemasangan CVT 150 kV dan Steel Structure</v>
      </c>
      <c r="D3781" s="1200"/>
      <c r="E3781" s="1200"/>
      <c r="F3781" s="1200"/>
      <c r="G3781" s="618">
        <f>SUM(G3780,G3769)</f>
        <v>5529330</v>
      </c>
    </row>
    <row r="3782" spans="1:15" ht="15.75" customHeight="1" outlineLevel="1" collapsed="1">
      <c r="A3782" s="633" t="s">
        <v>2074</v>
      </c>
      <c r="B3782" s="619">
        <f>1+B3759</f>
        <v>6</v>
      </c>
      <c r="C3782" s="633" t="s">
        <v>2055</v>
      </c>
      <c r="D3782" s="619" t="s">
        <v>673</v>
      </c>
      <c r="G3782" s="618">
        <f>G3804</f>
        <v>4759330</v>
      </c>
    </row>
    <row r="3783" spans="1:15" ht="15.75" hidden="1" customHeight="1" outlineLevel="2">
      <c r="B3783" s="619" t="s">
        <v>816</v>
      </c>
      <c r="C3783" s="633" t="s">
        <v>936</v>
      </c>
      <c r="J3783" s="633" t="s">
        <v>495</v>
      </c>
      <c r="L3783" s="633">
        <f>M3783*O3785</f>
        <v>1</v>
      </c>
      <c r="M3783" s="633">
        <v>1</v>
      </c>
    </row>
    <row r="3784" spans="1:15" ht="15.75" hidden="1" customHeight="1" outlineLevel="2">
      <c r="C3784" s="633" t="s">
        <v>1052</v>
      </c>
      <c r="J3784" s="633" t="s">
        <v>923</v>
      </c>
      <c r="L3784" s="633">
        <f>M3784*O3786</f>
        <v>2</v>
      </c>
      <c r="M3784" s="633">
        <v>2</v>
      </c>
    </row>
    <row r="3785" spans="1:15" ht="15.75" hidden="1" customHeight="1" outlineLevel="2">
      <c r="C3785" s="633" t="s">
        <v>393</v>
      </c>
      <c r="D3785" s="619" t="s">
        <v>921</v>
      </c>
      <c r="E3785" s="633">
        <f>L3783</f>
        <v>1</v>
      </c>
      <c r="F3785" s="618">
        <f>supervisor_Asli</f>
        <v>155155</v>
      </c>
      <c r="G3785" s="618">
        <f t="shared" ref="G3785:G3791" si="129">E3785*F3785</f>
        <v>155155</v>
      </c>
      <c r="J3785" s="633" t="s">
        <v>493</v>
      </c>
      <c r="L3785" s="633">
        <f>M3785*O3787</f>
        <v>1</v>
      </c>
      <c r="M3785" s="633">
        <v>1</v>
      </c>
      <c r="N3785" s="633" t="s">
        <v>922</v>
      </c>
      <c r="O3785" s="633">
        <v>1</v>
      </c>
    </row>
    <row r="3786" spans="1:15" ht="15.75" hidden="1" customHeight="1" outlineLevel="2">
      <c r="C3786" s="633" t="s">
        <v>1227</v>
      </c>
      <c r="D3786" s="619" t="s">
        <v>921</v>
      </c>
      <c r="E3786" s="633">
        <f t="shared" ref="E3786:E3788" si="130">L3784</f>
        <v>2</v>
      </c>
      <c r="F3786" s="618">
        <v>177600</v>
      </c>
      <c r="G3786" s="618">
        <f t="shared" si="129"/>
        <v>355200</v>
      </c>
      <c r="J3786" s="633" t="s">
        <v>924</v>
      </c>
      <c r="L3786" s="633">
        <f>M3786*O3788</f>
        <v>1</v>
      </c>
      <c r="M3786" s="633">
        <v>1</v>
      </c>
      <c r="N3786" s="633" t="s">
        <v>922</v>
      </c>
      <c r="O3786" s="633">
        <v>1</v>
      </c>
    </row>
    <row r="3787" spans="1:15" ht="15.75" hidden="1" customHeight="1" outlineLevel="2">
      <c r="C3787" s="633" t="s">
        <v>952</v>
      </c>
      <c r="D3787" s="619" t="s">
        <v>921</v>
      </c>
      <c r="E3787" s="633">
        <f t="shared" si="130"/>
        <v>1</v>
      </c>
      <c r="F3787" s="618">
        <f>worker</f>
        <v>107800.00000000001</v>
      </c>
      <c r="G3787" s="618">
        <f t="shared" si="129"/>
        <v>107800.00000000001</v>
      </c>
      <c r="N3787" s="633" t="s">
        <v>922</v>
      </c>
      <c r="O3787" s="633">
        <v>1</v>
      </c>
    </row>
    <row r="3788" spans="1:15" ht="15.75" hidden="1" customHeight="1" outlineLevel="2">
      <c r="C3788" s="633" t="s">
        <v>1228</v>
      </c>
      <c r="D3788" s="619" t="s">
        <v>921</v>
      </c>
      <c r="E3788" s="633">
        <f t="shared" si="130"/>
        <v>1</v>
      </c>
      <c r="F3788" s="618">
        <f>mechanic</f>
        <v>184800.00000000003</v>
      </c>
      <c r="G3788" s="618">
        <f t="shared" si="129"/>
        <v>184800.00000000003</v>
      </c>
      <c r="N3788" s="633" t="s">
        <v>922</v>
      </c>
      <c r="O3788" s="633">
        <v>1</v>
      </c>
    </row>
    <row r="3789" spans="1:15" ht="15.75" hidden="1" customHeight="1" outlineLevel="2">
      <c r="G3789" s="618">
        <f t="shared" si="129"/>
        <v>0</v>
      </c>
    </row>
    <row r="3790" spans="1:15" ht="15.75" hidden="1" customHeight="1" outlineLevel="2">
      <c r="C3790" s="633" t="s">
        <v>925</v>
      </c>
      <c r="G3790" s="618">
        <f t="shared" si="129"/>
        <v>0</v>
      </c>
    </row>
    <row r="3791" spans="1:15" ht="15.75" hidden="1" customHeight="1" outlineLevel="2">
      <c r="C3791" s="633" t="s">
        <v>926</v>
      </c>
      <c r="D3791" s="619" t="s">
        <v>98</v>
      </c>
      <c r="E3791" s="633">
        <v>0.3</v>
      </c>
      <c r="F3791" s="618">
        <f>Truck_crane_cap_5t_hour*8</f>
        <v>3850000.0000000005</v>
      </c>
      <c r="G3791" s="618">
        <f t="shared" si="129"/>
        <v>1155000</v>
      </c>
    </row>
    <row r="3792" spans="1:15" ht="15.75" hidden="1" customHeight="1" outlineLevel="2">
      <c r="F3792" s="618" t="str">
        <f>"Total " &amp;B3783</f>
        <v>Total A</v>
      </c>
      <c r="G3792" s="618">
        <f>SUM(G3785:G3791)</f>
        <v>1957955</v>
      </c>
      <c r="J3792" s="633" t="s">
        <v>495</v>
      </c>
      <c r="L3792" s="633">
        <f>M3792*O3794</f>
        <v>1</v>
      </c>
      <c r="M3792" s="633">
        <v>1</v>
      </c>
    </row>
    <row r="3793" spans="1:15" ht="15.75" hidden="1" customHeight="1" outlineLevel="2">
      <c r="B3793" s="619" t="s">
        <v>818</v>
      </c>
      <c r="C3793" s="633" t="s">
        <v>937</v>
      </c>
      <c r="J3793" s="633" t="s">
        <v>923</v>
      </c>
      <c r="L3793" s="633">
        <f>M3793*O3795</f>
        <v>1</v>
      </c>
      <c r="M3793" s="633">
        <v>1</v>
      </c>
    </row>
    <row r="3794" spans="1:15" ht="15.75" hidden="1" customHeight="1" outlineLevel="2">
      <c r="C3794" s="633" t="s">
        <v>1052</v>
      </c>
      <c r="J3794" s="633" t="s">
        <v>493</v>
      </c>
      <c r="L3794" s="633">
        <f>M3794*O3796</f>
        <v>2</v>
      </c>
      <c r="M3794" s="633">
        <v>2</v>
      </c>
      <c r="N3794" s="633" t="s">
        <v>922</v>
      </c>
      <c r="O3794" s="633">
        <v>1</v>
      </c>
    </row>
    <row r="3795" spans="1:15" ht="15.75" hidden="1" customHeight="1" outlineLevel="2">
      <c r="C3795" s="633" t="s">
        <v>393</v>
      </c>
      <c r="D3795" s="619" t="s">
        <v>921</v>
      </c>
      <c r="E3795" s="633">
        <f>L3792</f>
        <v>1</v>
      </c>
      <c r="F3795" s="618">
        <f>supervisor_Asli</f>
        <v>155155</v>
      </c>
      <c r="G3795" s="618">
        <f t="shared" ref="G3795:G3802" si="131">E3795*F3795</f>
        <v>155155</v>
      </c>
      <c r="J3795" s="633" t="s">
        <v>924</v>
      </c>
      <c r="L3795" s="633">
        <f>M3795*O3797</f>
        <v>1</v>
      </c>
      <c r="M3795" s="633">
        <v>1</v>
      </c>
      <c r="N3795" s="633" t="s">
        <v>922</v>
      </c>
      <c r="O3795" s="633">
        <v>1</v>
      </c>
    </row>
    <row r="3796" spans="1:15" ht="15.75" hidden="1" customHeight="1" outlineLevel="2">
      <c r="C3796" s="633" t="s">
        <v>1227</v>
      </c>
      <c r="D3796" s="619" t="s">
        <v>921</v>
      </c>
      <c r="E3796" s="633">
        <f t="shared" ref="E3796:E3799" si="132">L3793</f>
        <v>1</v>
      </c>
      <c r="F3796" s="618">
        <v>177600</v>
      </c>
      <c r="G3796" s="618">
        <f t="shared" si="131"/>
        <v>177600</v>
      </c>
      <c r="J3796" s="633" t="s">
        <v>732</v>
      </c>
      <c r="L3796" s="633">
        <f>M3796*O3798</f>
        <v>1</v>
      </c>
      <c r="M3796" s="633">
        <v>1</v>
      </c>
      <c r="N3796" s="633" t="s">
        <v>922</v>
      </c>
      <c r="O3796" s="633">
        <v>1</v>
      </c>
    </row>
    <row r="3797" spans="1:15" ht="15.75" hidden="1" customHeight="1" outlineLevel="2">
      <c r="C3797" s="633" t="s">
        <v>952</v>
      </c>
      <c r="D3797" s="619" t="s">
        <v>921</v>
      </c>
      <c r="E3797" s="633">
        <f t="shared" si="132"/>
        <v>2</v>
      </c>
      <c r="F3797" s="618">
        <f>worker</f>
        <v>107800.00000000001</v>
      </c>
      <c r="G3797" s="618">
        <f t="shared" si="131"/>
        <v>215600.00000000003</v>
      </c>
      <c r="N3797" s="633" t="s">
        <v>922</v>
      </c>
      <c r="O3797" s="633">
        <v>1</v>
      </c>
    </row>
    <row r="3798" spans="1:15" ht="15.75" hidden="1" customHeight="1" outlineLevel="2">
      <c r="C3798" s="633" t="s">
        <v>1228</v>
      </c>
      <c r="D3798" s="619" t="s">
        <v>921</v>
      </c>
      <c r="E3798" s="633">
        <f t="shared" si="132"/>
        <v>1</v>
      </c>
      <c r="F3798" s="618">
        <f>mechanic</f>
        <v>184800.00000000003</v>
      </c>
      <c r="G3798" s="618">
        <f t="shared" si="131"/>
        <v>184800.00000000003</v>
      </c>
      <c r="N3798" s="633" t="s">
        <v>922</v>
      </c>
      <c r="O3798" s="633">
        <v>1</v>
      </c>
    </row>
    <row r="3799" spans="1:15" ht="15.75" hidden="1" customHeight="1" outlineLevel="2">
      <c r="C3799" s="633" t="s">
        <v>1229</v>
      </c>
      <c r="D3799" s="619" t="s">
        <v>921</v>
      </c>
      <c r="E3799" s="633">
        <f t="shared" si="132"/>
        <v>1</v>
      </c>
      <c r="F3799" s="618">
        <f>electrician</f>
        <v>143220</v>
      </c>
      <c r="G3799" s="618">
        <f t="shared" si="131"/>
        <v>143220</v>
      </c>
    </row>
    <row r="3800" spans="1:15" ht="15.75" hidden="1" customHeight="1" outlineLevel="2">
      <c r="G3800" s="618">
        <f t="shared" si="131"/>
        <v>0</v>
      </c>
    </row>
    <row r="3801" spans="1:15" ht="15.75" hidden="1" customHeight="1" outlineLevel="2">
      <c r="C3801" s="633" t="s">
        <v>925</v>
      </c>
      <c r="G3801" s="618">
        <f t="shared" si="131"/>
        <v>0</v>
      </c>
    </row>
    <row r="3802" spans="1:15" ht="15.75" hidden="1" customHeight="1" outlineLevel="2">
      <c r="C3802" s="633" t="s">
        <v>926</v>
      </c>
      <c r="D3802" s="619" t="s">
        <v>98</v>
      </c>
      <c r="E3802" s="633">
        <v>0.5</v>
      </c>
      <c r="F3802" s="618">
        <f>Truck_crane_cap_5t_hour*8</f>
        <v>3850000.0000000005</v>
      </c>
      <c r="G3802" s="618">
        <f t="shared" si="131"/>
        <v>1925000.0000000002</v>
      </c>
    </row>
    <row r="3803" spans="1:15" ht="15.75" hidden="1" customHeight="1" outlineLevel="2">
      <c r="F3803" s="618" t="str">
        <f>"Total " &amp;B3793</f>
        <v>Total B</v>
      </c>
      <c r="G3803" s="618">
        <f>SUM(G3795:G3802)</f>
        <v>2801375</v>
      </c>
    </row>
    <row r="3804" spans="1:15" ht="15.75" hidden="1" customHeight="1" outlineLevel="2">
      <c r="C3804" s="1200" t="str">
        <f>"TOTAL "&amp;C3782</f>
        <v>TOTAL Pemasangan LA 150 kV dan Steel Structure</v>
      </c>
      <c r="D3804" s="1200"/>
      <c r="E3804" s="1200"/>
      <c r="F3804" s="1200"/>
      <c r="G3804" s="618">
        <f>SUM(G3803,G3792)</f>
        <v>4759330</v>
      </c>
      <c r="K3804" s="1200" t="s">
        <v>1231</v>
      </c>
      <c r="L3804" s="1200"/>
      <c r="M3804" s="779" t="s">
        <v>1232</v>
      </c>
    </row>
    <row r="3805" spans="1:15" ht="15.75" customHeight="1" outlineLevel="1" collapsed="1">
      <c r="A3805" s="633" t="s">
        <v>2074</v>
      </c>
      <c r="B3805" s="619">
        <f>1+B3782</f>
        <v>7</v>
      </c>
      <c r="C3805" s="633" t="s">
        <v>938</v>
      </c>
      <c r="G3805" s="618">
        <f>G3814</f>
        <v>13688605</v>
      </c>
      <c r="J3805" s="633">
        <f>K3805*M3805</f>
        <v>7</v>
      </c>
      <c r="K3805" s="633">
        <v>1</v>
      </c>
      <c r="L3805" s="633" t="s">
        <v>922</v>
      </c>
      <c r="M3805" s="633">
        <v>7</v>
      </c>
    </row>
    <row r="3806" spans="1:15" ht="15.75" hidden="1" customHeight="1" outlineLevel="2">
      <c r="C3806" s="633" t="s">
        <v>1052</v>
      </c>
      <c r="J3806" s="633">
        <f>K3806*M3806</f>
        <v>14</v>
      </c>
      <c r="K3806" s="633">
        <v>2</v>
      </c>
      <c r="L3806" s="633" t="s">
        <v>922</v>
      </c>
      <c r="M3806" s="633">
        <v>7</v>
      </c>
      <c r="N3806" s="779"/>
    </row>
    <row r="3807" spans="1:15" ht="15.75" hidden="1" customHeight="1" outlineLevel="2">
      <c r="C3807" s="633" t="s">
        <v>393</v>
      </c>
      <c r="D3807" s="619" t="s">
        <v>921</v>
      </c>
      <c r="E3807" s="633">
        <f>J3805</f>
        <v>7</v>
      </c>
      <c r="F3807" s="618">
        <f>supervisor_Asli</f>
        <v>155155</v>
      </c>
      <c r="G3807" s="618">
        <f>E3807*F3807</f>
        <v>1086085</v>
      </c>
      <c r="J3807" s="633">
        <f>K3807*M3807</f>
        <v>8</v>
      </c>
      <c r="K3807" s="633">
        <v>2</v>
      </c>
      <c r="L3807" s="633" t="s">
        <v>922</v>
      </c>
      <c r="M3807" s="633">
        <v>4</v>
      </c>
      <c r="N3807" s="633" t="s">
        <v>939</v>
      </c>
    </row>
    <row r="3808" spans="1:15" ht="15.75" hidden="1" customHeight="1" outlineLevel="2">
      <c r="C3808" s="633" t="s">
        <v>1227</v>
      </c>
      <c r="D3808" s="619" t="s">
        <v>921</v>
      </c>
      <c r="E3808" s="633">
        <f t="shared" ref="E3808:E3810" si="133">J3806</f>
        <v>14</v>
      </c>
      <c r="F3808" s="618">
        <f>skill_worker</f>
        <v>195360.00000000003</v>
      </c>
      <c r="G3808" s="618">
        <f>E3808*F3808</f>
        <v>2735040.0000000005</v>
      </c>
      <c r="J3808" s="633">
        <f>K3808*M3808</f>
        <v>14</v>
      </c>
      <c r="K3808" s="633">
        <v>2</v>
      </c>
      <c r="L3808" s="633" t="s">
        <v>922</v>
      </c>
      <c r="M3808" s="633">
        <v>7</v>
      </c>
      <c r="N3808" s="633" t="s">
        <v>939</v>
      </c>
    </row>
    <row r="3809" spans="1:14" ht="15.75" hidden="1" customHeight="1" outlineLevel="2">
      <c r="C3809" s="633" t="s">
        <v>952</v>
      </c>
      <c r="D3809" s="619" t="s">
        <v>921</v>
      </c>
      <c r="E3809" s="633">
        <f t="shared" si="133"/>
        <v>8</v>
      </c>
      <c r="F3809" s="618">
        <f>worker</f>
        <v>107800.00000000001</v>
      </c>
      <c r="G3809" s="618">
        <f>E3809*F3809</f>
        <v>862400.00000000012</v>
      </c>
      <c r="N3809" s="633" t="s">
        <v>939</v>
      </c>
    </row>
    <row r="3810" spans="1:14" ht="15.75" hidden="1" customHeight="1" outlineLevel="2">
      <c r="C3810" s="633" t="s">
        <v>1229</v>
      </c>
      <c r="D3810" s="619" t="s">
        <v>921</v>
      </c>
      <c r="E3810" s="633">
        <f t="shared" si="133"/>
        <v>14</v>
      </c>
      <c r="F3810" s="618">
        <f>electrician</f>
        <v>143220</v>
      </c>
      <c r="G3810" s="618">
        <f>E3810*F3810</f>
        <v>2005080</v>
      </c>
      <c r="N3810" s="633" t="s">
        <v>939</v>
      </c>
    </row>
    <row r="3811" spans="1:14" ht="15.75" hidden="1" customHeight="1" outlineLevel="2"/>
    <row r="3812" spans="1:14" ht="15.75" hidden="1" customHeight="1" outlineLevel="2">
      <c r="C3812" s="633" t="s">
        <v>925</v>
      </c>
    </row>
    <row r="3813" spans="1:14" ht="15.75" hidden="1" customHeight="1" outlineLevel="2">
      <c r="C3813" s="633" t="s">
        <v>1230</v>
      </c>
      <c r="D3813" s="619" t="s">
        <v>98</v>
      </c>
      <c r="E3813" s="633">
        <v>14</v>
      </c>
      <c r="F3813" s="618">
        <v>500000</v>
      </c>
      <c r="G3813" s="618">
        <f>E3813*F3813</f>
        <v>7000000</v>
      </c>
    </row>
    <row r="3814" spans="1:14" ht="15.75" hidden="1" customHeight="1" outlineLevel="2">
      <c r="C3814" s="1200" t="str">
        <f>"TOTAL "&amp;C3805</f>
        <v xml:space="preserve">TOTAL Pemasangan dan Pengaktifan DFR </v>
      </c>
      <c r="D3814" s="1200"/>
      <c r="E3814" s="1200"/>
      <c r="F3814" s="1200"/>
      <c r="G3814" s="618">
        <f>SUM(G3807:G3813)</f>
        <v>13688605</v>
      </c>
      <c r="K3814" s="1200" t="s">
        <v>1231</v>
      </c>
      <c r="L3814" s="1200"/>
      <c r="M3814" s="779" t="s">
        <v>1232</v>
      </c>
    </row>
    <row r="3815" spans="1:14" ht="15.75" customHeight="1" outlineLevel="1" collapsed="1">
      <c r="A3815" s="633" t="s">
        <v>2074</v>
      </c>
      <c r="B3815" s="619">
        <f>1+B3805</f>
        <v>8</v>
      </c>
      <c r="C3815" s="633" t="s">
        <v>940</v>
      </c>
      <c r="G3815" s="618">
        <f>G3824</f>
        <v>971107.50000000012</v>
      </c>
      <c r="J3815" s="633">
        <f>K3815*M3815</f>
        <v>0.5</v>
      </c>
      <c r="K3815" s="633">
        <v>1</v>
      </c>
      <c r="L3815" s="633" t="s">
        <v>922</v>
      </c>
      <c r="M3815" s="633">
        <v>0.5</v>
      </c>
    </row>
    <row r="3816" spans="1:14" ht="15.75" hidden="1" customHeight="1" outlineLevel="2">
      <c r="C3816" s="633" t="s">
        <v>1052</v>
      </c>
      <c r="J3816" s="633">
        <f>K3816*M3816</f>
        <v>2</v>
      </c>
      <c r="K3816" s="633">
        <v>2</v>
      </c>
      <c r="L3816" s="633" t="s">
        <v>922</v>
      </c>
      <c r="M3816" s="633">
        <v>1</v>
      </c>
      <c r="N3816" s="779"/>
    </row>
    <row r="3817" spans="1:14" ht="15.75" hidden="1" customHeight="1" outlineLevel="2">
      <c r="C3817" s="633" t="s">
        <v>393</v>
      </c>
      <c r="D3817" s="619" t="s">
        <v>921</v>
      </c>
      <c r="E3817" s="633">
        <f>J3815</f>
        <v>0.5</v>
      </c>
      <c r="F3817" s="618">
        <f>supervisor_Asli</f>
        <v>155155</v>
      </c>
      <c r="G3817" s="618">
        <f>E3817*F3817</f>
        <v>77577.5</v>
      </c>
      <c r="J3817" s="633">
        <f>K3817*M3817</f>
        <v>4</v>
      </c>
      <c r="K3817" s="633">
        <v>4</v>
      </c>
      <c r="L3817" s="633" t="s">
        <v>922</v>
      </c>
      <c r="M3817" s="633">
        <v>1</v>
      </c>
      <c r="N3817" s="633" t="s">
        <v>939</v>
      </c>
    </row>
    <row r="3818" spans="1:14" ht="15.75" hidden="1" customHeight="1" outlineLevel="2">
      <c r="C3818" s="633" t="s">
        <v>1227</v>
      </c>
      <c r="D3818" s="619" t="s">
        <v>921</v>
      </c>
      <c r="E3818" s="633">
        <f t="shared" ref="E3818:E3820" si="134">J3816</f>
        <v>2</v>
      </c>
      <c r="F3818" s="618">
        <f>skill_worker</f>
        <v>195360.00000000003</v>
      </c>
      <c r="G3818" s="618">
        <f>E3818*F3818</f>
        <v>390720.00000000006</v>
      </c>
      <c r="J3818" s="633">
        <f>K3818*M3818</f>
        <v>0.5</v>
      </c>
      <c r="K3818" s="633">
        <v>1</v>
      </c>
      <c r="L3818" s="633" t="s">
        <v>922</v>
      </c>
      <c r="M3818" s="633">
        <v>0.5</v>
      </c>
      <c r="N3818" s="633" t="s">
        <v>939</v>
      </c>
    </row>
    <row r="3819" spans="1:14" ht="15.75" hidden="1" customHeight="1" outlineLevel="2">
      <c r="C3819" s="633" t="s">
        <v>952</v>
      </c>
      <c r="D3819" s="619" t="s">
        <v>921</v>
      </c>
      <c r="E3819" s="633">
        <f t="shared" si="134"/>
        <v>4</v>
      </c>
      <c r="F3819" s="618">
        <f>worker</f>
        <v>107800.00000000001</v>
      </c>
      <c r="G3819" s="618">
        <f>E3819*F3819</f>
        <v>431200.00000000006</v>
      </c>
      <c r="N3819" s="633" t="s">
        <v>939</v>
      </c>
    </row>
    <row r="3820" spans="1:14" ht="15.75" hidden="1" customHeight="1" outlineLevel="2">
      <c r="C3820" s="633" t="s">
        <v>1229</v>
      </c>
      <c r="D3820" s="619" t="s">
        <v>921</v>
      </c>
      <c r="E3820" s="633">
        <f t="shared" si="134"/>
        <v>0.5</v>
      </c>
      <c r="F3820" s="618">
        <f>electrician</f>
        <v>143220</v>
      </c>
      <c r="G3820" s="618">
        <f>E3820*F3820</f>
        <v>71610</v>
      </c>
      <c r="N3820" s="633" t="s">
        <v>939</v>
      </c>
    </row>
    <row r="3821" spans="1:14" ht="15.75" hidden="1" customHeight="1" outlineLevel="2"/>
    <row r="3822" spans="1:14" ht="15.75" hidden="1" customHeight="1" outlineLevel="2">
      <c r="C3822" s="633" t="s">
        <v>925</v>
      </c>
    </row>
    <row r="3823" spans="1:14" ht="15.75" hidden="1" customHeight="1" outlineLevel="2">
      <c r="C3823" s="633" t="s">
        <v>926</v>
      </c>
      <c r="D3823" s="619" t="s">
        <v>98</v>
      </c>
      <c r="E3823" s="633">
        <v>0</v>
      </c>
      <c r="F3823" s="618">
        <f>Truck_crane_cap_5t_hour*8</f>
        <v>3850000.0000000005</v>
      </c>
      <c r="G3823" s="618">
        <f>E3823*F3823</f>
        <v>0</v>
      </c>
    </row>
    <row r="3824" spans="1:14" ht="15.75" hidden="1" customHeight="1" outlineLevel="2">
      <c r="C3824" s="1200" t="str">
        <f>"TOTAL "&amp;C3815</f>
        <v>TOTAL Bare Alluminium conductor of 1 x TAL 850 sqmm/phase for 3 phase  (m)</v>
      </c>
      <c r="D3824" s="1200"/>
      <c r="E3824" s="1200"/>
      <c r="F3824" s="1200"/>
      <c r="G3824" s="618">
        <f>SUM(G3817:G3823)</f>
        <v>971107.50000000012</v>
      </c>
    </row>
    <row r="3825" spans="1:14" ht="15.75" hidden="1" customHeight="1" outlineLevel="2">
      <c r="C3825" s="1200" t="s">
        <v>1233</v>
      </c>
      <c r="D3825" s="1200"/>
      <c r="E3825" s="1200"/>
      <c r="F3825" s="1200"/>
      <c r="G3825" s="618">
        <f>G3824*14</f>
        <v>13595505.000000002</v>
      </c>
    </row>
    <row r="3826" spans="1:14" ht="15.75" hidden="1" customHeight="1" outlineLevel="2">
      <c r="C3826" s="1200" t="s">
        <v>1234</v>
      </c>
      <c r="D3826" s="1200"/>
      <c r="E3826" s="1200"/>
      <c r="F3826" s="1200"/>
      <c r="G3826" s="618">
        <f>2*G3825</f>
        <v>27191010.000000004</v>
      </c>
      <c r="K3826" s="1200" t="s">
        <v>1231</v>
      </c>
      <c r="L3826" s="1200"/>
      <c r="M3826" s="779" t="s">
        <v>1232</v>
      </c>
    </row>
    <row r="3827" spans="1:14" ht="15.75" customHeight="1" outlineLevel="1" collapsed="1">
      <c r="A3827" s="633" t="s">
        <v>2074</v>
      </c>
      <c r="B3827" s="619">
        <f>1+B3815</f>
        <v>9</v>
      </c>
      <c r="C3827" s="633" t="s">
        <v>972</v>
      </c>
      <c r="G3827" s="618">
        <f>G3836</f>
        <v>7368570.0000000009</v>
      </c>
      <c r="J3827" s="633">
        <f>K3827*M3827</f>
        <v>6</v>
      </c>
      <c r="K3827" s="633">
        <v>2</v>
      </c>
      <c r="L3827" s="633" t="s">
        <v>922</v>
      </c>
      <c r="M3827" s="633">
        <v>3</v>
      </c>
    </row>
    <row r="3828" spans="1:14" ht="15.75" hidden="1" customHeight="1" outlineLevel="2">
      <c r="C3828" s="633" t="s">
        <v>1052</v>
      </c>
      <c r="J3828" s="633">
        <f>K3828*M3828</f>
        <v>12</v>
      </c>
      <c r="K3828" s="633">
        <v>4</v>
      </c>
      <c r="L3828" s="633" t="s">
        <v>922</v>
      </c>
      <c r="M3828" s="633">
        <v>3</v>
      </c>
      <c r="N3828" s="779"/>
    </row>
    <row r="3829" spans="1:14" ht="15.75" hidden="1" customHeight="1" outlineLevel="2">
      <c r="C3829" s="633" t="s">
        <v>393</v>
      </c>
      <c r="D3829" s="619" t="s">
        <v>921</v>
      </c>
      <c r="E3829" s="633">
        <f>J3827</f>
        <v>6</v>
      </c>
      <c r="F3829" s="618">
        <f>supervisor_Asli</f>
        <v>155155</v>
      </c>
      <c r="G3829" s="618">
        <f>E3829*F3829</f>
        <v>930930</v>
      </c>
      <c r="J3829" s="633">
        <f>K3829*M3829</f>
        <v>30</v>
      </c>
      <c r="K3829" s="633">
        <v>10</v>
      </c>
      <c r="L3829" s="633" t="s">
        <v>922</v>
      </c>
      <c r="M3829" s="633">
        <v>3</v>
      </c>
      <c r="N3829" s="633" t="s">
        <v>939</v>
      </c>
    </row>
    <row r="3830" spans="1:14" ht="15.75" hidden="1" customHeight="1" outlineLevel="2">
      <c r="C3830" s="633" t="s">
        <v>1227</v>
      </c>
      <c r="D3830" s="619" t="s">
        <v>921</v>
      </c>
      <c r="E3830" s="633">
        <f t="shared" ref="E3830:E3832" si="135">J3828</f>
        <v>12</v>
      </c>
      <c r="F3830" s="618">
        <f>skill_worker</f>
        <v>195360.00000000003</v>
      </c>
      <c r="G3830" s="618">
        <f>E3830*F3830</f>
        <v>2344320.0000000005</v>
      </c>
      <c r="J3830" s="633">
        <f>K3830*M3830</f>
        <v>6</v>
      </c>
      <c r="K3830" s="633">
        <v>2</v>
      </c>
      <c r="L3830" s="633" t="s">
        <v>922</v>
      </c>
      <c r="M3830" s="633">
        <v>3</v>
      </c>
      <c r="N3830" s="633" t="s">
        <v>939</v>
      </c>
    </row>
    <row r="3831" spans="1:14" ht="15.75" hidden="1" customHeight="1" outlineLevel="2">
      <c r="C3831" s="633" t="s">
        <v>952</v>
      </c>
      <c r="D3831" s="619" t="s">
        <v>921</v>
      </c>
      <c r="E3831" s="633">
        <f t="shared" si="135"/>
        <v>30</v>
      </c>
      <c r="F3831" s="618">
        <f>worker</f>
        <v>107800.00000000001</v>
      </c>
      <c r="G3831" s="618">
        <f>E3831*F3831</f>
        <v>3234000.0000000005</v>
      </c>
      <c r="N3831" s="633" t="s">
        <v>939</v>
      </c>
    </row>
    <row r="3832" spans="1:14" ht="15.75" hidden="1" customHeight="1" outlineLevel="2">
      <c r="C3832" s="633" t="s">
        <v>1229</v>
      </c>
      <c r="D3832" s="619" t="s">
        <v>921</v>
      </c>
      <c r="E3832" s="633">
        <f t="shared" si="135"/>
        <v>6</v>
      </c>
      <c r="F3832" s="618">
        <f>electrician</f>
        <v>143220</v>
      </c>
      <c r="G3832" s="618">
        <f>E3832*F3832</f>
        <v>859320</v>
      </c>
      <c r="N3832" s="633" t="s">
        <v>939</v>
      </c>
    </row>
    <row r="3833" spans="1:14" ht="15.75" hidden="1" customHeight="1" outlineLevel="2"/>
    <row r="3834" spans="1:14" ht="15.75" hidden="1" customHeight="1" outlineLevel="2">
      <c r="C3834" s="633" t="s">
        <v>925</v>
      </c>
    </row>
    <row r="3835" spans="1:14" ht="15.75" hidden="1" customHeight="1" outlineLevel="2">
      <c r="C3835" s="633" t="s">
        <v>926</v>
      </c>
      <c r="D3835" s="619" t="s">
        <v>98</v>
      </c>
      <c r="E3835" s="633">
        <v>0</v>
      </c>
      <c r="F3835" s="618">
        <f>Truck_crane_cap_5t_hour*8</f>
        <v>3850000.0000000005</v>
      </c>
      <c r="G3835" s="618">
        <f>E3835*F3835</f>
        <v>0</v>
      </c>
    </row>
    <row r="3836" spans="1:14" ht="15.75" hidden="1" customHeight="1" outlineLevel="2">
      <c r="C3836" s="1200" t="str">
        <f>"TOTAL "&amp;C3827</f>
        <v>TOTAL Bare Alluminium conductor of 2 x TAL 630 sqmm/phase for 3 phase  (m)</v>
      </c>
      <c r="D3836" s="1200"/>
      <c r="E3836" s="1200"/>
      <c r="F3836" s="1200"/>
      <c r="G3836" s="618">
        <f>SUM(G3829:G3835)</f>
        <v>7368570.0000000009</v>
      </c>
      <c r="K3836" s="1200" t="s">
        <v>1231</v>
      </c>
      <c r="L3836" s="1200"/>
      <c r="M3836" s="779" t="s">
        <v>1232</v>
      </c>
    </row>
    <row r="3837" spans="1:14" ht="15.75" customHeight="1" outlineLevel="1" collapsed="1">
      <c r="A3837" s="633" t="s">
        <v>2074</v>
      </c>
      <c r="B3837" s="619">
        <f>1+B3827</f>
        <v>10</v>
      </c>
      <c r="C3837" s="633" t="s">
        <v>1253</v>
      </c>
      <c r="G3837" s="618">
        <f>G3846</f>
        <v>7368570.0000000009</v>
      </c>
      <c r="J3837" s="633">
        <f>K3837*M3837</f>
        <v>6</v>
      </c>
      <c r="K3837" s="633">
        <v>2</v>
      </c>
      <c r="L3837" s="633" t="s">
        <v>922</v>
      </c>
      <c r="M3837" s="633">
        <v>3</v>
      </c>
    </row>
    <row r="3838" spans="1:14" ht="15.75" hidden="1" customHeight="1" outlineLevel="2">
      <c r="C3838" s="633" t="s">
        <v>1052</v>
      </c>
      <c r="J3838" s="633">
        <f>K3838*M3838</f>
        <v>12</v>
      </c>
      <c r="K3838" s="633">
        <v>4</v>
      </c>
      <c r="L3838" s="633" t="s">
        <v>922</v>
      </c>
      <c r="M3838" s="633">
        <v>3</v>
      </c>
      <c r="N3838" s="779"/>
    </row>
    <row r="3839" spans="1:14" ht="15.75" hidden="1" customHeight="1" outlineLevel="2">
      <c r="C3839" s="633" t="s">
        <v>393</v>
      </c>
      <c r="D3839" s="619" t="s">
        <v>921</v>
      </c>
      <c r="E3839" s="633">
        <f>J3837</f>
        <v>6</v>
      </c>
      <c r="F3839" s="618">
        <f>supervisor_Asli</f>
        <v>155155</v>
      </c>
      <c r="G3839" s="618">
        <f>E3839*F3839</f>
        <v>930930</v>
      </c>
      <c r="J3839" s="633">
        <f>K3839*M3839</f>
        <v>30</v>
      </c>
      <c r="K3839" s="633">
        <v>10</v>
      </c>
      <c r="L3839" s="633" t="s">
        <v>922</v>
      </c>
      <c r="M3839" s="633">
        <v>3</v>
      </c>
      <c r="N3839" s="633" t="s">
        <v>939</v>
      </c>
    </row>
    <row r="3840" spans="1:14" ht="15.75" hidden="1" customHeight="1" outlineLevel="2">
      <c r="C3840" s="633" t="s">
        <v>1227</v>
      </c>
      <c r="D3840" s="619" t="s">
        <v>921</v>
      </c>
      <c r="E3840" s="633">
        <f t="shared" ref="E3840:E3842" si="136">J3838</f>
        <v>12</v>
      </c>
      <c r="F3840" s="618">
        <f>skill_worker</f>
        <v>195360.00000000003</v>
      </c>
      <c r="G3840" s="618">
        <f>E3840*F3840</f>
        <v>2344320.0000000005</v>
      </c>
      <c r="J3840" s="633">
        <f>K3840*M3840</f>
        <v>6</v>
      </c>
      <c r="K3840" s="633">
        <v>2</v>
      </c>
      <c r="L3840" s="633" t="s">
        <v>922</v>
      </c>
      <c r="M3840" s="633">
        <v>3</v>
      </c>
      <c r="N3840" s="633" t="s">
        <v>939</v>
      </c>
    </row>
    <row r="3841" spans="1:14" ht="15.75" hidden="1" customHeight="1" outlineLevel="2">
      <c r="C3841" s="633" t="s">
        <v>952</v>
      </c>
      <c r="D3841" s="619" t="s">
        <v>921</v>
      </c>
      <c r="E3841" s="633">
        <f t="shared" si="136"/>
        <v>30</v>
      </c>
      <c r="F3841" s="618">
        <f>worker</f>
        <v>107800.00000000001</v>
      </c>
      <c r="G3841" s="618">
        <f>E3841*F3841</f>
        <v>3234000.0000000005</v>
      </c>
      <c r="N3841" s="633" t="s">
        <v>939</v>
      </c>
    </row>
    <row r="3842" spans="1:14" ht="15.75" hidden="1" customHeight="1" outlineLevel="2">
      <c r="C3842" s="633" t="s">
        <v>1229</v>
      </c>
      <c r="D3842" s="619" t="s">
        <v>921</v>
      </c>
      <c r="E3842" s="633">
        <f t="shared" si="136"/>
        <v>6</v>
      </c>
      <c r="F3842" s="618">
        <f>electrician</f>
        <v>143220</v>
      </c>
      <c r="G3842" s="618">
        <f>E3842*F3842</f>
        <v>859320</v>
      </c>
      <c r="N3842" s="633" t="s">
        <v>939</v>
      </c>
    </row>
    <row r="3843" spans="1:14" ht="15.75" hidden="1" customHeight="1" outlineLevel="2"/>
    <row r="3844" spans="1:14" ht="15.75" hidden="1" customHeight="1" outlineLevel="2">
      <c r="C3844" s="633" t="s">
        <v>925</v>
      </c>
    </row>
    <row r="3845" spans="1:14" ht="15.75" hidden="1" customHeight="1" outlineLevel="2">
      <c r="C3845" s="633" t="s">
        <v>926</v>
      </c>
      <c r="D3845" s="619" t="s">
        <v>98</v>
      </c>
      <c r="E3845" s="633">
        <v>0</v>
      </c>
      <c r="F3845" s="618">
        <f>Truck_crane_cap_5t_hour*8</f>
        <v>3850000.0000000005</v>
      </c>
      <c r="G3845" s="618">
        <f>E3845*F3845</f>
        <v>0</v>
      </c>
    </row>
    <row r="3846" spans="1:14" ht="15.75" hidden="1" customHeight="1" outlineLevel="2">
      <c r="C3846" s="1200" t="str">
        <f>"TOTAL "&amp;C3837</f>
        <v>TOTAL Bare Alluminium conductor of 1 x TAL 630 sqmm/phase for 3 phase  (m)</v>
      </c>
      <c r="D3846" s="1200"/>
      <c r="E3846" s="1200"/>
      <c r="F3846" s="1200"/>
      <c r="G3846" s="618">
        <f>SUM(G3839:G3845)</f>
        <v>7368570.0000000009</v>
      </c>
    </row>
    <row r="3847" spans="1:14" ht="15.75" customHeight="1" outlineLevel="1" collapsed="1">
      <c r="A3847" s="633" t="s">
        <v>2074</v>
      </c>
      <c r="B3847" s="619">
        <f>1+B3837</f>
        <v>11</v>
      </c>
      <c r="C3847" s="633" t="s">
        <v>941</v>
      </c>
      <c r="G3847" s="618">
        <f>G3869</f>
        <v>7472740</v>
      </c>
    </row>
    <row r="3848" spans="1:14" ht="15.75" hidden="1" customHeight="1" outlineLevel="2">
      <c r="B3848" s="619" t="s">
        <v>816</v>
      </c>
      <c r="C3848" s="633" t="s">
        <v>942</v>
      </c>
    </row>
    <row r="3849" spans="1:14" ht="15.75" hidden="1" customHeight="1" outlineLevel="2">
      <c r="C3849" s="633" t="s">
        <v>1052</v>
      </c>
    </row>
    <row r="3850" spans="1:14" ht="15.75" hidden="1" customHeight="1" outlineLevel="2">
      <c r="C3850" s="633" t="s">
        <v>393</v>
      </c>
      <c r="D3850" s="619" t="s">
        <v>921</v>
      </c>
      <c r="E3850" s="633">
        <v>1</v>
      </c>
      <c r="F3850" s="618">
        <f>supervisor_Asli</f>
        <v>155155</v>
      </c>
      <c r="G3850" s="618">
        <f t="shared" ref="G3850:G3856" si="137">E3850*F3850</f>
        <v>155155</v>
      </c>
    </row>
    <row r="3851" spans="1:14" ht="15.75" hidden="1" customHeight="1" outlineLevel="2">
      <c r="C3851" s="633" t="s">
        <v>1227</v>
      </c>
      <c r="D3851" s="619" t="s">
        <v>921</v>
      </c>
      <c r="E3851" s="633">
        <v>2</v>
      </c>
      <c r="F3851" s="618">
        <f>skill_worker</f>
        <v>195360.00000000003</v>
      </c>
      <c r="G3851" s="618">
        <f t="shared" si="137"/>
        <v>390720.00000000006</v>
      </c>
    </row>
    <row r="3852" spans="1:14" ht="15.75" hidden="1" customHeight="1" outlineLevel="2">
      <c r="C3852" s="633" t="s">
        <v>952</v>
      </c>
      <c r="D3852" s="619" t="s">
        <v>921</v>
      </c>
      <c r="E3852" s="633">
        <v>2</v>
      </c>
      <c r="F3852" s="618">
        <f>worker</f>
        <v>107800.00000000001</v>
      </c>
      <c r="G3852" s="618">
        <f t="shared" si="137"/>
        <v>215600.00000000003</v>
      </c>
    </row>
    <row r="3853" spans="1:14" ht="15.75" hidden="1" customHeight="1" outlineLevel="2">
      <c r="C3853" s="633" t="s">
        <v>1228</v>
      </c>
      <c r="D3853" s="619" t="s">
        <v>921</v>
      </c>
      <c r="E3853" s="633">
        <v>1</v>
      </c>
      <c r="F3853" s="618">
        <f>mechanic</f>
        <v>184800.00000000003</v>
      </c>
      <c r="G3853" s="618">
        <f t="shared" si="137"/>
        <v>184800.00000000003</v>
      </c>
    </row>
    <row r="3854" spans="1:14" ht="15.75" hidden="1" customHeight="1" outlineLevel="2">
      <c r="G3854" s="618">
        <f t="shared" si="137"/>
        <v>0</v>
      </c>
    </row>
    <row r="3855" spans="1:14" ht="15.75" hidden="1" customHeight="1" outlineLevel="2">
      <c r="C3855" s="633" t="s">
        <v>925</v>
      </c>
      <c r="G3855" s="618">
        <f t="shared" si="137"/>
        <v>0</v>
      </c>
    </row>
    <row r="3856" spans="1:14" ht="15.75" hidden="1" customHeight="1" outlineLevel="2">
      <c r="C3856" s="633" t="s">
        <v>926</v>
      </c>
      <c r="D3856" s="619" t="s">
        <v>98</v>
      </c>
      <c r="E3856" s="633">
        <v>0.375</v>
      </c>
      <c r="F3856" s="618">
        <f>Truck_crane_cap_5t_hour*8</f>
        <v>3850000.0000000005</v>
      </c>
      <c r="G3856" s="618">
        <f t="shared" si="137"/>
        <v>1443750.0000000002</v>
      </c>
    </row>
    <row r="3857" spans="1:14" ht="15.75" hidden="1" customHeight="1" outlineLevel="2">
      <c r="F3857" s="618" t="str">
        <f>"Total " &amp;B3848</f>
        <v>Total A</v>
      </c>
      <c r="G3857" s="618">
        <f>SUM(G3850:G3856)</f>
        <v>2390025</v>
      </c>
    </row>
    <row r="3858" spans="1:14" ht="15.75" hidden="1" customHeight="1" outlineLevel="2">
      <c r="B3858" s="619" t="s">
        <v>818</v>
      </c>
      <c r="C3858" s="633" t="s">
        <v>943</v>
      </c>
    </row>
    <row r="3859" spans="1:14" ht="15.75" hidden="1" customHeight="1" outlineLevel="2">
      <c r="C3859" s="633" t="s">
        <v>1052</v>
      </c>
    </row>
    <row r="3860" spans="1:14" ht="15.75" hidden="1" customHeight="1" outlineLevel="2">
      <c r="C3860" s="633" t="s">
        <v>393</v>
      </c>
      <c r="D3860" s="619" t="s">
        <v>921</v>
      </c>
      <c r="E3860" s="633">
        <v>1</v>
      </c>
      <c r="F3860" s="618">
        <f>supervisor_Asli</f>
        <v>155155</v>
      </c>
      <c r="G3860" s="618">
        <f t="shared" ref="G3860:G3867" si="138">E3860*F3860</f>
        <v>155155</v>
      </c>
    </row>
    <row r="3861" spans="1:14" ht="15.75" hidden="1" customHeight="1" outlineLevel="2">
      <c r="C3861" s="633" t="s">
        <v>1227</v>
      </c>
      <c r="D3861" s="619" t="s">
        <v>921</v>
      </c>
      <c r="E3861" s="633">
        <v>2</v>
      </c>
      <c r="F3861" s="618">
        <f>skill_worker</f>
        <v>195360.00000000003</v>
      </c>
      <c r="G3861" s="618">
        <f t="shared" si="138"/>
        <v>390720.00000000006</v>
      </c>
    </row>
    <row r="3862" spans="1:14" ht="15.75" hidden="1" customHeight="1" outlineLevel="2">
      <c r="C3862" s="633" t="s">
        <v>952</v>
      </c>
      <c r="D3862" s="619" t="s">
        <v>921</v>
      </c>
      <c r="E3862" s="633">
        <v>2</v>
      </c>
      <c r="F3862" s="618">
        <f>worker</f>
        <v>107800.00000000001</v>
      </c>
      <c r="G3862" s="618">
        <f t="shared" si="138"/>
        <v>215600.00000000003</v>
      </c>
    </row>
    <row r="3863" spans="1:14" ht="15.75" hidden="1" customHeight="1" outlineLevel="2">
      <c r="C3863" s="633" t="s">
        <v>1228</v>
      </c>
      <c r="D3863" s="619" t="s">
        <v>921</v>
      </c>
      <c r="E3863" s="633">
        <v>1</v>
      </c>
      <c r="F3863" s="618">
        <f>mechanic</f>
        <v>184800.00000000003</v>
      </c>
      <c r="G3863" s="618">
        <f t="shared" si="138"/>
        <v>184800.00000000003</v>
      </c>
    </row>
    <row r="3864" spans="1:14" ht="15.75" hidden="1" customHeight="1" outlineLevel="2">
      <c r="C3864" s="633" t="s">
        <v>1229</v>
      </c>
      <c r="D3864" s="619" t="s">
        <v>921</v>
      </c>
      <c r="E3864" s="633">
        <v>2</v>
      </c>
      <c r="F3864" s="618">
        <f>electrician</f>
        <v>143220</v>
      </c>
      <c r="G3864" s="618">
        <f t="shared" si="138"/>
        <v>286440</v>
      </c>
    </row>
    <row r="3865" spans="1:14" ht="15.75" hidden="1" customHeight="1" outlineLevel="2">
      <c r="G3865" s="618">
        <f t="shared" si="138"/>
        <v>0</v>
      </c>
    </row>
    <row r="3866" spans="1:14" ht="15.75" hidden="1" customHeight="1" outlineLevel="2">
      <c r="C3866" s="633" t="s">
        <v>925</v>
      </c>
      <c r="G3866" s="618">
        <f t="shared" si="138"/>
        <v>0</v>
      </c>
    </row>
    <row r="3867" spans="1:14" ht="15.75" hidden="1" customHeight="1" outlineLevel="2">
      <c r="C3867" s="633" t="s">
        <v>926</v>
      </c>
      <c r="D3867" s="619" t="s">
        <v>98</v>
      </c>
      <c r="E3867" s="633">
        <v>1</v>
      </c>
      <c r="F3867" s="618">
        <f>Truck_crane_cap_5t_hour*8</f>
        <v>3850000.0000000005</v>
      </c>
      <c r="G3867" s="618">
        <f t="shared" si="138"/>
        <v>3850000.0000000005</v>
      </c>
    </row>
    <row r="3868" spans="1:14" ht="15.75" hidden="1" customHeight="1" outlineLevel="2">
      <c r="F3868" s="618" t="str">
        <f>"Total " &amp;B3858</f>
        <v>Total B</v>
      </c>
      <c r="G3868" s="618">
        <f>SUM(G3860:G3867)</f>
        <v>5082715</v>
      </c>
    </row>
    <row r="3869" spans="1:14" ht="15.75" hidden="1" customHeight="1" outlineLevel="2">
      <c r="C3869" s="1200" t="str">
        <f>"TOTAL "&amp;C3847</f>
        <v>TOTAL Pemasangan Post Insulator dan Steel Structure , 150 kV  (1 set = 3 unit)</v>
      </c>
      <c r="D3869" s="1200"/>
      <c r="E3869" s="1200"/>
      <c r="F3869" s="1200"/>
      <c r="G3869" s="618">
        <f>SUM(G3868,G3857)</f>
        <v>7472740</v>
      </c>
      <c r="K3869" s="1200" t="s">
        <v>1231</v>
      </c>
      <c r="L3869" s="1200"/>
      <c r="M3869" s="779" t="s">
        <v>1232</v>
      </c>
    </row>
    <row r="3870" spans="1:14" ht="15.75" customHeight="1" outlineLevel="1" collapsed="1">
      <c r="A3870" s="633" t="s">
        <v>2074</v>
      </c>
      <c r="B3870" s="619">
        <f>1+B3847</f>
        <v>12</v>
      </c>
      <c r="C3870" s="633" t="s">
        <v>944</v>
      </c>
      <c r="G3870" s="618">
        <f>G3880</f>
        <v>11837660</v>
      </c>
      <c r="J3870" s="633">
        <f>K3870*M3870</f>
        <v>4</v>
      </c>
      <c r="K3870" s="633">
        <v>1</v>
      </c>
      <c r="L3870" s="633" t="s">
        <v>922</v>
      </c>
      <c r="M3870" s="633">
        <v>4</v>
      </c>
    </row>
    <row r="3871" spans="1:14" ht="15.75" hidden="1" customHeight="1" outlineLevel="2">
      <c r="C3871" s="633" t="s">
        <v>1052</v>
      </c>
      <c r="J3871" s="633">
        <f>K3871*M3871</f>
        <v>24</v>
      </c>
      <c r="K3871" s="633">
        <v>6</v>
      </c>
      <c r="L3871" s="633" t="s">
        <v>922</v>
      </c>
      <c r="M3871" s="633">
        <v>4</v>
      </c>
      <c r="N3871" s="779"/>
    </row>
    <row r="3872" spans="1:14" ht="15.75" hidden="1" customHeight="1" outlineLevel="2">
      <c r="C3872" s="633" t="s">
        <v>393</v>
      </c>
      <c r="D3872" s="619" t="s">
        <v>921</v>
      </c>
      <c r="E3872" s="633">
        <f>J3870</f>
        <v>4</v>
      </c>
      <c r="F3872" s="618">
        <f>supervisor_Asli</f>
        <v>155155</v>
      </c>
      <c r="G3872" s="618">
        <f t="shared" ref="G3872:G3879" si="139">E3872*F3872</f>
        <v>620620</v>
      </c>
      <c r="J3872" s="633">
        <f>K3872*M3872</f>
        <v>28</v>
      </c>
      <c r="K3872" s="633">
        <v>7</v>
      </c>
      <c r="L3872" s="633" t="s">
        <v>922</v>
      </c>
      <c r="M3872" s="633">
        <v>4</v>
      </c>
      <c r="N3872" s="633" t="s">
        <v>939</v>
      </c>
    </row>
    <row r="3873" spans="1:14" ht="15.75" hidden="1" customHeight="1" outlineLevel="2">
      <c r="C3873" s="633" t="s">
        <v>1227</v>
      </c>
      <c r="D3873" s="619" t="s">
        <v>921</v>
      </c>
      <c r="E3873" s="633">
        <f t="shared" ref="E3873:E3876" si="140">J3871</f>
        <v>24</v>
      </c>
      <c r="F3873" s="618">
        <v>177600</v>
      </c>
      <c r="G3873" s="618">
        <f t="shared" si="139"/>
        <v>4262400</v>
      </c>
      <c r="J3873" s="633">
        <f>K3873*M3873</f>
        <v>12</v>
      </c>
      <c r="K3873" s="633">
        <v>3</v>
      </c>
      <c r="L3873" s="633" t="s">
        <v>922</v>
      </c>
      <c r="M3873" s="633">
        <v>4</v>
      </c>
      <c r="N3873" s="633" t="s">
        <v>939</v>
      </c>
    </row>
    <row r="3874" spans="1:14" ht="15.75" hidden="1" customHeight="1" outlineLevel="2">
      <c r="C3874" s="633" t="s">
        <v>952</v>
      </c>
      <c r="D3874" s="619" t="s">
        <v>921</v>
      </c>
      <c r="E3874" s="633">
        <f t="shared" si="140"/>
        <v>28</v>
      </c>
      <c r="F3874" s="618">
        <f>worker</f>
        <v>107800.00000000001</v>
      </c>
      <c r="G3874" s="618">
        <f t="shared" si="139"/>
        <v>3018400.0000000005</v>
      </c>
      <c r="J3874" s="633">
        <f>K3874*M3874</f>
        <v>12</v>
      </c>
      <c r="K3874" s="633">
        <v>3</v>
      </c>
      <c r="L3874" s="633" t="s">
        <v>922</v>
      </c>
      <c r="M3874" s="633">
        <v>4</v>
      </c>
      <c r="N3874" s="633" t="s">
        <v>939</v>
      </c>
    </row>
    <row r="3875" spans="1:14" ht="15.75" hidden="1" customHeight="1" outlineLevel="2">
      <c r="C3875" s="633" t="s">
        <v>1228</v>
      </c>
      <c r="D3875" s="619" t="s">
        <v>921</v>
      </c>
      <c r="E3875" s="633">
        <f t="shared" si="140"/>
        <v>12</v>
      </c>
      <c r="F3875" s="618">
        <f>mechanic</f>
        <v>184800.00000000003</v>
      </c>
      <c r="G3875" s="618">
        <f t="shared" si="139"/>
        <v>2217600.0000000005</v>
      </c>
      <c r="N3875" s="633" t="s">
        <v>939</v>
      </c>
    </row>
    <row r="3876" spans="1:14" ht="15.75" hidden="1" customHeight="1" outlineLevel="2">
      <c r="C3876" s="633" t="s">
        <v>1229</v>
      </c>
      <c r="D3876" s="619" t="s">
        <v>921</v>
      </c>
      <c r="E3876" s="633">
        <f t="shared" si="140"/>
        <v>12</v>
      </c>
      <c r="F3876" s="618">
        <f>electrician</f>
        <v>143220</v>
      </c>
      <c r="G3876" s="618">
        <f t="shared" si="139"/>
        <v>1718640</v>
      </c>
      <c r="N3876" s="633" t="s">
        <v>939</v>
      </c>
    </row>
    <row r="3877" spans="1:14" ht="15.75" hidden="1" customHeight="1" outlineLevel="2">
      <c r="G3877" s="618">
        <f t="shared" si="139"/>
        <v>0</v>
      </c>
    </row>
    <row r="3878" spans="1:14" ht="15.75" hidden="1" customHeight="1" outlineLevel="2">
      <c r="C3878" s="633" t="s">
        <v>925</v>
      </c>
      <c r="G3878" s="618">
        <f t="shared" si="139"/>
        <v>0</v>
      </c>
    </row>
    <row r="3879" spans="1:14" ht="15.75" hidden="1" customHeight="1" outlineLevel="2">
      <c r="C3879" s="633" t="s">
        <v>926</v>
      </c>
      <c r="D3879" s="619" t="s">
        <v>98</v>
      </c>
      <c r="E3879" s="633">
        <v>0</v>
      </c>
      <c r="F3879" s="618">
        <f>Truck_crane_cap_5t_hour*8</f>
        <v>3850000.0000000005</v>
      </c>
      <c r="G3879" s="618">
        <f t="shared" si="139"/>
        <v>0</v>
      </c>
    </row>
    <row r="3880" spans="1:14" ht="15.75" hidden="1" customHeight="1" outlineLevel="2">
      <c r="C3880" s="1200" t="str">
        <f>"TOTAL "&amp;C3870</f>
        <v>TOTAL Pemasangan Conventional control and protection panel (separated panel box)</v>
      </c>
      <c r="D3880" s="1200"/>
      <c r="E3880" s="1200"/>
      <c r="F3880" s="1200"/>
      <c r="G3880" s="618">
        <f>SUM(G3872:G3879)</f>
        <v>11837660</v>
      </c>
    </row>
    <row r="3881" spans="1:14" ht="15.75" customHeight="1" outlineLevel="1" collapsed="1">
      <c r="A3881" s="633" t="s">
        <v>2074</v>
      </c>
      <c r="B3881" s="619">
        <f>1+B3870</f>
        <v>13</v>
      </c>
      <c r="C3881" s="633" t="s">
        <v>945</v>
      </c>
      <c r="G3881" s="618">
        <f>G3891</f>
        <v>1197195</v>
      </c>
    </row>
    <row r="3882" spans="1:14" ht="15.75" hidden="1" customHeight="1" outlineLevel="2">
      <c r="C3882" s="633" t="s">
        <v>1052</v>
      </c>
    </row>
    <row r="3883" spans="1:14" ht="15.75" hidden="1" customHeight="1" outlineLevel="2">
      <c r="C3883" s="633" t="s">
        <v>393</v>
      </c>
      <c r="D3883" s="619" t="s">
        <v>921</v>
      </c>
      <c r="E3883" s="633">
        <v>1</v>
      </c>
      <c r="F3883" s="618">
        <f>supervisor_Asli</f>
        <v>155155</v>
      </c>
      <c r="G3883" s="618">
        <f t="shared" ref="G3883:G3890" si="141">E3883*F3883</f>
        <v>155155</v>
      </c>
    </row>
    <row r="3884" spans="1:14" ht="15.75" hidden="1" customHeight="1" outlineLevel="2">
      <c r="C3884" s="633" t="s">
        <v>1227</v>
      </c>
      <c r="D3884" s="619" t="s">
        <v>921</v>
      </c>
      <c r="E3884" s="633">
        <v>2</v>
      </c>
      <c r="F3884" s="618">
        <v>177600</v>
      </c>
      <c r="G3884" s="618">
        <f t="shared" si="141"/>
        <v>355200</v>
      </c>
    </row>
    <row r="3885" spans="1:14" ht="15.75" hidden="1" customHeight="1" outlineLevel="2">
      <c r="C3885" s="633" t="s">
        <v>952</v>
      </c>
      <c r="D3885" s="619" t="s">
        <v>921</v>
      </c>
      <c r="E3885" s="633">
        <v>2</v>
      </c>
      <c r="F3885" s="618">
        <f>worker</f>
        <v>107800.00000000001</v>
      </c>
      <c r="G3885" s="618">
        <f t="shared" si="141"/>
        <v>215600.00000000003</v>
      </c>
    </row>
    <row r="3886" spans="1:14" ht="15.75" hidden="1" customHeight="1" outlineLevel="2">
      <c r="C3886" s="633" t="s">
        <v>1228</v>
      </c>
      <c r="D3886" s="619" t="s">
        <v>921</v>
      </c>
      <c r="E3886" s="633">
        <v>1</v>
      </c>
      <c r="F3886" s="618">
        <f>mechanic</f>
        <v>184800.00000000003</v>
      </c>
      <c r="G3886" s="618">
        <f t="shared" si="141"/>
        <v>184800.00000000003</v>
      </c>
    </row>
    <row r="3887" spans="1:14" ht="15.75" hidden="1" customHeight="1" outlineLevel="2">
      <c r="C3887" s="633" t="s">
        <v>1229</v>
      </c>
      <c r="D3887" s="619" t="s">
        <v>921</v>
      </c>
      <c r="E3887" s="633">
        <v>2</v>
      </c>
      <c r="F3887" s="618">
        <f>electrician</f>
        <v>143220</v>
      </c>
      <c r="G3887" s="618">
        <f t="shared" si="141"/>
        <v>286440</v>
      </c>
    </row>
    <row r="3888" spans="1:14" ht="15.75" hidden="1" customHeight="1" outlineLevel="2">
      <c r="G3888" s="618">
        <f t="shared" si="141"/>
        <v>0</v>
      </c>
    </row>
    <row r="3889" spans="1:14" ht="15.75" hidden="1" customHeight="1" outlineLevel="2">
      <c r="C3889" s="633" t="s">
        <v>925</v>
      </c>
      <c r="G3889" s="618">
        <f t="shared" si="141"/>
        <v>0</v>
      </c>
    </row>
    <row r="3890" spans="1:14" ht="15.75" hidden="1" customHeight="1" outlineLevel="2">
      <c r="C3890" s="633" t="s">
        <v>1241</v>
      </c>
      <c r="D3890" s="619" t="s">
        <v>98</v>
      </c>
      <c r="E3890" s="633">
        <v>0</v>
      </c>
      <c r="G3890" s="618">
        <f t="shared" si="141"/>
        <v>0</v>
      </c>
    </row>
    <row r="3891" spans="1:14" ht="15.75" hidden="1" customHeight="1" outlineLevel="2">
      <c r="C3891" s="1200" t="str">
        <f>"TOTAL "&amp;C3881</f>
        <v>TOTAL Pemasangan clamps connectors and accessories</v>
      </c>
      <c r="D3891" s="1200"/>
      <c r="E3891" s="1200"/>
      <c r="F3891" s="1200"/>
      <c r="G3891" s="618">
        <f>SUM(G3883:G3890)</f>
        <v>1197195</v>
      </c>
    </row>
    <row r="3892" spans="1:14" ht="15.75" customHeight="1" outlineLevel="1" collapsed="1">
      <c r="A3892" s="633" t="s">
        <v>2074</v>
      </c>
      <c r="B3892" s="619">
        <f>1+B3881</f>
        <v>14</v>
      </c>
      <c r="C3892" s="633" t="s">
        <v>946</v>
      </c>
      <c r="G3892" s="618">
        <f>G3902</f>
        <v>2159695</v>
      </c>
    </row>
    <row r="3893" spans="1:14" ht="15.75" hidden="1" customHeight="1" outlineLevel="2">
      <c r="C3893" s="633" t="s">
        <v>1052</v>
      </c>
    </row>
    <row r="3894" spans="1:14" ht="15.75" hidden="1" customHeight="1" outlineLevel="2">
      <c r="C3894" s="633" t="s">
        <v>393</v>
      </c>
      <c r="D3894" s="619" t="s">
        <v>921</v>
      </c>
      <c r="E3894" s="633">
        <v>1</v>
      </c>
      <c r="F3894" s="618">
        <f>supervisor_Asli</f>
        <v>155155</v>
      </c>
      <c r="G3894" s="618">
        <f t="shared" ref="G3894:G3901" si="142">E3894*F3894</f>
        <v>155155</v>
      </c>
    </row>
    <row r="3895" spans="1:14" ht="15.75" hidden="1" customHeight="1" outlineLevel="2">
      <c r="C3895" s="633" t="s">
        <v>1227</v>
      </c>
      <c r="D3895" s="619" t="s">
        <v>921</v>
      </c>
      <c r="E3895" s="633">
        <v>2</v>
      </c>
      <c r="F3895" s="618">
        <v>177600</v>
      </c>
      <c r="G3895" s="618">
        <f t="shared" si="142"/>
        <v>355200</v>
      </c>
    </row>
    <row r="3896" spans="1:14" ht="15.75" hidden="1" customHeight="1" outlineLevel="2">
      <c r="C3896" s="633" t="s">
        <v>952</v>
      </c>
      <c r="D3896" s="619" t="s">
        <v>921</v>
      </c>
      <c r="E3896" s="633">
        <v>2</v>
      </c>
      <c r="F3896" s="618">
        <f>worker</f>
        <v>107800.00000000001</v>
      </c>
      <c r="G3896" s="618">
        <f t="shared" si="142"/>
        <v>215600.00000000003</v>
      </c>
    </row>
    <row r="3897" spans="1:14" ht="15.75" hidden="1" customHeight="1" outlineLevel="2">
      <c r="C3897" s="633" t="s">
        <v>1228</v>
      </c>
      <c r="D3897" s="619" t="s">
        <v>921</v>
      </c>
      <c r="E3897" s="633">
        <v>1</v>
      </c>
      <c r="F3897" s="618">
        <f>mechanic</f>
        <v>184800.00000000003</v>
      </c>
      <c r="G3897" s="618">
        <f t="shared" si="142"/>
        <v>184800.00000000003</v>
      </c>
    </row>
    <row r="3898" spans="1:14" ht="15.75" hidden="1" customHeight="1" outlineLevel="2">
      <c r="C3898" s="633" t="s">
        <v>1229</v>
      </c>
      <c r="D3898" s="619" t="s">
        <v>921</v>
      </c>
      <c r="E3898" s="633">
        <v>2</v>
      </c>
      <c r="F3898" s="618">
        <f>electrician</f>
        <v>143220</v>
      </c>
      <c r="G3898" s="618">
        <f t="shared" si="142"/>
        <v>286440</v>
      </c>
    </row>
    <row r="3899" spans="1:14" ht="15.75" hidden="1" customHeight="1" outlineLevel="2">
      <c r="G3899" s="618">
        <f t="shared" si="142"/>
        <v>0</v>
      </c>
    </row>
    <row r="3900" spans="1:14" ht="15.75" hidden="1" customHeight="1" outlineLevel="2">
      <c r="C3900" s="633" t="s">
        <v>925</v>
      </c>
      <c r="G3900" s="618">
        <f t="shared" si="142"/>
        <v>0</v>
      </c>
    </row>
    <row r="3901" spans="1:14" ht="15.75" hidden="1" customHeight="1" outlineLevel="2">
      <c r="C3901" s="633" t="s">
        <v>926</v>
      </c>
      <c r="D3901" s="619" t="s">
        <v>98</v>
      </c>
      <c r="E3901" s="633">
        <v>0.25</v>
      </c>
      <c r="F3901" s="618">
        <f>Truck_crane_cap_5t_hour*8</f>
        <v>3850000.0000000005</v>
      </c>
      <c r="G3901" s="618">
        <f t="shared" si="142"/>
        <v>962500.00000000012</v>
      </c>
    </row>
    <row r="3902" spans="1:14" ht="15.75" hidden="1" customHeight="1" outlineLevel="2">
      <c r="C3902" s="1200" t="str">
        <f>"TOTAL "&amp;C3892</f>
        <v>TOTAL Pemasangan Marshalling Kiosk</v>
      </c>
      <c r="D3902" s="1200"/>
      <c r="E3902" s="1200"/>
      <c r="F3902" s="1200"/>
      <c r="G3902" s="618">
        <f>SUM(G3894:G3901)</f>
        <v>2159695</v>
      </c>
      <c r="K3902" s="1200" t="s">
        <v>1231</v>
      </c>
      <c r="L3902" s="1200"/>
      <c r="M3902" s="779" t="s">
        <v>1232</v>
      </c>
    </row>
    <row r="3903" spans="1:14" ht="15.75" customHeight="1" outlineLevel="1" collapsed="1">
      <c r="A3903" s="633" t="s">
        <v>2074</v>
      </c>
      <c r="B3903" s="619">
        <f>1+B3892</f>
        <v>15</v>
      </c>
      <c r="C3903" s="633" t="s">
        <v>947</v>
      </c>
      <c r="G3903" s="618">
        <f>G3912</f>
        <v>25910160</v>
      </c>
      <c r="J3903" s="633">
        <f>K3903*M3903</f>
        <v>28</v>
      </c>
      <c r="K3903" s="633">
        <v>2</v>
      </c>
      <c r="L3903" s="633" t="s">
        <v>922</v>
      </c>
      <c r="M3903" s="633">
        <v>14</v>
      </c>
    </row>
    <row r="3904" spans="1:14" ht="15.75" hidden="1" customHeight="1" outlineLevel="2">
      <c r="C3904" s="633" t="s">
        <v>1052</v>
      </c>
      <c r="J3904" s="633">
        <f>K3904*M3904</f>
        <v>42</v>
      </c>
      <c r="K3904" s="633">
        <v>6</v>
      </c>
      <c r="L3904" s="633" t="s">
        <v>922</v>
      </c>
      <c r="M3904" s="633">
        <v>7</v>
      </c>
      <c r="N3904" s="779"/>
    </row>
    <row r="3905" spans="1:14" ht="15.75" hidden="1" customHeight="1" outlineLevel="2">
      <c r="C3905" s="633" t="s">
        <v>393</v>
      </c>
      <c r="D3905" s="619" t="s">
        <v>921</v>
      </c>
      <c r="E3905" s="633">
        <f>J3903</f>
        <v>28</v>
      </c>
      <c r="F3905" s="618">
        <f>supervisor_Asli</f>
        <v>155155</v>
      </c>
      <c r="G3905" s="618">
        <f t="shared" ref="G3905:G3911" si="143">E3905*F3905</f>
        <v>4344340</v>
      </c>
      <c r="J3905" s="633">
        <f>K3905*M3905</f>
        <v>100</v>
      </c>
      <c r="K3905" s="633">
        <v>10</v>
      </c>
      <c r="L3905" s="633" t="s">
        <v>922</v>
      </c>
      <c r="M3905" s="633">
        <v>10</v>
      </c>
      <c r="N3905" s="633" t="s">
        <v>939</v>
      </c>
    </row>
    <row r="3906" spans="1:14" ht="15.75" hidden="1" customHeight="1" outlineLevel="2">
      <c r="C3906" s="633" t="s">
        <v>1227</v>
      </c>
      <c r="D3906" s="619" t="s">
        <v>921</v>
      </c>
      <c r="E3906" s="633">
        <f t="shared" ref="E3906:E3908" si="144">J3904</f>
        <v>42</v>
      </c>
      <c r="F3906" s="618">
        <v>177600</v>
      </c>
      <c r="G3906" s="618">
        <f t="shared" si="143"/>
        <v>7459200</v>
      </c>
      <c r="J3906" s="633">
        <f>K3906*M3906</f>
        <v>21</v>
      </c>
      <c r="K3906" s="633">
        <v>3</v>
      </c>
      <c r="L3906" s="633" t="s">
        <v>922</v>
      </c>
      <c r="M3906" s="633">
        <v>7</v>
      </c>
      <c r="N3906" s="633" t="s">
        <v>939</v>
      </c>
    </row>
    <row r="3907" spans="1:14" ht="15.75" hidden="1" customHeight="1" outlineLevel="2">
      <c r="C3907" s="633" t="s">
        <v>952</v>
      </c>
      <c r="D3907" s="619" t="s">
        <v>921</v>
      </c>
      <c r="E3907" s="633">
        <f t="shared" si="144"/>
        <v>100</v>
      </c>
      <c r="F3907" s="618">
        <f>worker</f>
        <v>107800.00000000001</v>
      </c>
      <c r="G3907" s="618">
        <f t="shared" si="143"/>
        <v>10780000.000000002</v>
      </c>
      <c r="N3907" s="633" t="s">
        <v>939</v>
      </c>
    </row>
    <row r="3908" spans="1:14" ht="15.75" hidden="1" customHeight="1" outlineLevel="2">
      <c r="C3908" s="633" t="s">
        <v>1229</v>
      </c>
      <c r="D3908" s="619" t="s">
        <v>921</v>
      </c>
      <c r="E3908" s="633">
        <f t="shared" si="144"/>
        <v>21</v>
      </c>
      <c r="F3908" s="618">
        <f>electrician</f>
        <v>143220</v>
      </c>
      <c r="G3908" s="618">
        <f t="shared" si="143"/>
        <v>3007620</v>
      </c>
      <c r="N3908" s="633" t="s">
        <v>939</v>
      </c>
    </row>
    <row r="3909" spans="1:14" ht="15.75" hidden="1" customHeight="1" outlineLevel="2">
      <c r="G3909" s="618">
        <f t="shared" si="143"/>
        <v>0</v>
      </c>
    </row>
    <row r="3910" spans="1:14" ht="15.75" hidden="1" customHeight="1" outlineLevel="2">
      <c r="C3910" s="633" t="s">
        <v>925</v>
      </c>
      <c r="G3910" s="618">
        <f t="shared" si="143"/>
        <v>0</v>
      </c>
    </row>
    <row r="3911" spans="1:14" ht="15.75" hidden="1" customHeight="1" outlineLevel="2">
      <c r="C3911" s="633" t="s">
        <v>1072</v>
      </c>
      <c r="D3911" s="619" t="s">
        <v>98</v>
      </c>
      <c r="E3911" s="633">
        <v>2</v>
      </c>
      <c r="F3911" s="618">
        <v>159500</v>
      </c>
      <c r="G3911" s="618">
        <f t="shared" si="143"/>
        <v>319000</v>
      </c>
    </row>
    <row r="3912" spans="1:14" ht="15.75" hidden="1" customHeight="1" outlineLevel="2">
      <c r="C3912" s="1200" t="str">
        <f>"TOTAL "&amp;C3903</f>
        <v xml:space="preserve">TOTAL Pemasangan 'LV power cable, control cable &amp; optical cable </v>
      </c>
      <c r="D3912" s="1200"/>
      <c r="E3912" s="1200"/>
      <c r="F3912" s="1200"/>
      <c r="G3912" s="618">
        <f>SUM(G3905:G3911)</f>
        <v>25910160</v>
      </c>
    </row>
    <row r="3913" spans="1:14" ht="15.75" customHeight="1" outlineLevel="1" collapsed="1">
      <c r="A3913" s="633" t="s">
        <v>2074</v>
      </c>
      <c r="B3913" s="619">
        <f>1+B3903</f>
        <v>16</v>
      </c>
      <c r="C3913" s="633" t="s">
        <v>948</v>
      </c>
      <c r="G3913" s="618">
        <f>G3935</f>
        <v>2117610</v>
      </c>
    </row>
    <row r="3914" spans="1:14" ht="15.75" hidden="1" customHeight="1" outlineLevel="2">
      <c r="B3914" s="619" t="s">
        <v>816</v>
      </c>
      <c r="C3914" s="633" t="s">
        <v>1243</v>
      </c>
    </row>
    <row r="3915" spans="1:14" ht="15.75" hidden="1" customHeight="1" outlineLevel="2">
      <c r="C3915" s="633" t="s">
        <v>1052</v>
      </c>
    </row>
    <row r="3916" spans="1:14" ht="15.75" hidden="1" customHeight="1" outlineLevel="2">
      <c r="C3916" s="633" t="s">
        <v>393</v>
      </c>
      <c r="D3916" s="619" t="s">
        <v>921</v>
      </c>
      <c r="E3916" s="633">
        <v>1</v>
      </c>
      <c r="F3916" s="618">
        <f>supervisor_Asli</f>
        <v>155155</v>
      </c>
      <c r="G3916" s="618">
        <f t="shared" ref="G3916:G3922" si="145">E3916*F3916</f>
        <v>155155</v>
      </c>
    </row>
    <row r="3917" spans="1:14" ht="15.75" hidden="1" customHeight="1" outlineLevel="2">
      <c r="C3917" s="633" t="s">
        <v>1227</v>
      </c>
      <c r="D3917" s="619" t="s">
        <v>921</v>
      </c>
      <c r="E3917" s="633">
        <v>2</v>
      </c>
      <c r="F3917" s="618">
        <f>skill_worker</f>
        <v>195360.00000000003</v>
      </c>
      <c r="G3917" s="618">
        <f t="shared" si="145"/>
        <v>390720.00000000006</v>
      </c>
    </row>
    <row r="3918" spans="1:14" ht="15.75" hidden="1" customHeight="1" outlineLevel="2">
      <c r="C3918" s="633" t="s">
        <v>952</v>
      </c>
      <c r="D3918" s="619" t="s">
        <v>921</v>
      </c>
      <c r="E3918" s="633">
        <v>1</v>
      </c>
      <c r="F3918" s="618">
        <f>worker</f>
        <v>107800.00000000001</v>
      </c>
      <c r="G3918" s="618">
        <f t="shared" si="145"/>
        <v>107800.00000000001</v>
      </c>
    </row>
    <row r="3919" spans="1:14" ht="15.75" hidden="1" customHeight="1" outlineLevel="2">
      <c r="C3919" s="633" t="s">
        <v>1228</v>
      </c>
      <c r="D3919" s="619" t="s">
        <v>921</v>
      </c>
      <c r="E3919" s="633">
        <v>1</v>
      </c>
      <c r="F3919" s="618">
        <f>mechanic</f>
        <v>184800.00000000003</v>
      </c>
      <c r="G3919" s="618">
        <f t="shared" si="145"/>
        <v>184800.00000000003</v>
      </c>
    </row>
    <row r="3920" spans="1:14" ht="15.75" hidden="1" customHeight="1" outlineLevel="2">
      <c r="G3920" s="618">
        <f t="shared" si="145"/>
        <v>0</v>
      </c>
    </row>
    <row r="3921" spans="1:7" ht="15.75" hidden="1" customHeight="1" outlineLevel="2">
      <c r="C3921" s="633" t="s">
        <v>925</v>
      </c>
      <c r="G3921" s="618">
        <f t="shared" si="145"/>
        <v>0</v>
      </c>
    </row>
    <row r="3922" spans="1:7" ht="15.75" hidden="1" customHeight="1" outlineLevel="2">
      <c r="C3922" s="633" t="s">
        <v>926</v>
      </c>
      <c r="D3922" s="619" t="s">
        <v>72</v>
      </c>
      <c r="E3922" s="633">
        <v>0.3</v>
      </c>
      <c r="F3922" s="618">
        <f>Truck_crane_cap_5t_hour</f>
        <v>481250.00000000006</v>
      </c>
      <c r="G3922" s="618">
        <f t="shared" si="145"/>
        <v>144375</v>
      </c>
    </row>
    <row r="3923" spans="1:7" ht="15.75" hidden="1" customHeight="1" outlineLevel="2">
      <c r="F3923" s="618" t="str">
        <f>"Total " &amp;B3914</f>
        <v>Total A</v>
      </c>
      <c r="G3923" s="618">
        <f>SUM(G3916:G3922)</f>
        <v>982850</v>
      </c>
    </row>
    <row r="3924" spans="1:7" ht="15.75" hidden="1" customHeight="1" outlineLevel="2">
      <c r="B3924" s="619" t="s">
        <v>818</v>
      </c>
      <c r="C3924" s="633" t="s">
        <v>1242</v>
      </c>
    </row>
    <row r="3925" spans="1:7" ht="15.75" hidden="1" customHeight="1" outlineLevel="2">
      <c r="C3925" s="633" t="s">
        <v>1052</v>
      </c>
    </row>
    <row r="3926" spans="1:7" ht="15.75" hidden="1" customHeight="1" outlineLevel="2">
      <c r="C3926" s="633" t="s">
        <v>393</v>
      </c>
      <c r="D3926" s="619" t="s">
        <v>921</v>
      </c>
      <c r="E3926" s="633">
        <v>1</v>
      </c>
      <c r="F3926" s="618">
        <f>supervisor_Asli</f>
        <v>155155</v>
      </c>
      <c r="G3926" s="618">
        <f t="shared" ref="G3926:G3933" si="146">E3926*F3926</f>
        <v>155155</v>
      </c>
    </row>
    <row r="3927" spans="1:7" ht="15.75" hidden="1" customHeight="1" outlineLevel="2">
      <c r="C3927" s="633" t="s">
        <v>1227</v>
      </c>
      <c r="D3927" s="619" t="s">
        <v>921</v>
      </c>
      <c r="E3927" s="633">
        <v>1</v>
      </c>
      <c r="F3927" s="618">
        <f>skill_worker</f>
        <v>195360.00000000003</v>
      </c>
      <c r="G3927" s="618">
        <f t="shared" si="146"/>
        <v>195360.00000000003</v>
      </c>
    </row>
    <row r="3928" spans="1:7" ht="15.75" hidden="1" customHeight="1" outlineLevel="2">
      <c r="C3928" s="633" t="s">
        <v>952</v>
      </c>
      <c r="D3928" s="619" t="s">
        <v>921</v>
      </c>
      <c r="E3928" s="633">
        <v>2</v>
      </c>
      <c r="F3928" s="618">
        <f>worker</f>
        <v>107800.00000000001</v>
      </c>
      <c r="G3928" s="618">
        <f t="shared" si="146"/>
        <v>215600.00000000003</v>
      </c>
    </row>
    <row r="3929" spans="1:7" ht="15.75" hidden="1" customHeight="1" outlineLevel="2">
      <c r="C3929" s="633" t="s">
        <v>1228</v>
      </c>
      <c r="D3929" s="619" t="s">
        <v>921</v>
      </c>
      <c r="E3929" s="633">
        <v>1</v>
      </c>
      <c r="F3929" s="618">
        <f>mechanic</f>
        <v>184800.00000000003</v>
      </c>
      <c r="G3929" s="618">
        <f t="shared" si="146"/>
        <v>184800.00000000003</v>
      </c>
    </row>
    <row r="3930" spans="1:7" ht="15.75" hidden="1" customHeight="1" outlineLevel="2">
      <c r="C3930" s="633" t="s">
        <v>1229</v>
      </c>
      <c r="D3930" s="619" t="s">
        <v>921</v>
      </c>
      <c r="E3930" s="633">
        <v>1</v>
      </c>
      <c r="F3930" s="618">
        <f>electrician</f>
        <v>143220</v>
      </c>
      <c r="G3930" s="618">
        <f t="shared" si="146"/>
        <v>143220</v>
      </c>
    </row>
    <row r="3931" spans="1:7" ht="15.75" hidden="1" customHeight="1" outlineLevel="2">
      <c r="G3931" s="618">
        <f t="shared" si="146"/>
        <v>0</v>
      </c>
    </row>
    <row r="3932" spans="1:7" ht="15.75" hidden="1" customHeight="1" outlineLevel="2">
      <c r="C3932" s="633" t="s">
        <v>925</v>
      </c>
      <c r="G3932" s="618">
        <f t="shared" si="146"/>
        <v>0</v>
      </c>
    </row>
    <row r="3933" spans="1:7" ht="15.75" hidden="1" customHeight="1" outlineLevel="2">
      <c r="C3933" s="633" t="s">
        <v>926</v>
      </c>
      <c r="D3933" s="619" t="s">
        <v>72</v>
      </c>
      <c r="E3933" s="633">
        <v>0.5</v>
      </c>
      <c r="F3933" s="618">
        <f>Truck_crane_cap_5t_hour</f>
        <v>481250.00000000006</v>
      </c>
      <c r="G3933" s="618">
        <f t="shared" si="146"/>
        <v>240625.00000000003</v>
      </c>
    </row>
    <row r="3934" spans="1:7" ht="15.75" hidden="1" customHeight="1" outlineLevel="2">
      <c r="F3934" s="618" t="str">
        <f>"Total " &amp;B3924</f>
        <v>Total B</v>
      </c>
      <c r="G3934" s="618">
        <f>SUM(G3926:G3933)</f>
        <v>1134760</v>
      </c>
    </row>
    <row r="3935" spans="1:7" ht="15.75" hidden="1" customHeight="1" outlineLevel="2">
      <c r="C3935" s="1200" t="str">
        <f>"TOTAL "&amp;C3913</f>
        <v>TOTAL Pemasangan LT 150 kV dan Steel Structure (1 unit)</v>
      </c>
      <c r="D3935" s="1200"/>
      <c r="E3935" s="1200"/>
      <c r="F3935" s="1200"/>
      <c r="G3935" s="618">
        <f>SUM(G3934,G3923)</f>
        <v>2117610</v>
      </c>
    </row>
    <row r="3936" spans="1:7" ht="15.75" customHeight="1" outlineLevel="1" collapsed="1">
      <c r="A3936" s="633" t="s">
        <v>2074</v>
      </c>
      <c r="B3936" s="619">
        <f>1+B3913</f>
        <v>17</v>
      </c>
      <c r="C3936" s="633" t="s">
        <v>949</v>
      </c>
      <c r="G3936" s="618">
        <f>G3958</f>
        <v>2306333.7000000002</v>
      </c>
    </row>
    <row r="3937" spans="2:7" ht="15.75" hidden="1" customHeight="1" outlineLevel="2">
      <c r="B3937" s="619" t="s">
        <v>816</v>
      </c>
      <c r="C3937" s="633" t="s">
        <v>1244</v>
      </c>
    </row>
    <row r="3938" spans="2:7" ht="15.75" hidden="1" customHeight="1" outlineLevel="2">
      <c r="C3938" s="633" t="s">
        <v>1052</v>
      </c>
    </row>
    <row r="3939" spans="2:7" ht="15.75" hidden="1" customHeight="1" outlineLevel="2">
      <c r="C3939" s="633" t="s">
        <v>393</v>
      </c>
      <c r="D3939" s="619" t="s">
        <v>921</v>
      </c>
      <c r="E3939" s="633">
        <v>1</v>
      </c>
      <c r="F3939" s="618">
        <f>supervisor_Asli</f>
        <v>155155</v>
      </c>
      <c r="G3939" s="618">
        <f t="shared" ref="G3939:G3945" si="147">E3939*F3939</f>
        <v>155155</v>
      </c>
    </row>
    <row r="3940" spans="2:7" ht="15.75" hidden="1" customHeight="1" outlineLevel="2">
      <c r="C3940" s="633" t="s">
        <v>1227</v>
      </c>
      <c r="D3940" s="619" t="s">
        <v>921</v>
      </c>
      <c r="E3940" s="633">
        <v>2</v>
      </c>
      <c r="F3940" s="618">
        <f>skill_worker</f>
        <v>195360.00000000003</v>
      </c>
      <c r="G3940" s="618">
        <f t="shared" si="147"/>
        <v>390720.00000000006</v>
      </c>
    </row>
    <row r="3941" spans="2:7" ht="15.75" hidden="1" customHeight="1" outlineLevel="2">
      <c r="C3941" s="633" t="s">
        <v>952</v>
      </c>
      <c r="D3941" s="619" t="s">
        <v>921</v>
      </c>
      <c r="E3941" s="633">
        <v>1</v>
      </c>
      <c r="F3941" s="618">
        <f>worker</f>
        <v>107800.00000000001</v>
      </c>
      <c r="G3941" s="618">
        <f t="shared" si="147"/>
        <v>107800.00000000001</v>
      </c>
    </row>
    <row r="3942" spans="2:7" ht="15.75" hidden="1" customHeight="1" outlineLevel="2">
      <c r="C3942" s="633" t="s">
        <v>1228</v>
      </c>
      <c r="D3942" s="619" t="s">
        <v>921</v>
      </c>
      <c r="E3942" s="633">
        <v>1</v>
      </c>
      <c r="F3942" s="618">
        <f>mechanic</f>
        <v>184800.00000000003</v>
      </c>
      <c r="G3942" s="618">
        <f t="shared" si="147"/>
        <v>184800.00000000003</v>
      </c>
    </row>
    <row r="3943" spans="2:7" ht="15.75" hidden="1" customHeight="1" outlineLevel="2">
      <c r="G3943" s="618">
        <f t="shared" si="147"/>
        <v>0</v>
      </c>
    </row>
    <row r="3944" spans="2:7" ht="15.75" hidden="1" customHeight="1" outlineLevel="2">
      <c r="C3944" s="633" t="s">
        <v>925</v>
      </c>
      <c r="G3944" s="618">
        <f t="shared" si="147"/>
        <v>0</v>
      </c>
    </row>
    <row r="3945" spans="2:7" ht="15.75" hidden="1" customHeight="1" outlineLevel="2">
      <c r="C3945" s="633" t="s">
        <v>926</v>
      </c>
      <c r="D3945" s="619" t="s">
        <v>72</v>
      </c>
      <c r="E3945" s="633">
        <v>0.3</v>
      </c>
      <c r="F3945" s="618">
        <f>Truck_crane_cap_5t_hour</f>
        <v>481250.00000000006</v>
      </c>
      <c r="G3945" s="618">
        <f t="shared" si="147"/>
        <v>144375</v>
      </c>
    </row>
    <row r="3946" spans="2:7" ht="15.75" hidden="1" customHeight="1" outlineLevel="2">
      <c r="F3946" s="618" t="str">
        <f>"Total " &amp;B3937</f>
        <v>Total A</v>
      </c>
      <c r="G3946" s="618">
        <f>SUM(G3939:G3945)</f>
        <v>982850</v>
      </c>
    </row>
    <row r="3947" spans="2:7" ht="15.75" hidden="1" customHeight="1" outlineLevel="2">
      <c r="B3947" s="619" t="s">
        <v>818</v>
      </c>
      <c r="C3947" s="633" t="s">
        <v>1245</v>
      </c>
    </row>
    <row r="3948" spans="2:7" ht="15.75" hidden="1" customHeight="1" outlineLevel="2">
      <c r="C3948" s="633" t="s">
        <v>1052</v>
      </c>
    </row>
    <row r="3949" spans="2:7" ht="15.75" hidden="1" customHeight="1" outlineLevel="2">
      <c r="C3949" s="633" t="s">
        <v>393</v>
      </c>
      <c r="D3949" s="619" t="s">
        <v>921</v>
      </c>
      <c r="E3949" s="633">
        <v>1</v>
      </c>
      <c r="F3949" s="618">
        <f>supervisor_Asli</f>
        <v>155155</v>
      </c>
      <c r="G3949" s="618">
        <f t="shared" ref="G3949:G3956" si="148">E3949*F3949</f>
        <v>155155</v>
      </c>
    </row>
    <row r="3950" spans="2:7" ht="15.75" hidden="1" customHeight="1" outlineLevel="2">
      <c r="C3950" s="633" t="s">
        <v>1227</v>
      </c>
      <c r="D3950" s="619" t="s">
        <v>921</v>
      </c>
      <c r="E3950" s="633">
        <v>1</v>
      </c>
      <c r="F3950" s="618">
        <f>skill_worker</f>
        <v>195360.00000000003</v>
      </c>
      <c r="G3950" s="618">
        <f t="shared" si="148"/>
        <v>195360.00000000003</v>
      </c>
    </row>
    <row r="3951" spans="2:7" ht="15.75" hidden="1" customHeight="1" outlineLevel="2">
      <c r="C3951" s="633" t="s">
        <v>952</v>
      </c>
      <c r="D3951" s="619" t="s">
        <v>921</v>
      </c>
      <c r="E3951" s="633">
        <v>2</v>
      </c>
      <c r="F3951" s="618">
        <f>worker</f>
        <v>107800.00000000001</v>
      </c>
      <c r="G3951" s="618">
        <f t="shared" si="148"/>
        <v>215600.00000000003</v>
      </c>
    </row>
    <row r="3952" spans="2:7" ht="15.75" hidden="1" customHeight="1" outlineLevel="2">
      <c r="C3952" s="633" t="s">
        <v>1228</v>
      </c>
      <c r="D3952" s="619" t="s">
        <v>921</v>
      </c>
      <c r="E3952" s="633">
        <v>1</v>
      </c>
      <c r="F3952" s="618">
        <f>mechanic</f>
        <v>184800.00000000003</v>
      </c>
      <c r="G3952" s="618">
        <f t="shared" si="148"/>
        <v>184800.00000000003</v>
      </c>
    </row>
    <row r="3953" spans="1:7" ht="15.75" hidden="1" customHeight="1" outlineLevel="2">
      <c r="C3953" s="633" t="s">
        <v>1229</v>
      </c>
      <c r="D3953" s="619" t="s">
        <v>921</v>
      </c>
      <c r="E3953" s="633">
        <v>1</v>
      </c>
      <c r="F3953" s="618">
        <f>technician</f>
        <v>331943.7</v>
      </c>
      <c r="G3953" s="618">
        <f t="shared" si="148"/>
        <v>331943.7</v>
      </c>
    </row>
    <row r="3954" spans="1:7" ht="15.75" hidden="1" customHeight="1" outlineLevel="2">
      <c r="G3954" s="618">
        <f t="shared" si="148"/>
        <v>0</v>
      </c>
    </row>
    <row r="3955" spans="1:7" ht="15.75" hidden="1" customHeight="1" outlineLevel="2">
      <c r="C3955" s="633" t="s">
        <v>925</v>
      </c>
      <c r="G3955" s="618">
        <f t="shared" si="148"/>
        <v>0</v>
      </c>
    </row>
    <row r="3956" spans="1:7" ht="15.75" hidden="1" customHeight="1" outlineLevel="2">
      <c r="C3956" s="633" t="s">
        <v>926</v>
      </c>
      <c r="D3956" s="619" t="s">
        <v>72</v>
      </c>
      <c r="E3956" s="633">
        <v>0.5</v>
      </c>
      <c r="F3956" s="618">
        <f>Truck_crane_cap_5t_hour</f>
        <v>481250.00000000006</v>
      </c>
      <c r="G3956" s="618">
        <f t="shared" si="148"/>
        <v>240625.00000000003</v>
      </c>
    </row>
    <row r="3957" spans="1:7" ht="15.75" hidden="1" customHeight="1" outlineLevel="2">
      <c r="F3957" s="618" t="str">
        <f>"Total " &amp;B3947</f>
        <v>Total B</v>
      </c>
      <c r="G3957" s="618">
        <f>SUM(G3949:G3956)</f>
        <v>1323483.7</v>
      </c>
    </row>
    <row r="3958" spans="1:7" ht="15.75" hidden="1" customHeight="1" outlineLevel="2">
      <c r="C3958" s="1200" t="str">
        <f>"TOTAL "&amp;C3936</f>
        <v>TOTAL Pemasangan ES 150 kV dan Steel Structure (1 unit)</v>
      </c>
      <c r="D3958" s="1200"/>
      <c r="E3958" s="1200"/>
      <c r="F3958" s="1200"/>
      <c r="G3958" s="618">
        <f>SUM(G3957,G3946)</f>
        <v>2306333.7000000002</v>
      </c>
    </row>
    <row r="3959" spans="1:7" ht="15.75" customHeight="1" outlineLevel="1" collapsed="1">
      <c r="A3959" s="633" t="s">
        <v>2074</v>
      </c>
      <c r="B3959" s="619">
        <f>1+B3936</f>
        <v>18</v>
      </c>
      <c r="C3959" s="1200" t="s">
        <v>950</v>
      </c>
      <c r="D3959" s="1200"/>
      <c r="G3959" s="618">
        <f>G3980</f>
        <v>2406349.0000000005</v>
      </c>
    </row>
    <row r="3960" spans="1:7" ht="15.75" hidden="1" customHeight="1" outlineLevel="2">
      <c r="B3960" s="619" t="s">
        <v>816</v>
      </c>
      <c r="C3960" s="633" t="s">
        <v>951</v>
      </c>
    </row>
    <row r="3961" spans="1:7" ht="15.75" hidden="1" customHeight="1" outlineLevel="2">
      <c r="C3961" s="633" t="s">
        <v>1052</v>
      </c>
    </row>
    <row r="3962" spans="1:7" ht="15.75" hidden="1" customHeight="1" outlineLevel="2">
      <c r="C3962" s="633" t="s">
        <v>952</v>
      </c>
      <c r="D3962" s="619" t="s">
        <v>921</v>
      </c>
      <c r="E3962" s="633">
        <v>0</v>
      </c>
      <c r="F3962" s="618">
        <f>worker</f>
        <v>107800.00000000001</v>
      </c>
      <c r="G3962" s="618">
        <f t="shared" ref="G3962:G3970" si="149">E3962*F3962</f>
        <v>0</v>
      </c>
    </row>
    <row r="3963" spans="1:7" ht="15.75" hidden="1" customHeight="1" outlineLevel="2">
      <c r="C3963" s="633" t="s">
        <v>1246</v>
      </c>
      <c r="D3963" s="619" t="s">
        <v>921</v>
      </c>
      <c r="E3963" s="633">
        <v>0</v>
      </c>
      <c r="F3963" s="618">
        <f>supervisor</f>
        <v>119350.00000000001</v>
      </c>
      <c r="G3963" s="618">
        <f t="shared" si="149"/>
        <v>0</v>
      </c>
    </row>
    <row r="3964" spans="1:7" ht="15.75" hidden="1" customHeight="1" outlineLevel="2">
      <c r="G3964" s="618">
        <f t="shared" si="149"/>
        <v>0</v>
      </c>
    </row>
    <row r="3965" spans="1:7" ht="15.75" hidden="1" customHeight="1" outlineLevel="2">
      <c r="B3965" s="619" t="s">
        <v>818</v>
      </c>
      <c r="C3965" s="633" t="s">
        <v>954</v>
      </c>
      <c r="G3965" s="618">
        <f t="shared" si="149"/>
        <v>0</v>
      </c>
    </row>
    <row r="3966" spans="1:7" ht="15.75" hidden="1" customHeight="1" outlineLevel="2">
      <c r="C3966" s="633" t="s">
        <v>1052</v>
      </c>
      <c r="G3966" s="618">
        <f t="shared" si="149"/>
        <v>0</v>
      </c>
    </row>
    <row r="3967" spans="1:7" ht="15.75" hidden="1" customHeight="1" outlineLevel="2">
      <c r="C3967" s="633" t="s">
        <v>955</v>
      </c>
      <c r="D3967" s="619" t="s">
        <v>921</v>
      </c>
      <c r="E3967" s="633">
        <v>5</v>
      </c>
      <c r="F3967" s="618">
        <f>steel_worker</f>
        <v>119350.00000000001</v>
      </c>
      <c r="G3967" s="618">
        <f t="shared" si="149"/>
        <v>596750.00000000012</v>
      </c>
    </row>
    <row r="3968" spans="1:7" ht="15.75" hidden="1" customHeight="1" outlineLevel="2">
      <c r="C3968" s="633" t="s">
        <v>952</v>
      </c>
      <c r="D3968" s="619" t="s">
        <v>921</v>
      </c>
      <c r="E3968" s="633">
        <v>6</v>
      </c>
      <c r="F3968" s="618">
        <f>worker</f>
        <v>107800.00000000001</v>
      </c>
      <c r="G3968" s="618">
        <f t="shared" si="149"/>
        <v>646800.00000000012</v>
      </c>
    </row>
    <row r="3969" spans="2:7" ht="15.75" hidden="1" customHeight="1" outlineLevel="2">
      <c r="C3969" s="633" t="s">
        <v>1246</v>
      </c>
      <c r="D3969" s="619" t="s">
        <v>921</v>
      </c>
      <c r="E3969" s="633">
        <v>1</v>
      </c>
      <c r="F3969" s="618">
        <f>supervisor</f>
        <v>119350.00000000001</v>
      </c>
      <c r="G3969" s="618">
        <f t="shared" si="149"/>
        <v>119350.00000000001</v>
      </c>
    </row>
    <row r="3970" spans="2:7" ht="15.75" hidden="1" customHeight="1" outlineLevel="2">
      <c r="C3970" s="633" t="s">
        <v>956</v>
      </c>
      <c r="D3970" s="619" t="s">
        <v>921</v>
      </c>
      <c r="E3970" s="633">
        <v>1</v>
      </c>
      <c r="F3970" s="618">
        <f>supervisor_Asli</f>
        <v>155155</v>
      </c>
      <c r="G3970" s="618">
        <f t="shared" si="149"/>
        <v>155155</v>
      </c>
    </row>
    <row r="3971" spans="2:7" ht="15.75" hidden="1" customHeight="1" outlineLevel="2"/>
    <row r="3972" spans="2:7" ht="15.75" hidden="1" customHeight="1" outlineLevel="2">
      <c r="B3972" s="619" t="s">
        <v>819</v>
      </c>
      <c r="C3972" s="633" t="s">
        <v>957</v>
      </c>
    </row>
    <row r="3973" spans="2:7" ht="15.75" hidden="1" customHeight="1" outlineLevel="2">
      <c r="C3973" s="633" t="s">
        <v>952</v>
      </c>
      <c r="D3973" s="619" t="s">
        <v>921</v>
      </c>
      <c r="E3973" s="633">
        <v>5</v>
      </c>
      <c r="F3973" s="618">
        <f>worker</f>
        <v>107800.00000000001</v>
      </c>
      <c r="G3973" s="618">
        <f>E3973*F3973</f>
        <v>539000.00000000012</v>
      </c>
    </row>
    <row r="3974" spans="2:7" ht="15.75" hidden="1" customHeight="1" outlineLevel="2">
      <c r="C3974" s="633" t="s">
        <v>1246</v>
      </c>
      <c r="D3974" s="619" t="s">
        <v>921</v>
      </c>
      <c r="E3974" s="633">
        <v>1</v>
      </c>
      <c r="F3974" s="618">
        <f>supervisor</f>
        <v>119350.00000000001</v>
      </c>
      <c r="G3974" s="618">
        <f>E3974*F3974</f>
        <v>119350.00000000001</v>
      </c>
    </row>
    <row r="3975" spans="2:7" ht="15.75" hidden="1" customHeight="1" outlineLevel="2"/>
    <row r="3976" spans="2:7" ht="15.75" hidden="1" customHeight="1" outlineLevel="2">
      <c r="C3976" s="633" t="s">
        <v>925</v>
      </c>
      <c r="G3976" s="618">
        <f>E3976*F3976</f>
        <v>0</v>
      </c>
    </row>
    <row r="3977" spans="2:7" ht="15.75" hidden="1" customHeight="1" outlineLevel="2">
      <c r="C3977" s="633" t="s">
        <v>958</v>
      </c>
      <c r="D3977" s="619" t="s">
        <v>65</v>
      </c>
      <c r="E3977" s="633">
        <v>3</v>
      </c>
      <c r="F3977" s="618">
        <f>pully</f>
        <v>22000</v>
      </c>
      <c r="G3977" s="618">
        <f>E3977*F3977</f>
        <v>66000</v>
      </c>
    </row>
    <row r="3978" spans="2:7" ht="15.75" hidden="1" customHeight="1" outlineLevel="2">
      <c r="C3978" s="633" t="s">
        <v>959</v>
      </c>
      <c r="D3978" s="619" t="s">
        <v>65</v>
      </c>
      <c r="E3978" s="633">
        <v>1</v>
      </c>
      <c r="F3978" s="618">
        <f>support_equipment_key.safety_belt</f>
        <v>163944</v>
      </c>
      <c r="G3978" s="618">
        <f>E3978*F3978</f>
        <v>163944</v>
      </c>
    </row>
    <row r="3979" spans="2:7" ht="15.75" hidden="1" customHeight="1" outlineLevel="2">
      <c r="C3979" s="633" t="s">
        <v>1247</v>
      </c>
      <c r="D3979" s="619" t="s">
        <v>50</v>
      </c>
      <c r="E3979" s="633">
        <v>0</v>
      </c>
      <c r="F3979" s="618">
        <v>18975</v>
      </c>
      <c r="G3979" s="618">
        <f>E3979*F3979</f>
        <v>0</v>
      </c>
    </row>
    <row r="3980" spans="2:7" ht="15.75" hidden="1" customHeight="1" outlineLevel="2">
      <c r="C3980" s="1200" t="s">
        <v>1248</v>
      </c>
      <c r="D3980" s="1200"/>
      <c r="E3980" s="1200"/>
      <c r="F3980" s="1200"/>
      <c r="G3980" s="618">
        <f>SUM(G3962:G3979)</f>
        <v>2406349.0000000005</v>
      </c>
    </row>
    <row r="3981" spans="2:7" ht="15.75" hidden="1" customHeight="1" outlineLevel="2">
      <c r="C3981" s="1200" t="s">
        <v>1249</v>
      </c>
      <c r="D3981" s="1200"/>
      <c r="E3981" s="1200"/>
      <c r="F3981" s="1200"/>
      <c r="G3981" s="618">
        <f>G3980/1000</f>
        <v>2406.3490000000006</v>
      </c>
    </row>
    <row r="3982" spans="2:7" ht="15.75" hidden="1" customHeight="1" outlineLevel="2">
      <c r="B3982" s="1200" t="s">
        <v>960</v>
      </c>
      <c r="C3982" s="1200"/>
      <c r="D3982" s="1201" t="s">
        <v>52</v>
      </c>
      <c r="E3982" s="1200">
        <v>2862</v>
      </c>
      <c r="F3982" s="1200"/>
      <c r="G3982" s="618">
        <f>E3982*$G$3981</f>
        <v>6886970.8380000014</v>
      </c>
    </row>
    <row r="3983" spans="2:7" ht="15.75" hidden="1" customHeight="1" outlineLevel="2">
      <c r="B3983" s="1200" t="s">
        <v>961</v>
      </c>
      <c r="C3983" s="1200"/>
      <c r="D3983" s="1201"/>
      <c r="E3983" s="1200">
        <v>1929</v>
      </c>
      <c r="F3983" s="1200"/>
      <c r="G3983" s="618">
        <f>E3983*$G$3981</f>
        <v>4641847.2210000008</v>
      </c>
    </row>
    <row r="3984" spans="2:7" ht="15.75" hidden="1" customHeight="1" outlineLevel="2">
      <c r="B3984" s="1200" t="s">
        <v>962</v>
      </c>
      <c r="C3984" s="1200"/>
      <c r="D3984" s="1201"/>
      <c r="E3984" s="1200">
        <v>1268</v>
      </c>
      <c r="F3984" s="1200"/>
      <c r="G3984" s="618">
        <f>E3984*$G$3981</f>
        <v>3051250.5320000006</v>
      </c>
    </row>
    <row r="3985" spans="1:7" ht="15.75" customHeight="1" outlineLevel="1" collapsed="1">
      <c r="A3985" s="633" t="s">
        <v>2074</v>
      </c>
      <c r="B3985" s="619">
        <f>1+B3959</f>
        <v>19</v>
      </c>
      <c r="C3985" s="1200" t="s">
        <v>963</v>
      </c>
      <c r="D3985" s="1200"/>
    </row>
    <row r="3986" spans="1:7" ht="15.75" hidden="1" customHeight="1" outlineLevel="2">
      <c r="B3986" s="1201" t="s">
        <v>816</v>
      </c>
      <c r="C3986" s="1200" t="s">
        <v>964</v>
      </c>
      <c r="D3986" s="1201">
        <v>1</v>
      </c>
    </row>
    <row r="3987" spans="1:7" ht="15.75" hidden="1" customHeight="1" outlineLevel="2">
      <c r="B3987" s="1201"/>
      <c r="C3987" s="1200"/>
      <c r="D3987" s="1201"/>
      <c r="E3987" s="633" t="s">
        <v>74</v>
      </c>
    </row>
    <row r="3988" spans="1:7" ht="15.75" hidden="1" customHeight="1" outlineLevel="2">
      <c r="B3988" s="1201"/>
      <c r="C3988" s="1200"/>
      <c r="D3988" s="1201"/>
    </row>
    <row r="3989" spans="1:7" ht="15.75" hidden="1" customHeight="1" outlineLevel="2">
      <c r="C3989" s="633" t="s">
        <v>1052</v>
      </c>
    </row>
    <row r="3990" spans="1:7" ht="15.75" hidden="1" customHeight="1" outlineLevel="2">
      <c r="C3990" s="633" t="s">
        <v>952</v>
      </c>
      <c r="D3990" s="619" t="s">
        <v>921</v>
      </c>
      <c r="E3990" s="633">
        <v>6</v>
      </c>
      <c r="F3990" s="618">
        <f>worker</f>
        <v>107800.00000000001</v>
      </c>
      <c r="G3990" s="618">
        <f t="shared" ref="G3990:G3999" si="150">E3990*F3990</f>
        <v>646800.00000000012</v>
      </c>
    </row>
    <row r="3991" spans="1:7" ht="15.75" hidden="1" customHeight="1" outlineLevel="2">
      <c r="C3991" s="633" t="s">
        <v>953</v>
      </c>
      <c r="D3991" s="619" t="s">
        <v>921</v>
      </c>
      <c r="E3991" s="633">
        <v>1</v>
      </c>
      <c r="F3991" s="618">
        <f>supervisor</f>
        <v>119350.00000000001</v>
      </c>
      <c r="G3991" s="618">
        <f t="shared" si="150"/>
        <v>119350.00000000001</v>
      </c>
    </row>
    <row r="3992" spans="1:7" ht="15.75" hidden="1" customHeight="1" outlineLevel="2">
      <c r="C3992" s="633" t="s">
        <v>956</v>
      </c>
      <c r="D3992" s="619" t="s">
        <v>921</v>
      </c>
      <c r="E3992" s="633">
        <v>1</v>
      </c>
      <c r="F3992" s="618">
        <f>supervisor_Asli</f>
        <v>155155</v>
      </c>
      <c r="G3992" s="618">
        <f t="shared" si="150"/>
        <v>155155</v>
      </c>
    </row>
    <row r="3993" spans="1:7" ht="15.75" hidden="1" customHeight="1" outlineLevel="2">
      <c r="C3993" s="633" t="s">
        <v>965</v>
      </c>
      <c r="D3993" s="619" t="s">
        <v>921</v>
      </c>
      <c r="E3993" s="633">
        <v>1</v>
      </c>
      <c r="F3993" s="618">
        <f>engineer</f>
        <v>429000.00000000006</v>
      </c>
      <c r="G3993" s="618">
        <f t="shared" si="150"/>
        <v>429000.00000000006</v>
      </c>
    </row>
    <row r="3994" spans="1:7" ht="15.75" hidden="1" customHeight="1" outlineLevel="2">
      <c r="G3994" s="618">
        <f t="shared" si="150"/>
        <v>0</v>
      </c>
    </row>
    <row r="3995" spans="1:7" ht="15.75" hidden="1" customHeight="1" outlineLevel="2">
      <c r="C3995" s="633" t="s">
        <v>925</v>
      </c>
      <c r="G3995" s="618">
        <f t="shared" si="150"/>
        <v>0</v>
      </c>
    </row>
    <row r="3996" spans="1:7" ht="15.75" hidden="1" customHeight="1" outlineLevel="2">
      <c r="C3996" s="633" t="s">
        <v>966</v>
      </c>
      <c r="D3996" s="619" t="s">
        <v>65</v>
      </c>
      <c r="E3996" s="633">
        <v>2</v>
      </c>
      <c r="F3996" s="618">
        <f>alat_pengukuran_earthing</f>
        <v>550000</v>
      </c>
      <c r="G3996" s="618">
        <f t="shared" si="150"/>
        <v>1100000</v>
      </c>
    </row>
    <row r="3997" spans="1:7" ht="15.75" hidden="1" customHeight="1" outlineLevel="2">
      <c r="C3997" s="633" t="s">
        <v>967</v>
      </c>
      <c r="D3997" s="619" t="s">
        <v>65</v>
      </c>
      <c r="E3997" s="633">
        <v>1</v>
      </c>
      <c r="F3997" s="618">
        <f>eskavator_kecil_day</f>
        <v>1155000</v>
      </c>
      <c r="G3997" s="618">
        <f t="shared" si="150"/>
        <v>1155000</v>
      </c>
    </row>
    <row r="3998" spans="1:7" ht="15.75" hidden="1" customHeight="1" outlineLevel="2">
      <c r="C3998" s="633" t="s">
        <v>968</v>
      </c>
      <c r="D3998" s="619" t="s">
        <v>969</v>
      </c>
      <c r="E3998" s="633">
        <v>6</v>
      </c>
      <c r="F3998" s="618">
        <f>cangkul</f>
        <v>29856.2</v>
      </c>
      <c r="G3998" s="618">
        <f t="shared" si="150"/>
        <v>179137.2</v>
      </c>
    </row>
    <row r="3999" spans="1:7" ht="15.75" hidden="1" customHeight="1" outlineLevel="2">
      <c r="C3999" s="633" t="s">
        <v>970</v>
      </c>
      <c r="D3999" s="619" t="s">
        <v>65</v>
      </c>
      <c r="E3999" s="633">
        <v>2</v>
      </c>
      <c r="F3999" s="618">
        <f>mesin_press_day</f>
        <v>220000.00000000003</v>
      </c>
      <c r="G3999" s="618">
        <f t="shared" si="150"/>
        <v>440000.00000000006</v>
      </c>
    </row>
    <row r="4000" spans="1:7" ht="15.75" hidden="1" customHeight="1" outlineLevel="2">
      <c r="C4000" s="1200" t="s">
        <v>824</v>
      </c>
      <c r="D4000" s="1200"/>
      <c r="E4000" s="1200"/>
      <c r="F4000" s="1200"/>
      <c r="G4000" s="618">
        <f>SUM(G3990:G3999)</f>
        <v>4224442.2</v>
      </c>
    </row>
    <row r="4001" spans="2:7" ht="15.75" hidden="1" customHeight="1" outlineLevel="2">
      <c r="B4001" s="1201" t="s">
        <v>818</v>
      </c>
      <c r="C4001" s="1200" t="s">
        <v>971</v>
      </c>
      <c r="D4001" s="1201">
        <v>1</v>
      </c>
    </row>
    <row r="4002" spans="2:7" ht="15.75" hidden="1" customHeight="1" outlineLevel="2">
      <c r="B4002" s="1201"/>
      <c r="C4002" s="1200"/>
      <c r="D4002" s="1201"/>
      <c r="E4002" s="633" t="s">
        <v>74</v>
      </c>
    </row>
    <row r="4003" spans="2:7" ht="15.75" hidden="1" customHeight="1" outlineLevel="2">
      <c r="B4003" s="1201"/>
      <c r="C4003" s="1200"/>
      <c r="D4003" s="1201"/>
    </row>
    <row r="4004" spans="2:7" ht="15.75" hidden="1" customHeight="1" outlineLevel="2">
      <c r="C4004" s="633" t="s">
        <v>1052</v>
      </c>
    </row>
    <row r="4005" spans="2:7" ht="15.75" hidden="1" customHeight="1" outlineLevel="2">
      <c r="C4005" s="633" t="s">
        <v>952</v>
      </c>
      <c r="D4005" s="619" t="s">
        <v>921</v>
      </c>
      <c r="E4005" s="633">
        <v>6</v>
      </c>
      <c r="F4005" s="618">
        <f>worker</f>
        <v>107800.00000000001</v>
      </c>
      <c r="G4005" s="618">
        <f t="shared" ref="G4005:G4013" si="151">E4005*F4005</f>
        <v>646800.00000000012</v>
      </c>
    </row>
    <row r="4006" spans="2:7" ht="15.75" hidden="1" customHeight="1" outlineLevel="2">
      <c r="C4006" s="633" t="s">
        <v>953</v>
      </c>
      <c r="D4006" s="619" t="s">
        <v>921</v>
      </c>
      <c r="E4006" s="633">
        <v>1</v>
      </c>
      <c r="F4006" s="618">
        <f>supervisor</f>
        <v>119350.00000000001</v>
      </c>
      <c r="G4006" s="618">
        <f t="shared" si="151"/>
        <v>119350.00000000001</v>
      </c>
    </row>
    <row r="4007" spans="2:7" ht="15.75" hidden="1" customHeight="1" outlineLevel="2">
      <c r="C4007" s="633" t="s">
        <v>956</v>
      </c>
      <c r="D4007" s="619" t="s">
        <v>921</v>
      </c>
      <c r="E4007" s="633">
        <v>1</v>
      </c>
      <c r="F4007" s="618">
        <f>supervisor_Asli</f>
        <v>155155</v>
      </c>
      <c r="G4007" s="618">
        <f t="shared" si="151"/>
        <v>155155</v>
      </c>
    </row>
    <row r="4008" spans="2:7" ht="15.75" hidden="1" customHeight="1" outlineLevel="2">
      <c r="C4008" s="633" t="s">
        <v>965</v>
      </c>
      <c r="D4008" s="619" t="s">
        <v>921</v>
      </c>
      <c r="E4008" s="633">
        <v>1</v>
      </c>
      <c r="F4008" s="618">
        <f>engineer</f>
        <v>429000.00000000006</v>
      </c>
      <c r="G4008" s="618">
        <f t="shared" si="151"/>
        <v>429000.00000000006</v>
      </c>
    </row>
    <row r="4009" spans="2:7" ht="15.75" hidden="1" customHeight="1" outlineLevel="2">
      <c r="G4009" s="618">
        <f t="shared" si="151"/>
        <v>0</v>
      </c>
    </row>
    <row r="4010" spans="2:7" ht="15.75" hidden="1" customHeight="1" outlineLevel="2">
      <c r="C4010" s="633" t="s">
        <v>925</v>
      </c>
      <c r="G4010" s="618">
        <f t="shared" si="151"/>
        <v>0</v>
      </c>
    </row>
    <row r="4011" spans="2:7" ht="15.75" hidden="1" customHeight="1" outlineLevel="2">
      <c r="C4011" s="633" t="s">
        <v>966</v>
      </c>
      <c r="D4011" s="619" t="s">
        <v>65</v>
      </c>
      <c r="E4011" s="633">
        <v>2</v>
      </c>
      <c r="F4011" s="618">
        <f>alat_pengukuran_earthing</f>
        <v>550000</v>
      </c>
      <c r="G4011" s="618">
        <f t="shared" si="151"/>
        <v>1100000</v>
      </c>
    </row>
    <row r="4012" spans="2:7" ht="15.75" hidden="1" customHeight="1" outlineLevel="2">
      <c r="C4012" s="633" t="s">
        <v>968</v>
      </c>
      <c r="D4012" s="619" t="s">
        <v>969</v>
      </c>
      <c r="E4012" s="633">
        <v>6</v>
      </c>
      <c r="F4012" s="618">
        <f>cangkul</f>
        <v>29856.2</v>
      </c>
      <c r="G4012" s="618">
        <f t="shared" si="151"/>
        <v>179137.2</v>
      </c>
    </row>
    <row r="4013" spans="2:7" ht="15.75" hidden="1" customHeight="1" outlineLevel="2">
      <c r="C4013" s="633" t="s">
        <v>970</v>
      </c>
      <c r="D4013" s="619" t="s">
        <v>65</v>
      </c>
      <c r="E4013" s="633">
        <v>2</v>
      </c>
      <c r="F4013" s="618">
        <f>mesin_press_day</f>
        <v>220000.00000000003</v>
      </c>
      <c r="G4013" s="618">
        <f t="shared" si="151"/>
        <v>440000.00000000006</v>
      </c>
    </row>
    <row r="4014" spans="2:7" ht="15.75" hidden="1" customHeight="1" outlineLevel="2">
      <c r="C4014" s="1200" t="s">
        <v>824</v>
      </c>
      <c r="D4014" s="1200"/>
      <c r="E4014" s="1200"/>
      <c r="F4014" s="1200"/>
      <c r="G4014" s="618">
        <f>SUM(G4005:G4013)</f>
        <v>3069442.2</v>
      </c>
    </row>
    <row r="4015" spans="2:7" ht="15.75" hidden="1" customHeight="1" outlineLevel="2">
      <c r="B4015" s="1201" t="s">
        <v>819</v>
      </c>
      <c r="C4015" s="1200" t="s">
        <v>1252</v>
      </c>
      <c r="D4015" s="1201">
        <v>1</v>
      </c>
    </row>
    <row r="4016" spans="2:7" ht="15.75" hidden="1" customHeight="1" outlineLevel="2">
      <c r="B4016" s="1201"/>
      <c r="C4016" s="1200"/>
      <c r="D4016" s="1201"/>
      <c r="E4016" s="633" t="s">
        <v>74</v>
      </c>
    </row>
    <row r="4017" spans="1:7" ht="15.75" hidden="1" customHeight="1" outlineLevel="2">
      <c r="B4017" s="1201"/>
      <c r="C4017" s="1200"/>
      <c r="D4017" s="1201"/>
    </row>
    <row r="4018" spans="1:7" ht="15.75" hidden="1" customHeight="1" outlineLevel="2">
      <c r="C4018" s="633" t="s">
        <v>1052</v>
      </c>
    </row>
    <row r="4019" spans="1:7" ht="15.75" hidden="1" customHeight="1" outlineLevel="2">
      <c r="C4019" s="633" t="s">
        <v>952</v>
      </c>
      <c r="D4019" s="619" t="s">
        <v>921</v>
      </c>
      <c r="E4019" s="633">
        <v>3</v>
      </c>
      <c r="F4019" s="618">
        <f>worker</f>
        <v>107800.00000000001</v>
      </c>
      <c r="G4019" s="618">
        <f t="shared" ref="G4019:G4027" si="152">E4019*F4019</f>
        <v>323400.00000000006</v>
      </c>
    </row>
    <row r="4020" spans="1:7" ht="15.75" hidden="1" customHeight="1" outlineLevel="2">
      <c r="C4020" s="633" t="s">
        <v>953</v>
      </c>
      <c r="D4020" s="619" t="s">
        <v>921</v>
      </c>
      <c r="E4020" s="633">
        <v>1</v>
      </c>
      <c r="F4020" s="618">
        <f>supervisor</f>
        <v>119350.00000000001</v>
      </c>
      <c r="G4020" s="618">
        <f t="shared" si="152"/>
        <v>119350.00000000001</v>
      </c>
    </row>
    <row r="4021" spans="1:7" ht="15.75" hidden="1" customHeight="1" outlineLevel="2">
      <c r="C4021" s="633" t="s">
        <v>956</v>
      </c>
      <c r="D4021" s="619" t="s">
        <v>921</v>
      </c>
      <c r="E4021" s="633">
        <v>0.5</v>
      </c>
      <c r="F4021" s="618">
        <f>supervisor_Asli</f>
        <v>155155</v>
      </c>
      <c r="G4021" s="618">
        <f t="shared" si="152"/>
        <v>77577.5</v>
      </c>
    </row>
    <row r="4022" spans="1:7" ht="15.75" hidden="1" customHeight="1" outlineLevel="2">
      <c r="C4022" s="633" t="s">
        <v>965</v>
      </c>
      <c r="D4022" s="619" t="s">
        <v>921</v>
      </c>
      <c r="E4022" s="633">
        <v>0.25</v>
      </c>
      <c r="F4022" s="618">
        <f>engineer</f>
        <v>429000.00000000006</v>
      </c>
      <c r="G4022" s="618">
        <f t="shared" si="152"/>
        <v>107250.00000000001</v>
      </c>
    </row>
    <row r="4023" spans="1:7" ht="15.75" hidden="1" customHeight="1" outlineLevel="2">
      <c r="G4023" s="618">
        <f t="shared" si="152"/>
        <v>0</v>
      </c>
    </row>
    <row r="4024" spans="1:7" ht="15.75" hidden="1" customHeight="1" outlineLevel="2">
      <c r="C4024" s="633" t="s">
        <v>925</v>
      </c>
      <c r="G4024" s="618">
        <f t="shared" si="152"/>
        <v>0</v>
      </c>
    </row>
    <row r="4025" spans="1:7" ht="15.75" hidden="1" customHeight="1" outlineLevel="2">
      <c r="C4025" s="633" t="s">
        <v>966</v>
      </c>
      <c r="D4025" s="619" t="s">
        <v>65</v>
      </c>
      <c r="E4025" s="633">
        <v>2</v>
      </c>
      <c r="F4025" s="618">
        <f>alat_pengukuran_earthing</f>
        <v>550000</v>
      </c>
      <c r="G4025" s="618">
        <f t="shared" si="152"/>
        <v>1100000</v>
      </c>
    </row>
    <row r="4026" spans="1:7" ht="15.75" hidden="1" customHeight="1" outlineLevel="2">
      <c r="C4026" s="633" t="s">
        <v>968</v>
      </c>
      <c r="D4026" s="619" t="s">
        <v>969</v>
      </c>
      <c r="E4026" s="633">
        <v>6</v>
      </c>
      <c r="F4026" s="618">
        <f>cangkul</f>
        <v>29856.2</v>
      </c>
      <c r="G4026" s="618">
        <f t="shared" si="152"/>
        <v>179137.2</v>
      </c>
    </row>
    <row r="4027" spans="1:7" ht="15.75" hidden="1" customHeight="1" outlineLevel="2">
      <c r="C4027" s="633" t="s">
        <v>970</v>
      </c>
      <c r="D4027" s="619" t="s">
        <v>65</v>
      </c>
      <c r="E4027" s="633">
        <v>2</v>
      </c>
      <c r="F4027" s="618">
        <f>mesin_press_day</f>
        <v>220000.00000000003</v>
      </c>
      <c r="G4027" s="618">
        <f t="shared" si="152"/>
        <v>440000.00000000006</v>
      </c>
    </row>
    <row r="4028" spans="1:7" ht="15.75" hidden="1" customHeight="1" outlineLevel="2">
      <c r="C4028" s="1200" t="s">
        <v>824</v>
      </c>
      <c r="D4028" s="1200"/>
      <c r="E4028" s="1200"/>
      <c r="F4028" s="1200"/>
      <c r="G4028" s="618">
        <f>SUM(G4019:G4027)</f>
        <v>2346714.7000000002</v>
      </c>
    </row>
    <row r="4029" spans="1:7" ht="15.75" customHeight="1" outlineLevel="1" collapsed="1">
      <c r="A4029" s="633" t="s">
        <v>2074</v>
      </c>
      <c r="B4029" s="619">
        <f>1+B3985</f>
        <v>20</v>
      </c>
      <c r="C4029" s="633" t="s">
        <v>973</v>
      </c>
      <c r="G4029" s="618">
        <f>G4039</f>
        <v>792595.00000000012</v>
      </c>
    </row>
    <row r="4030" spans="1:7" ht="15.75" hidden="1" customHeight="1" outlineLevel="2">
      <c r="C4030" s="633" t="s">
        <v>1052</v>
      </c>
    </row>
    <row r="4031" spans="1:7" ht="15.75" hidden="1" customHeight="1" outlineLevel="2">
      <c r="C4031" s="633" t="s">
        <v>952</v>
      </c>
      <c r="D4031" s="619" t="s">
        <v>1257</v>
      </c>
      <c r="E4031" s="633">
        <v>4</v>
      </c>
      <c r="F4031" s="618">
        <f>worker</f>
        <v>107800.00000000001</v>
      </c>
      <c r="G4031" s="618">
        <f t="shared" ref="G4031:G4038" si="153">E4031*F4031</f>
        <v>431200.00000000006</v>
      </c>
    </row>
    <row r="4032" spans="1:7" ht="15.75" hidden="1" customHeight="1" outlineLevel="2">
      <c r="C4032" s="633" t="s">
        <v>1227</v>
      </c>
      <c r="D4032" s="619" t="s">
        <v>1257</v>
      </c>
      <c r="E4032" s="633">
        <v>1</v>
      </c>
      <c r="F4032" s="618">
        <f>skill_worker</f>
        <v>195360.00000000003</v>
      </c>
      <c r="G4032" s="618">
        <f t="shared" si="153"/>
        <v>195360.00000000003</v>
      </c>
    </row>
    <row r="4033" spans="1:7" ht="15.75" hidden="1" customHeight="1" outlineLevel="2">
      <c r="C4033" s="633" t="s">
        <v>1254</v>
      </c>
      <c r="D4033" s="619" t="s">
        <v>1257</v>
      </c>
      <c r="E4033" s="633">
        <v>0</v>
      </c>
      <c r="F4033" s="618">
        <f>steel_worker_erection</f>
        <v>239580.00000000003</v>
      </c>
      <c r="G4033" s="618">
        <f t="shared" si="153"/>
        <v>0</v>
      </c>
    </row>
    <row r="4034" spans="1:7" ht="15.75" hidden="1" customHeight="1" outlineLevel="2">
      <c r="C4034" s="633" t="s">
        <v>393</v>
      </c>
      <c r="D4034" s="619" t="s">
        <v>1257</v>
      </c>
      <c r="E4034" s="633">
        <v>1</v>
      </c>
      <c r="F4034" s="618">
        <f>supervisor_Asli</f>
        <v>155155</v>
      </c>
      <c r="G4034" s="618">
        <f t="shared" si="153"/>
        <v>155155</v>
      </c>
    </row>
    <row r="4035" spans="1:7" ht="15.75" hidden="1" customHeight="1" outlineLevel="2">
      <c r="G4035" s="618">
        <f t="shared" si="153"/>
        <v>0</v>
      </c>
    </row>
    <row r="4036" spans="1:7" ht="15.75" hidden="1" customHeight="1" outlineLevel="2">
      <c r="C4036" s="633" t="s">
        <v>925</v>
      </c>
      <c r="G4036" s="618">
        <f t="shared" si="153"/>
        <v>0</v>
      </c>
    </row>
    <row r="4037" spans="1:7" ht="15.75" hidden="1" customHeight="1" outlineLevel="2">
      <c r="C4037" s="633" t="s">
        <v>1255</v>
      </c>
      <c r="D4037" s="619" t="s">
        <v>72</v>
      </c>
      <c r="E4037" s="633">
        <v>0</v>
      </c>
      <c r="F4037" s="618">
        <v>139800</v>
      </c>
      <c r="G4037" s="618">
        <f t="shared" si="153"/>
        <v>0</v>
      </c>
    </row>
    <row r="4038" spans="1:7" ht="15.75" hidden="1" customHeight="1" outlineLevel="2">
      <c r="C4038" s="633" t="s">
        <v>1256</v>
      </c>
      <c r="D4038" s="619" t="s">
        <v>474</v>
      </c>
      <c r="E4038" s="633">
        <v>1</v>
      </c>
      <c r="F4038" s="618">
        <v>10880</v>
      </c>
      <c r="G4038" s="618">
        <f t="shared" si="153"/>
        <v>10880</v>
      </c>
    </row>
    <row r="4039" spans="1:7" ht="15.75" hidden="1" customHeight="1" outlineLevel="2">
      <c r="C4039" s="1200" t="s">
        <v>824</v>
      </c>
      <c r="D4039" s="1200"/>
      <c r="E4039" s="1200"/>
      <c r="F4039" s="1200"/>
      <c r="G4039" s="618">
        <f>SUM(G4031:G4038)</f>
        <v>792595.00000000012</v>
      </c>
    </row>
    <row r="4040" spans="1:7" ht="15.75" customHeight="1" outlineLevel="1" collapsed="1">
      <c r="A4040" s="633" t="s">
        <v>2074</v>
      </c>
      <c r="B4040" s="619">
        <f>1+B4029</f>
        <v>21</v>
      </c>
      <c r="C4040" s="633" t="s">
        <v>976</v>
      </c>
      <c r="G4040" s="618">
        <f>G4050</f>
        <v>792715.00000000012</v>
      </c>
    </row>
    <row r="4041" spans="1:7" ht="15.75" hidden="1" customHeight="1" outlineLevel="2">
      <c r="C4041" s="633" t="s">
        <v>1052</v>
      </c>
    </row>
    <row r="4042" spans="1:7" ht="15.75" hidden="1" customHeight="1" outlineLevel="2">
      <c r="C4042" s="633" t="s">
        <v>952</v>
      </c>
      <c r="D4042" s="619" t="s">
        <v>1257</v>
      </c>
      <c r="E4042" s="633">
        <v>4</v>
      </c>
      <c r="F4042" s="618">
        <f>worker</f>
        <v>107800.00000000001</v>
      </c>
      <c r="G4042" s="618">
        <f t="shared" ref="G4042:G4049" si="154">E4042*F4042</f>
        <v>431200.00000000006</v>
      </c>
    </row>
    <row r="4043" spans="1:7" ht="15.75" hidden="1" customHeight="1" outlineLevel="2">
      <c r="C4043" s="633" t="s">
        <v>1227</v>
      </c>
      <c r="D4043" s="619" t="s">
        <v>1257</v>
      </c>
      <c r="E4043" s="633">
        <v>1</v>
      </c>
      <c r="F4043" s="618">
        <f>skill_worker</f>
        <v>195360.00000000003</v>
      </c>
      <c r="G4043" s="618">
        <f t="shared" si="154"/>
        <v>195360.00000000003</v>
      </c>
    </row>
    <row r="4044" spans="1:7" ht="15.75" hidden="1" customHeight="1" outlineLevel="2">
      <c r="C4044" s="633" t="s">
        <v>1254</v>
      </c>
      <c r="D4044" s="619" t="s">
        <v>1257</v>
      </c>
      <c r="E4044" s="633">
        <v>0</v>
      </c>
      <c r="F4044" s="618">
        <f>steel_worker_erection</f>
        <v>239580.00000000003</v>
      </c>
      <c r="G4044" s="618">
        <f t="shared" si="154"/>
        <v>0</v>
      </c>
    </row>
    <row r="4045" spans="1:7" ht="15.75" hidden="1" customHeight="1" outlineLevel="2">
      <c r="C4045" s="633" t="s">
        <v>393</v>
      </c>
      <c r="D4045" s="619" t="s">
        <v>1257</v>
      </c>
      <c r="E4045" s="633">
        <v>1</v>
      </c>
      <c r="F4045" s="618">
        <f>supervisor_Asli</f>
        <v>155155</v>
      </c>
      <c r="G4045" s="618">
        <f t="shared" si="154"/>
        <v>155155</v>
      </c>
    </row>
    <row r="4046" spans="1:7" ht="15.75" hidden="1" customHeight="1" outlineLevel="2">
      <c r="G4046" s="618">
        <f t="shared" si="154"/>
        <v>0</v>
      </c>
    </row>
    <row r="4047" spans="1:7" ht="15.75" hidden="1" customHeight="1" outlineLevel="2">
      <c r="C4047" s="633" t="s">
        <v>925</v>
      </c>
      <c r="G4047" s="618">
        <f t="shared" si="154"/>
        <v>0</v>
      </c>
    </row>
    <row r="4048" spans="1:7" ht="15.75" hidden="1" customHeight="1" outlineLevel="2">
      <c r="C4048" s="633" t="s">
        <v>1255</v>
      </c>
      <c r="D4048" s="619" t="s">
        <v>72</v>
      </c>
      <c r="E4048" s="633">
        <v>0</v>
      </c>
      <c r="F4048" s="618">
        <v>139800</v>
      </c>
      <c r="G4048" s="618">
        <f t="shared" si="154"/>
        <v>0</v>
      </c>
    </row>
    <row r="4049" spans="1:7" ht="15.75" hidden="1" customHeight="1" outlineLevel="2">
      <c r="C4049" s="633" t="s">
        <v>1256</v>
      </c>
      <c r="D4049" s="619" t="s">
        <v>474</v>
      </c>
      <c r="E4049" s="633">
        <v>1</v>
      </c>
      <c r="F4049" s="618">
        <v>11000</v>
      </c>
      <c r="G4049" s="618">
        <f t="shared" si="154"/>
        <v>11000</v>
      </c>
    </row>
    <row r="4050" spans="1:7" ht="15.75" hidden="1" customHeight="1" outlineLevel="2">
      <c r="C4050" s="1200" t="s">
        <v>824</v>
      </c>
      <c r="D4050" s="1200"/>
      <c r="E4050" s="1200"/>
      <c r="F4050" s="1200"/>
      <c r="G4050" s="618">
        <f>SUM(G4042:G4049)</f>
        <v>792715.00000000012</v>
      </c>
    </row>
    <row r="4051" spans="1:7" ht="15.75" customHeight="1" outlineLevel="1" collapsed="1">
      <c r="A4051" s="633" t="s">
        <v>2074</v>
      </c>
      <c r="B4051" s="619">
        <f>1+B4040</f>
        <v>22</v>
      </c>
      <c r="C4051" s="633" t="s">
        <v>977</v>
      </c>
      <c r="G4051" s="618">
        <f>G4061</f>
        <v>4156075.0000000005</v>
      </c>
    </row>
    <row r="4052" spans="1:7" ht="15.75" hidden="1" customHeight="1" outlineLevel="2">
      <c r="C4052" s="633" t="s">
        <v>1052</v>
      </c>
    </row>
    <row r="4053" spans="1:7" ht="15.75" hidden="1" customHeight="1" outlineLevel="2">
      <c r="C4053" s="633" t="s">
        <v>952</v>
      </c>
      <c r="D4053" s="619" t="s">
        <v>1257</v>
      </c>
      <c r="E4053" s="633">
        <v>10</v>
      </c>
      <c r="F4053" s="618">
        <f>worker</f>
        <v>107800.00000000001</v>
      </c>
      <c r="G4053" s="618">
        <f t="shared" ref="G4053:G4060" si="155">E4053*F4053</f>
        <v>1078000.0000000002</v>
      </c>
    </row>
    <row r="4054" spans="1:7" ht="15.75" hidden="1" customHeight="1" outlineLevel="2">
      <c r="C4054" s="633" t="s">
        <v>1227</v>
      </c>
      <c r="D4054" s="619" t="s">
        <v>1257</v>
      </c>
      <c r="E4054" s="633">
        <v>10</v>
      </c>
      <c r="F4054" s="618">
        <f>skill_worker</f>
        <v>195360.00000000003</v>
      </c>
      <c r="G4054" s="618">
        <f t="shared" si="155"/>
        <v>1953600.0000000002</v>
      </c>
    </row>
    <row r="4055" spans="1:7" ht="15.75" hidden="1" customHeight="1" outlineLevel="2">
      <c r="C4055" s="633" t="s">
        <v>1254</v>
      </c>
      <c r="D4055" s="619" t="s">
        <v>1257</v>
      </c>
      <c r="E4055" s="633">
        <v>4</v>
      </c>
      <c r="F4055" s="618">
        <f>steel_worker_erection</f>
        <v>239580.00000000003</v>
      </c>
      <c r="G4055" s="618">
        <f t="shared" si="155"/>
        <v>958320.00000000012</v>
      </c>
    </row>
    <row r="4056" spans="1:7" ht="15.75" hidden="1" customHeight="1" outlineLevel="2">
      <c r="C4056" s="633" t="s">
        <v>393</v>
      </c>
      <c r="D4056" s="619" t="s">
        <v>1257</v>
      </c>
      <c r="E4056" s="633">
        <v>1</v>
      </c>
      <c r="F4056" s="618">
        <f>supervisor_Asli</f>
        <v>155155</v>
      </c>
      <c r="G4056" s="618">
        <f t="shared" si="155"/>
        <v>155155</v>
      </c>
    </row>
    <row r="4057" spans="1:7" ht="15.75" hidden="1" customHeight="1" outlineLevel="2">
      <c r="G4057" s="618">
        <f t="shared" si="155"/>
        <v>0</v>
      </c>
    </row>
    <row r="4058" spans="1:7" ht="15.75" hidden="1" customHeight="1" outlineLevel="2">
      <c r="C4058" s="633" t="s">
        <v>925</v>
      </c>
      <c r="G4058" s="618">
        <f t="shared" si="155"/>
        <v>0</v>
      </c>
    </row>
    <row r="4059" spans="1:7" ht="15.75" hidden="1" customHeight="1" outlineLevel="2">
      <c r="C4059" s="633" t="s">
        <v>1255</v>
      </c>
      <c r="D4059" s="619" t="s">
        <v>72</v>
      </c>
      <c r="E4059" s="633">
        <v>0</v>
      </c>
      <c r="F4059" s="618">
        <v>139800</v>
      </c>
      <c r="G4059" s="618">
        <f t="shared" si="155"/>
        <v>0</v>
      </c>
    </row>
    <row r="4060" spans="1:7" ht="15.75" hidden="1" customHeight="1" outlineLevel="2">
      <c r="C4060" s="633" t="s">
        <v>1256</v>
      </c>
      <c r="D4060" s="619" t="s">
        <v>474</v>
      </c>
      <c r="E4060" s="633">
        <v>1</v>
      </c>
      <c r="F4060" s="618">
        <v>11000</v>
      </c>
      <c r="G4060" s="618">
        <f t="shared" si="155"/>
        <v>11000</v>
      </c>
    </row>
    <row r="4061" spans="1:7" ht="15.75" hidden="1" customHeight="1" outlineLevel="2">
      <c r="C4061" s="1200" t="s">
        <v>824</v>
      </c>
      <c r="D4061" s="1200"/>
      <c r="E4061" s="1200"/>
      <c r="F4061" s="1200"/>
      <c r="G4061" s="618">
        <f>SUM(G4053:G4060)</f>
        <v>4156075.0000000005</v>
      </c>
    </row>
    <row r="4062" spans="1:7" ht="15.75" customHeight="1" outlineLevel="1" collapsed="1">
      <c r="A4062" s="633" t="s">
        <v>2074</v>
      </c>
      <c r="B4062" s="619">
        <f>B4051+1</f>
        <v>23</v>
      </c>
      <c r="C4062" s="633" t="s">
        <v>978</v>
      </c>
      <c r="G4062" s="618">
        <f>G4086</f>
        <v>14740880.000000002</v>
      </c>
    </row>
    <row r="4063" spans="1:7" ht="15.75" hidden="1" customHeight="1" outlineLevel="2">
      <c r="B4063" s="619">
        <v>1</v>
      </c>
      <c r="C4063" s="633" t="s">
        <v>979</v>
      </c>
      <c r="D4063" s="619" t="s">
        <v>1</v>
      </c>
      <c r="E4063" s="633">
        <v>50</v>
      </c>
    </row>
    <row r="4064" spans="1:7" ht="15.75" hidden="1" customHeight="1" outlineLevel="2">
      <c r="B4064" s="619">
        <v>2</v>
      </c>
      <c r="C4064" s="633" t="s">
        <v>980</v>
      </c>
    </row>
    <row r="4065" spans="2:7" ht="15.75" hidden="1" customHeight="1" outlineLevel="2">
      <c r="C4065" s="633" t="s">
        <v>1052</v>
      </c>
    </row>
    <row r="4066" spans="2:7" ht="15.75" hidden="1" customHeight="1" outlineLevel="2">
      <c r="C4066" s="633" t="s">
        <v>495</v>
      </c>
      <c r="D4066" s="619" t="s">
        <v>1257</v>
      </c>
      <c r="E4066" s="633">
        <v>1</v>
      </c>
      <c r="F4066" s="618">
        <f>supervisor_Asli</f>
        <v>155155</v>
      </c>
      <c r="G4066" s="618">
        <f t="shared" ref="G4066:G4073" si="156">E4066*F4066</f>
        <v>155155</v>
      </c>
    </row>
    <row r="4067" spans="2:7" ht="15.75" hidden="1" customHeight="1" outlineLevel="2">
      <c r="C4067" s="633" t="s">
        <v>923</v>
      </c>
      <c r="D4067" s="619" t="s">
        <v>1257</v>
      </c>
      <c r="E4067" s="633">
        <v>2</v>
      </c>
      <c r="F4067" s="618">
        <f>skill_worker</f>
        <v>195360.00000000003</v>
      </c>
      <c r="G4067" s="618">
        <f t="shared" si="156"/>
        <v>390720.00000000006</v>
      </c>
    </row>
    <row r="4068" spans="2:7" ht="15.75" hidden="1" customHeight="1" outlineLevel="2">
      <c r="C4068" s="633" t="s">
        <v>493</v>
      </c>
      <c r="D4068" s="619" t="s">
        <v>1257</v>
      </c>
      <c r="E4068" s="633">
        <v>2</v>
      </c>
      <c r="F4068" s="618">
        <f>worker</f>
        <v>107800.00000000001</v>
      </c>
      <c r="G4068" s="618">
        <f t="shared" si="156"/>
        <v>215600.00000000003</v>
      </c>
    </row>
    <row r="4069" spans="2:7" ht="15.75" hidden="1" customHeight="1" outlineLevel="2">
      <c r="C4069" s="633" t="s">
        <v>1254</v>
      </c>
      <c r="D4069" s="619" t="s">
        <v>1257</v>
      </c>
      <c r="E4069" s="633">
        <v>1</v>
      </c>
      <c r="F4069" s="618">
        <f>steel_worker_erection</f>
        <v>239580.00000000003</v>
      </c>
      <c r="G4069" s="618">
        <f t="shared" si="156"/>
        <v>239580.00000000003</v>
      </c>
    </row>
    <row r="4070" spans="2:7" ht="15.75" hidden="1" customHeight="1" outlineLevel="2">
      <c r="G4070" s="618">
        <f t="shared" si="156"/>
        <v>0</v>
      </c>
    </row>
    <row r="4071" spans="2:7" ht="15.75" hidden="1" customHeight="1" outlineLevel="2">
      <c r="C4071" s="633" t="s">
        <v>925</v>
      </c>
      <c r="G4071" s="618">
        <f t="shared" si="156"/>
        <v>0</v>
      </c>
    </row>
    <row r="4072" spans="2:7" ht="15.75" hidden="1" customHeight="1" outlineLevel="2">
      <c r="C4072" s="633" t="s">
        <v>1255</v>
      </c>
      <c r="D4072" s="619" t="s">
        <v>72</v>
      </c>
      <c r="E4072" s="633">
        <v>3</v>
      </c>
      <c r="F4072" s="618">
        <f>truc_crane_35t_day/8</f>
        <v>1031250.0000000001</v>
      </c>
      <c r="G4072" s="618">
        <f t="shared" si="156"/>
        <v>3093750.0000000005</v>
      </c>
    </row>
    <row r="4073" spans="2:7" ht="15.75" hidden="1" customHeight="1" outlineLevel="2">
      <c r="C4073" s="633" t="s">
        <v>1256</v>
      </c>
      <c r="D4073" s="619" t="s">
        <v>474</v>
      </c>
      <c r="E4073" s="633">
        <v>0</v>
      </c>
      <c r="F4073" s="618">
        <f>F4060</f>
        <v>11000</v>
      </c>
      <c r="G4073" s="618">
        <f t="shared" si="156"/>
        <v>0</v>
      </c>
    </row>
    <row r="4074" spans="2:7" ht="15.75" hidden="1" customHeight="1" outlineLevel="2">
      <c r="G4074" s="618">
        <f>SUM(G4065:G4073)</f>
        <v>4094805.0000000005</v>
      </c>
    </row>
    <row r="4075" spans="2:7" ht="15.75" hidden="1" customHeight="1" outlineLevel="2">
      <c r="B4075" s="619">
        <v>3</v>
      </c>
      <c r="C4075" s="633" t="s">
        <v>981</v>
      </c>
    </row>
    <row r="4076" spans="2:7" ht="15.75" hidden="1" customHeight="1" outlineLevel="2">
      <c r="C4076" s="633" t="s">
        <v>1052</v>
      </c>
    </row>
    <row r="4077" spans="2:7" ht="15.75" hidden="1" customHeight="1" outlineLevel="2">
      <c r="C4077" s="633" t="s">
        <v>495</v>
      </c>
      <c r="D4077" s="619" t="s">
        <v>1257</v>
      </c>
      <c r="E4077" s="633">
        <v>1</v>
      </c>
      <c r="F4077" s="618">
        <f>supervisor_Asli</f>
        <v>155155</v>
      </c>
      <c r="G4077" s="618">
        <f t="shared" ref="G4077:G4084" si="157">E4077*F4077</f>
        <v>155155</v>
      </c>
    </row>
    <row r="4078" spans="2:7" ht="15.75" hidden="1" customHeight="1" outlineLevel="2">
      <c r="C4078" s="633" t="s">
        <v>923</v>
      </c>
      <c r="D4078" s="619" t="s">
        <v>1257</v>
      </c>
      <c r="E4078" s="633">
        <v>4</v>
      </c>
      <c r="F4078" s="618">
        <f>skill_worker</f>
        <v>195360.00000000003</v>
      </c>
      <c r="G4078" s="618">
        <f t="shared" si="157"/>
        <v>781440.00000000012</v>
      </c>
    </row>
    <row r="4079" spans="2:7" ht="15.75" hidden="1" customHeight="1" outlineLevel="2">
      <c r="C4079" s="633" t="s">
        <v>493</v>
      </c>
      <c r="D4079" s="619" t="s">
        <v>1257</v>
      </c>
      <c r="E4079" s="633">
        <v>8</v>
      </c>
      <c r="F4079" s="618">
        <f>worker</f>
        <v>107800.00000000001</v>
      </c>
      <c r="G4079" s="618">
        <f t="shared" si="157"/>
        <v>862400.00000000012</v>
      </c>
    </row>
    <row r="4080" spans="2:7" ht="15.75" hidden="1" customHeight="1" outlineLevel="2">
      <c r="C4080" s="633" t="s">
        <v>1258</v>
      </c>
      <c r="D4080" s="619" t="s">
        <v>1257</v>
      </c>
      <c r="E4080" s="633">
        <v>3</v>
      </c>
      <c r="F4080" s="618">
        <f>skill_worker</f>
        <v>195360.00000000003</v>
      </c>
      <c r="G4080" s="618">
        <f t="shared" si="157"/>
        <v>586080.00000000012</v>
      </c>
    </row>
    <row r="4081" spans="1:7" ht="15.75" hidden="1" customHeight="1" outlineLevel="2">
      <c r="G4081" s="618">
        <f t="shared" si="157"/>
        <v>0</v>
      </c>
    </row>
    <row r="4082" spans="1:7" ht="15.75" hidden="1" customHeight="1" outlineLevel="2">
      <c r="C4082" s="633" t="s">
        <v>925</v>
      </c>
      <c r="G4082" s="618">
        <f t="shared" si="157"/>
        <v>0</v>
      </c>
    </row>
    <row r="4083" spans="1:7" ht="15.75" hidden="1" customHeight="1" outlineLevel="2">
      <c r="C4083" s="633" t="s">
        <v>1255</v>
      </c>
      <c r="D4083" s="619" t="s">
        <v>72</v>
      </c>
      <c r="E4083" s="633">
        <v>8</v>
      </c>
      <c r="F4083" s="618">
        <f>truc_crane_35t_day/8</f>
        <v>1031250.0000000001</v>
      </c>
      <c r="G4083" s="618">
        <f t="shared" si="157"/>
        <v>8250000.0000000009</v>
      </c>
    </row>
    <row r="4084" spans="1:7" ht="15.75" hidden="1" customHeight="1" outlineLevel="2">
      <c r="C4084" s="633" t="s">
        <v>1256</v>
      </c>
      <c r="D4084" s="619" t="s">
        <v>474</v>
      </c>
      <c r="E4084" s="633">
        <v>1</v>
      </c>
      <c r="F4084" s="618">
        <f>F4073</f>
        <v>11000</v>
      </c>
      <c r="G4084" s="618">
        <f t="shared" si="157"/>
        <v>11000</v>
      </c>
    </row>
    <row r="4085" spans="1:7" ht="15.75" hidden="1" customHeight="1" outlineLevel="2">
      <c r="G4085" s="618">
        <f>SUM(G4076:G4084)</f>
        <v>10646075.000000002</v>
      </c>
    </row>
    <row r="4086" spans="1:7" ht="15.75" hidden="1" customHeight="1" outlineLevel="2">
      <c r="C4086" s="1200" t="str">
        <f>"Total "&amp;C4062</f>
        <v>Total Pemasangan CT Netral Sistem 150 kV</v>
      </c>
      <c r="D4086" s="1200"/>
      <c r="E4086" s="1200"/>
      <c r="F4086" s="1200"/>
      <c r="G4086" s="618">
        <f>SUM(G4085,G4074)</f>
        <v>14740880.000000002</v>
      </c>
    </row>
    <row r="4087" spans="1:7" ht="15.75" customHeight="1" outlineLevel="1" collapsed="1">
      <c r="A4087" s="633" t="s">
        <v>2074</v>
      </c>
      <c r="B4087" s="619">
        <f>B4062+1</f>
        <v>24</v>
      </c>
      <c r="C4087" s="633" t="s">
        <v>982</v>
      </c>
      <c r="G4087" s="618">
        <f>G4111</f>
        <v>14729880.000000002</v>
      </c>
    </row>
    <row r="4088" spans="1:7" ht="15.75" hidden="1" customHeight="1" outlineLevel="2">
      <c r="B4088" s="619">
        <v>1</v>
      </c>
      <c r="C4088" s="633" t="s">
        <v>979</v>
      </c>
      <c r="D4088" s="619" t="s">
        <v>1</v>
      </c>
      <c r="E4088" s="633">
        <v>50</v>
      </c>
    </row>
    <row r="4089" spans="1:7" ht="15.75" hidden="1" customHeight="1" outlineLevel="2">
      <c r="B4089" s="619">
        <v>2</v>
      </c>
      <c r="C4089" s="633" t="s">
        <v>980</v>
      </c>
    </row>
    <row r="4090" spans="1:7" ht="15.75" hidden="1" customHeight="1" outlineLevel="2">
      <c r="C4090" s="633" t="s">
        <v>1052</v>
      </c>
    </row>
    <row r="4091" spans="1:7" ht="15.75" hidden="1" customHeight="1" outlineLevel="2">
      <c r="C4091" s="633" t="s">
        <v>495</v>
      </c>
      <c r="D4091" s="619" t="s">
        <v>1257</v>
      </c>
      <c r="E4091" s="633">
        <v>1</v>
      </c>
      <c r="F4091" s="618">
        <f>supervisor_Asli</f>
        <v>155155</v>
      </c>
      <c r="G4091" s="618">
        <f t="shared" ref="G4091:G4098" si="158">E4091*F4091</f>
        <v>155155</v>
      </c>
    </row>
    <row r="4092" spans="1:7" ht="15.75" hidden="1" customHeight="1" outlineLevel="2">
      <c r="C4092" s="633" t="s">
        <v>923</v>
      </c>
      <c r="D4092" s="619" t="s">
        <v>1257</v>
      </c>
      <c r="E4092" s="633">
        <v>2</v>
      </c>
      <c r="F4092" s="618">
        <f>skill_worker</f>
        <v>195360.00000000003</v>
      </c>
      <c r="G4092" s="618">
        <f t="shared" si="158"/>
        <v>390720.00000000006</v>
      </c>
    </row>
    <row r="4093" spans="1:7" ht="15.75" hidden="1" customHeight="1" outlineLevel="2">
      <c r="C4093" s="633" t="s">
        <v>493</v>
      </c>
      <c r="D4093" s="619" t="s">
        <v>1257</v>
      </c>
      <c r="E4093" s="633">
        <v>2</v>
      </c>
      <c r="F4093" s="618">
        <f>worker</f>
        <v>107800.00000000001</v>
      </c>
      <c r="G4093" s="618">
        <f t="shared" si="158"/>
        <v>215600.00000000003</v>
      </c>
    </row>
    <row r="4094" spans="1:7" ht="15.75" hidden="1" customHeight="1" outlineLevel="2">
      <c r="C4094" s="633" t="s">
        <v>1254</v>
      </c>
      <c r="D4094" s="619" t="s">
        <v>1257</v>
      </c>
      <c r="E4094" s="633">
        <v>1</v>
      </c>
      <c r="F4094" s="618">
        <f>steel_worker_erection</f>
        <v>239580.00000000003</v>
      </c>
      <c r="G4094" s="618">
        <f t="shared" si="158"/>
        <v>239580.00000000003</v>
      </c>
    </row>
    <row r="4095" spans="1:7" ht="15.75" hidden="1" customHeight="1" outlineLevel="2">
      <c r="G4095" s="618">
        <f t="shared" si="158"/>
        <v>0</v>
      </c>
    </row>
    <row r="4096" spans="1:7" ht="15.75" hidden="1" customHeight="1" outlineLevel="2">
      <c r="C4096" s="633" t="s">
        <v>925</v>
      </c>
      <c r="G4096" s="618">
        <f t="shared" si="158"/>
        <v>0</v>
      </c>
    </row>
    <row r="4097" spans="1:7" ht="15.75" hidden="1" customHeight="1" outlineLevel="2">
      <c r="C4097" s="633" t="s">
        <v>1255</v>
      </c>
      <c r="D4097" s="619" t="s">
        <v>72</v>
      </c>
      <c r="E4097" s="633">
        <v>3</v>
      </c>
      <c r="F4097" s="618">
        <f>truc_crane_35t_day/8</f>
        <v>1031250.0000000001</v>
      </c>
      <c r="G4097" s="618">
        <f t="shared" si="158"/>
        <v>3093750.0000000005</v>
      </c>
    </row>
    <row r="4098" spans="1:7" ht="15.75" hidden="1" customHeight="1" outlineLevel="2">
      <c r="C4098" s="633" t="s">
        <v>1256</v>
      </c>
      <c r="D4098" s="619" t="s">
        <v>474</v>
      </c>
      <c r="E4098" s="633">
        <v>0</v>
      </c>
      <c r="F4098" s="618">
        <f>F4085</f>
        <v>0</v>
      </c>
      <c r="G4098" s="618">
        <f t="shared" si="158"/>
        <v>0</v>
      </c>
    </row>
    <row r="4099" spans="1:7" ht="15.75" hidden="1" customHeight="1" outlineLevel="2">
      <c r="G4099" s="618">
        <f>SUM(G4090:G4098)</f>
        <v>4094805.0000000005</v>
      </c>
    </row>
    <row r="4100" spans="1:7" ht="15.75" hidden="1" customHeight="1" outlineLevel="2">
      <c r="B4100" s="619">
        <v>3</v>
      </c>
      <c r="C4100" s="633" t="s">
        <v>981</v>
      </c>
    </row>
    <row r="4101" spans="1:7" ht="15.75" hidden="1" customHeight="1" outlineLevel="2">
      <c r="C4101" s="633" t="s">
        <v>1052</v>
      </c>
    </row>
    <row r="4102" spans="1:7" ht="15.75" hidden="1" customHeight="1" outlineLevel="2">
      <c r="C4102" s="633" t="s">
        <v>495</v>
      </c>
      <c r="D4102" s="619" t="s">
        <v>1257</v>
      </c>
      <c r="E4102" s="633">
        <v>1</v>
      </c>
      <c r="F4102" s="618">
        <f>supervisor_Asli</f>
        <v>155155</v>
      </c>
      <c r="G4102" s="618">
        <f t="shared" ref="G4102:G4109" si="159">E4102*F4102</f>
        <v>155155</v>
      </c>
    </row>
    <row r="4103" spans="1:7" ht="15.75" hidden="1" customHeight="1" outlineLevel="2">
      <c r="C4103" s="633" t="s">
        <v>923</v>
      </c>
      <c r="D4103" s="619" t="s">
        <v>1257</v>
      </c>
      <c r="E4103" s="633">
        <v>4</v>
      </c>
      <c r="F4103" s="618">
        <f>skill_worker</f>
        <v>195360.00000000003</v>
      </c>
      <c r="G4103" s="618">
        <f t="shared" si="159"/>
        <v>781440.00000000012</v>
      </c>
    </row>
    <row r="4104" spans="1:7" ht="15.75" hidden="1" customHeight="1" outlineLevel="2">
      <c r="C4104" s="633" t="s">
        <v>493</v>
      </c>
      <c r="D4104" s="619" t="s">
        <v>1257</v>
      </c>
      <c r="E4104" s="633">
        <v>8</v>
      </c>
      <c r="F4104" s="618">
        <f>worker</f>
        <v>107800.00000000001</v>
      </c>
      <c r="G4104" s="618">
        <f t="shared" si="159"/>
        <v>862400.00000000012</v>
      </c>
    </row>
    <row r="4105" spans="1:7" ht="15.75" hidden="1" customHeight="1" outlineLevel="2">
      <c r="C4105" s="633" t="s">
        <v>1258</v>
      </c>
      <c r="D4105" s="619" t="s">
        <v>1257</v>
      </c>
      <c r="E4105" s="633">
        <v>3</v>
      </c>
      <c r="F4105" s="618">
        <f>skill_worker</f>
        <v>195360.00000000003</v>
      </c>
      <c r="G4105" s="618">
        <f t="shared" si="159"/>
        <v>586080.00000000012</v>
      </c>
    </row>
    <row r="4106" spans="1:7" ht="15.75" hidden="1" customHeight="1" outlineLevel="2">
      <c r="G4106" s="618">
        <f t="shared" si="159"/>
        <v>0</v>
      </c>
    </row>
    <row r="4107" spans="1:7" ht="15.75" hidden="1" customHeight="1" outlineLevel="2">
      <c r="C4107" s="633" t="s">
        <v>925</v>
      </c>
      <c r="G4107" s="618">
        <f t="shared" si="159"/>
        <v>0</v>
      </c>
    </row>
    <row r="4108" spans="1:7" ht="15.75" hidden="1" customHeight="1" outlineLevel="2">
      <c r="C4108" s="633" t="s">
        <v>1255</v>
      </c>
      <c r="D4108" s="619" t="s">
        <v>72</v>
      </c>
      <c r="E4108" s="633">
        <v>8</v>
      </c>
      <c r="F4108" s="618">
        <f>truc_crane_35t_day/8</f>
        <v>1031250.0000000001</v>
      </c>
      <c r="G4108" s="618">
        <f t="shared" si="159"/>
        <v>8250000.0000000009</v>
      </c>
    </row>
    <row r="4109" spans="1:7" ht="15.75" hidden="1" customHeight="1" outlineLevel="2">
      <c r="C4109" s="633" t="s">
        <v>1256</v>
      </c>
      <c r="D4109" s="619" t="s">
        <v>474</v>
      </c>
      <c r="E4109" s="633">
        <v>1</v>
      </c>
      <c r="F4109" s="618">
        <f>F4098</f>
        <v>0</v>
      </c>
      <c r="G4109" s="618">
        <f t="shared" si="159"/>
        <v>0</v>
      </c>
    </row>
    <row r="4110" spans="1:7" ht="15.75" hidden="1" customHeight="1" outlineLevel="2">
      <c r="G4110" s="618">
        <f>SUM(G4101:G4109)</f>
        <v>10635075.000000002</v>
      </c>
    </row>
    <row r="4111" spans="1:7" ht="15.75" hidden="1" customHeight="1" outlineLevel="2">
      <c r="C4111" s="1200" t="str">
        <f>"Total "&amp;C4087</f>
        <v>Total Pemasangan CT Netral Sistem 70 kV</v>
      </c>
      <c r="D4111" s="1200"/>
      <c r="E4111" s="1200"/>
      <c r="F4111" s="1200"/>
      <c r="G4111" s="618">
        <f>SUM(G4110,G4099)</f>
        <v>14729880.000000002</v>
      </c>
    </row>
    <row r="4112" spans="1:7" ht="15.75" customHeight="1" outlineLevel="1" collapsed="1">
      <c r="A4112" s="633" t="s">
        <v>2074</v>
      </c>
      <c r="B4112" s="594">
        <f>1+B4087</f>
        <v>25</v>
      </c>
      <c r="C4112" s="633" t="s">
        <v>1259</v>
      </c>
      <c r="G4112" s="618">
        <f>G4122</f>
        <v>4275635</v>
      </c>
    </row>
    <row r="4113" spans="1:7" ht="15.75" hidden="1" customHeight="1" outlineLevel="2">
      <c r="C4113" s="633" t="s">
        <v>1052</v>
      </c>
    </row>
    <row r="4114" spans="1:7" ht="15.75" hidden="1" customHeight="1" outlineLevel="2">
      <c r="C4114" s="633" t="s">
        <v>393</v>
      </c>
      <c r="D4114" s="619" t="s">
        <v>1257</v>
      </c>
      <c r="E4114" s="633">
        <v>1</v>
      </c>
      <c r="F4114" s="618">
        <f>supervisor_Asli</f>
        <v>155155</v>
      </c>
      <c r="G4114" s="618">
        <f t="shared" ref="G4114:G4121" si="160">E4114*F4114</f>
        <v>155155</v>
      </c>
    </row>
    <row r="4115" spans="1:7" ht="15.75" hidden="1" customHeight="1" outlineLevel="2">
      <c r="C4115" s="633" t="s">
        <v>1227</v>
      </c>
      <c r="D4115" s="619" t="s">
        <v>1257</v>
      </c>
      <c r="E4115" s="633">
        <v>10</v>
      </c>
      <c r="F4115" s="618">
        <f>skill_worker</f>
        <v>195360.00000000003</v>
      </c>
      <c r="G4115" s="618">
        <f t="shared" si="160"/>
        <v>1953600.0000000002</v>
      </c>
    </row>
    <row r="4116" spans="1:7" ht="15.75" hidden="1" customHeight="1" outlineLevel="2">
      <c r="C4116" s="633" t="s">
        <v>952</v>
      </c>
      <c r="D4116" s="619" t="s">
        <v>1257</v>
      </c>
      <c r="E4116" s="633">
        <v>20</v>
      </c>
      <c r="F4116" s="618">
        <f>worker</f>
        <v>107800.00000000001</v>
      </c>
      <c r="G4116" s="618">
        <f t="shared" si="160"/>
        <v>2156000.0000000005</v>
      </c>
    </row>
    <row r="4117" spans="1:7" ht="15.75" hidden="1" customHeight="1" outlineLevel="2">
      <c r="C4117" s="633" t="s">
        <v>1254</v>
      </c>
      <c r="D4117" s="619" t="s">
        <v>1257</v>
      </c>
      <c r="E4117" s="633">
        <v>0</v>
      </c>
      <c r="F4117" s="618">
        <f>steel_worker_erection</f>
        <v>239580.00000000003</v>
      </c>
      <c r="G4117" s="618">
        <f t="shared" si="160"/>
        <v>0</v>
      </c>
    </row>
    <row r="4118" spans="1:7" ht="15.75" hidden="1" customHeight="1" outlineLevel="2">
      <c r="G4118" s="618">
        <f t="shared" si="160"/>
        <v>0</v>
      </c>
    </row>
    <row r="4119" spans="1:7" ht="15.75" hidden="1" customHeight="1" outlineLevel="2">
      <c r="C4119" s="633" t="s">
        <v>925</v>
      </c>
      <c r="G4119" s="618">
        <f t="shared" si="160"/>
        <v>0</v>
      </c>
    </row>
    <row r="4120" spans="1:7" ht="15.75" hidden="1" customHeight="1" outlineLevel="2">
      <c r="C4120" s="633" t="s">
        <v>1255</v>
      </c>
      <c r="D4120" s="619" t="s">
        <v>72</v>
      </c>
      <c r="E4120" s="633">
        <v>0</v>
      </c>
      <c r="F4120" s="618">
        <f>truc_crane_35t_day/8</f>
        <v>1031250.0000000001</v>
      </c>
      <c r="G4120" s="618">
        <f t="shared" si="160"/>
        <v>0</v>
      </c>
    </row>
    <row r="4121" spans="1:7" ht="15.75" hidden="1" customHeight="1" outlineLevel="2">
      <c r="C4121" s="633" t="s">
        <v>1256</v>
      </c>
      <c r="D4121" s="619" t="s">
        <v>474</v>
      </c>
      <c r="E4121" s="633">
        <v>1</v>
      </c>
      <c r="F4121" s="618">
        <v>10880</v>
      </c>
      <c r="G4121" s="618">
        <f t="shared" si="160"/>
        <v>10880</v>
      </c>
    </row>
    <row r="4122" spans="1:7" ht="15.75" hidden="1" customHeight="1" outlineLevel="2">
      <c r="G4122" s="618">
        <f>SUM(G4113:G4121)</f>
        <v>4275635</v>
      </c>
    </row>
    <row r="4123" spans="1:7" ht="15.75" hidden="1" customHeight="1" outlineLevel="2">
      <c r="C4123" s="633" t="s">
        <v>1260</v>
      </c>
      <c r="D4123" s="619" t="s">
        <v>825</v>
      </c>
      <c r="E4123" s="633">
        <v>404</v>
      </c>
      <c r="G4123" s="618">
        <f>ROUNDUP((G4122/100)*E4123,0)</f>
        <v>17273566</v>
      </c>
    </row>
    <row r="4124" spans="1:7" ht="15.75" hidden="1" customHeight="1" outlineLevel="2">
      <c r="C4124" s="633" t="s">
        <v>1261</v>
      </c>
      <c r="D4124" s="619" t="s">
        <v>825</v>
      </c>
      <c r="E4124" s="633">
        <v>808</v>
      </c>
      <c r="G4124" s="618">
        <f>G4123*2</f>
        <v>34547132</v>
      </c>
    </row>
    <row r="4125" spans="1:7" ht="15.75" customHeight="1" outlineLevel="1" collapsed="1">
      <c r="A4125" s="633" t="s">
        <v>2074</v>
      </c>
      <c r="B4125" s="619">
        <f>1+B4112</f>
        <v>26</v>
      </c>
      <c r="C4125" s="633" t="s">
        <v>1262</v>
      </c>
    </row>
    <row r="4126" spans="1:7" ht="15.75" hidden="1" customHeight="1" outlineLevel="2">
      <c r="B4126" s="619" t="s">
        <v>816</v>
      </c>
      <c r="C4126" s="633" t="s">
        <v>1263</v>
      </c>
      <c r="G4126" s="618">
        <f>G4136</f>
        <v>29632625.000000004</v>
      </c>
    </row>
    <row r="4127" spans="1:7" ht="15.75" hidden="1" customHeight="1" outlineLevel="2">
      <c r="C4127" s="633" t="s">
        <v>1052</v>
      </c>
    </row>
    <row r="4128" spans="1:7" ht="15.75" hidden="1" customHeight="1" outlineLevel="2">
      <c r="C4128" s="633" t="s">
        <v>393</v>
      </c>
      <c r="D4128" s="619" t="s">
        <v>1257</v>
      </c>
      <c r="E4128" s="633">
        <v>3</v>
      </c>
      <c r="F4128" s="618">
        <f>supervisor_Asli</f>
        <v>155155</v>
      </c>
      <c r="G4128" s="618">
        <f t="shared" ref="G4128:G4135" si="161">E4128*F4128</f>
        <v>465465</v>
      </c>
    </row>
    <row r="4129" spans="2:7" ht="15.75" hidden="1" customHeight="1" outlineLevel="2">
      <c r="C4129" s="633" t="s">
        <v>1227</v>
      </c>
      <c r="D4129" s="619" t="s">
        <v>1257</v>
      </c>
      <c r="E4129" s="633">
        <v>6</v>
      </c>
      <c r="F4129" s="618">
        <f>skill_worker</f>
        <v>195360.00000000003</v>
      </c>
      <c r="G4129" s="618">
        <f t="shared" si="161"/>
        <v>1172160.0000000002</v>
      </c>
    </row>
    <row r="4130" spans="2:7" ht="15.75" hidden="1" customHeight="1" outlineLevel="2">
      <c r="C4130" s="633" t="s">
        <v>952</v>
      </c>
      <c r="D4130" s="619" t="s">
        <v>1257</v>
      </c>
      <c r="E4130" s="633">
        <v>30</v>
      </c>
      <c r="F4130" s="618">
        <f>worker</f>
        <v>107800.00000000001</v>
      </c>
      <c r="G4130" s="618">
        <f t="shared" si="161"/>
        <v>3234000.0000000005</v>
      </c>
    </row>
    <row r="4131" spans="2:7" ht="15.75" hidden="1" customHeight="1" outlineLevel="2">
      <c r="C4131" s="633" t="s">
        <v>1254</v>
      </c>
      <c r="D4131" s="619" t="s">
        <v>1257</v>
      </c>
      <c r="E4131" s="633">
        <v>0</v>
      </c>
      <c r="F4131" s="618">
        <f>steel_worker_erection</f>
        <v>239580.00000000003</v>
      </c>
      <c r="G4131" s="618">
        <f t="shared" si="161"/>
        <v>0</v>
      </c>
    </row>
    <row r="4132" spans="2:7" ht="15.75" hidden="1" customHeight="1" outlineLevel="2">
      <c r="G4132" s="618">
        <f t="shared" si="161"/>
        <v>0</v>
      </c>
    </row>
    <row r="4133" spans="2:7" ht="15.75" hidden="1" customHeight="1" outlineLevel="2">
      <c r="C4133" s="633" t="s">
        <v>925</v>
      </c>
      <c r="G4133" s="618">
        <f t="shared" si="161"/>
        <v>0</v>
      </c>
    </row>
    <row r="4134" spans="2:7" ht="15.75" hidden="1" customHeight="1" outlineLevel="2">
      <c r="C4134" s="633" t="s">
        <v>1255</v>
      </c>
      <c r="D4134" s="619" t="s">
        <v>72</v>
      </c>
      <c r="E4134" s="633">
        <v>24</v>
      </c>
      <c r="F4134" s="618">
        <f>truc_crane_35t_day/8</f>
        <v>1031250.0000000001</v>
      </c>
      <c r="G4134" s="618">
        <f t="shared" si="161"/>
        <v>24750000.000000004</v>
      </c>
    </row>
    <row r="4135" spans="2:7" ht="15.75" hidden="1" customHeight="1" outlineLevel="2">
      <c r="C4135" s="633" t="s">
        <v>1256</v>
      </c>
      <c r="D4135" s="619" t="s">
        <v>474</v>
      </c>
      <c r="E4135" s="633">
        <v>1</v>
      </c>
      <c r="F4135" s="618">
        <v>11000</v>
      </c>
      <c r="G4135" s="618">
        <f t="shared" si="161"/>
        <v>11000</v>
      </c>
    </row>
    <row r="4136" spans="2:7" ht="15.75" hidden="1" customHeight="1" outlineLevel="2">
      <c r="G4136" s="618">
        <f>SUM(G4127:G4135)</f>
        <v>29632625.000000004</v>
      </c>
    </row>
    <row r="4137" spans="2:7" ht="15.75" hidden="1" customHeight="1" outlineLevel="2">
      <c r="B4137" s="619" t="s">
        <v>818</v>
      </c>
      <c r="C4137" s="633" t="s">
        <v>1264</v>
      </c>
      <c r="G4137" s="618">
        <f>G4147</f>
        <v>29632625.000000004</v>
      </c>
    </row>
    <row r="4138" spans="2:7" ht="15.75" hidden="1" customHeight="1" outlineLevel="2">
      <c r="C4138" s="633" t="s">
        <v>1052</v>
      </c>
    </row>
    <row r="4139" spans="2:7" ht="15.75" hidden="1" customHeight="1" outlineLevel="2">
      <c r="C4139" s="633" t="s">
        <v>393</v>
      </c>
      <c r="D4139" s="619" t="s">
        <v>1257</v>
      </c>
      <c r="E4139" s="633">
        <v>3</v>
      </c>
      <c r="F4139" s="618">
        <f>supervisor_Asli</f>
        <v>155155</v>
      </c>
      <c r="G4139" s="618">
        <f t="shared" ref="G4139:G4146" si="162">E4139*F4139</f>
        <v>465465</v>
      </c>
    </row>
    <row r="4140" spans="2:7" ht="15.75" hidden="1" customHeight="1" outlineLevel="2">
      <c r="C4140" s="633" t="s">
        <v>1227</v>
      </c>
      <c r="D4140" s="619" t="s">
        <v>1257</v>
      </c>
      <c r="E4140" s="633">
        <v>6</v>
      </c>
      <c r="F4140" s="618">
        <f>skill_worker</f>
        <v>195360.00000000003</v>
      </c>
      <c r="G4140" s="618">
        <f t="shared" si="162"/>
        <v>1172160.0000000002</v>
      </c>
    </row>
    <row r="4141" spans="2:7" ht="15.75" hidden="1" customHeight="1" outlineLevel="2">
      <c r="C4141" s="633" t="s">
        <v>952</v>
      </c>
      <c r="D4141" s="619" t="s">
        <v>1257</v>
      </c>
      <c r="E4141" s="633">
        <v>30</v>
      </c>
      <c r="F4141" s="618">
        <f>worker</f>
        <v>107800.00000000001</v>
      </c>
      <c r="G4141" s="618">
        <f t="shared" si="162"/>
        <v>3234000.0000000005</v>
      </c>
    </row>
    <row r="4142" spans="2:7" ht="15.75" hidden="1" customHeight="1" outlineLevel="2">
      <c r="C4142" s="633" t="s">
        <v>1254</v>
      </c>
      <c r="D4142" s="619" t="s">
        <v>1257</v>
      </c>
      <c r="E4142" s="633">
        <v>0</v>
      </c>
      <c r="F4142" s="618">
        <f>steel_worker_erection</f>
        <v>239580.00000000003</v>
      </c>
      <c r="G4142" s="618">
        <f t="shared" si="162"/>
        <v>0</v>
      </c>
    </row>
    <row r="4143" spans="2:7" ht="15.75" hidden="1" customHeight="1" outlineLevel="2">
      <c r="G4143" s="618">
        <f t="shared" si="162"/>
        <v>0</v>
      </c>
    </row>
    <row r="4144" spans="2:7" ht="15.75" hidden="1" customHeight="1" outlineLevel="2">
      <c r="C4144" s="633" t="s">
        <v>925</v>
      </c>
      <c r="G4144" s="618">
        <f t="shared" si="162"/>
        <v>0</v>
      </c>
    </row>
    <row r="4145" spans="1:7" ht="15.75" hidden="1" customHeight="1" outlineLevel="2">
      <c r="C4145" s="633" t="s">
        <v>1255</v>
      </c>
      <c r="D4145" s="619" t="s">
        <v>72</v>
      </c>
      <c r="E4145" s="633">
        <v>24</v>
      </c>
      <c r="F4145" s="618">
        <f>truc_crane_35t_day/8</f>
        <v>1031250.0000000001</v>
      </c>
      <c r="G4145" s="618">
        <f t="shared" si="162"/>
        <v>24750000.000000004</v>
      </c>
    </row>
    <row r="4146" spans="1:7" ht="15.75" hidden="1" customHeight="1" outlineLevel="2">
      <c r="C4146" s="633" t="s">
        <v>1256</v>
      </c>
      <c r="D4146" s="619" t="s">
        <v>474</v>
      </c>
      <c r="E4146" s="633">
        <v>1</v>
      </c>
      <c r="F4146" s="618">
        <v>11000</v>
      </c>
      <c r="G4146" s="618">
        <f t="shared" si="162"/>
        <v>11000</v>
      </c>
    </row>
    <row r="4147" spans="1:7" ht="15.75" hidden="1" customHeight="1" outlineLevel="2">
      <c r="G4147" s="618">
        <f>SUM(G4138:G4146)</f>
        <v>29632625.000000004</v>
      </c>
    </row>
    <row r="4148" spans="1:7" ht="15.75" hidden="1" customHeight="1" outlineLevel="2">
      <c r="B4148" s="619" t="s">
        <v>819</v>
      </c>
      <c r="C4148" s="633" t="s">
        <v>1265</v>
      </c>
      <c r="G4148" s="618">
        <f>G4158</f>
        <v>9345875</v>
      </c>
    </row>
    <row r="4149" spans="1:7" ht="15.75" hidden="1" customHeight="1" outlineLevel="2">
      <c r="C4149" s="633" t="s">
        <v>1052</v>
      </c>
    </row>
    <row r="4150" spans="1:7" ht="15.75" hidden="1" customHeight="1" outlineLevel="2">
      <c r="C4150" s="633" t="s">
        <v>393</v>
      </c>
      <c r="D4150" s="619" t="s">
        <v>1257</v>
      </c>
      <c r="E4150" s="633">
        <v>1</v>
      </c>
      <c r="F4150" s="618">
        <f>supervisor_Asli</f>
        <v>155155</v>
      </c>
      <c r="G4150" s="618">
        <f t="shared" ref="G4150:G4157" si="163">E4150*F4150</f>
        <v>155155</v>
      </c>
    </row>
    <row r="4151" spans="1:7" ht="15.75" hidden="1" customHeight="1" outlineLevel="2">
      <c r="C4151" s="633" t="s">
        <v>1227</v>
      </c>
      <c r="D4151" s="619" t="s">
        <v>1257</v>
      </c>
      <c r="E4151" s="633">
        <v>2</v>
      </c>
      <c r="F4151" s="618">
        <f>skill_worker</f>
        <v>195360.00000000003</v>
      </c>
      <c r="G4151" s="618">
        <f t="shared" si="163"/>
        <v>390720.00000000006</v>
      </c>
    </row>
    <row r="4152" spans="1:7" ht="15.75" hidden="1" customHeight="1" outlineLevel="2">
      <c r="C4152" s="633" t="s">
        <v>952</v>
      </c>
      <c r="D4152" s="619" t="s">
        <v>1257</v>
      </c>
      <c r="E4152" s="633">
        <v>5</v>
      </c>
      <c r="F4152" s="618">
        <f>worker</f>
        <v>107800.00000000001</v>
      </c>
      <c r="G4152" s="618">
        <f t="shared" si="163"/>
        <v>539000.00000000012</v>
      </c>
    </row>
    <row r="4153" spans="1:7" ht="15.75" hidden="1" customHeight="1" outlineLevel="2">
      <c r="C4153" s="633" t="s">
        <v>1254</v>
      </c>
      <c r="D4153" s="619" t="s">
        <v>1257</v>
      </c>
      <c r="E4153" s="633">
        <v>0</v>
      </c>
      <c r="F4153" s="618">
        <f>steel_worker_erection</f>
        <v>239580.00000000003</v>
      </c>
      <c r="G4153" s="618">
        <f t="shared" si="163"/>
        <v>0</v>
      </c>
    </row>
    <row r="4154" spans="1:7" ht="15.75" hidden="1" customHeight="1" outlineLevel="2">
      <c r="G4154" s="618">
        <f t="shared" si="163"/>
        <v>0</v>
      </c>
    </row>
    <row r="4155" spans="1:7" ht="15.75" hidden="1" customHeight="1" outlineLevel="2">
      <c r="C4155" s="633" t="s">
        <v>925</v>
      </c>
      <c r="G4155" s="618">
        <f t="shared" si="163"/>
        <v>0</v>
      </c>
    </row>
    <row r="4156" spans="1:7" ht="15.75" hidden="1" customHeight="1" outlineLevel="2">
      <c r="C4156" s="633" t="s">
        <v>1255</v>
      </c>
      <c r="D4156" s="619" t="s">
        <v>72</v>
      </c>
      <c r="E4156" s="633">
        <v>8</v>
      </c>
      <c r="F4156" s="618">
        <f>truc_crane_35t_day/8</f>
        <v>1031250.0000000001</v>
      </c>
      <c r="G4156" s="618">
        <f t="shared" si="163"/>
        <v>8250000.0000000009</v>
      </c>
    </row>
    <row r="4157" spans="1:7" ht="15.75" hidden="1" customHeight="1" outlineLevel="2">
      <c r="C4157" s="633" t="s">
        <v>1256</v>
      </c>
      <c r="D4157" s="619" t="s">
        <v>474</v>
      </c>
      <c r="E4157" s="633">
        <v>1</v>
      </c>
      <c r="F4157" s="618">
        <v>11000</v>
      </c>
      <c r="G4157" s="618">
        <f t="shared" si="163"/>
        <v>11000</v>
      </c>
    </row>
    <row r="4158" spans="1:7" ht="15.75" hidden="1" customHeight="1" outlineLevel="2">
      <c r="G4158" s="618">
        <f>SUM(G4149:G4157)</f>
        <v>9345875</v>
      </c>
    </row>
    <row r="4159" spans="1:7" ht="15.75" customHeight="1" outlineLevel="1" collapsed="1">
      <c r="A4159" s="633" t="s">
        <v>2074</v>
      </c>
      <c r="B4159" s="619">
        <f>1+B4125</f>
        <v>27</v>
      </c>
      <c r="C4159" s="633" t="s">
        <v>983</v>
      </c>
      <c r="G4159" s="618">
        <f>G4169</f>
        <v>10059995.000000002</v>
      </c>
    </row>
    <row r="4160" spans="1:7" ht="15.75" hidden="1" customHeight="1" outlineLevel="2">
      <c r="C4160" s="633" t="s">
        <v>1052</v>
      </c>
    </row>
    <row r="4161" spans="1:7" ht="15.75" hidden="1" customHeight="1" outlineLevel="2">
      <c r="C4161" s="633" t="s">
        <v>393</v>
      </c>
      <c r="D4161" s="619" t="s">
        <v>1257</v>
      </c>
      <c r="E4161" s="633">
        <v>1</v>
      </c>
      <c r="F4161" s="618">
        <f>supervisor_Asli</f>
        <v>155155</v>
      </c>
      <c r="G4161" s="618">
        <f t="shared" ref="G4161:G4168" si="164">E4161*F4161</f>
        <v>155155</v>
      </c>
    </row>
    <row r="4162" spans="1:7" ht="15.75" hidden="1" customHeight="1" outlineLevel="2">
      <c r="C4162" s="633" t="s">
        <v>1227</v>
      </c>
      <c r="D4162" s="619" t="s">
        <v>1257</v>
      </c>
      <c r="E4162" s="633">
        <v>4</v>
      </c>
      <c r="F4162" s="618">
        <f>skill_worker</f>
        <v>195360.00000000003</v>
      </c>
      <c r="G4162" s="618">
        <f t="shared" si="164"/>
        <v>781440.00000000012</v>
      </c>
    </row>
    <row r="4163" spans="1:7" ht="15.75" hidden="1" customHeight="1" outlineLevel="2">
      <c r="C4163" s="633" t="s">
        <v>952</v>
      </c>
      <c r="D4163" s="619" t="s">
        <v>1257</v>
      </c>
      <c r="E4163" s="633">
        <v>8</v>
      </c>
      <c r="F4163" s="618">
        <f>worker</f>
        <v>107800.00000000001</v>
      </c>
      <c r="G4163" s="618">
        <f t="shared" si="164"/>
        <v>862400.00000000012</v>
      </c>
    </row>
    <row r="4164" spans="1:7" ht="15.75" hidden="1" customHeight="1" outlineLevel="2">
      <c r="C4164" s="633" t="s">
        <v>1254</v>
      </c>
      <c r="D4164" s="619" t="s">
        <v>1257</v>
      </c>
      <c r="E4164" s="633">
        <v>0</v>
      </c>
      <c r="F4164" s="618">
        <f>steel_worker_erection</f>
        <v>239580.00000000003</v>
      </c>
      <c r="G4164" s="618">
        <f t="shared" si="164"/>
        <v>0</v>
      </c>
    </row>
    <row r="4165" spans="1:7" ht="15.75" hidden="1" customHeight="1" outlineLevel="2">
      <c r="G4165" s="618">
        <f t="shared" si="164"/>
        <v>0</v>
      </c>
    </row>
    <row r="4166" spans="1:7" ht="15.75" hidden="1" customHeight="1" outlineLevel="2">
      <c r="C4166" s="633" t="s">
        <v>925</v>
      </c>
      <c r="G4166" s="618">
        <f t="shared" si="164"/>
        <v>0</v>
      </c>
    </row>
    <row r="4167" spans="1:7" ht="15.75" hidden="1" customHeight="1" outlineLevel="2">
      <c r="C4167" s="633" t="s">
        <v>1255</v>
      </c>
      <c r="D4167" s="619" t="s">
        <v>72</v>
      </c>
      <c r="E4167" s="633">
        <v>8</v>
      </c>
      <c r="F4167" s="618">
        <f>truc_crane_35t_day/8</f>
        <v>1031250.0000000001</v>
      </c>
      <c r="G4167" s="618">
        <f t="shared" si="164"/>
        <v>8250000.0000000009</v>
      </c>
    </row>
    <row r="4168" spans="1:7" ht="15.75" hidden="1" customHeight="1" outlineLevel="2">
      <c r="C4168" s="633" t="s">
        <v>1256</v>
      </c>
      <c r="D4168" s="619" t="s">
        <v>474</v>
      </c>
      <c r="E4168" s="633">
        <v>1</v>
      </c>
      <c r="F4168" s="618">
        <v>11000</v>
      </c>
      <c r="G4168" s="618">
        <f t="shared" si="164"/>
        <v>11000</v>
      </c>
    </row>
    <row r="4169" spans="1:7" ht="15.75" hidden="1" customHeight="1" outlineLevel="2">
      <c r="G4169" s="618">
        <f>SUM(G4160:G4168)</f>
        <v>10059995.000000002</v>
      </c>
    </row>
    <row r="4170" spans="1:7" ht="15.75" customHeight="1" outlineLevel="1" collapsed="1">
      <c r="A4170" s="633" t="s">
        <v>2074</v>
      </c>
      <c r="B4170" s="619">
        <f>1+B4159</f>
        <v>28</v>
      </c>
      <c r="C4170" s="633" t="s">
        <v>984</v>
      </c>
      <c r="G4170" s="618">
        <f>G4180</f>
        <v>10275595.000000002</v>
      </c>
    </row>
    <row r="4171" spans="1:7" ht="15.75" hidden="1" customHeight="1" outlineLevel="2">
      <c r="C4171" s="633" t="s">
        <v>1052</v>
      </c>
    </row>
    <row r="4172" spans="1:7" ht="15.75" hidden="1" customHeight="1" outlineLevel="2">
      <c r="C4172" s="633" t="s">
        <v>393</v>
      </c>
      <c r="D4172" s="619" t="s">
        <v>1257</v>
      </c>
      <c r="E4172" s="633">
        <v>1</v>
      </c>
      <c r="F4172" s="618">
        <f>supervisor_Asli</f>
        <v>155155</v>
      </c>
      <c r="G4172" s="618">
        <f t="shared" ref="G4172:G4179" si="165">E4172*F4172</f>
        <v>155155</v>
      </c>
    </row>
    <row r="4173" spans="1:7" ht="15.75" hidden="1" customHeight="1" outlineLevel="2">
      <c r="C4173" s="633" t="s">
        <v>1227</v>
      </c>
      <c r="D4173" s="619" t="s">
        <v>1257</v>
      </c>
      <c r="E4173" s="633">
        <v>4</v>
      </c>
      <c r="F4173" s="618">
        <f>skill_worker</f>
        <v>195360.00000000003</v>
      </c>
      <c r="G4173" s="618">
        <f t="shared" si="165"/>
        <v>781440.00000000012</v>
      </c>
    </row>
    <row r="4174" spans="1:7" ht="15.75" hidden="1" customHeight="1" outlineLevel="2">
      <c r="C4174" s="633" t="s">
        <v>952</v>
      </c>
      <c r="D4174" s="619" t="s">
        <v>1257</v>
      </c>
      <c r="E4174" s="633">
        <v>10</v>
      </c>
      <c r="F4174" s="618">
        <f>worker</f>
        <v>107800.00000000001</v>
      </c>
      <c r="G4174" s="618">
        <f t="shared" si="165"/>
        <v>1078000.0000000002</v>
      </c>
    </row>
    <row r="4175" spans="1:7" ht="15.75" hidden="1" customHeight="1" outlineLevel="2">
      <c r="C4175" s="633" t="s">
        <v>1254</v>
      </c>
      <c r="D4175" s="619" t="s">
        <v>1257</v>
      </c>
      <c r="E4175" s="633">
        <v>0</v>
      </c>
      <c r="F4175" s="618">
        <f>steel_worker_erection</f>
        <v>239580.00000000003</v>
      </c>
      <c r="G4175" s="618">
        <f t="shared" si="165"/>
        <v>0</v>
      </c>
    </row>
    <row r="4176" spans="1:7" ht="15.75" hidden="1" customHeight="1" outlineLevel="2">
      <c r="G4176" s="618">
        <f t="shared" si="165"/>
        <v>0</v>
      </c>
    </row>
    <row r="4177" spans="1:7" ht="15.75" hidden="1" customHeight="1" outlineLevel="2">
      <c r="C4177" s="633" t="s">
        <v>925</v>
      </c>
      <c r="G4177" s="618">
        <f t="shared" si="165"/>
        <v>0</v>
      </c>
    </row>
    <row r="4178" spans="1:7" ht="15.75" hidden="1" customHeight="1" outlineLevel="2">
      <c r="C4178" s="633" t="s">
        <v>1255</v>
      </c>
      <c r="D4178" s="619" t="s">
        <v>72</v>
      </c>
      <c r="E4178" s="633">
        <v>8</v>
      </c>
      <c r="F4178" s="618">
        <f>truc_crane_35t_day/8</f>
        <v>1031250.0000000001</v>
      </c>
      <c r="G4178" s="618">
        <f t="shared" si="165"/>
        <v>8250000.0000000009</v>
      </c>
    </row>
    <row r="4179" spans="1:7" ht="15.75" hidden="1" customHeight="1" outlineLevel="2">
      <c r="C4179" s="633" t="s">
        <v>1256</v>
      </c>
      <c r="D4179" s="619" t="s">
        <v>474</v>
      </c>
      <c r="E4179" s="633">
        <v>1</v>
      </c>
      <c r="F4179" s="618">
        <v>11000</v>
      </c>
      <c r="G4179" s="618">
        <f t="shared" si="165"/>
        <v>11000</v>
      </c>
    </row>
    <row r="4180" spans="1:7" ht="15.75" hidden="1" customHeight="1" outlineLevel="2">
      <c r="G4180" s="618">
        <f>SUM(G4171:G4179)</f>
        <v>10275595.000000002</v>
      </c>
    </row>
    <row r="4181" spans="1:7" ht="15.75" customHeight="1" outlineLevel="1" collapsed="1">
      <c r="A4181" s="633" t="s">
        <v>2074</v>
      </c>
      <c r="B4181" s="619">
        <f>1+B4170</f>
        <v>29</v>
      </c>
      <c r="C4181" s="633" t="s">
        <v>985</v>
      </c>
      <c r="G4181" s="618">
        <f>G4191</f>
        <v>19611075.000000004</v>
      </c>
    </row>
    <row r="4182" spans="1:7" ht="15.75" hidden="1" customHeight="1" outlineLevel="2">
      <c r="C4182" s="633" t="s">
        <v>1052</v>
      </c>
    </row>
    <row r="4183" spans="1:7" ht="15.75" hidden="1" customHeight="1" outlineLevel="2">
      <c r="C4183" s="633" t="s">
        <v>393</v>
      </c>
      <c r="D4183" s="619" t="s">
        <v>1257</v>
      </c>
      <c r="E4183" s="633">
        <v>1</v>
      </c>
      <c r="F4183" s="618">
        <f>supervisor_Asli</f>
        <v>155155</v>
      </c>
      <c r="G4183" s="618">
        <f t="shared" ref="G4183:G4190" si="166">E4183*F4183</f>
        <v>155155</v>
      </c>
    </row>
    <row r="4184" spans="1:7" ht="15.75" hidden="1" customHeight="1" outlineLevel="2">
      <c r="C4184" s="633" t="s">
        <v>1227</v>
      </c>
      <c r="D4184" s="619" t="s">
        <v>1257</v>
      </c>
      <c r="E4184" s="633">
        <v>6</v>
      </c>
      <c r="F4184" s="618">
        <f>skill_worker</f>
        <v>195360.00000000003</v>
      </c>
      <c r="G4184" s="618">
        <f t="shared" si="166"/>
        <v>1172160.0000000002</v>
      </c>
    </row>
    <row r="4185" spans="1:7" ht="15.75" hidden="1" customHeight="1" outlineLevel="2">
      <c r="C4185" s="633" t="s">
        <v>952</v>
      </c>
      <c r="D4185" s="619" t="s">
        <v>1257</v>
      </c>
      <c r="E4185" s="633">
        <v>12</v>
      </c>
      <c r="F4185" s="618">
        <f>worker</f>
        <v>107800.00000000001</v>
      </c>
      <c r="G4185" s="618">
        <f t="shared" si="166"/>
        <v>1293600.0000000002</v>
      </c>
    </row>
    <row r="4186" spans="1:7" ht="15.75" hidden="1" customHeight="1" outlineLevel="2">
      <c r="C4186" s="633" t="s">
        <v>1254</v>
      </c>
      <c r="D4186" s="619" t="s">
        <v>1257</v>
      </c>
      <c r="E4186" s="633">
        <v>2</v>
      </c>
      <c r="F4186" s="618">
        <f>steel_worker_erection</f>
        <v>239580.00000000003</v>
      </c>
      <c r="G4186" s="618">
        <f t="shared" si="166"/>
        <v>479160.00000000006</v>
      </c>
    </row>
    <row r="4187" spans="1:7" ht="15.75" hidden="1" customHeight="1" outlineLevel="2">
      <c r="G4187" s="618">
        <f t="shared" si="166"/>
        <v>0</v>
      </c>
    </row>
    <row r="4188" spans="1:7" ht="15.75" hidden="1" customHeight="1" outlineLevel="2">
      <c r="C4188" s="633" t="s">
        <v>925</v>
      </c>
      <c r="G4188" s="618">
        <f t="shared" si="166"/>
        <v>0</v>
      </c>
    </row>
    <row r="4189" spans="1:7" ht="15.75" hidden="1" customHeight="1" outlineLevel="2">
      <c r="C4189" s="633" t="s">
        <v>1255</v>
      </c>
      <c r="D4189" s="619" t="s">
        <v>72</v>
      </c>
      <c r="E4189" s="633">
        <v>16</v>
      </c>
      <c r="F4189" s="618">
        <f>truc_crane_35t_day/8</f>
        <v>1031250.0000000001</v>
      </c>
      <c r="G4189" s="618">
        <f t="shared" si="166"/>
        <v>16500000.000000002</v>
      </c>
    </row>
    <row r="4190" spans="1:7" ht="15.75" hidden="1" customHeight="1" outlineLevel="2">
      <c r="C4190" s="633" t="s">
        <v>1256</v>
      </c>
      <c r="D4190" s="619" t="s">
        <v>474</v>
      </c>
      <c r="E4190" s="633">
        <v>1</v>
      </c>
      <c r="F4190" s="618">
        <v>11000</v>
      </c>
      <c r="G4190" s="618">
        <f t="shared" si="166"/>
        <v>11000</v>
      </c>
    </row>
    <row r="4191" spans="1:7" ht="15.75" hidden="1" customHeight="1" outlineLevel="2">
      <c r="G4191" s="618">
        <f>SUM(G4182:G4190)</f>
        <v>19611075.000000004</v>
      </c>
    </row>
    <row r="4192" spans="1:7" ht="15.75" customHeight="1" outlineLevel="1" collapsed="1">
      <c r="A4192" s="633" t="s">
        <v>2074</v>
      </c>
      <c r="B4192" s="619">
        <f>1+B4181</f>
        <v>30</v>
      </c>
      <c r="C4192" s="633" t="s">
        <v>1266</v>
      </c>
      <c r="G4192" s="618">
        <f>G4202</f>
        <v>1878195.0000000002</v>
      </c>
    </row>
    <row r="4193" spans="1:7" ht="15.75" hidden="1" customHeight="1" outlineLevel="2">
      <c r="C4193" s="633" t="s">
        <v>1052</v>
      </c>
    </row>
    <row r="4194" spans="1:7" ht="15.75" hidden="1" customHeight="1" outlineLevel="2">
      <c r="C4194" s="633" t="s">
        <v>393</v>
      </c>
      <c r="D4194" s="619" t="s">
        <v>1257</v>
      </c>
      <c r="E4194" s="633">
        <v>1</v>
      </c>
      <c r="F4194" s="618">
        <f>supervisor_Asli</f>
        <v>155155</v>
      </c>
      <c r="G4194" s="618">
        <f t="shared" ref="G4194:G4201" si="167">E4194*F4194</f>
        <v>155155</v>
      </c>
    </row>
    <row r="4195" spans="1:7" ht="15.75" hidden="1" customHeight="1" outlineLevel="2">
      <c r="C4195" s="633" t="s">
        <v>1227</v>
      </c>
      <c r="D4195" s="619" t="s">
        <v>1257</v>
      </c>
      <c r="E4195" s="633">
        <v>3</v>
      </c>
      <c r="F4195" s="618">
        <f>skill_worker</f>
        <v>195360.00000000003</v>
      </c>
      <c r="G4195" s="618">
        <f t="shared" si="167"/>
        <v>586080.00000000012</v>
      </c>
    </row>
    <row r="4196" spans="1:7" ht="15.75" hidden="1" customHeight="1" outlineLevel="2">
      <c r="C4196" s="633" t="s">
        <v>952</v>
      </c>
      <c r="D4196" s="619" t="s">
        <v>1257</v>
      </c>
      <c r="E4196" s="633">
        <v>6</v>
      </c>
      <c r="F4196" s="618">
        <f>worker</f>
        <v>107800.00000000001</v>
      </c>
      <c r="G4196" s="618">
        <f t="shared" si="167"/>
        <v>646800.00000000012</v>
      </c>
    </row>
    <row r="4197" spans="1:7" ht="15.75" hidden="1" customHeight="1" outlineLevel="2">
      <c r="C4197" s="633" t="s">
        <v>1254</v>
      </c>
      <c r="D4197" s="619" t="s">
        <v>1257</v>
      </c>
      <c r="E4197" s="633">
        <v>2</v>
      </c>
      <c r="F4197" s="618">
        <f>steel_worker_erection</f>
        <v>239580.00000000003</v>
      </c>
      <c r="G4197" s="618">
        <f t="shared" si="167"/>
        <v>479160.00000000006</v>
      </c>
    </row>
    <row r="4198" spans="1:7" ht="15.75" hidden="1" customHeight="1" outlineLevel="2">
      <c r="G4198" s="618">
        <f t="shared" si="167"/>
        <v>0</v>
      </c>
    </row>
    <row r="4199" spans="1:7" ht="15.75" hidden="1" customHeight="1" outlineLevel="2">
      <c r="C4199" s="633" t="s">
        <v>925</v>
      </c>
      <c r="G4199" s="618">
        <f t="shared" si="167"/>
        <v>0</v>
      </c>
    </row>
    <row r="4200" spans="1:7" ht="15.75" hidden="1" customHeight="1" outlineLevel="2">
      <c r="C4200" s="633" t="s">
        <v>1255</v>
      </c>
      <c r="D4200" s="619" t="s">
        <v>72</v>
      </c>
      <c r="E4200" s="633">
        <v>0</v>
      </c>
      <c r="F4200" s="618">
        <f>truc_crane_35t_day/8</f>
        <v>1031250.0000000001</v>
      </c>
      <c r="G4200" s="618">
        <f t="shared" si="167"/>
        <v>0</v>
      </c>
    </row>
    <row r="4201" spans="1:7" ht="15.75" hidden="1" customHeight="1" outlineLevel="2">
      <c r="C4201" s="633" t="s">
        <v>1256</v>
      </c>
      <c r="D4201" s="619" t="s">
        <v>474</v>
      </c>
      <c r="E4201" s="633">
        <v>1</v>
      </c>
      <c r="F4201" s="618">
        <v>11000</v>
      </c>
      <c r="G4201" s="618">
        <f t="shared" si="167"/>
        <v>11000</v>
      </c>
    </row>
    <row r="4202" spans="1:7" ht="15.75" hidden="1" customHeight="1" outlineLevel="2">
      <c r="G4202" s="618">
        <f>SUM(G4193:G4201)</f>
        <v>1878195.0000000002</v>
      </c>
    </row>
    <row r="4203" spans="1:7" ht="15.75" customHeight="1" outlineLevel="1" collapsed="1">
      <c r="A4203" s="633" t="s">
        <v>2074</v>
      </c>
      <c r="B4203" s="619">
        <f>1+B4192</f>
        <v>31</v>
      </c>
      <c r="C4203" s="633" t="s">
        <v>1267</v>
      </c>
    </row>
    <row r="4204" spans="1:7" ht="15.75" hidden="1" customHeight="1" outlineLevel="2">
      <c r="B4204" s="619" t="s">
        <v>816</v>
      </c>
      <c r="C4204" s="633" t="s">
        <v>1268</v>
      </c>
      <c r="G4204" s="618">
        <f>G4214</f>
        <v>5353755</v>
      </c>
    </row>
    <row r="4205" spans="1:7" ht="15.75" hidden="1" customHeight="1" outlineLevel="3">
      <c r="C4205" s="633" t="s">
        <v>1052</v>
      </c>
    </row>
    <row r="4206" spans="1:7" ht="15.75" hidden="1" customHeight="1" outlineLevel="3">
      <c r="C4206" s="633" t="s">
        <v>393</v>
      </c>
      <c r="D4206" s="619" t="s">
        <v>1257</v>
      </c>
      <c r="E4206" s="633">
        <v>1</v>
      </c>
      <c r="F4206" s="618">
        <f>supervisor_Asli</f>
        <v>155155</v>
      </c>
      <c r="G4206" s="618">
        <f t="shared" ref="G4206:G4213" si="168">E4206*F4206</f>
        <v>155155</v>
      </c>
    </row>
    <row r="4207" spans="1:7" ht="15.75" hidden="1" customHeight="1" outlineLevel="3">
      <c r="C4207" s="633" t="s">
        <v>1227</v>
      </c>
      <c r="D4207" s="619" t="s">
        <v>1257</v>
      </c>
      <c r="E4207" s="633">
        <v>10</v>
      </c>
      <c r="F4207" s="618">
        <f>skill_worker</f>
        <v>195360.00000000003</v>
      </c>
      <c r="G4207" s="618">
        <f t="shared" si="168"/>
        <v>1953600.0000000002</v>
      </c>
    </row>
    <row r="4208" spans="1:7" ht="15.75" hidden="1" customHeight="1" outlineLevel="3">
      <c r="C4208" s="633" t="s">
        <v>952</v>
      </c>
      <c r="D4208" s="619" t="s">
        <v>1257</v>
      </c>
      <c r="E4208" s="633">
        <v>30</v>
      </c>
      <c r="F4208" s="618">
        <f>worker</f>
        <v>107800.00000000001</v>
      </c>
      <c r="G4208" s="618">
        <f t="shared" si="168"/>
        <v>3234000.0000000005</v>
      </c>
    </row>
    <row r="4209" spans="2:7" ht="15.75" hidden="1" customHeight="1" outlineLevel="3">
      <c r="C4209" s="633" t="s">
        <v>1254</v>
      </c>
      <c r="D4209" s="619" t="s">
        <v>1257</v>
      </c>
      <c r="E4209" s="633">
        <v>0</v>
      </c>
      <c r="F4209" s="618">
        <f>steel_worker_erection</f>
        <v>239580.00000000003</v>
      </c>
      <c r="G4209" s="618">
        <f t="shared" si="168"/>
        <v>0</v>
      </c>
    </row>
    <row r="4210" spans="2:7" ht="15.75" hidden="1" customHeight="1" outlineLevel="3">
      <c r="G4210" s="618">
        <f t="shared" si="168"/>
        <v>0</v>
      </c>
    </row>
    <row r="4211" spans="2:7" ht="15.75" hidden="1" customHeight="1" outlineLevel="3">
      <c r="C4211" s="633" t="s">
        <v>925</v>
      </c>
      <c r="G4211" s="618">
        <f t="shared" si="168"/>
        <v>0</v>
      </c>
    </row>
    <row r="4212" spans="2:7" ht="15.75" hidden="1" customHeight="1" outlineLevel="3">
      <c r="C4212" s="633" t="s">
        <v>1255</v>
      </c>
      <c r="D4212" s="619" t="s">
        <v>72</v>
      </c>
      <c r="E4212" s="633">
        <v>0</v>
      </c>
      <c r="F4212" s="618">
        <f>truc_crane_35t_day/8</f>
        <v>1031250.0000000001</v>
      </c>
      <c r="G4212" s="618">
        <f t="shared" si="168"/>
        <v>0</v>
      </c>
    </row>
    <row r="4213" spans="2:7" ht="15.75" hidden="1" customHeight="1" outlineLevel="3">
      <c r="C4213" s="633" t="s">
        <v>1256</v>
      </c>
      <c r="D4213" s="619" t="s">
        <v>474</v>
      </c>
      <c r="E4213" s="633">
        <v>1</v>
      </c>
      <c r="F4213" s="618">
        <v>11000</v>
      </c>
      <c r="G4213" s="618">
        <f t="shared" si="168"/>
        <v>11000</v>
      </c>
    </row>
    <row r="4214" spans="2:7" ht="15.75" hidden="1" customHeight="1" outlineLevel="3">
      <c r="G4214" s="618">
        <f>SUM(G4205:G4213)</f>
        <v>5353755</v>
      </c>
    </row>
    <row r="4215" spans="2:7" ht="15.75" hidden="1" customHeight="1" outlineLevel="2">
      <c r="B4215" s="619" t="s">
        <v>818</v>
      </c>
      <c r="C4215" s="633" t="s">
        <v>1269</v>
      </c>
      <c r="G4215" s="618">
        <f>G4225</f>
        <v>12292555.000000002</v>
      </c>
    </row>
    <row r="4216" spans="2:7" ht="15.75" hidden="1" customHeight="1" outlineLevel="3">
      <c r="C4216" s="633" t="s">
        <v>1052</v>
      </c>
    </row>
    <row r="4217" spans="2:7" ht="15.75" hidden="1" customHeight="1" outlineLevel="3">
      <c r="C4217" s="633" t="s">
        <v>393</v>
      </c>
      <c r="D4217" s="619" t="s">
        <v>1257</v>
      </c>
      <c r="E4217" s="633">
        <v>1</v>
      </c>
      <c r="F4217" s="618">
        <f>supervisor_Asli</f>
        <v>155155</v>
      </c>
      <c r="G4217" s="618">
        <f t="shared" ref="G4217:G4224" si="169">E4217*F4217</f>
        <v>155155</v>
      </c>
    </row>
    <row r="4218" spans="2:7" ht="15.75" hidden="1" customHeight="1" outlineLevel="3">
      <c r="C4218" s="633" t="s">
        <v>1227</v>
      </c>
      <c r="D4218" s="619" t="s">
        <v>1257</v>
      </c>
      <c r="E4218" s="633">
        <v>40</v>
      </c>
      <c r="F4218" s="618">
        <f>skill_worker</f>
        <v>195360.00000000003</v>
      </c>
      <c r="G4218" s="618">
        <f t="shared" si="169"/>
        <v>7814400.0000000009</v>
      </c>
    </row>
    <row r="4219" spans="2:7" ht="15.75" hidden="1" customHeight="1" outlineLevel="3">
      <c r="C4219" s="633" t="s">
        <v>952</v>
      </c>
      <c r="D4219" s="619" t="s">
        <v>1257</v>
      </c>
      <c r="E4219" s="633">
        <v>40</v>
      </c>
      <c r="F4219" s="618">
        <f>worker</f>
        <v>107800.00000000001</v>
      </c>
      <c r="G4219" s="618">
        <f t="shared" si="169"/>
        <v>4312000.0000000009</v>
      </c>
    </row>
    <row r="4220" spans="2:7" ht="15.75" hidden="1" customHeight="1" outlineLevel="3">
      <c r="C4220" s="633" t="s">
        <v>1254</v>
      </c>
      <c r="D4220" s="619" t="s">
        <v>1257</v>
      </c>
      <c r="E4220" s="633">
        <v>0</v>
      </c>
      <c r="F4220" s="618">
        <f>steel_worker_erection</f>
        <v>239580.00000000003</v>
      </c>
      <c r="G4220" s="618">
        <f t="shared" si="169"/>
        <v>0</v>
      </c>
    </row>
    <row r="4221" spans="2:7" ht="15.75" hidden="1" customHeight="1" outlineLevel="3">
      <c r="G4221" s="618">
        <f t="shared" si="169"/>
        <v>0</v>
      </c>
    </row>
    <row r="4222" spans="2:7" ht="15.75" hidden="1" customHeight="1" outlineLevel="3">
      <c r="C4222" s="633" t="s">
        <v>925</v>
      </c>
      <c r="G4222" s="618">
        <f t="shared" si="169"/>
        <v>0</v>
      </c>
    </row>
    <row r="4223" spans="2:7" ht="15.75" hidden="1" customHeight="1" outlineLevel="3">
      <c r="C4223" s="633" t="s">
        <v>1255</v>
      </c>
      <c r="D4223" s="619" t="s">
        <v>72</v>
      </c>
      <c r="E4223" s="633">
        <v>0</v>
      </c>
      <c r="F4223" s="618">
        <f>truc_crane_35t_day/8</f>
        <v>1031250.0000000001</v>
      </c>
      <c r="G4223" s="618">
        <f t="shared" si="169"/>
        <v>0</v>
      </c>
    </row>
    <row r="4224" spans="2:7" ht="15.75" hidden="1" customHeight="1" outlineLevel="3">
      <c r="C4224" s="633" t="s">
        <v>1256</v>
      </c>
      <c r="D4224" s="619" t="s">
        <v>474</v>
      </c>
      <c r="E4224" s="633">
        <v>1</v>
      </c>
      <c r="F4224" s="618">
        <v>11000</v>
      </c>
      <c r="G4224" s="618">
        <f t="shared" si="169"/>
        <v>11000</v>
      </c>
    </row>
    <row r="4225" spans="2:7" ht="15.75" hidden="1" customHeight="1" outlineLevel="3">
      <c r="G4225" s="618">
        <f>SUM(G4216:G4224)</f>
        <v>12292555.000000002</v>
      </c>
    </row>
    <row r="4226" spans="2:7" ht="15.75" hidden="1" customHeight="1" outlineLevel="2">
      <c r="B4226" s="619" t="s">
        <v>819</v>
      </c>
      <c r="C4226" s="633" t="s">
        <v>1270</v>
      </c>
      <c r="G4226" s="618">
        <f>G4236</f>
        <v>1075635.0000000002</v>
      </c>
    </row>
    <row r="4227" spans="2:7" ht="15.75" hidden="1" customHeight="1" outlineLevel="3">
      <c r="C4227" s="633" t="s">
        <v>1052</v>
      </c>
    </row>
    <row r="4228" spans="2:7" ht="15.75" hidden="1" customHeight="1" outlineLevel="3">
      <c r="C4228" s="633" t="s">
        <v>393</v>
      </c>
      <c r="D4228" s="619" t="s">
        <v>1257</v>
      </c>
      <c r="E4228" s="633">
        <v>1</v>
      </c>
      <c r="F4228" s="618">
        <f>supervisor_Asli</f>
        <v>155155</v>
      </c>
      <c r="G4228" s="618">
        <f t="shared" ref="G4228:G4235" si="170">E4228*F4228</f>
        <v>155155</v>
      </c>
    </row>
    <row r="4229" spans="2:7" ht="15.75" hidden="1" customHeight="1" outlineLevel="3">
      <c r="C4229" s="633" t="s">
        <v>1227</v>
      </c>
      <c r="D4229" s="619" t="s">
        <v>1257</v>
      </c>
      <c r="E4229" s="633">
        <v>3</v>
      </c>
      <c r="F4229" s="618">
        <f>skill_worker</f>
        <v>195360.00000000003</v>
      </c>
      <c r="G4229" s="618">
        <f t="shared" si="170"/>
        <v>586080.00000000012</v>
      </c>
    </row>
    <row r="4230" spans="2:7" ht="15.75" hidden="1" customHeight="1" outlineLevel="3">
      <c r="C4230" s="633" t="s">
        <v>952</v>
      </c>
      <c r="D4230" s="619" t="s">
        <v>1257</v>
      </c>
      <c r="E4230" s="633">
        <v>3</v>
      </c>
      <c r="F4230" s="618">
        <f>worker</f>
        <v>107800.00000000001</v>
      </c>
      <c r="G4230" s="618">
        <f t="shared" si="170"/>
        <v>323400.00000000006</v>
      </c>
    </row>
    <row r="4231" spans="2:7" ht="15.75" hidden="1" customHeight="1" outlineLevel="3">
      <c r="C4231" s="633" t="s">
        <v>1254</v>
      </c>
      <c r="D4231" s="619" t="s">
        <v>1257</v>
      </c>
      <c r="E4231" s="633">
        <v>0</v>
      </c>
      <c r="F4231" s="618">
        <f>steel_worker_erection</f>
        <v>239580.00000000003</v>
      </c>
      <c r="G4231" s="618">
        <f t="shared" si="170"/>
        <v>0</v>
      </c>
    </row>
    <row r="4232" spans="2:7" ht="15.75" hidden="1" customHeight="1" outlineLevel="3">
      <c r="G4232" s="618">
        <f t="shared" si="170"/>
        <v>0</v>
      </c>
    </row>
    <row r="4233" spans="2:7" ht="15.75" hidden="1" customHeight="1" outlineLevel="3">
      <c r="C4233" s="633" t="s">
        <v>925</v>
      </c>
      <c r="G4233" s="618">
        <f t="shared" si="170"/>
        <v>0</v>
      </c>
    </row>
    <row r="4234" spans="2:7" ht="15.75" hidden="1" customHeight="1" outlineLevel="3">
      <c r="C4234" s="633" t="s">
        <v>1255</v>
      </c>
      <c r="D4234" s="619" t="s">
        <v>72</v>
      </c>
      <c r="E4234" s="633">
        <v>0</v>
      </c>
      <c r="F4234" s="618">
        <f>truc_crane_35t_day/8</f>
        <v>1031250.0000000001</v>
      </c>
      <c r="G4234" s="618">
        <f t="shared" si="170"/>
        <v>0</v>
      </c>
    </row>
    <row r="4235" spans="2:7" ht="15.75" hidden="1" customHeight="1" outlineLevel="3">
      <c r="C4235" s="633" t="s">
        <v>1256</v>
      </c>
      <c r="D4235" s="619" t="s">
        <v>474</v>
      </c>
      <c r="E4235" s="633">
        <v>1</v>
      </c>
      <c r="F4235" s="618">
        <v>11000</v>
      </c>
      <c r="G4235" s="618">
        <f t="shared" si="170"/>
        <v>11000</v>
      </c>
    </row>
    <row r="4236" spans="2:7" ht="15.75" hidden="1" customHeight="1" outlineLevel="3">
      <c r="G4236" s="618">
        <f>SUM(G4227:G4235)</f>
        <v>1075635.0000000002</v>
      </c>
    </row>
    <row r="4237" spans="2:7" ht="15.75" hidden="1" customHeight="1" outlineLevel="2">
      <c r="B4237" s="619" t="s">
        <v>820</v>
      </c>
      <c r="C4237" s="633" t="s">
        <v>1271</v>
      </c>
      <c r="G4237" s="618">
        <f>G4247</f>
        <v>1075635.0000000002</v>
      </c>
    </row>
    <row r="4238" spans="2:7" ht="15.75" hidden="1" customHeight="1" outlineLevel="3">
      <c r="C4238" s="633" t="s">
        <v>1052</v>
      </c>
    </row>
    <row r="4239" spans="2:7" ht="15.75" hidden="1" customHeight="1" outlineLevel="3">
      <c r="C4239" s="633" t="s">
        <v>393</v>
      </c>
      <c r="D4239" s="619" t="s">
        <v>1257</v>
      </c>
      <c r="E4239" s="633">
        <v>1</v>
      </c>
      <c r="F4239" s="618">
        <f>supervisor_Asli</f>
        <v>155155</v>
      </c>
      <c r="G4239" s="618">
        <f t="shared" ref="G4239:G4246" si="171">E4239*F4239</f>
        <v>155155</v>
      </c>
    </row>
    <row r="4240" spans="2:7" ht="15.75" hidden="1" customHeight="1" outlineLevel="3">
      <c r="C4240" s="633" t="s">
        <v>1227</v>
      </c>
      <c r="D4240" s="619" t="s">
        <v>1257</v>
      </c>
      <c r="E4240" s="633">
        <v>3</v>
      </c>
      <c r="F4240" s="618">
        <f>skill_worker</f>
        <v>195360.00000000003</v>
      </c>
      <c r="G4240" s="618">
        <f t="shared" si="171"/>
        <v>586080.00000000012</v>
      </c>
    </row>
    <row r="4241" spans="1:7" ht="15.75" hidden="1" customHeight="1" outlineLevel="3">
      <c r="C4241" s="633" t="s">
        <v>952</v>
      </c>
      <c r="D4241" s="619" t="s">
        <v>1257</v>
      </c>
      <c r="E4241" s="633">
        <v>3</v>
      </c>
      <c r="F4241" s="618">
        <f>worker</f>
        <v>107800.00000000001</v>
      </c>
      <c r="G4241" s="618">
        <f t="shared" si="171"/>
        <v>323400.00000000006</v>
      </c>
    </row>
    <row r="4242" spans="1:7" ht="15.75" hidden="1" customHeight="1" outlineLevel="3">
      <c r="C4242" s="633" t="s">
        <v>1254</v>
      </c>
      <c r="D4242" s="619" t="s">
        <v>1257</v>
      </c>
      <c r="E4242" s="633">
        <v>0</v>
      </c>
      <c r="F4242" s="618">
        <f>steel_worker_erection</f>
        <v>239580.00000000003</v>
      </c>
      <c r="G4242" s="618">
        <f t="shared" si="171"/>
        <v>0</v>
      </c>
    </row>
    <row r="4243" spans="1:7" ht="15.75" hidden="1" customHeight="1" outlineLevel="3">
      <c r="G4243" s="618">
        <f t="shared" si="171"/>
        <v>0</v>
      </c>
    </row>
    <row r="4244" spans="1:7" ht="15.75" hidden="1" customHeight="1" outlineLevel="3">
      <c r="C4244" s="633" t="s">
        <v>925</v>
      </c>
      <c r="G4244" s="618">
        <f t="shared" si="171"/>
        <v>0</v>
      </c>
    </row>
    <row r="4245" spans="1:7" ht="15.75" hidden="1" customHeight="1" outlineLevel="3">
      <c r="C4245" s="633" t="s">
        <v>1255</v>
      </c>
      <c r="D4245" s="619" t="s">
        <v>72</v>
      </c>
      <c r="E4245" s="633">
        <v>0</v>
      </c>
      <c r="F4245" s="618">
        <f>truc_crane_35t_day/8</f>
        <v>1031250.0000000001</v>
      </c>
      <c r="G4245" s="618">
        <f t="shared" si="171"/>
        <v>0</v>
      </c>
    </row>
    <row r="4246" spans="1:7" ht="15.75" hidden="1" customHeight="1" outlineLevel="3">
      <c r="C4246" s="633" t="s">
        <v>1256</v>
      </c>
      <c r="D4246" s="619" t="s">
        <v>474</v>
      </c>
      <c r="E4246" s="633">
        <v>1</v>
      </c>
      <c r="F4246" s="618">
        <v>11000</v>
      </c>
      <c r="G4246" s="618">
        <f t="shared" si="171"/>
        <v>11000</v>
      </c>
    </row>
    <row r="4247" spans="1:7" ht="15.75" hidden="1" customHeight="1" outlineLevel="3">
      <c r="G4247" s="618">
        <f>SUM(G4238:G4246)</f>
        <v>1075635.0000000002</v>
      </c>
    </row>
    <row r="4248" spans="1:7" ht="15.75" customHeight="1" outlineLevel="1" collapsed="1">
      <c r="A4248" s="633" t="s">
        <v>2074</v>
      </c>
      <c r="B4248" s="619">
        <f>1+B4203</f>
        <v>32</v>
      </c>
      <c r="C4248" s="633" t="s">
        <v>1272</v>
      </c>
    </row>
    <row r="4249" spans="1:7" ht="15.75" hidden="1" customHeight="1" outlineLevel="2">
      <c r="B4249" s="619" t="s">
        <v>816</v>
      </c>
      <c r="C4249" s="633" t="s">
        <v>1273</v>
      </c>
      <c r="G4249" s="618">
        <f>G4259</f>
        <v>13994475.000000002</v>
      </c>
    </row>
    <row r="4250" spans="1:7" ht="15.75" hidden="1" customHeight="1" outlineLevel="3">
      <c r="C4250" s="633" t="s">
        <v>1052</v>
      </c>
    </row>
    <row r="4251" spans="1:7" ht="15.75" hidden="1" customHeight="1" outlineLevel="3">
      <c r="C4251" s="633" t="s">
        <v>393</v>
      </c>
      <c r="D4251" s="619" t="s">
        <v>1257</v>
      </c>
      <c r="E4251" s="633">
        <v>1</v>
      </c>
      <c r="F4251" s="618">
        <f>supervisor_Asli</f>
        <v>155155</v>
      </c>
      <c r="G4251" s="618">
        <f t="shared" ref="G4251:G4258" si="172">E4251*F4251</f>
        <v>155155</v>
      </c>
    </row>
    <row r="4252" spans="1:7" ht="15.75" hidden="1" customHeight="1" outlineLevel="3">
      <c r="C4252" s="633" t="s">
        <v>1227</v>
      </c>
      <c r="D4252" s="619" t="s">
        <v>1257</v>
      </c>
      <c r="E4252" s="633">
        <v>12</v>
      </c>
      <c r="F4252" s="618">
        <f>skill_worker</f>
        <v>195360.00000000003</v>
      </c>
      <c r="G4252" s="618">
        <f t="shared" si="172"/>
        <v>2344320.0000000005</v>
      </c>
    </row>
    <row r="4253" spans="1:7" ht="15.75" hidden="1" customHeight="1" outlineLevel="3">
      <c r="C4253" s="633" t="s">
        <v>952</v>
      </c>
      <c r="D4253" s="619" t="s">
        <v>1257</v>
      </c>
      <c r="E4253" s="633">
        <v>30</v>
      </c>
      <c r="F4253" s="618">
        <f>worker</f>
        <v>107800.00000000001</v>
      </c>
      <c r="G4253" s="618">
        <f t="shared" si="172"/>
        <v>3234000.0000000005</v>
      </c>
    </row>
    <row r="4254" spans="1:7" ht="15.75" hidden="1" customHeight="1" outlineLevel="3">
      <c r="C4254" s="633" t="s">
        <v>1254</v>
      </c>
      <c r="D4254" s="619" t="s">
        <v>1257</v>
      </c>
      <c r="E4254" s="633">
        <v>0</v>
      </c>
      <c r="F4254" s="618">
        <f>steel_worker_erection</f>
        <v>239580.00000000003</v>
      </c>
      <c r="G4254" s="618">
        <f t="shared" si="172"/>
        <v>0</v>
      </c>
    </row>
    <row r="4255" spans="1:7" ht="15.75" hidden="1" customHeight="1" outlineLevel="3">
      <c r="G4255" s="618">
        <f t="shared" si="172"/>
        <v>0</v>
      </c>
    </row>
    <row r="4256" spans="1:7" ht="15.75" hidden="1" customHeight="1" outlineLevel="3">
      <c r="C4256" s="633" t="s">
        <v>925</v>
      </c>
      <c r="G4256" s="618">
        <f t="shared" si="172"/>
        <v>0</v>
      </c>
    </row>
    <row r="4257" spans="2:7" ht="15.75" hidden="1" customHeight="1" outlineLevel="3">
      <c r="C4257" s="633" t="s">
        <v>1255</v>
      </c>
      <c r="D4257" s="619" t="s">
        <v>72</v>
      </c>
      <c r="E4257" s="633">
        <v>8</v>
      </c>
      <c r="F4257" s="618">
        <f>truc_crane_35t_day/8</f>
        <v>1031250.0000000001</v>
      </c>
      <c r="G4257" s="618">
        <f t="shared" si="172"/>
        <v>8250000.0000000009</v>
      </c>
    </row>
    <row r="4258" spans="2:7" ht="15.75" hidden="1" customHeight="1" outlineLevel="3">
      <c r="C4258" s="633" t="s">
        <v>1256</v>
      </c>
      <c r="D4258" s="619" t="s">
        <v>474</v>
      </c>
      <c r="E4258" s="633">
        <v>1</v>
      </c>
      <c r="F4258" s="618">
        <v>11000</v>
      </c>
      <c r="G4258" s="618">
        <f t="shared" si="172"/>
        <v>11000</v>
      </c>
    </row>
    <row r="4259" spans="2:7" ht="15.75" hidden="1" customHeight="1" outlineLevel="3">
      <c r="G4259" s="618">
        <f>SUM(G4250:G4258)</f>
        <v>13994475.000000002</v>
      </c>
    </row>
    <row r="4260" spans="2:7" ht="15.75" hidden="1" customHeight="1" outlineLevel="2">
      <c r="B4260" s="619" t="s">
        <v>818</v>
      </c>
      <c r="C4260" s="633" t="s">
        <v>1274</v>
      </c>
      <c r="G4260" s="618">
        <f>G4270</f>
        <v>1399035.0000000002</v>
      </c>
    </row>
    <row r="4261" spans="2:7" ht="15.75" hidden="1" customHeight="1" outlineLevel="3">
      <c r="C4261" s="633" t="s">
        <v>1052</v>
      </c>
    </row>
    <row r="4262" spans="2:7" ht="15.75" hidden="1" customHeight="1" outlineLevel="3">
      <c r="C4262" s="633" t="s">
        <v>393</v>
      </c>
      <c r="D4262" s="619" t="s">
        <v>1257</v>
      </c>
      <c r="E4262" s="633">
        <v>1</v>
      </c>
      <c r="F4262" s="618">
        <f>supervisor_Asli</f>
        <v>155155</v>
      </c>
      <c r="G4262" s="618">
        <f t="shared" ref="G4262:G4269" si="173">E4262*F4262</f>
        <v>155155</v>
      </c>
    </row>
    <row r="4263" spans="2:7" ht="15.75" hidden="1" customHeight="1" outlineLevel="3">
      <c r="C4263" s="633" t="s">
        <v>1227</v>
      </c>
      <c r="D4263" s="619" t="s">
        <v>1257</v>
      </c>
      <c r="E4263" s="633">
        <v>3</v>
      </c>
      <c r="F4263" s="618">
        <f>skill_worker</f>
        <v>195360.00000000003</v>
      </c>
      <c r="G4263" s="618">
        <f t="shared" si="173"/>
        <v>586080.00000000012</v>
      </c>
    </row>
    <row r="4264" spans="2:7" ht="15.75" hidden="1" customHeight="1" outlineLevel="3">
      <c r="C4264" s="633" t="s">
        <v>952</v>
      </c>
      <c r="D4264" s="619" t="s">
        <v>1257</v>
      </c>
      <c r="E4264" s="633">
        <v>6</v>
      </c>
      <c r="F4264" s="618">
        <f>worker</f>
        <v>107800.00000000001</v>
      </c>
      <c r="G4264" s="618">
        <f t="shared" si="173"/>
        <v>646800.00000000012</v>
      </c>
    </row>
    <row r="4265" spans="2:7" ht="15.75" hidden="1" customHeight="1" outlineLevel="3">
      <c r="C4265" s="633" t="s">
        <v>1254</v>
      </c>
      <c r="D4265" s="619" t="s">
        <v>1257</v>
      </c>
      <c r="E4265" s="633">
        <v>0</v>
      </c>
      <c r="F4265" s="618">
        <f>steel_worker_erection</f>
        <v>239580.00000000003</v>
      </c>
      <c r="G4265" s="618">
        <f t="shared" si="173"/>
        <v>0</v>
      </c>
    </row>
    <row r="4266" spans="2:7" ht="15.75" hidden="1" customHeight="1" outlineLevel="3">
      <c r="G4266" s="618">
        <f t="shared" si="173"/>
        <v>0</v>
      </c>
    </row>
    <row r="4267" spans="2:7" ht="15.75" hidden="1" customHeight="1" outlineLevel="3">
      <c r="C4267" s="633" t="s">
        <v>925</v>
      </c>
      <c r="G4267" s="618">
        <f t="shared" si="173"/>
        <v>0</v>
      </c>
    </row>
    <row r="4268" spans="2:7" ht="15.75" hidden="1" customHeight="1" outlineLevel="3">
      <c r="C4268" s="633" t="s">
        <v>1255</v>
      </c>
      <c r="D4268" s="619" t="s">
        <v>72</v>
      </c>
      <c r="E4268" s="633">
        <v>0</v>
      </c>
      <c r="F4268" s="618">
        <f>truc_crane_35t_day/8</f>
        <v>1031250.0000000001</v>
      </c>
      <c r="G4268" s="618">
        <f t="shared" si="173"/>
        <v>0</v>
      </c>
    </row>
    <row r="4269" spans="2:7" ht="15.75" hidden="1" customHeight="1" outlineLevel="3">
      <c r="C4269" s="633" t="s">
        <v>1256</v>
      </c>
      <c r="D4269" s="619" t="s">
        <v>474</v>
      </c>
      <c r="E4269" s="633">
        <v>1</v>
      </c>
      <c r="F4269" s="618">
        <v>11000</v>
      </c>
      <c r="G4269" s="618">
        <f t="shared" si="173"/>
        <v>11000</v>
      </c>
    </row>
    <row r="4270" spans="2:7" ht="15.75" hidden="1" customHeight="1" outlineLevel="3">
      <c r="G4270" s="618">
        <f>SUM(G4261:G4269)</f>
        <v>1399035.0000000002</v>
      </c>
    </row>
    <row r="4271" spans="2:7" ht="15.75" hidden="1" customHeight="1" outlineLevel="2">
      <c r="B4271" s="619" t="s">
        <v>819</v>
      </c>
      <c r="C4271" s="633" t="s">
        <v>1275</v>
      </c>
      <c r="G4271" s="618">
        <f>G4281</f>
        <v>4127475.0000000009</v>
      </c>
    </row>
    <row r="4272" spans="2:7" ht="15.75" hidden="1" customHeight="1" outlineLevel="3">
      <c r="C4272" s="633" t="s">
        <v>1052</v>
      </c>
    </row>
    <row r="4273" spans="2:7" ht="15.75" hidden="1" customHeight="1" outlineLevel="3">
      <c r="C4273" s="633" t="s">
        <v>393</v>
      </c>
      <c r="D4273" s="619" t="s">
        <v>1257</v>
      </c>
      <c r="E4273" s="633">
        <v>1</v>
      </c>
      <c r="F4273" s="618">
        <f>supervisor_Asli</f>
        <v>155155</v>
      </c>
      <c r="G4273" s="618">
        <f t="shared" ref="G4273:G4280" si="174">E4273*F4273</f>
        <v>155155</v>
      </c>
    </row>
    <row r="4274" spans="2:7" ht="15.75" hidden="1" customHeight="1" outlineLevel="3">
      <c r="C4274" s="633" t="s">
        <v>1227</v>
      </c>
      <c r="D4274" s="619" t="s">
        <v>1257</v>
      </c>
      <c r="E4274" s="633">
        <v>12</v>
      </c>
      <c r="F4274" s="618">
        <f>skill_worker</f>
        <v>195360.00000000003</v>
      </c>
      <c r="G4274" s="618">
        <f t="shared" si="174"/>
        <v>2344320.0000000005</v>
      </c>
    </row>
    <row r="4275" spans="2:7" ht="15.75" hidden="1" customHeight="1" outlineLevel="3">
      <c r="C4275" s="633" t="s">
        <v>952</v>
      </c>
      <c r="D4275" s="619" t="s">
        <v>1257</v>
      </c>
      <c r="E4275" s="633">
        <v>15</v>
      </c>
      <c r="F4275" s="618">
        <f>worker</f>
        <v>107800.00000000001</v>
      </c>
      <c r="G4275" s="618">
        <f t="shared" si="174"/>
        <v>1617000.0000000002</v>
      </c>
    </row>
    <row r="4276" spans="2:7" ht="15.75" hidden="1" customHeight="1" outlineLevel="3">
      <c r="C4276" s="633" t="s">
        <v>1254</v>
      </c>
      <c r="D4276" s="619" t="s">
        <v>1257</v>
      </c>
      <c r="E4276" s="633">
        <v>0</v>
      </c>
      <c r="F4276" s="618">
        <f>steel_worker_erection</f>
        <v>239580.00000000003</v>
      </c>
      <c r="G4276" s="618">
        <f t="shared" si="174"/>
        <v>0</v>
      </c>
    </row>
    <row r="4277" spans="2:7" ht="15.75" hidden="1" customHeight="1" outlineLevel="3">
      <c r="G4277" s="618">
        <f t="shared" si="174"/>
        <v>0</v>
      </c>
    </row>
    <row r="4278" spans="2:7" ht="15.75" hidden="1" customHeight="1" outlineLevel="3">
      <c r="C4278" s="633" t="s">
        <v>925</v>
      </c>
      <c r="G4278" s="618">
        <f t="shared" si="174"/>
        <v>0</v>
      </c>
    </row>
    <row r="4279" spans="2:7" ht="15.75" hidden="1" customHeight="1" outlineLevel="3">
      <c r="C4279" s="633" t="s">
        <v>1255</v>
      </c>
      <c r="D4279" s="619" t="s">
        <v>72</v>
      </c>
      <c r="E4279" s="633">
        <v>0</v>
      </c>
      <c r="F4279" s="618">
        <f>truc_crane_35t_day/8</f>
        <v>1031250.0000000001</v>
      </c>
      <c r="G4279" s="618">
        <f t="shared" si="174"/>
        <v>0</v>
      </c>
    </row>
    <row r="4280" spans="2:7" ht="15.75" hidden="1" customHeight="1" outlineLevel="3">
      <c r="C4280" s="633" t="s">
        <v>1256</v>
      </c>
      <c r="D4280" s="619" t="s">
        <v>474</v>
      </c>
      <c r="E4280" s="633">
        <v>1</v>
      </c>
      <c r="F4280" s="618">
        <v>11000</v>
      </c>
      <c r="G4280" s="618">
        <f t="shared" si="174"/>
        <v>11000</v>
      </c>
    </row>
    <row r="4281" spans="2:7" ht="15.75" hidden="1" customHeight="1" outlineLevel="3">
      <c r="G4281" s="618">
        <f>SUM(G4272:G4280)</f>
        <v>4127475.0000000009</v>
      </c>
    </row>
    <row r="4282" spans="2:7" ht="15.75" hidden="1" customHeight="1" outlineLevel="2">
      <c r="B4282" s="619" t="s">
        <v>820</v>
      </c>
      <c r="C4282" s="633" t="s">
        <v>1276</v>
      </c>
      <c r="G4282" s="618">
        <f>G4292</f>
        <v>1830235.0000000005</v>
      </c>
    </row>
    <row r="4283" spans="2:7" ht="15.75" hidden="1" customHeight="1" outlineLevel="3">
      <c r="C4283" s="633" t="s">
        <v>1052</v>
      </c>
    </row>
    <row r="4284" spans="2:7" ht="15.75" hidden="1" customHeight="1" outlineLevel="3">
      <c r="C4284" s="633" t="s">
        <v>393</v>
      </c>
      <c r="D4284" s="619" t="s">
        <v>1257</v>
      </c>
      <c r="E4284" s="633">
        <v>1</v>
      </c>
      <c r="F4284" s="618">
        <f>supervisor_Asli</f>
        <v>155155</v>
      </c>
      <c r="G4284" s="618">
        <f t="shared" ref="G4284:G4291" si="175">E4284*F4284</f>
        <v>155155</v>
      </c>
    </row>
    <row r="4285" spans="2:7" ht="15.75" hidden="1" customHeight="1" outlineLevel="3">
      <c r="C4285" s="633" t="s">
        <v>1227</v>
      </c>
      <c r="D4285" s="619" t="s">
        <v>1257</v>
      </c>
      <c r="E4285" s="633">
        <v>3</v>
      </c>
      <c r="F4285" s="618">
        <f>skill_worker</f>
        <v>195360.00000000003</v>
      </c>
      <c r="G4285" s="618">
        <f t="shared" si="175"/>
        <v>586080.00000000012</v>
      </c>
    </row>
    <row r="4286" spans="2:7" ht="15.75" hidden="1" customHeight="1" outlineLevel="3">
      <c r="C4286" s="633" t="s">
        <v>952</v>
      </c>
      <c r="D4286" s="619" t="s">
        <v>1257</v>
      </c>
      <c r="E4286" s="633">
        <v>10</v>
      </c>
      <c r="F4286" s="618">
        <f>worker</f>
        <v>107800.00000000001</v>
      </c>
      <c r="G4286" s="618">
        <f t="shared" si="175"/>
        <v>1078000.0000000002</v>
      </c>
    </row>
    <row r="4287" spans="2:7" ht="15.75" hidden="1" customHeight="1" outlineLevel="3">
      <c r="C4287" s="633" t="s">
        <v>1254</v>
      </c>
      <c r="D4287" s="619" t="s">
        <v>1257</v>
      </c>
      <c r="E4287" s="633">
        <v>0</v>
      </c>
      <c r="F4287" s="618">
        <f>steel_worker_erection</f>
        <v>239580.00000000003</v>
      </c>
      <c r="G4287" s="618">
        <f t="shared" si="175"/>
        <v>0</v>
      </c>
    </row>
    <row r="4288" spans="2:7" ht="15.75" hidden="1" customHeight="1" outlineLevel="3">
      <c r="G4288" s="618">
        <f t="shared" si="175"/>
        <v>0</v>
      </c>
    </row>
    <row r="4289" spans="1:7" ht="15.75" hidden="1" customHeight="1" outlineLevel="3">
      <c r="C4289" s="633" t="s">
        <v>925</v>
      </c>
      <c r="G4289" s="618">
        <f t="shared" si="175"/>
        <v>0</v>
      </c>
    </row>
    <row r="4290" spans="1:7" ht="15.75" hidden="1" customHeight="1" outlineLevel="3">
      <c r="C4290" s="633" t="s">
        <v>1255</v>
      </c>
      <c r="D4290" s="619" t="s">
        <v>72</v>
      </c>
      <c r="E4290" s="633">
        <v>0</v>
      </c>
      <c r="F4290" s="618">
        <f>truc_crane_35t_day/8</f>
        <v>1031250.0000000001</v>
      </c>
      <c r="G4290" s="618">
        <f t="shared" si="175"/>
        <v>0</v>
      </c>
    </row>
    <row r="4291" spans="1:7" ht="15.75" hidden="1" customHeight="1" outlineLevel="3">
      <c r="C4291" s="633" t="s">
        <v>1256</v>
      </c>
      <c r="D4291" s="619" t="s">
        <v>474</v>
      </c>
      <c r="E4291" s="633">
        <v>1</v>
      </c>
      <c r="F4291" s="618">
        <v>11000</v>
      </c>
      <c r="G4291" s="618">
        <f t="shared" si="175"/>
        <v>11000</v>
      </c>
    </row>
    <row r="4292" spans="1:7" ht="15.75" hidden="1" customHeight="1" outlineLevel="3">
      <c r="G4292" s="618">
        <f>SUM(G4283:G4291)</f>
        <v>1830235.0000000005</v>
      </c>
    </row>
    <row r="4293" spans="1:7" ht="15.75" hidden="1" customHeight="1" outlineLevel="2">
      <c r="B4293" s="619" t="s">
        <v>821</v>
      </c>
      <c r="C4293" s="633" t="s">
        <v>1277</v>
      </c>
      <c r="G4293" s="618">
        <f>G4303</f>
        <v>2759955</v>
      </c>
    </row>
    <row r="4294" spans="1:7" ht="15.75" hidden="1" customHeight="1" outlineLevel="3">
      <c r="C4294" s="633" t="s">
        <v>1052</v>
      </c>
    </row>
    <row r="4295" spans="1:7" ht="15.75" hidden="1" customHeight="1" outlineLevel="3">
      <c r="C4295" s="633" t="s">
        <v>393</v>
      </c>
      <c r="D4295" s="619" t="s">
        <v>1257</v>
      </c>
      <c r="E4295" s="633">
        <v>1</v>
      </c>
      <c r="F4295" s="618">
        <f>supervisor_Asli</f>
        <v>155155</v>
      </c>
      <c r="G4295" s="618">
        <f t="shared" ref="G4295:G4302" si="176">E4295*F4295</f>
        <v>155155</v>
      </c>
    </row>
    <row r="4296" spans="1:7" ht="15.75" hidden="1" customHeight="1" outlineLevel="3">
      <c r="C4296" s="633" t="s">
        <v>1227</v>
      </c>
      <c r="D4296" s="619" t="s">
        <v>1257</v>
      </c>
      <c r="E4296" s="633">
        <v>5</v>
      </c>
      <c r="F4296" s="618">
        <f>skill_worker</f>
        <v>195360.00000000003</v>
      </c>
      <c r="G4296" s="618">
        <f t="shared" si="176"/>
        <v>976800.00000000012</v>
      </c>
    </row>
    <row r="4297" spans="1:7" ht="15.75" hidden="1" customHeight="1" outlineLevel="3">
      <c r="C4297" s="633" t="s">
        <v>952</v>
      </c>
      <c r="D4297" s="619" t="s">
        <v>1257</v>
      </c>
      <c r="E4297" s="633">
        <v>15</v>
      </c>
      <c r="F4297" s="618">
        <f>worker</f>
        <v>107800.00000000001</v>
      </c>
      <c r="G4297" s="618">
        <f t="shared" si="176"/>
        <v>1617000.0000000002</v>
      </c>
    </row>
    <row r="4298" spans="1:7" ht="15.75" hidden="1" customHeight="1" outlineLevel="3">
      <c r="C4298" s="633" t="s">
        <v>1254</v>
      </c>
      <c r="D4298" s="619" t="s">
        <v>1257</v>
      </c>
      <c r="E4298" s="633">
        <v>0</v>
      </c>
      <c r="F4298" s="618">
        <f>steel_worker_erection</f>
        <v>239580.00000000003</v>
      </c>
      <c r="G4298" s="618">
        <f t="shared" si="176"/>
        <v>0</v>
      </c>
    </row>
    <row r="4299" spans="1:7" ht="15.75" hidden="1" customHeight="1" outlineLevel="3">
      <c r="G4299" s="618">
        <f t="shared" si="176"/>
        <v>0</v>
      </c>
    </row>
    <row r="4300" spans="1:7" ht="15.75" hidden="1" customHeight="1" outlineLevel="3">
      <c r="C4300" s="633" t="s">
        <v>925</v>
      </c>
      <c r="G4300" s="618">
        <f t="shared" si="176"/>
        <v>0</v>
      </c>
    </row>
    <row r="4301" spans="1:7" ht="15.75" hidden="1" customHeight="1" outlineLevel="3">
      <c r="C4301" s="633" t="s">
        <v>1255</v>
      </c>
      <c r="D4301" s="619" t="s">
        <v>72</v>
      </c>
      <c r="E4301" s="633">
        <v>0</v>
      </c>
      <c r="F4301" s="618">
        <f>truc_crane_35t_day/8</f>
        <v>1031250.0000000001</v>
      </c>
      <c r="G4301" s="618">
        <f t="shared" si="176"/>
        <v>0</v>
      </c>
    </row>
    <row r="4302" spans="1:7" ht="15.75" hidden="1" customHeight="1" outlineLevel="3">
      <c r="C4302" s="633" t="s">
        <v>1256</v>
      </c>
      <c r="D4302" s="619" t="s">
        <v>474</v>
      </c>
      <c r="E4302" s="633">
        <v>1</v>
      </c>
      <c r="F4302" s="618">
        <v>11000</v>
      </c>
      <c r="G4302" s="618">
        <f t="shared" si="176"/>
        <v>11000</v>
      </c>
    </row>
    <row r="4303" spans="1:7" ht="15.75" hidden="1" customHeight="1" outlineLevel="3">
      <c r="G4303" s="618">
        <f>SUM(G4294:G4302)</f>
        <v>2759955</v>
      </c>
    </row>
    <row r="4304" spans="1:7" ht="15.75" customHeight="1" outlineLevel="1" collapsed="1">
      <c r="A4304" s="633" t="s">
        <v>2074</v>
      </c>
      <c r="B4304" s="619">
        <f>1+B4248</f>
        <v>33</v>
      </c>
      <c r="C4304" s="633" t="s">
        <v>1278</v>
      </c>
      <c r="G4304" s="618">
        <f>G4314</f>
        <v>6054785.0000000009</v>
      </c>
    </row>
    <row r="4305" spans="1:7" ht="15.75" hidden="1" customHeight="1" outlineLevel="2">
      <c r="C4305" s="633" t="s">
        <v>1052</v>
      </c>
    </row>
    <row r="4306" spans="1:7" ht="15.75" hidden="1" customHeight="1" outlineLevel="2">
      <c r="C4306" s="633" t="s">
        <v>393</v>
      </c>
      <c r="D4306" s="619" t="s">
        <v>1257</v>
      </c>
      <c r="E4306" s="633">
        <v>3</v>
      </c>
      <c r="F4306" s="618">
        <f>supervisor_Asli</f>
        <v>155155</v>
      </c>
      <c r="G4306" s="618">
        <f t="shared" ref="G4306:G4313" si="177">E4306*F4306</f>
        <v>465465</v>
      </c>
    </row>
    <row r="4307" spans="1:7" ht="15.75" hidden="1" customHeight="1" outlineLevel="2">
      <c r="C4307" s="633" t="s">
        <v>1227</v>
      </c>
      <c r="D4307" s="619" t="s">
        <v>1257</v>
      </c>
      <c r="E4307" s="633">
        <v>12</v>
      </c>
      <c r="F4307" s="618">
        <f>skill_worker</f>
        <v>195360.00000000003</v>
      </c>
      <c r="G4307" s="618">
        <f t="shared" si="177"/>
        <v>2344320.0000000005</v>
      </c>
    </row>
    <row r="4308" spans="1:7" ht="15.75" hidden="1" customHeight="1" outlineLevel="2">
      <c r="C4308" s="633" t="s">
        <v>952</v>
      </c>
      <c r="D4308" s="619" t="s">
        <v>1257</v>
      </c>
      <c r="E4308" s="633">
        <v>30</v>
      </c>
      <c r="F4308" s="618">
        <f>worker</f>
        <v>107800.00000000001</v>
      </c>
      <c r="G4308" s="618">
        <f t="shared" si="177"/>
        <v>3234000.0000000005</v>
      </c>
    </row>
    <row r="4309" spans="1:7" ht="15.75" hidden="1" customHeight="1" outlineLevel="2">
      <c r="C4309" s="633" t="s">
        <v>1254</v>
      </c>
      <c r="D4309" s="619" t="s">
        <v>1257</v>
      </c>
      <c r="E4309" s="633">
        <v>0</v>
      </c>
      <c r="F4309" s="618">
        <f>steel_worker_erection</f>
        <v>239580.00000000003</v>
      </c>
      <c r="G4309" s="618">
        <f t="shared" si="177"/>
        <v>0</v>
      </c>
    </row>
    <row r="4310" spans="1:7" ht="15.75" hidden="1" customHeight="1" outlineLevel="2">
      <c r="G4310" s="618">
        <f t="shared" si="177"/>
        <v>0</v>
      </c>
    </row>
    <row r="4311" spans="1:7" ht="15.75" hidden="1" customHeight="1" outlineLevel="2">
      <c r="C4311" s="633" t="s">
        <v>925</v>
      </c>
      <c r="G4311" s="618">
        <f t="shared" si="177"/>
        <v>0</v>
      </c>
    </row>
    <row r="4312" spans="1:7" ht="15.75" hidden="1" customHeight="1" outlineLevel="2">
      <c r="C4312" s="633" t="s">
        <v>1255</v>
      </c>
      <c r="D4312" s="619" t="s">
        <v>72</v>
      </c>
      <c r="E4312" s="633">
        <v>0</v>
      </c>
      <c r="F4312" s="618">
        <f>truc_crane_35t_day/8</f>
        <v>1031250.0000000001</v>
      </c>
      <c r="G4312" s="618">
        <f t="shared" si="177"/>
        <v>0</v>
      </c>
    </row>
    <row r="4313" spans="1:7" ht="15.75" hidden="1" customHeight="1" outlineLevel="2">
      <c r="C4313" s="633" t="s">
        <v>1256</v>
      </c>
      <c r="D4313" s="619" t="s">
        <v>474</v>
      </c>
      <c r="E4313" s="633">
        <v>1</v>
      </c>
      <c r="F4313" s="618">
        <v>11000</v>
      </c>
      <c r="G4313" s="618">
        <f t="shared" si="177"/>
        <v>11000</v>
      </c>
    </row>
    <row r="4314" spans="1:7" ht="15.75" hidden="1" customHeight="1" outlineLevel="2">
      <c r="G4314" s="618">
        <f>SUM(G4305:G4313)</f>
        <v>6054785.0000000009</v>
      </c>
    </row>
    <row r="4315" spans="1:7" ht="15.75" customHeight="1" outlineLevel="1" collapsed="1">
      <c r="A4315" s="633" t="s">
        <v>2074</v>
      </c>
      <c r="B4315" s="619">
        <f>1+B4304</f>
        <v>34</v>
      </c>
      <c r="C4315" s="633" t="s">
        <v>986</v>
      </c>
    </row>
    <row r="4316" spans="1:7" ht="15.75" hidden="1" customHeight="1" outlineLevel="2">
      <c r="B4316" s="619" t="s">
        <v>816</v>
      </c>
      <c r="C4316" s="633" t="s">
        <v>987</v>
      </c>
      <c r="G4316" s="618">
        <f>G4326</f>
        <v>1012055</v>
      </c>
    </row>
    <row r="4317" spans="1:7" ht="15.75" hidden="1" customHeight="1" outlineLevel="3">
      <c r="C4317" s="633" t="s">
        <v>1052</v>
      </c>
    </row>
    <row r="4318" spans="1:7" ht="15.75" hidden="1" customHeight="1" outlineLevel="3">
      <c r="C4318" s="633" t="s">
        <v>393</v>
      </c>
      <c r="D4318" s="619" t="s">
        <v>1257</v>
      </c>
      <c r="E4318" s="633">
        <v>1</v>
      </c>
      <c r="F4318" s="618">
        <f>supervisor_Asli</f>
        <v>155155</v>
      </c>
      <c r="G4318" s="618">
        <f t="shared" ref="G4318:G4325" si="178">E4318*F4318</f>
        <v>155155</v>
      </c>
    </row>
    <row r="4319" spans="1:7" ht="15.75" hidden="1" customHeight="1" outlineLevel="3">
      <c r="C4319" s="633" t="s">
        <v>1227</v>
      </c>
      <c r="D4319" s="619" t="s">
        <v>1257</v>
      </c>
      <c r="E4319" s="633">
        <v>2</v>
      </c>
      <c r="F4319" s="618">
        <f>skill_worker</f>
        <v>195360.00000000003</v>
      </c>
      <c r="G4319" s="618">
        <f t="shared" si="178"/>
        <v>390720.00000000006</v>
      </c>
    </row>
    <row r="4320" spans="1:7" ht="15.75" hidden="1" customHeight="1" outlineLevel="3">
      <c r="C4320" s="633" t="s">
        <v>952</v>
      </c>
      <c r="D4320" s="619" t="s">
        <v>1257</v>
      </c>
      <c r="E4320" s="633">
        <v>2</v>
      </c>
      <c r="F4320" s="618">
        <f>worker</f>
        <v>107800.00000000001</v>
      </c>
      <c r="G4320" s="618">
        <f t="shared" si="178"/>
        <v>215600.00000000003</v>
      </c>
    </row>
    <row r="4321" spans="2:7" ht="15.75" hidden="1" customHeight="1" outlineLevel="3">
      <c r="C4321" s="633" t="s">
        <v>1254</v>
      </c>
      <c r="D4321" s="619" t="s">
        <v>1257</v>
      </c>
      <c r="E4321" s="633">
        <v>1</v>
      </c>
      <c r="F4321" s="618">
        <f>steel_worker_erection</f>
        <v>239580.00000000003</v>
      </c>
      <c r="G4321" s="618">
        <f t="shared" si="178"/>
        <v>239580.00000000003</v>
      </c>
    </row>
    <row r="4322" spans="2:7" ht="15.75" hidden="1" customHeight="1" outlineLevel="3">
      <c r="G4322" s="618">
        <f t="shared" si="178"/>
        <v>0</v>
      </c>
    </row>
    <row r="4323" spans="2:7" ht="15.75" hidden="1" customHeight="1" outlineLevel="3">
      <c r="C4323" s="633" t="s">
        <v>925</v>
      </c>
      <c r="G4323" s="618">
        <f t="shared" si="178"/>
        <v>0</v>
      </c>
    </row>
    <row r="4324" spans="2:7" ht="15.75" hidden="1" customHeight="1" outlineLevel="3">
      <c r="C4324" s="633" t="s">
        <v>1255</v>
      </c>
      <c r="D4324" s="619" t="s">
        <v>72</v>
      </c>
      <c r="E4324" s="633">
        <v>0</v>
      </c>
      <c r="F4324" s="618">
        <f>truc_crane_35t_day/8</f>
        <v>1031250.0000000001</v>
      </c>
      <c r="G4324" s="618">
        <f t="shared" si="178"/>
        <v>0</v>
      </c>
    </row>
    <row r="4325" spans="2:7" ht="15.75" hidden="1" customHeight="1" outlineLevel="3">
      <c r="C4325" s="633" t="s">
        <v>1256</v>
      </c>
      <c r="D4325" s="619" t="s">
        <v>474</v>
      </c>
      <c r="E4325" s="633">
        <v>1</v>
      </c>
      <c r="F4325" s="618">
        <v>11000</v>
      </c>
      <c r="G4325" s="618">
        <f t="shared" si="178"/>
        <v>11000</v>
      </c>
    </row>
    <row r="4326" spans="2:7" ht="15.75" hidden="1" customHeight="1" outlineLevel="3">
      <c r="G4326" s="618">
        <f>SUM(G4317:G4325)</f>
        <v>1012055</v>
      </c>
    </row>
    <row r="4327" spans="2:7" ht="15.75" hidden="1" customHeight="1" outlineLevel="2">
      <c r="B4327" s="619" t="s">
        <v>818</v>
      </c>
      <c r="C4327" s="633" t="s">
        <v>988</v>
      </c>
      <c r="G4327" s="618">
        <f>G4337</f>
        <v>1012055</v>
      </c>
    </row>
    <row r="4328" spans="2:7" ht="15.75" hidden="1" customHeight="1" outlineLevel="3">
      <c r="C4328" s="633" t="s">
        <v>1052</v>
      </c>
    </row>
    <row r="4329" spans="2:7" ht="15.75" hidden="1" customHeight="1" outlineLevel="3">
      <c r="C4329" s="633" t="s">
        <v>393</v>
      </c>
      <c r="D4329" s="619" t="s">
        <v>1257</v>
      </c>
      <c r="E4329" s="633">
        <v>1</v>
      </c>
      <c r="F4329" s="618">
        <f>supervisor_Asli</f>
        <v>155155</v>
      </c>
      <c r="G4329" s="618">
        <f t="shared" ref="G4329:G4336" si="179">E4329*F4329</f>
        <v>155155</v>
      </c>
    </row>
    <row r="4330" spans="2:7" ht="15.75" hidden="1" customHeight="1" outlineLevel="3">
      <c r="C4330" s="633" t="s">
        <v>1227</v>
      </c>
      <c r="D4330" s="619" t="s">
        <v>1257</v>
      </c>
      <c r="E4330" s="633">
        <v>2</v>
      </c>
      <c r="F4330" s="618">
        <f>skill_worker</f>
        <v>195360.00000000003</v>
      </c>
      <c r="G4330" s="618">
        <f t="shared" si="179"/>
        <v>390720.00000000006</v>
      </c>
    </row>
    <row r="4331" spans="2:7" ht="15.75" hidden="1" customHeight="1" outlineLevel="3">
      <c r="C4331" s="633" t="s">
        <v>952</v>
      </c>
      <c r="D4331" s="619" t="s">
        <v>1257</v>
      </c>
      <c r="E4331" s="633">
        <v>2</v>
      </c>
      <c r="F4331" s="618">
        <f>worker</f>
        <v>107800.00000000001</v>
      </c>
      <c r="G4331" s="618">
        <f t="shared" si="179"/>
        <v>215600.00000000003</v>
      </c>
    </row>
    <row r="4332" spans="2:7" ht="15.75" hidden="1" customHeight="1" outlineLevel="3">
      <c r="C4332" s="633" t="s">
        <v>1254</v>
      </c>
      <c r="D4332" s="619" t="s">
        <v>1257</v>
      </c>
      <c r="E4332" s="633">
        <v>1</v>
      </c>
      <c r="F4332" s="618">
        <f>steel_worker_erection</f>
        <v>239580.00000000003</v>
      </c>
      <c r="G4332" s="618">
        <f t="shared" si="179"/>
        <v>239580.00000000003</v>
      </c>
    </row>
    <row r="4333" spans="2:7" ht="15.75" hidden="1" customHeight="1" outlineLevel="3">
      <c r="G4333" s="618">
        <f t="shared" si="179"/>
        <v>0</v>
      </c>
    </row>
    <row r="4334" spans="2:7" ht="15.75" hidden="1" customHeight="1" outlineLevel="3">
      <c r="C4334" s="633" t="s">
        <v>925</v>
      </c>
      <c r="G4334" s="618">
        <f t="shared" si="179"/>
        <v>0</v>
      </c>
    </row>
    <row r="4335" spans="2:7" ht="15.75" hidden="1" customHeight="1" outlineLevel="3">
      <c r="C4335" s="633" t="s">
        <v>1255</v>
      </c>
      <c r="D4335" s="619" t="s">
        <v>72</v>
      </c>
      <c r="E4335" s="633">
        <v>0</v>
      </c>
      <c r="F4335" s="618">
        <f>truc_crane_35t_day/8</f>
        <v>1031250.0000000001</v>
      </c>
      <c r="G4335" s="618">
        <f t="shared" si="179"/>
        <v>0</v>
      </c>
    </row>
    <row r="4336" spans="2:7" ht="15.75" hidden="1" customHeight="1" outlineLevel="3">
      <c r="C4336" s="633" t="s">
        <v>1256</v>
      </c>
      <c r="D4336" s="619" t="s">
        <v>474</v>
      </c>
      <c r="E4336" s="633">
        <v>1</v>
      </c>
      <c r="F4336" s="618">
        <v>11000</v>
      </c>
      <c r="G4336" s="618">
        <f t="shared" si="179"/>
        <v>11000</v>
      </c>
    </row>
    <row r="4337" spans="2:7" ht="15.75" hidden="1" customHeight="1" outlineLevel="3">
      <c r="G4337" s="618">
        <f>SUM(G4328:G4336)</f>
        <v>1012055</v>
      </c>
    </row>
    <row r="4338" spans="2:7" ht="15.75" hidden="1" customHeight="1" outlineLevel="2">
      <c r="B4338" s="619" t="s">
        <v>819</v>
      </c>
      <c r="C4338" s="633" t="s">
        <v>989</v>
      </c>
      <c r="G4338" s="618">
        <f>G4348</f>
        <v>1012055</v>
      </c>
    </row>
    <row r="4339" spans="2:7" ht="15.75" hidden="1" customHeight="1" outlineLevel="3">
      <c r="C4339" s="633" t="s">
        <v>1052</v>
      </c>
    </row>
    <row r="4340" spans="2:7" ht="15.75" hidden="1" customHeight="1" outlineLevel="3">
      <c r="C4340" s="633" t="s">
        <v>393</v>
      </c>
      <c r="D4340" s="619" t="s">
        <v>1257</v>
      </c>
      <c r="E4340" s="633">
        <v>1</v>
      </c>
      <c r="F4340" s="618">
        <f>supervisor_Asli</f>
        <v>155155</v>
      </c>
      <c r="G4340" s="618">
        <f t="shared" ref="G4340:G4347" si="180">E4340*F4340</f>
        <v>155155</v>
      </c>
    </row>
    <row r="4341" spans="2:7" ht="15.75" hidden="1" customHeight="1" outlineLevel="3">
      <c r="C4341" s="633" t="s">
        <v>1227</v>
      </c>
      <c r="D4341" s="619" t="s">
        <v>1257</v>
      </c>
      <c r="E4341" s="633">
        <v>2</v>
      </c>
      <c r="F4341" s="618">
        <f>skill_worker</f>
        <v>195360.00000000003</v>
      </c>
      <c r="G4341" s="618">
        <f t="shared" si="180"/>
        <v>390720.00000000006</v>
      </c>
    </row>
    <row r="4342" spans="2:7" ht="15.75" hidden="1" customHeight="1" outlineLevel="3">
      <c r="C4342" s="633" t="s">
        <v>952</v>
      </c>
      <c r="D4342" s="619" t="s">
        <v>1257</v>
      </c>
      <c r="E4342" s="633">
        <v>2</v>
      </c>
      <c r="F4342" s="618">
        <f>worker</f>
        <v>107800.00000000001</v>
      </c>
      <c r="G4342" s="618">
        <f t="shared" si="180"/>
        <v>215600.00000000003</v>
      </c>
    </row>
    <row r="4343" spans="2:7" ht="15.75" hidden="1" customHeight="1" outlineLevel="3">
      <c r="C4343" s="633" t="s">
        <v>1254</v>
      </c>
      <c r="D4343" s="619" t="s">
        <v>1257</v>
      </c>
      <c r="E4343" s="633">
        <v>1</v>
      </c>
      <c r="F4343" s="618">
        <f>steel_worker_erection</f>
        <v>239580.00000000003</v>
      </c>
      <c r="G4343" s="618">
        <f t="shared" si="180"/>
        <v>239580.00000000003</v>
      </c>
    </row>
    <row r="4344" spans="2:7" ht="15.75" hidden="1" customHeight="1" outlineLevel="3">
      <c r="G4344" s="618">
        <f t="shared" si="180"/>
        <v>0</v>
      </c>
    </row>
    <row r="4345" spans="2:7" ht="15.75" hidden="1" customHeight="1" outlineLevel="3">
      <c r="C4345" s="633" t="s">
        <v>925</v>
      </c>
      <c r="G4345" s="618">
        <f t="shared" si="180"/>
        <v>0</v>
      </c>
    </row>
    <row r="4346" spans="2:7" ht="15.75" hidden="1" customHeight="1" outlineLevel="3">
      <c r="C4346" s="633" t="s">
        <v>1255</v>
      </c>
      <c r="D4346" s="619" t="s">
        <v>72</v>
      </c>
      <c r="E4346" s="633">
        <v>0</v>
      </c>
      <c r="F4346" s="618">
        <f>truc_crane_35t_day/8</f>
        <v>1031250.0000000001</v>
      </c>
      <c r="G4346" s="618">
        <f t="shared" si="180"/>
        <v>0</v>
      </c>
    </row>
    <row r="4347" spans="2:7" ht="15.75" hidden="1" customHeight="1" outlineLevel="3">
      <c r="C4347" s="633" t="s">
        <v>1256</v>
      </c>
      <c r="D4347" s="619" t="s">
        <v>474</v>
      </c>
      <c r="E4347" s="633">
        <v>1</v>
      </c>
      <c r="F4347" s="618">
        <v>11000</v>
      </c>
      <c r="G4347" s="618">
        <f t="shared" si="180"/>
        <v>11000</v>
      </c>
    </row>
    <row r="4348" spans="2:7" ht="15.75" hidden="1" customHeight="1" outlineLevel="3">
      <c r="G4348" s="618">
        <f>SUM(G4339:G4347)</f>
        <v>1012055</v>
      </c>
    </row>
    <row r="4349" spans="2:7" ht="15.75" hidden="1" customHeight="1" outlineLevel="2">
      <c r="B4349" s="619" t="s">
        <v>820</v>
      </c>
      <c r="C4349" s="633" t="s">
        <v>990</v>
      </c>
      <c r="G4349" s="618">
        <f>G4359</f>
        <v>1012055</v>
      </c>
    </row>
    <row r="4350" spans="2:7" ht="15.75" hidden="1" customHeight="1" outlineLevel="3">
      <c r="C4350" s="633" t="s">
        <v>1052</v>
      </c>
    </row>
    <row r="4351" spans="2:7" ht="15.75" hidden="1" customHeight="1" outlineLevel="3">
      <c r="C4351" s="633" t="s">
        <v>393</v>
      </c>
      <c r="D4351" s="619" t="s">
        <v>1257</v>
      </c>
      <c r="E4351" s="633">
        <v>1</v>
      </c>
      <c r="F4351" s="618">
        <f>supervisor_Asli</f>
        <v>155155</v>
      </c>
      <c r="G4351" s="618">
        <f t="shared" ref="G4351:G4358" si="181">E4351*F4351</f>
        <v>155155</v>
      </c>
    </row>
    <row r="4352" spans="2:7" ht="15.75" hidden="1" customHeight="1" outlineLevel="3">
      <c r="C4352" s="633" t="s">
        <v>1227</v>
      </c>
      <c r="D4352" s="619" t="s">
        <v>1257</v>
      </c>
      <c r="E4352" s="633">
        <v>2</v>
      </c>
      <c r="F4352" s="618">
        <f>skill_worker</f>
        <v>195360.00000000003</v>
      </c>
      <c r="G4352" s="618">
        <f t="shared" si="181"/>
        <v>390720.00000000006</v>
      </c>
    </row>
    <row r="4353" spans="2:7" ht="15.75" hidden="1" customHeight="1" outlineLevel="3">
      <c r="C4353" s="633" t="s">
        <v>952</v>
      </c>
      <c r="D4353" s="619" t="s">
        <v>1257</v>
      </c>
      <c r="E4353" s="633">
        <v>2</v>
      </c>
      <c r="F4353" s="618">
        <f>worker</f>
        <v>107800.00000000001</v>
      </c>
      <c r="G4353" s="618">
        <f t="shared" si="181"/>
        <v>215600.00000000003</v>
      </c>
    </row>
    <row r="4354" spans="2:7" ht="15.75" hidden="1" customHeight="1" outlineLevel="3">
      <c r="C4354" s="633" t="s">
        <v>1254</v>
      </c>
      <c r="D4354" s="619" t="s">
        <v>1257</v>
      </c>
      <c r="E4354" s="633">
        <v>1</v>
      </c>
      <c r="F4354" s="618">
        <f>steel_worker_erection</f>
        <v>239580.00000000003</v>
      </c>
      <c r="G4354" s="618">
        <f t="shared" si="181"/>
        <v>239580.00000000003</v>
      </c>
    </row>
    <row r="4355" spans="2:7" ht="15.75" hidden="1" customHeight="1" outlineLevel="3">
      <c r="G4355" s="618">
        <f t="shared" si="181"/>
        <v>0</v>
      </c>
    </row>
    <row r="4356" spans="2:7" ht="15.75" hidden="1" customHeight="1" outlineLevel="3">
      <c r="C4356" s="633" t="s">
        <v>925</v>
      </c>
      <c r="G4356" s="618">
        <f t="shared" si="181"/>
        <v>0</v>
      </c>
    </row>
    <row r="4357" spans="2:7" ht="15.75" hidden="1" customHeight="1" outlineLevel="3">
      <c r="C4357" s="633" t="s">
        <v>1255</v>
      </c>
      <c r="D4357" s="619" t="s">
        <v>72</v>
      </c>
      <c r="E4357" s="633">
        <v>0</v>
      </c>
      <c r="F4357" s="618">
        <f>truc_crane_35t_day/8</f>
        <v>1031250.0000000001</v>
      </c>
      <c r="G4357" s="618">
        <f t="shared" si="181"/>
        <v>0</v>
      </c>
    </row>
    <row r="4358" spans="2:7" ht="15.75" hidden="1" customHeight="1" outlineLevel="3">
      <c r="C4358" s="633" t="s">
        <v>1256</v>
      </c>
      <c r="D4358" s="619" t="s">
        <v>474</v>
      </c>
      <c r="E4358" s="633">
        <v>1</v>
      </c>
      <c r="F4358" s="618">
        <v>11000</v>
      </c>
      <c r="G4358" s="618">
        <f t="shared" si="181"/>
        <v>11000</v>
      </c>
    </row>
    <row r="4359" spans="2:7" ht="15.75" hidden="1" customHeight="1" outlineLevel="3">
      <c r="G4359" s="618">
        <f>SUM(G4350:G4358)</f>
        <v>1012055</v>
      </c>
    </row>
    <row r="4360" spans="2:7" ht="15.75" hidden="1" customHeight="1" outlineLevel="2">
      <c r="B4360" s="619" t="s">
        <v>821</v>
      </c>
      <c r="C4360" s="633" t="s">
        <v>991</v>
      </c>
      <c r="G4360" s="618">
        <f>G4370</f>
        <v>1012055</v>
      </c>
    </row>
    <row r="4361" spans="2:7" ht="15.75" hidden="1" customHeight="1" outlineLevel="3">
      <c r="C4361" s="633" t="s">
        <v>1052</v>
      </c>
    </row>
    <row r="4362" spans="2:7" ht="15.75" hidden="1" customHeight="1" outlineLevel="3">
      <c r="C4362" s="633" t="s">
        <v>393</v>
      </c>
      <c r="D4362" s="619" t="s">
        <v>1257</v>
      </c>
      <c r="E4362" s="633">
        <v>1</v>
      </c>
      <c r="F4362" s="618">
        <f>supervisor_Asli</f>
        <v>155155</v>
      </c>
      <c r="G4362" s="618">
        <f t="shared" ref="G4362:G4369" si="182">E4362*F4362</f>
        <v>155155</v>
      </c>
    </row>
    <row r="4363" spans="2:7" ht="15.75" hidden="1" customHeight="1" outlineLevel="3">
      <c r="C4363" s="633" t="s">
        <v>1227</v>
      </c>
      <c r="D4363" s="619" t="s">
        <v>1257</v>
      </c>
      <c r="E4363" s="633">
        <v>2</v>
      </c>
      <c r="F4363" s="618">
        <f>skill_worker</f>
        <v>195360.00000000003</v>
      </c>
      <c r="G4363" s="618">
        <f t="shared" si="182"/>
        <v>390720.00000000006</v>
      </c>
    </row>
    <row r="4364" spans="2:7" ht="15.75" hidden="1" customHeight="1" outlineLevel="3">
      <c r="C4364" s="633" t="s">
        <v>952</v>
      </c>
      <c r="D4364" s="619" t="s">
        <v>1257</v>
      </c>
      <c r="E4364" s="633">
        <v>2</v>
      </c>
      <c r="F4364" s="618">
        <f>worker</f>
        <v>107800.00000000001</v>
      </c>
      <c r="G4364" s="618">
        <f t="shared" si="182"/>
        <v>215600.00000000003</v>
      </c>
    </row>
    <row r="4365" spans="2:7" ht="15.75" hidden="1" customHeight="1" outlineLevel="3">
      <c r="C4365" s="633" t="s">
        <v>1254</v>
      </c>
      <c r="D4365" s="619" t="s">
        <v>1257</v>
      </c>
      <c r="E4365" s="633">
        <v>1</v>
      </c>
      <c r="F4365" s="618">
        <f>steel_worker_erection</f>
        <v>239580.00000000003</v>
      </c>
      <c r="G4365" s="618">
        <f t="shared" si="182"/>
        <v>239580.00000000003</v>
      </c>
    </row>
    <row r="4366" spans="2:7" ht="15.75" hidden="1" customHeight="1" outlineLevel="3">
      <c r="G4366" s="618">
        <f t="shared" si="182"/>
        <v>0</v>
      </c>
    </row>
    <row r="4367" spans="2:7" ht="15.75" hidden="1" customHeight="1" outlineLevel="3">
      <c r="C4367" s="633" t="s">
        <v>925</v>
      </c>
      <c r="G4367" s="618">
        <f t="shared" si="182"/>
        <v>0</v>
      </c>
    </row>
    <row r="4368" spans="2:7" ht="15.75" hidden="1" customHeight="1" outlineLevel="3">
      <c r="C4368" s="633" t="s">
        <v>1255</v>
      </c>
      <c r="D4368" s="619" t="s">
        <v>72</v>
      </c>
      <c r="E4368" s="633">
        <v>0</v>
      </c>
      <c r="F4368" s="618">
        <f>truc_crane_35t_day/8</f>
        <v>1031250.0000000001</v>
      </c>
      <c r="G4368" s="618">
        <f t="shared" si="182"/>
        <v>0</v>
      </c>
    </row>
    <row r="4369" spans="1:7" ht="15.75" hidden="1" customHeight="1" outlineLevel="3">
      <c r="C4369" s="633" t="s">
        <v>1256</v>
      </c>
      <c r="D4369" s="619" t="s">
        <v>474</v>
      </c>
      <c r="E4369" s="633">
        <v>1</v>
      </c>
      <c r="F4369" s="618">
        <v>11000</v>
      </c>
      <c r="G4369" s="618">
        <f t="shared" si="182"/>
        <v>11000</v>
      </c>
    </row>
    <row r="4370" spans="1:7" ht="15.75" hidden="1" customHeight="1" outlineLevel="3">
      <c r="G4370" s="618">
        <f>SUM(G4361:G4369)</f>
        <v>1012055</v>
      </c>
    </row>
    <row r="4371" spans="1:7" ht="15.75" customHeight="1" outlineLevel="1" collapsed="1">
      <c r="A4371" s="633" t="s">
        <v>2074</v>
      </c>
      <c r="B4371" s="619">
        <f>1+B4315</f>
        <v>35</v>
      </c>
      <c r="C4371" s="633" t="s">
        <v>992</v>
      </c>
      <c r="G4371" s="618">
        <f>SUM(G4372,G4383,G4394,G4405,G4416,G4427,G4438,G4449,G4460,G4471)</f>
        <v>24380391.199999996</v>
      </c>
    </row>
    <row r="4372" spans="1:7" ht="15.75" hidden="1" customHeight="1" outlineLevel="2">
      <c r="B4372" s="619" t="s">
        <v>816</v>
      </c>
      <c r="C4372" s="633" t="s">
        <v>993</v>
      </c>
      <c r="G4372" s="618">
        <f>G4382</f>
        <v>7105049.6000000006</v>
      </c>
    </row>
    <row r="4373" spans="1:7" ht="15.75" hidden="1" customHeight="1" outlineLevel="3">
      <c r="C4373" s="633" t="s">
        <v>1052</v>
      </c>
    </row>
    <row r="4374" spans="1:7" ht="15.75" hidden="1" customHeight="1" outlineLevel="3">
      <c r="C4374" s="633" t="s">
        <v>393</v>
      </c>
      <c r="D4374" s="619" t="s">
        <v>1257</v>
      </c>
      <c r="E4374" s="633">
        <v>4</v>
      </c>
      <c r="F4374" s="618">
        <f>supervisor_Asli</f>
        <v>155155</v>
      </c>
      <c r="G4374" s="618">
        <f>E4374*F4374</f>
        <v>620620</v>
      </c>
    </row>
    <row r="4375" spans="1:7" ht="15.75" hidden="1" customHeight="1" outlineLevel="3">
      <c r="C4375" s="633" t="s">
        <v>1279</v>
      </c>
      <c r="D4375" s="619" t="s">
        <v>1257</v>
      </c>
      <c r="E4375" s="633">
        <v>8</v>
      </c>
      <c r="F4375" s="618">
        <f>technician</f>
        <v>331943.7</v>
      </c>
      <c r="G4375" s="618">
        <f>E4375*F4375</f>
        <v>2655549.6</v>
      </c>
    </row>
    <row r="4376" spans="1:7" ht="15.75" hidden="1" customHeight="1" outlineLevel="3">
      <c r="C4376" s="633" t="s">
        <v>1280</v>
      </c>
      <c r="D4376" s="619" t="s">
        <v>1257</v>
      </c>
      <c r="E4376" s="633">
        <v>4</v>
      </c>
      <c r="F4376" s="618">
        <f>electrician</f>
        <v>143220</v>
      </c>
      <c r="G4376" s="618">
        <f>E4376*F4376</f>
        <v>572880</v>
      </c>
    </row>
    <row r="4377" spans="1:7" ht="15.75" hidden="1" customHeight="1" outlineLevel="3">
      <c r="C4377" s="633" t="s">
        <v>965</v>
      </c>
      <c r="D4377" s="619" t="s">
        <v>1257</v>
      </c>
      <c r="E4377" s="633">
        <v>4</v>
      </c>
      <c r="F4377" s="618">
        <f>engineer</f>
        <v>429000.00000000006</v>
      </c>
      <c r="G4377" s="618">
        <f>E4377*F4377</f>
        <v>1716000.0000000002</v>
      </c>
    </row>
    <row r="4378" spans="1:7" ht="15.75" hidden="1" customHeight="1" outlineLevel="3"/>
    <row r="4379" spans="1:7" ht="15.75" hidden="1" customHeight="1" outlineLevel="3">
      <c r="C4379" s="633" t="s">
        <v>925</v>
      </c>
      <c r="G4379" s="618">
        <f>E4379*F4379</f>
        <v>0</v>
      </c>
    </row>
    <row r="4380" spans="1:7" ht="15.75" hidden="1" customHeight="1" outlineLevel="3">
      <c r="C4380" s="633" t="s">
        <v>1281</v>
      </c>
      <c r="D4380" s="619" t="s">
        <v>72</v>
      </c>
      <c r="E4380" s="633">
        <v>0</v>
      </c>
      <c r="G4380" s="618">
        <f>E4380*F4380</f>
        <v>0</v>
      </c>
    </row>
    <row r="4381" spans="1:7" ht="15.75" hidden="1" customHeight="1" outlineLevel="3">
      <c r="C4381" s="633" t="s">
        <v>1256</v>
      </c>
      <c r="D4381" s="619" t="s">
        <v>474</v>
      </c>
      <c r="E4381" s="633">
        <v>4</v>
      </c>
      <c r="F4381" s="618">
        <f>alat_bantu_Computer_Printer</f>
        <v>385000.00000000006</v>
      </c>
      <c r="G4381" s="618">
        <f>E4381*F4381</f>
        <v>1540000.0000000002</v>
      </c>
    </row>
    <row r="4382" spans="1:7" ht="15.75" hidden="1" customHeight="1" outlineLevel="3">
      <c r="G4382" s="618">
        <f>SUM(G4373:G4381)</f>
        <v>7105049.6000000006</v>
      </c>
    </row>
    <row r="4383" spans="1:7" ht="15.75" hidden="1" customHeight="1" outlineLevel="2">
      <c r="B4383" s="619" t="s">
        <v>818</v>
      </c>
      <c r="C4383" s="633" t="s">
        <v>997</v>
      </c>
      <c r="G4383" s="618">
        <f>G4393</f>
        <v>1919482.4</v>
      </c>
    </row>
    <row r="4384" spans="1:7" ht="15.75" hidden="1" customHeight="1" outlineLevel="3">
      <c r="C4384" s="633" t="s">
        <v>1052</v>
      </c>
    </row>
    <row r="4385" spans="2:7" ht="15.75" hidden="1" customHeight="1" outlineLevel="3">
      <c r="C4385" s="633" t="s">
        <v>393</v>
      </c>
      <c r="D4385" s="619" t="s">
        <v>1257</v>
      </c>
      <c r="E4385" s="633">
        <v>1</v>
      </c>
      <c r="F4385" s="618">
        <f>supervisor_Asli</f>
        <v>155155</v>
      </c>
      <c r="G4385" s="618">
        <f t="shared" ref="G4385:G4392" si="183">E4385*F4385</f>
        <v>155155</v>
      </c>
    </row>
    <row r="4386" spans="2:7" ht="15.75" hidden="1" customHeight="1" outlineLevel="3">
      <c r="C4386" s="633" t="s">
        <v>1279</v>
      </c>
      <c r="D4386" s="619" t="s">
        <v>1257</v>
      </c>
      <c r="E4386" s="633">
        <v>2</v>
      </c>
      <c r="F4386" s="618">
        <f>technician</f>
        <v>331943.7</v>
      </c>
      <c r="G4386" s="618">
        <f t="shared" si="183"/>
        <v>663887.4</v>
      </c>
    </row>
    <row r="4387" spans="2:7" ht="15.75" hidden="1" customHeight="1" outlineLevel="3">
      <c r="C4387" s="633" t="s">
        <v>1280</v>
      </c>
      <c r="D4387" s="619" t="s">
        <v>1257</v>
      </c>
      <c r="E4387" s="633">
        <v>2</v>
      </c>
      <c r="F4387" s="618">
        <f>electrician</f>
        <v>143220</v>
      </c>
      <c r="G4387" s="618">
        <f t="shared" si="183"/>
        <v>286440</v>
      </c>
    </row>
    <row r="4388" spans="2:7" ht="15.75" hidden="1" customHeight="1" outlineLevel="3">
      <c r="C4388" s="633" t="s">
        <v>965</v>
      </c>
      <c r="D4388" s="619" t="s">
        <v>1257</v>
      </c>
      <c r="E4388" s="633">
        <v>1</v>
      </c>
      <c r="F4388" s="618">
        <f>engineer</f>
        <v>429000.00000000006</v>
      </c>
      <c r="G4388" s="618">
        <f t="shared" si="183"/>
        <v>429000.00000000006</v>
      </c>
    </row>
    <row r="4389" spans="2:7" ht="15.75" hidden="1" customHeight="1" outlineLevel="3">
      <c r="G4389" s="618">
        <f t="shared" si="183"/>
        <v>0</v>
      </c>
    </row>
    <row r="4390" spans="2:7" ht="15.75" hidden="1" customHeight="1" outlineLevel="3">
      <c r="C4390" s="633" t="s">
        <v>925</v>
      </c>
      <c r="G4390" s="618">
        <f t="shared" si="183"/>
        <v>0</v>
      </c>
    </row>
    <row r="4391" spans="2:7" ht="15.75" hidden="1" customHeight="1" outlineLevel="3">
      <c r="C4391" s="633" t="s">
        <v>1255</v>
      </c>
      <c r="D4391" s="619" t="s">
        <v>72</v>
      </c>
      <c r="E4391" s="633">
        <v>0</v>
      </c>
      <c r="F4391" s="618">
        <f>truc_crane_35t_day/8</f>
        <v>1031250.0000000001</v>
      </c>
      <c r="G4391" s="618">
        <f t="shared" si="183"/>
        <v>0</v>
      </c>
    </row>
    <row r="4392" spans="2:7" ht="15.75" hidden="1" customHeight="1" outlineLevel="3">
      <c r="C4392" s="633" t="s">
        <v>1256</v>
      </c>
      <c r="D4392" s="619" t="s">
        <v>474</v>
      </c>
      <c r="E4392" s="633">
        <v>1</v>
      </c>
      <c r="F4392" s="618">
        <f>alat_bantu_Computer_Printer</f>
        <v>385000.00000000006</v>
      </c>
      <c r="G4392" s="618">
        <f t="shared" si="183"/>
        <v>385000.00000000006</v>
      </c>
    </row>
    <row r="4393" spans="2:7" ht="15.75" hidden="1" customHeight="1" outlineLevel="3">
      <c r="G4393" s="618">
        <f>SUM(G4384:G4392)</f>
        <v>1919482.4</v>
      </c>
    </row>
    <row r="4394" spans="2:7" ht="15.75" hidden="1" customHeight="1" outlineLevel="2">
      <c r="B4394" s="619" t="s">
        <v>819</v>
      </c>
      <c r="C4394" s="633" t="s">
        <v>998</v>
      </c>
      <c r="G4394" s="618">
        <f>G4404</f>
        <v>1919482.4</v>
      </c>
    </row>
    <row r="4395" spans="2:7" ht="15.75" hidden="1" customHeight="1" outlineLevel="3">
      <c r="C4395" s="633" t="s">
        <v>1052</v>
      </c>
    </row>
    <row r="4396" spans="2:7" ht="15.75" hidden="1" customHeight="1" outlineLevel="3">
      <c r="C4396" s="633" t="s">
        <v>393</v>
      </c>
      <c r="D4396" s="619" t="s">
        <v>1257</v>
      </c>
      <c r="E4396" s="633">
        <v>1</v>
      </c>
      <c r="F4396" s="618">
        <f>supervisor_Asli</f>
        <v>155155</v>
      </c>
      <c r="G4396" s="618">
        <f t="shared" ref="G4396:G4403" si="184">E4396*F4396</f>
        <v>155155</v>
      </c>
    </row>
    <row r="4397" spans="2:7" ht="15.75" hidden="1" customHeight="1" outlineLevel="3">
      <c r="C4397" s="633" t="s">
        <v>1279</v>
      </c>
      <c r="D4397" s="619" t="s">
        <v>1257</v>
      </c>
      <c r="E4397" s="633">
        <v>2</v>
      </c>
      <c r="F4397" s="618">
        <f>technician</f>
        <v>331943.7</v>
      </c>
      <c r="G4397" s="618">
        <f t="shared" si="184"/>
        <v>663887.4</v>
      </c>
    </row>
    <row r="4398" spans="2:7" ht="15.75" hidden="1" customHeight="1" outlineLevel="3">
      <c r="C4398" s="633" t="s">
        <v>1280</v>
      </c>
      <c r="D4398" s="619" t="s">
        <v>1257</v>
      </c>
      <c r="E4398" s="633">
        <v>2</v>
      </c>
      <c r="F4398" s="618">
        <f>electrician</f>
        <v>143220</v>
      </c>
      <c r="G4398" s="618">
        <f t="shared" si="184"/>
        <v>286440</v>
      </c>
    </row>
    <row r="4399" spans="2:7" ht="15.75" hidden="1" customHeight="1" outlineLevel="3">
      <c r="C4399" s="633" t="s">
        <v>965</v>
      </c>
      <c r="D4399" s="619" t="s">
        <v>1257</v>
      </c>
      <c r="E4399" s="633">
        <v>1</v>
      </c>
      <c r="F4399" s="618">
        <f>engineer</f>
        <v>429000.00000000006</v>
      </c>
      <c r="G4399" s="618">
        <f t="shared" si="184"/>
        <v>429000.00000000006</v>
      </c>
    </row>
    <row r="4400" spans="2:7" ht="15.75" hidden="1" customHeight="1" outlineLevel="3">
      <c r="G4400" s="618">
        <f t="shared" si="184"/>
        <v>0</v>
      </c>
    </row>
    <row r="4401" spans="2:7" ht="15.75" hidden="1" customHeight="1" outlineLevel="3">
      <c r="C4401" s="633" t="s">
        <v>925</v>
      </c>
      <c r="G4401" s="618">
        <f t="shared" si="184"/>
        <v>0</v>
      </c>
    </row>
    <row r="4402" spans="2:7" ht="15.75" hidden="1" customHeight="1" outlineLevel="3">
      <c r="C4402" s="633" t="s">
        <v>1255</v>
      </c>
      <c r="D4402" s="619" t="s">
        <v>72</v>
      </c>
      <c r="E4402" s="633">
        <v>0</v>
      </c>
      <c r="F4402" s="618">
        <f>truc_crane_35t_day/8</f>
        <v>1031250.0000000001</v>
      </c>
      <c r="G4402" s="618">
        <f t="shared" si="184"/>
        <v>0</v>
      </c>
    </row>
    <row r="4403" spans="2:7" ht="15.75" hidden="1" customHeight="1" outlineLevel="3">
      <c r="C4403" s="633" t="s">
        <v>1256</v>
      </c>
      <c r="D4403" s="619" t="s">
        <v>474</v>
      </c>
      <c r="E4403" s="633">
        <v>1</v>
      </c>
      <c r="F4403" s="618">
        <f>alat_bantu_Computer_Printer</f>
        <v>385000.00000000006</v>
      </c>
      <c r="G4403" s="618">
        <f t="shared" si="184"/>
        <v>385000.00000000006</v>
      </c>
    </row>
    <row r="4404" spans="2:7" ht="15.75" hidden="1" customHeight="1" outlineLevel="3">
      <c r="G4404" s="618">
        <f>SUM(G4395:G4403)</f>
        <v>1919482.4</v>
      </c>
    </row>
    <row r="4405" spans="2:7" ht="15.75" hidden="1" customHeight="1" outlineLevel="2">
      <c r="B4405" s="619" t="s">
        <v>820</v>
      </c>
      <c r="C4405" s="633" t="s">
        <v>999</v>
      </c>
      <c r="G4405" s="618">
        <f>G4415</f>
        <v>1919482.4</v>
      </c>
    </row>
    <row r="4406" spans="2:7" ht="15.75" hidden="1" customHeight="1" outlineLevel="3">
      <c r="C4406" s="633" t="s">
        <v>1052</v>
      </c>
    </row>
    <row r="4407" spans="2:7" ht="15.75" hidden="1" customHeight="1" outlineLevel="3">
      <c r="C4407" s="633" t="s">
        <v>393</v>
      </c>
      <c r="D4407" s="619" t="s">
        <v>1257</v>
      </c>
      <c r="E4407" s="633">
        <v>1</v>
      </c>
      <c r="F4407" s="618">
        <f>supervisor_Asli</f>
        <v>155155</v>
      </c>
      <c r="G4407" s="618">
        <f t="shared" ref="G4407:G4414" si="185">E4407*F4407</f>
        <v>155155</v>
      </c>
    </row>
    <row r="4408" spans="2:7" ht="15.75" hidden="1" customHeight="1" outlineLevel="3">
      <c r="C4408" s="633" t="s">
        <v>1279</v>
      </c>
      <c r="D4408" s="619" t="s">
        <v>1257</v>
      </c>
      <c r="E4408" s="633">
        <v>2</v>
      </c>
      <c r="F4408" s="618">
        <f>technician</f>
        <v>331943.7</v>
      </c>
      <c r="G4408" s="618">
        <f t="shared" si="185"/>
        <v>663887.4</v>
      </c>
    </row>
    <row r="4409" spans="2:7" ht="15.75" hidden="1" customHeight="1" outlineLevel="3">
      <c r="C4409" s="633" t="s">
        <v>1280</v>
      </c>
      <c r="D4409" s="619" t="s">
        <v>1257</v>
      </c>
      <c r="E4409" s="633">
        <v>2</v>
      </c>
      <c r="F4409" s="618">
        <f>electrician</f>
        <v>143220</v>
      </c>
      <c r="G4409" s="618">
        <f t="shared" si="185"/>
        <v>286440</v>
      </c>
    </row>
    <row r="4410" spans="2:7" ht="15.75" hidden="1" customHeight="1" outlineLevel="3">
      <c r="C4410" s="633" t="s">
        <v>965</v>
      </c>
      <c r="D4410" s="619" t="s">
        <v>1257</v>
      </c>
      <c r="E4410" s="633">
        <v>1</v>
      </c>
      <c r="F4410" s="618">
        <f>engineer</f>
        <v>429000.00000000006</v>
      </c>
      <c r="G4410" s="618">
        <f t="shared" si="185"/>
        <v>429000.00000000006</v>
      </c>
    </row>
    <row r="4411" spans="2:7" ht="15.75" hidden="1" customHeight="1" outlineLevel="3">
      <c r="G4411" s="618">
        <f t="shared" si="185"/>
        <v>0</v>
      </c>
    </row>
    <row r="4412" spans="2:7" ht="15.75" hidden="1" customHeight="1" outlineLevel="3">
      <c r="C4412" s="633" t="s">
        <v>925</v>
      </c>
      <c r="G4412" s="618">
        <f t="shared" si="185"/>
        <v>0</v>
      </c>
    </row>
    <row r="4413" spans="2:7" ht="15.75" hidden="1" customHeight="1" outlineLevel="3">
      <c r="C4413" s="633" t="s">
        <v>1255</v>
      </c>
      <c r="D4413" s="619" t="s">
        <v>72</v>
      </c>
      <c r="E4413" s="633">
        <v>0</v>
      </c>
      <c r="F4413" s="618">
        <f>truc_crane_35t_day/8</f>
        <v>1031250.0000000001</v>
      </c>
      <c r="G4413" s="618">
        <f t="shared" si="185"/>
        <v>0</v>
      </c>
    </row>
    <row r="4414" spans="2:7" ht="15.75" hidden="1" customHeight="1" outlineLevel="3">
      <c r="C4414" s="633" t="s">
        <v>1256</v>
      </c>
      <c r="D4414" s="619" t="s">
        <v>474</v>
      </c>
      <c r="E4414" s="633">
        <v>1</v>
      </c>
      <c r="F4414" s="618">
        <f>alat_bantu_Computer_Printer</f>
        <v>385000.00000000006</v>
      </c>
      <c r="G4414" s="618">
        <f t="shared" si="185"/>
        <v>385000.00000000006</v>
      </c>
    </row>
    <row r="4415" spans="2:7" ht="15.75" hidden="1" customHeight="1" outlineLevel="3">
      <c r="G4415" s="618">
        <f>SUM(G4406:G4414)</f>
        <v>1919482.4</v>
      </c>
    </row>
    <row r="4416" spans="2:7" ht="15.75" hidden="1" customHeight="1" outlineLevel="2">
      <c r="B4416" s="619" t="s">
        <v>821</v>
      </c>
      <c r="C4416" s="633" t="s">
        <v>1000</v>
      </c>
      <c r="G4416" s="618">
        <f>G4426</f>
        <v>1919482.4</v>
      </c>
    </row>
    <row r="4417" spans="2:7" ht="15.75" hidden="1" customHeight="1" outlineLevel="3">
      <c r="C4417" s="633" t="s">
        <v>1052</v>
      </c>
    </row>
    <row r="4418" spans="2:7" ht="15.75" hidden="1" customHeight="1" outlineLevel="3">
      <c r="C4418" s="633" t="s">
        <v>393</v>
      </c>
      <c r="D4418" s="619" t="s">
        <v>1257</v>
      </c>
      <c r="E4418" s="633">
        <v>1</v>
      </c>
      <c r="F4418" s="618">
        <f>supervisor_Asli</f>
        <v>155155</v>
      </c>
      <c r="G4418" s="618">
        <f t="shared" ref="G4418:G4425" si="186">E4418*F4418</f>
        <v>155155</v>
      </c>
    </row>
    <row r="4419" spans="2:7" ht="15.75" hidden="1" customHeight="1" outlineLevel="3">
      <c r="C4419" s="633" t="s">
        <v>1279</v>
      </c>
      <c r="D4419" s="619" t="s">
        <v>1257</v>
      </c>
      <c r="E4419" s="633">
        <v>2</v>
      </c>
      <c r="F4419" s="618">
        <f>technician</f>
        <v>331943.7</v>
      </c>
      <c r="G4419" s="618">
        <f t="shared" si="186"/>
        <v>663887.4</v>
      </c>
    </row>
    <row r="4420" spans="2:7" ht="15.75" hidden="1" customHeight="1" outlineLevel="3">
      <c r="C4420" s="633" t="s">
        <v>1280</v>
      </c>
      <c r="D4420" s="619" t="s">
        <v>1257</v>
      </c>
      <c r="E4420" s="633">
        <v>2</v>
      </c>
      <c r="F4420" s="618">
        <f>electrician</f>
        <v>143220</v>
      </c>
      <c r="G4420" s="618">
        <f t="shared" si="186"/>
        <v>286440</v>
      </c>
    </row>
    <row r="4421" spans="2:7" ht="15.75" hidden="1" customHeight="1" outlineLevel="3">
      <c r="C4421" s="633" t="s">
        <v>965</v>
      </c>
      <c r="D4421" s="619" t="s">
        <v>1257</v>
      </c>
      <c r="E4421" s="633">
        <v>1</v>
      </c>
      <c r="F4421" s="618">
        <f>engineer</f>
        <v>429000.00000000006</v>
      </c>
      <c r="G4421" s="618">
        <f t="shared" si="186"/>
        <v>429000.00000000006</v>
      </c>
    </row>
    <row r="4422" spans="2:7" ht="15.75" hidden="1" customHeight="1" outlineLevel="3">
      <c r="G4422" s="618">
        <f t="shared" si="186"/>
        <v>0</v>
      </c>
    </row>
    <row r="4423" spans="2:7" ht="15.75" hidden="1" customHeight="1" outlineLevel="3">
      <c r="C4423" s="633" t="s">
        <v>925</v>
      </c>
      <c r="G4423" s="618">
        <f t="shared" si="186"/>
        <v>0</v>
      </c>
    </row>
    <row r="4424" spans="2:7" ht="15.75" hidden="1" customHeight="1" outlineLevel="3">
      <c r="C4424" s="633" t="s">
        <v>1255</v>
      </c>
      <c r="D4424" s="619" t="s">
        <v>72</v>
      </c>
      <c r="E4424" s="633">
        <v>0</v>
      </c>
      <c r="F4424" s="618">
        <f>truc_crane_35t_day/8</f>
        <v>1031250.0000000001</v>
      </c>
      <c r="G4424" s="618">
        <f t="shared" si="186"/>
        <v>0</v>
      </c>
    </row>
    <row r="4425" spans="2:7" ht="15.75" hidden="1" customHeight="1" outlineLevel="3">
      <c r="C4425" s="633" t="s">
        <v>1256</v>
      </c>
      <c r="D4425" s="619" t="s">
        <v>474</v>
      </c>
      <c r="E4425" s="633">
        <v>1</v>
      </c>
      <c r="F4425" s="618">
        <f>alat_bantu_Computer_Printer</f>
        <v>385000.00000000006</v>
      </c>
      <c r="G4425" s="618">
        <f t="shared" si="186"/>
        <v>385000.00000000006</v>
      </c>
    </row>
    <row r="4426" spans="2:7" ht="15.75" hidden="1" customHeight="1" outlineLevel="3">
      <c r="G4426" s="618">
        <f>SUM(G4417:G4425)</f>
        <v>1919482.4</v>
      </c>
    </row>
    <row r="4427" spans="2:7" ht="15.75" hidden="1" customHeight="1" outlineLevel="2">
      <c r="B4427" s="619" t="s">
        <v>1282</v>
      </c>
      <c r="C4427" s="633" t="s">
        <v>1001</v>
      </c>
      <c r="G4427" s="618">
        <f>G4437</f>
        <v>1919482.4</v>
      </c>
    </row>
    <row r="4428" spans="2:7" ht="15.75" hidden="1" customHeight="1" outlineLevel="3">
      <c r="C4428" s="633" t="s">
        <v>1052</v>
      </c>
    </row>
    <row r="4429" spans="2:7" ht="15.75" hidden="1" customHeight="1" outlineLevel="3">
      <c r="C4429" s="633" t="s">
        <v>393</v>
      </c>
      <c r="D4429" s="619" t="s">
        <v>1257</v>
      </c>
      <c r="E4429" s="633">
        <v>1</v>
      </c>
      <c r="F4429" s="618">
        <f>supervisor_Asli</f>
        <v>155155</v>
      </c>
      <c r="G4429" s="618">
        <f t="shared" ref="G4429:G4436" si="187">E4429*F4429</f>
        <v>155155</v>
      </c>
    </row>
    <row r="4430" spans="2:7" ht="15.75" hidden="1" customHeight="1" outlineLevel="3">
      <c r="C4430" s="633" t="s">
        <v>1279</v>
      </c>
      <c r="D4430" s="619" t="s">
        <v>1257</v>
      </c>
      <c r="E4430" s="633">
        <v>2</v>
      </c>
      <c r="F4430" s="618">
        <f>technician</f>
        <v>331943.7</v>
      </c>
      <c r="G4430" s="618">
        <f t="shared" si="187"/>
        <v>663887.4</v>
      </c>
    </row>
    <row r="4431" spans="2:7" ht="15.75" hidden="1" customHeight="1" outlineLevel="3">
      <c r="C4431" s="633" t="s">
        <v>1280</v>
      </c>
      <c r="D4431" s="619" t="s">
        <v>1257</v>
      </c>
      <c r="E4431" s="633">
        <v>2</v>
      </c>
      <c r="F4431" s="618">
        <f>electrician</f>
        <v>143220</v>
      </c>
      <c r="G4431" s="618">
        <f t="shared" si="187"/>
        <v>286440</v>
      </c>
    </row>
    <row r="4432" spans="2:7" ht="15.75" hidden="1" customHeight="1" outlineLevel="3">
      <c r="C4432" s="633" t="s">
        <v>965</v>
      </c>
      <c r="D4432" s="619" t="s">
        <v>1257</v>
      </c>
      <c r="E4432" s="633">
        <v>1</v>
      </c>
      <c r="F4432" s="618">
        <f>engineer</f>
        <v>429000.00000000006</v>
      </c>
      <c r="G4432" s="618">
        <f t="shared" si="187"/>
        <v>429000.00000000006</v>
      </c>
    </row>
    <row r="4433" spans="2:7" ht="15.75" hidden="1" customHeight="1" outlineLevel="3">
      <c r="G4433" s="618">
        <f t="shared" si="187"/>
        <v>0</v>
      </c>
    </row>
    <row r="4434" spans="2:7" ht="15.75" hidden="1" customHeight="1" outlineLevel="3">
      <c r="C4434" s="633" t="s">
        <v>925</v>
      </c>
      <c r="G4434" s="618">
        <f t="shared" si="187"/>
        <v>0</v>
      </c>
    </row>
    <row r="4435" spans="2:7" ht="15.75" hidden="1" customHeight="1" outlineLevel="3">
      <c r="C4435" s="633" t="s">
        <v>1255</v>
      </c>
      <c r="D4435" s="619" t="s">
        <v>72</v>
      </c>
      <c r="E4435" s="633">
        <v>0</v>
      </c>
      <c r="F4435" s="618">
        <f>truc_crane_35t_day/8</f>
        <v>1031250.0000000001</v>
      </c>
      <c r="G4435" s="618">
        <f t="shared" si="187"/>
        <v>0</v>
      </c>
    </row>
    <row r="4436" spans="2:7" ht="15.75" hidden="1" customHeight="1" outlineLevel="3">
      <c r="C4436" s="633" t="s">
        <v>1256</v>
      </c>
      <c r="D4436" s="619" t="s">
        <v>474</v>
      </c>
      <c r="E4436" s="633">
        <v>1</v>
      </c>
      <c r="F4436" s="618">
        <f>alat_bantu_Computer_Printer</f>
        <v>385000.00000000006</v>
      </c>
      <c r="G4436" s="618">
        <f t="shared" si="187"/>
        <v>385000.00000000006</v>
      </c>
    </row>
    <row r="4437" spans="2:7" ht="15.75" hidden="1" customHeight="1" outlineLevel="3">
      <c r="G4437" s="618">
        <f>SUM(G4428:G4436)</f>
        <v>1919482.4</v>
      </c>
    </row>
    <row r="4438" spans="2:7" ht="15.75" hidden="1" customHeight="1" outlineLevel="2">
      <c r="B4438" s="619" t="s">
        <v>822</v>
      </c>
      <c r="C4438" s="633" t="s">
        <v>1002</v>
      </c>
      <c r="G4438" s="618">
        <f>G4448</f>
        <v>1919482.4</v>
      </c>
    </row>
    <row r="4439" spans="2:7" ht="15.75" hidden="1" customHeight="1" outlineLevel="3">
      <c r="C4439" s="633" t="s">
        <v>1052</v>
      </c>
    </row>
    <row r="4440" spans="2:7" ht="15.75" hidden="1" customHeight="1" outlineLevel="3">
      <c r="C4440" s="633" t="s">
        <v>393</v>
      </c>
      <c r="D4440" s="619" t="s">
        <v>1257</v>
      </c>
      <c r="E4440" s="633">
        <v>1</v>
      </c>
      <c r="F4440" s="618">
        <f>supervisor_Asli</f>
        <v>155155</v>
      </c>
      <c r="G4440" s="618">
        <f t="shared" ref="G4440:G4447" si="188">E4440*F4440</f>
        <v>155155</v>
      </c>
    </row>
    <row r="4441" spans="2:7" ht="15.75" hidden="1" customHeight="1" outlineLevel="3">
      <c r="C4441" s="633" t="s">
        <v>1279</v>
      </c>
      <c r="D4441" s="619" t="s">
        <v>1257</v>
      </c>
      <c r="E4441" s="633">
        <v>2</v>
      </c>
      <c r="F4441" s="618">
        <f>technician</f>
        <v>331943.7</v>
      </c>
      <c r="G4441" s="618">
        <f t="shared" si="188"/>
        <v>663887.4</v>
      </c>
    </row>
    <row r="4442" spans="2:7" ht="15.75" hidden="1" customHeight="1" outlineLevel="3">
      <c r="C4442" s="633" t="s">
        <v>1280</v>
      </c>
      <c r="D4442" s="619" t="s">
        <v>1257</v>
      </c>
      <c r="E4442" s="633">
        <v>2</v>
      </c>
      <c r="F4442" s="618">
        <f>electrician</f>
        <v>143220</v>
      </c>
      <c r="G4442" s="618">
        <f t="shared" si="188"/>
        <v>286440</v>
      </c>
    </row>
    <row r="4443" spans="2:7" ht="15.75" hidden="1" customHeight="1" outlineLevel="3">
      <c r="C4443" s="633" t="s">
        <v>965</v>
      </c>
      <c r="D4443" s="619" t="s">
        <v>1257</v>
      </c>
      <c r="E4443" s="633">
        <v>1</v>
      </c>
      <c r="F4443" s="618">
        <f>engineer</f>
        <v>429000.00000000006</v>
      </c>
      <c r="G4443" s="618">
        <f t="shared" si="188"/>
        <v>429000.00000000006</v>
      </c>
    </row>
    <row r="4444" spans="2:7" ht="15.75" hidden="1" customHeight="1" outlineLevel="3">
      <c r="G4444" s="618">
        <f t="shared" si="188"/>
        <v>0</v>
      </c>
    </row>
    <row r="4445" spans="2:7" ht="15.75" hidden="1" customHeight="1" outlineLevel="3">
      <c r="C4445" s="633" t="s">
        <v>925</v>
      </c>
      <c r="G4445" s="618">
        <f t="shared" si="188"/>
        <v>0</v>
      </c>
    </row>
    <row r="4446" spans="2:7" ht="15.75" hidden="1" customHeight="1" outlineLevel="3">
      <c r="C4446" s="633" t="s">
        <v>1255</v>
      </c>
      <c r="D4446" s="619" t="s">
        <v>72</v>
      </c>
      <c r="E4446" s="633">
        <v>0</v>
      </c>
      <c r="F4446" s="618">
        <f>truc_crane_35t_day/8</f>
        <v>1031250.0000000001</v>
      </c>
      <c r="G4446" s="618">
        <f t="shared" si="188"/>
        <v>0</v>
      </c>
    </row>
    <row r="4447" spans="2:7" ht="15.75" hidden="1" customHeight="1" outlineLevel="3">
      <c r="C4447" s="633" t="s">
        <v>1256</v>
      </c>
      <c r="D4447" s="619" t="s">
        <v>474</v>
      </c>
      <c r="E4447" s="633">
        <v>1</v>
      </c>
      <c r="F4447" s="618">
        <f>alat_bantu_Computer_Printer</f>
        <v>385000.00000000006</v>
      </c>
      <c r="G4447" s="618">
        <f t="shared" si="188"/>
        <v>385000.00000000006</v>
      </c>
    </row>
    <row r="4448" spans="2:7" ht="15.75" hidden="1" customHeight="1" outlineLevel="3">
      <c r="G4448" s="618">
        <f>SUM(G4439:G4447)</f>
        <v>1919482.4</v>
      </c>
    </row>
    <row r="4449" spans="2:7" ht="15.75" hidden="1" customHeight="1" outlineLevel="2">
      <c r="B4449" s="619" t="s">
        <v>823</v>
      </c>
      <c r="C4449" s="633" t="s">
        <v>1003</v>
      </c>
      <c r="G4449" s="618">
        <f>G4459</f>
        <v>1919482.4</v>
      </c>
    </row>
    <row r="4450" spans="2:7" ht="15.75" hidden="1" customHeight="1" outlineLevel="3">
      <c r="C4450" s="633" t="s">
        <v>1052</v>
      </c>
    </row>
    <row r="4451" spans="2:7" ht="15.75" hidden="1" customHeight="1" outlineLevel="3">
      <c r="C4451" s="633" t="s">
        <v>393</v>
      </c>
      <c r="D4451" s="619" t="s">
        <v>1257</v>
      </c>
      <c r="E4451" s="633">
        <v>1</v>
      </c>
      <c r="F4451" s="618">
        <f>supervisor_Asli</f>
        <v>155155</v>
      </c>
      <c r="G4451" s="618">
        <f t="shared" ref="G4451:G4458" si="189">E4451*F4451</f>
        <v>155155</v>
      </c>
    </row>
    <row r="4452" spans="2:7" ht="15.75" hidden="1" customHeight="1" outlineLevel="3">
      <c r="C4452" s="633" t="s">
        <v>1279</v>
      </c>
      <c r="D4452" s="619" t="s">
        <v>1257</v>
      </c>
      <c r="E4452" s="633">
        <v>2</v>
      </c>
      <c r="F4452" s="618">
        <f>technician</f>
        <v>331943.7</v>
      </c>
      <c r="G4452" s="618">
        <f t="shared" si="189"/>
        <v>663887.4</v>
      </c>
    </row>
    <row r="4453" spans="2:7" ht="15.75" hidden="1" customHeight="1" outlineLevel="3">
      <c r="C4453" s="633" t="s">
        <v>1280</v>
      </c>
      <c r="D4453" s="619" t="s">
        <v>1257</v>
      </c>
      <c r="E4453" s="633">
        <v>2</v>
      </c>
      <c r="F4453" s="618">
        <f>electrician</f>
        <v>143220</v>
      </c>
      <c r="G4453" s="618">
        <f t="shared" si="189"/>
        <v>286440</v>
      </c>
    </row>
    <row r="4454" spans="2:7" ht="15.75" hidden="1" customHeight="1" outlineLevel="3">
      <c r="C4454" s="633" t="s">
        <v>965</v>
      </c>
      <c r="D4454" s="619" t="s">
        <v>1257</v>
      </c>
      <c r="E4454" s="633">
        <v>1</v>
      </c>
      <c r="F4454" s="618">
        <f>engineer</f>
        <v>429000.00000000006</v>
      </c>
      <c r="G4454" s="618">
        <f t="shared" si="189"/>
        <v>429000.00000000006</v>
      </c>
    </row>
    <row r="4455" spans="2:7" ht="15.75" hidden="1" customHeight="1" outlineLevel="3">
      <c r="G4455" s="618">
        <f t="shared" si="189"/>
        <v>0</v>
      </c>
    </row>
    <row r="4456" spans="2:7" ht="15.75" hidden="1" customHeight="1" outlineLevel="3">
      <c r="C4456" s="633" t="s">
        <v>925</v>
      </c>
      <c r="G4456" s="618">
        <f t="shared" si="189"/>
        <v>0</v>
      </c>
    </row>
    <row r="4457" spans="2:7" ht="15.75" hidden="1" customHeight="1" outlineLevel="3">
      <c r="C4457" s="633" t="s">
        <v>1255</v>
      </c>
      <c r="D4457" s="619" t="s">
        <v>72</v>
      </c>
      <c r="E4457" s="633">
        <v>0</v>
      </c>
      <c r="F4457" s="618">
        <f>truc_crane_35t_day/8</f>
        <v>1031250.0000000001</v>
      </c>
      <c r="G4457" s="618">
        <f t="shared" si="189"/>
        <v>0</v>
      </c>
    </row>
    <row r="4458" spans="2:7" ht="15.75" hidden="1" customHeight="1" outlineLevel="3">
      <c r="C4458" s="633" t="s">
        <v>1256</v>
      </c>
      <c r="D4458" s="619" t="s">
        <v>474</v>
      </c>
      <c r="E4458" s="633">
        <v>1</v>
      </c>
      <c r="F4458" s="618">
        <f>alat_bantu_Computer_Printer</f>
        <v>385000.00000000006</v>
      </c>
      <c r="G4458" s="618">
        <f t="shared" si="189"/>
        <v>385000.00000000006</v>
      </c>
    </row>
    <row r="4459" spans="2:7" ht="15.75" hidden="1" customHeight="1" outlineLevel="3">
      <c r="G4459" s="618">
        <f>SUM(G4450:G4458)</f>
        <v>1919482.4</v>
      </c>
    </row>
    <row r="4460" spans="2:7" ht="15.75" hidden="1" customHeight="1" outlineLevel="2">
      <c r="B4460" s="619" t="s">
        <v>504</v>
      </c>
      <c r="C4460" s="633" t="s">
        <v>1004</v>
      </c>
      <c r="G4460" s="618">
        <f>G4470</f>
        <v>1919482.4</v>
      </c>
    </row>
    <row r="4461" spans="2:7" ht="15.75" hidden="1" customHeight="1" outlineLevel="3">
      <c r="C4461" s="633" t="s">
        <v>1052</v>
      </c>
    </row>
    <row r="4462" spans="2:7" ht="15.75" hidden="1" customHeight="1" outlineLevel="3">
      <c r="C4462" s="633" t="s">
        <v>393</v>
      </c>
      <c r="D4462" s="619" t="s">
        <v>1257</v>
      </c>
      <c r="E4462" s="633">
        <v>1</v>
      </c>
      <c r="F4462" s="618">
        <f>supervisor_Asli</f>
        <v>155155</v>
      </c>
      <c r="G4462" s="618">
        <f t="shared" ref="G4462:G4469" si="190">E4462*F4462</f>
        <v>155155</v>
      </c>
    </row>
    <row r="4463" spans="2:7" ht="15.75" hidden="1" customHeight="1" outlineLevel="3">
      <c r="C4463" s="633" t="s">
        <v>1279</v>
      </c>
      <c r="D4463" s="619" t="s">
        <v>1257</v>
      </c>
      <c r="E4463" s="633">
        <v>2</v>
      </c>
      <c r="F4463" s="618">
        <f>technician</f>
        <v>331943.7</v>
      </c>
      <c r="G4463" s="618">
        <f t="shared" si="190"/>
        <v>663887.4</v>
      </c>
    </row>
    <row r="4464" spans="2:7" ht="15.75" hidden="1" customHeight="1" outlineLevel="3">
      <c r="C4464" s="633" t="s">
        <v>1280</v>
      </c>
      <c r="D4464" s="619" t="s">
        <v>1257</v>
      </c>
      <c r="E4464" s="633">
        <v>2</v>
      </c>
      <c r="F4464" s="618">
        <f>electrician</f>
        <v>143220</v>
      </c>
      <c r="G4464" s="618">
        <f t="shared" si="190"/>
        <v>286440</v>
      </c>
    </row>
    <row r="4465" spans="2:7" ht="15.75" hidden="1" customHeight="1" outlineLevel="3">
      <c r="C4465" s="633" t="s">
        <v>965</v>
      </c>
      <c r="D4465" s="619" t="s">
        <v>1257</v>
      </c>
      <c r="E4465" s="633">
        <v>1</v>
      </c>
      <c r="F4465" s="618">
        <f>engineer</f>
        <v>429000.00000000006</v>
      </c>
      <c r="G4465" s="618">
        <f t="shared" si="190"/>
        <v>429000.00000000006</v>
      </c>
    </row>
    <row r="4466" spans="2:7" ht="15.75" hidden="1" customHeight="1" outlineLevel="3">
      <c r="G4466" s="618">
        <f t="shared" si="190"/>
        <v>0</v>
      </c>
    </row>
    <row r="4467" spans="2:7" ht="15.75" hidden="1" customHeight="1" outlineLevel="3">
      <c r="C4467" s="633" t="s">
        <v>925</v>
      </c>
      <c r="G4467" s="618">
        <f t="shared" si="190"/>
        <v>0</v>
      </c>
    </row>
    <row r="4468" spans="2:7" ht="15.75" hidden="1" customHeight="1" outlineLevel="3">
      <c r="C4468" s="633" t="s">
        <v>1255</v>
      </c>
      <c r="D4468" s="619" t="s">
        <v>72</v>
      </c>
      <c r="E4468" s="633">
        <v>0</v>
      </c>
      <c r="F4468" s="618">
        <f>truc_crane_35t_day/8</f>
        <v>1031250.0000000001</v>
      </c>
      <c r="G4468" s="618">
        <f t="shared" si="190"/>
        <v>0</v>
      </c>
    </row>
    <row r="4469" spans="2:7" ht="15.75" hidden="1" customHeight="1" outlineLevel="3">
      <c r="C4469" s="633" t="s">
        <v>1256</v>
      </c>
      <c r="D4469" s="619" t="s">
        <v>474</v>
      </c>
      <c r="E4469" s="633">
        <v>1</v>
      </c>
      <c r="F4469" s="618">
        <f>alat_bantu_Computer_Printer</f>
        <v>385000.00000000006</v>
      </c>
      <c r="G4469" s="618">
        <f t="shared" si="190"/>
        <v>385000.00000000006</v>
      </c>
    </row>
    <row r="4470" spans="2:7" ht="15.75" hidden="1" customHeight="1" outlineLevel="3">
      <c r="G4470" s="618">
        <f>SUM(G4461:G4469)</f>
        <v>1919482.4</v>
      </c>
    </row>
    <row r="4471" spans="2:7" ht="15.75" hidden="1" customHeight="1" outlineLevel="2">
      <c r="B4471" s="619" t="s">
        <v>827</v>
      </c>
      <c r="C4471" s="633" t="s">
        <v>1005</v>
      </c>
      <c r="G4471" s="618">
        <f>G4481</f>
        <v>1919482.4</v>
      </c>
    </row>
    <row r="4472" spans="2:7" ht="15.75" hidden="1" customHeight="1" outlineLevel="3">
      <c r="C4472" s="633" t="s">
        <v>1052</v>
      </c>
    </row>
    <row r="4473" spans="2:7" ht="15.75" hidden="1" customHeight="1" outlineLevel="3">
      <c r="C4473" s="633" t="s">
        <v>393</v>
      </c>
      <c r="D4473" s="619" t="s">
        <v>1257</v>
      </c>
      <c r="E4473" s="633">
        <v>1</v>
      </c>
      <c r="F4473" s="618">
        <f>supervisor_Asli</f>
        <v>155155</v>
      </c>
      <c r="G4473" s="618">
        <f t="shared" ref="G4473:G4480" si="191">E4473*F4473</f>
        <v>155155</v>
      </c>
    </row>
    <row r="4474" spans="2:7" ht="15.75" hidden="1" customHeight="1" outlineLevel="3">
      <c r="C4474" s="633" t="s">
        <v>1279</v>
      </c>
      <c r="D4474" s="619" t="s">
        <v>1257</v>
      </c>
      <c r="E4474" s="633">
        <v>2</v>
      </c>
      <c r="F4474" s="618">
        <f>technician</f>
        <v>331943.7</v>
      </c>
      <c r="G4474" s="618">
        <f t="shared" si="191"/>
        <v>663887.4</v>
      </c>
    </row>
    <row r="4475" spans="2:7" ht="15.75" hidden="1" customHeight="1" outlineLevel="3">
      <c r="C4475" s="633" t="s">
        <v>1280</v>
      </c>
      <c r="D4475" s="619" t="s">
        <v>1257</v>
      </c>
      <c r="E4475" s="633">
        <v>2</v>
      </c>
      <c r="F4475" s="618">
        <f>electrician</f>
        <v>143220</v>
      </c>
      <c r="G4475" s="618">
        <f t="shared" si="191"/>
        <v>286440</v>
      </c>
    </row>
    <row r="4476" spans="2:7" ht="15.75" hidden="1" customHeight="1" outlineLevel="3">
      <c r="C4476" s="633" t="s">
        <v>965</v>
      </c>
      <c r="D4476" s="619" t="s">
        <v>1257</v>
      </c>
      <c r="E4476" s="633">
        <v>1</v>
      </c>
      <c r="F4476" s="618">
        <f>engineer</f>
        <v>429000.00000000006</v>
      </c>
      <c r="G4476" s="618">
        <f t="shared" si="191"/>
        <v>429000.00000000006</v>
      </c>
    </row>
    <row r="4477" spans="2:7" ht="15.75" hidden="1" customHeight="1" outlineLevel="3">
      <c r="G4477" s="618">
        <f t="shared" si="191"/>
        <v>0</v>
      </c>
    </row>
    <row r="4478" spans="2:7" ht="15.75" hidden="1" customHeight="1" outlineLevel="3">
      <c r="C4478" s="633" t="s">
        <v>925</v>
      </c>
      <c r="G4478" s="618">
        <f t="shared" si="191"/>
        <v>0</v>
      </c>
    </row>
    <row r="4479" spans="2:7" ht="15.75" hidden="1" customHeight="1" outlineLevel="3">
      <c r="C4479" s="633" t="s">
        <v>1255</v>
      </c>
      <c r="D4479" s="619" t="s">
        <v>72</v>
      </c>
      <c r="E4479" s="633">
        <v>0</v>
      </c>
      <c r="F4479" s="618">
        <f>truc_crane_35t_day/8</f>
        <v>1031250.0000000001</v>
      </c>
      <c r="G4479" s="618">
        <f t="shared" si="191"/>
        <v>0</v>
      </c>
    </row>
    <row r="4480" spans="2:7" ht="15.75" hidden="1" customHeight="1" outlineLevel="3">
      <c r="C4480" s="633" t="s">
        <v>1256</v>
      </c>
      <c r="D4480" s="619" t="s">
        <v>474</v>
      </c>
      <c r="E4480" s="633">
        <v>1</v>
      </c>
      <c r="F4480" s="618">
        <f>alat_bantu_Computer_Printer</f>
        <v>385000.00000000006</v>
      </c>
      <c r="G4480" s="618">
        <f t="shared" si="191"/>
        <v>385000.00000000006</v>
      </c>
    </row>
    <row r="4481" spans="2:7" ht="15.75" hidden="1" customHeight="1" outlineLevel="3">
      <c r="G4481" s="618">
        <f>SUM(G4472:G4480)</f>
        <v>1919482.4</v>
      </c>
    </row>
    <row r="4482" spans="2:7" ht="15.75" hidden="1" customHeight="1" outlineLevel="2">
      <c r="B4482" s="619" t="s">
        <v>828</v>
      </c>
      <c r="C4482" s="633" t="s">
        <v>1006</v>
      </c>
      <c r="G4482" s="618">
        <f>G4492</f>
        <v>1919482.4</v>
      </c>
    </row>
    <row r="4483" spans="2:7" ht="15.75" hidden="1" customHeight="1" outlineLevel="3">
      <c r="C4483" s="633" t="s">
        <v>1052</v>
      </c>
    </row>
    <row r="4484" spans="2:7" ht="15.75" hidden="1" customHeight="1" outlineLevel="3">
      <c r="C4484" s="633" t="s">
        <v>393</v>
      </c>
      <c r="D4484" s="619" t="s">
        <v>1257</v>
      </c>
      <c r="E4484" s="633">
        <v>1</v>
      </c>
      <c r="F4484" s="618">
        <f>supervisor_Asli</f>
        <v>155155</v>
      </c>
      <c r="G4484" s="618">
        <f t="shared" ref="G4484:G4491" si="192">E4484*F4484</f>
        <v>155155</v>
      </c>
    </row>
    <row r="4485" spans="2:7" ht="15.75" hidden="1" customHeight="1" outlineLevel="3">
      <c r="C4485" s="633" t="s">
        <v>1279</v>
      </c>
      <c r="D4485" s="619" t="s">
        <v>1257</v>
      </c>
      <c r="E4485" s="633">
        <v>2</v>
      </c>
      <c r="F4485" s="618">
        <f>technician</f>
        <v>331943.7</v>
      </c>
      <c r="G4485" s="618">
        <f t="shared" si="192"/>
        <v>663887.4</v>
      </c>
    </row>
    <row r="4486" spans="2:7" ht="15.75" hidden="1" customHeight="1" outlineLevel="3">
      <c r="C4486" s="633" t="s">
        <v>1280</v>
      </c>
      <c r="D4486" s="619" t="s">
        <v>1257</v>
      </c>
      <c r="E4486" s="633">
        <v>2</v>
      </c>
      <c r="F4486" s="618">
        <f>electrician</f>
        <v>143220</v>
      </c>
      <c r="G4486" s="618">
        <f t="shared" si="192"/>
        <v>286440</v>
      </c>
    </row>
    <row r="4487" spans="2:7" ht="15.75" hidden="1" customHeight="1" outlineLevel="3">
      <c r="C4487" s="633" t="s">
        <v>965</v>
      </c>
      <c r="D4487" s="619" t="s">
        <v>1257</v>
      </c>
      <c r="E4487" s="633">
        <v>1</v>
      </c>
      <c r="F4487" s="618">
        <f>engineer</f>
        <v>429000.00000000006</v>
      </c>
      <c r="G4487" s="618">
        <f t="shared" si="192"/>
        <v>429000.00000000006</v>
      </c>
    </row>
    <row r="4488" spans="2:7" ht="15.75" hidden="1" customHeight="1" outlineLevel="3">
      <c r="G4488" s="618">
        <f t="shared" si="192"/>
        <v>0</v>
      </c>
    </row>
    <row r="4489" spans="2:7" ht="15.75" hidden="1" customHeight="1" outlineLevel="3">
      <c r="C4489" s="633" t="s">
        <v>925</v>
      </c>
      <c r="G4489" s="618">
        <f t="shared" si="192"/>
        <v>0</v>
      </c>
    </row>
    <row r="4490" spans="2:7" ht="15.75" hidden="1" customHeight="1" outlineLevel="3">
      <c r="C4490" s="633" t="s">
        <v>1255</v>
      </c>
      <c r="D4490" s="619" t="s">
        <v>72</v>
      </c>
      <c r="E4490" s="633">
        <v>0</v>
      </c>
      <c r="F4490" s="618">
        <f>truc_crane_35t_day/8</f>
        <v>1031250.0000000001</v>
      </c>
      <c r="G4490" s="618">
        <f t="shared" si="192"/>
        <v>0</v>
      </c>
    </row>
    <row r="4491" spans="2:7" ht="15.75" hidden="1" customHeight="1" outlineLevel="3">
      <c r="C4491" s="633" t="s">
        <v>1256</v>
      </c>
      <c r="D4491" s="619" t="s">
        <v>474</v>
      </c>
      <c r="E4491" s="633">
        <v>1</v>
      </c>
      <c r="F4491" s="618">
        <f>alat_bantu_Computer_Printer</f>
        <v>385000.00000000006</v>
      </c>
      <c r="G4491" s="618">
        <f t="shared" si="192"/>
        <v>385000.00000000006</v>
      </c>
    </row>
    <row r="4492" spans="2:7" ht="15.75" hidden="1" customHeight="1" outlineLevel="3">
      <c r="G4492" s="618">
        <f>SUM(G4483:G4491)</f>
        <v>1919482.4</v>
      </c>
    </row>
    <row r="4493" spans="2:7" ht="15.75" hidden="1" customHeight="1" outlineLevel="2">
      <c r="B4493" s="619" t="s">
        <v>829</v>
      </c>
      <c r="C4493" s="633" t="s">
        <v>1048</v>
      </c>
      <c r="G4493" s="618">
        <f>G4503</f>
        <v>1919482.4</v>
      </c>
    </row>
    <row r="4494" spans="2:7" ht="15.75" hidden="1" customHeight="1" outlineLevel="3">
      <c r="C4494" s="633" t="s">
        <v>1052</v>
      </c>
    </row>
    <row r="4495" spans="2:7" ht="15.75" hidden="1" customHeight="1" outlineLevel="3">
      <c r="C4495" s="633" t="s">
        <v>393</v>
      </c>
      <c r="D4495" s="619" t="s">
        <v>1257</v>
      </c>
      <c r="E4495" s="633">
        <v>1</v>
      </c>
      <c r="F4495" s="618">
        <f>supervisor_Asli</f>
        <v>155155</v>
      </c>
      <c r="G4495" s="618">
        <f t="shared" ref="G4495:G4502" si="193">E4495*F4495</f>
        <v>155155</v>
      </c>
    </row>
    <row r="4496" spans="2:7" ht="15.75" hidden="1" customHeight="1" outlineLevel="3">
      <c r="C4496" s="633" t="s">
        <v>1279</v>
      </c>
      <c r="D4496" s="619" t="s">
        <v>1257</v>
      </c>
      <c r="E4496" s="633">
        <v>2</v>
      </c>
      <c r="F4496" s="618">
        <f>technician</f>
        <v>331943.7</v>
      </c>
      <c r="G4496" s="618">
        <f t="shared" si="193"/>
        <v>663887.4</v>
      </c>
    </row>
    <row r="4497" spans="1:7" ht="15.75" hidden="1" customHeight="1" outlineLevel="3">
      <c r="C4497" s="633" t="s">
        <v>1280</v>
      </c>
      <c r="D4497" s="619" t="s">
        <v>1257</v>
      </c>
      <c r="E4497" s="633">
        <v>2</v>
      </c>
      <c r="F4497" s="618">
        <f>electrician</f>
        <v>143220</v>
      </c>
      <c r="G4497" s="618">
        <f t="shared" si="193"/>
        <v>286440</v>
      </c>
    </row>
    <row r="4498" spans="1:7" ht="15.75" hidden="1" customHeight="1" outlineLevel="3">
      <c r="C4498" s="633" t="s">
        <v>965</v>
      </c>
      <c r="D4498" s="619" t="s">
        <v>1257</v>
      </c>
      <c r="E4498" s="633">
        <v>1</v>
      </c>
      <c r="F4498" s="618">
        <f>engineer</f>
        <v>429000.00000000006</v>
      </c>
      <c r="G4498" s="618">
        <f t="shared" si="193"/>
        <v>429000.00000000006</v>
      </c>
    </row>
    <row r="4499" spans="1:7" ht="15.75" hidden="1" customHeight="1" outlineLevel="3">
      <c r="G4499" s="618">
        <f t="shared" si="193"/>
        <v>0</v>
      </c>
    </row>
    <row r="4500" spans="1:7" ht="15.75" hidden="1" customHeight="1" outlineLevel="3">
      <c r="C4500" s="633" t="s">
        <v>925</v>
      </c>
      <c r="G4500" s="618">
        <f t="shared" si="193"/>
        <v>0</v>
      </c>
    </row>
    <row r="4501" spans="1:7" ht="15.75" hidden="1" customHeight="1" outlineLevel="3">
      <c r="C4501" s="633" t="s">
        <v>1255</v>
      </c>
      <c r="D4501" s="619" t="s">
        <v>72</v>
      </c>
      <c r="E4501" s="633">
        <v>0</v>
      </c>
      <c r="F4501" s="618">
        <f>truc_crane_35t_day/8</f>
        <v>1031250.0000000001</v>
      </c>
      <c r="G4501" s="618">
        <f t="shared" si="193"/>
        <v>0</v>
      </c>
    </row>
    <row r="4502" spans="1:7" ht="15.75" hidden="1" customHeight="1" outlineLevel="3">
      <c r="C4502" s="633" t="s">
        <v>1256</v>
      </c>
      <c r="D4502" s="619" t="s">
        <v>474</v>
      </c>
      <c r="E4502" s="633">
        <v>1</v>
      </c>
      <c r="F4502" s="618">
        <f>alat_bantu_Computer_Printer</f>
        <v>385000.00000000006</v>
      </c>
      <c r="G4502" s="618">
        <f t="shared" si="193"/>
        <v>385000.00000000006</v>
      </c>
    </row>
    <row r="4503" spans="1:7" ht="15.75" hidden="1" customHeight="1" outlineLevel="3">
      <c r="G4503" s="618">
        <f>SUM(G4494:G4502)</f>
        <v>1919482.4</v>
      </c>
    </row>
    <row r="4504" spans="1:7" ht="15.75" customHeight="1" outlineLevel="1" collapsed="1">
      <c r="A4504" s="633" t="s">
        <v>2074</v>
      </c>
      <c r="B4504" s="619">
        <f>1+B4371</f>
        <v>36</v>
      </c>
      <c r="C4504" s="633" t="s">
        <v>1283</v>
      </c>
    </row>
    <row r="4505" spans="1:7" ht="15.75" hidden="1" customHeight="1" outlineLevel="2">
      <c r="B4505" s="619" t="s">
        <v>816</v>
      </c>
      <c r="C4505" s="633" t="s">
        <v>1007</v>
      </c>
      <c r="G4505" s="618">
        <f>G4515</f>
        <v>1386055</v>
      </c>
    </row>
    <row r="4506" spans="1:7" ht="15.75" hidden="1" customHeight="1" outlineLevel="3">
      <c r="C4506" s="633" t="s">
        <v>1052</v>
      </c>
    </row>
    <row r="4507" spans="1:7" ht="15.75" hidden="1" customHeight="1" outlineLevel="3">
      <c r="C4507" s="633" t="s">
        <v>393</v>
      </c>
      <c r="D4507" s="619" t="s">
        <v>1257</v>
      </c>
      <c r="E4507" s="633">
        <v>1</v>
      </c>
      <c r="F4507" s="618">
        <f>supervisor_Asli</f>
        <v>155155</v>
      </c>
      <c r="G4507" s="618">
        <f t="shared" ref="G4507:G4514" si="194">E4507*F4507</f>
        <v>155155</v>
      </c>
    </row>
    <row r="4508" spans="1:7" ht="15.75" hidden="1" customHeight="1" outlineLevel="3">
      <c r="C4508" s="633" t="s">
        <v>1227</v>
      </c>
      <c r="D4508" s="619" t="s">
        <v>1257</v>
      </c>
      <c r="E4508" s="633">
        <v>2</v>
      </c>
      <c r="F4508" s="618">
        <f>skill_worker</f>
        <v>195360.00000000003</v>
      </c>
      <c r="G4508" s="618">
        <f t="shared" si="194"/>
        <v>390720.00000000006</v>
      </c>
    </row>
    <row r="4509" spans="1:7" ht="15.75" hidden="1" customHeight="1" outlineLevel="3">
      <c r="C4509" s="633" t="s">
        <v>952</v>
      </c>
      <c r="D4509" s="619" t="s">
        <v>1257</v>
      </c>
      <c r="E4509" s="633">
        <v>2</v>
      </c>
      <c r="F4509" s="618">
        <f>worker</f>
        <v>107800.00000000001</v>
      </c>
      <c r="G4509" s="618">
        <f t="shared" si="194"/>
        <v>215600.00000000003</v>
      </c>
    </row>
    <row r="4510" spans="1:7" ht="15.75" hidden="1" customHeight="1" outlineLevel="3">
      <c r="C4510" s="633" t="s">
        <v>1254</v>
      </c>
      <c r="D4510" s="619" t="s">
        <v>1257</v>
      </c>
      <c r="E4510" s="633">
        <v>1</v>
      </c>
      <c r="F4510" s="618">
        <f>steel_worker_erection</f>
        <v>239580.00000000003</v>
      </c>
      <c r="G4510" s="618">
        <f t="shared" si="194"/>
        <v>239580.00000000003</v>
      </c>
    </row>
    <row r="4511" spans="1:7" ht="15.75" hidden="1" customHeight="1" outlineLevel="3">
      <c r="G4511" s="618">
        <f t="shared" si="194"/>
        <v>0</v>
      </c>
    </row>
    <row r="4512" spans="1:7" ht="15.75" hidden="1" customHeight="1" outlineLevel="3">
      <c r="C4512" s="633" t="s">
        <v>925</v>
      </c>
      <c r="G4512" s="618">
        <f t="shared" si="194"/>
        <v>0</v>
      </c>
    </row>
    <row r="4513" spans="1:7" ht="15.75" hidden="1" customHeight="1" outlineLevel="3">
      <c r="C4513" s="633" t="s">
        <v>1255</v>
      </c>
      <c r="D4513" s="619" t="s">
        <v>72</v>
      </c>
      <c r="E4513" s="633">
        <v>0</v>
      </c>
      <c r="F4513" s="618">
        <f>truc_crane_35t_day/8</f>
        <v>1031250.0000000001</v>
      </c>
      <c r="G4513" s="618">
        <f t="shared" si="194"/>
        <v>0</v>
      </c>
    </row>
    <row r="4514" spans="1:7" ht="15.75" hidden="1" customHeight="1" outlineLevel="3">
      <c r="C4514" s="633" t="s">
        <v>1256</v>
      </c>
      <c r="D4514" s="619" t="s">
        <v>474</v>
      </c>
      <c r="E4514" s="633">
        <v>1</v>
      </c>
      <c r="F4514" s="618">
        <f>alat_bantu_Computer_Printer</f>
        <v>385000.00000000006</v>
      </c>
      <c r="G4514" s="618">
        <f t="shared" si="194"/>
        <v>385000.00000000006</v>
      </c>
    </row>
    <row r="4515" spans="1:7" ht="15.75" hidden="1" customHeight="1" outlineLevel="3">
      <c r="G4515" s="618">
        <f>SUM(G4506:G4514)</f>
        <v>1386055</v>
      </c>
    </row>
    <row r="4516" spans="1:7" ht="15.75" hidden="1" customHeight="1" outlineLevel="2">
      <c r="B4516" s="619" t="s">
        <v>818</v>
      </c>
      <c r="C4516" s="633" t="s">
        <v>1008</v>
      </c>
      <c r="G4516" s="618">
        <f>G4526</f>
        <v>1386055</v>
      </c>
    </row>
    <row r="4517" spans="1:7" ht="15.75" hidden="1" customHeight="1" outlineLevel="3">
      <c r="C4517" s="633" t="s">
        <v>1052</v>
      </c>
    </row>
    <row r="4518" spans="1:7" ht="15.75" hidden="1" customHeight="1" outlineLevel="3">
      <c r="C4518" s="633" t="s">
        <v>393</v>
      </c>
      <c r="D4518" s="619" t="s">
        <v>1257</v>
      </c>
      <c r="E4518" s="633">
        <v>1</v>
      </c>
      <c r="F4518" s="618">
        <f>supervisor_Asli</f>
        <v>155155</v>
      </c>
      <c r="G4518" s="618">
        <f t="shared" ref="G4518:G4525" si="195">E4518*F4518</f>
        <v>155155</v>
      </c>
    </row>
    <row r="4519" spans="1:7" ht="15.75" hidden="1" customHeight="1" outlineLevel="3">
      <c r="C4519" s="633" t="s">
        <v>1227</v>
      </c>
      <c r="D4519" s="619" t="s">
        <v>1257</v>
      </c>
      <c r="E4519" s="633">
        <v>2</v>
      </c>
      <c r="F4519" s="618">
        <f>skill_worker</f>
        <v>195360.00000000003</v>
      </c>
      <c r="G4519" s="618">
        <f t="shared" si="195"/>
        <v>390720.00000000006</v>
      </c>
    </row>
    <row r="4520" spans="1:7" ht="15.75" hidden="1" customHeight="1" outlineLevel="3">
      <c r="C4520" s="633" t="s">
        <v>952</v>
      </c>
      <c r="D4520" s="619" t="s">
        <v>1257</v>
      </c>
      <c r="E4520" s="633">
        <v>2</v>
      </c>
      <c r="F4520" s="618">
        <f>worker</f>
        <v>107800.00000000001</v>
      </c>
      <c r="G4520" s="618">
        <f t="shared" si="195"/>
        <v>215600.00000000003</v>
      </c>
    </row>
    <row r="4521" spans="1:7" ht="15.75" hidden="1" customHeight="1" outlineLevel="3">
      <c r="C4521" s="633" t="s">
        <v>1254</v>
      </c>
      <c r="D4521" s="619" t="s">
        <v>1257</v>
      </c>
      <c r="E4521" s="633">
        <v>1</v>
      </c>
      <c r="F4521" s="618">
        <f>steel_worker_erection</f>
        <v>239580.00000000003</v>
      </c>
      <c r="G4521" s="618">
        <f t="shared" si="195"/>
        <v>239580.00000000003</v>
      </c>
    </row>
    <row r="4522" spans="1:7" ht="15.75" hidden="1" customHeight="1" outlineLevel="3">
      <c r="G4522" s="618">
        <f t="shared" si="195"/>
        <v>0</v>
      </c>
    </row>
    <row r="4523" spans="1:7" ht="15.75" hidden="1" customHeight="1" outlineLevel="3">
      <c r="C4523" s="633" t="s">
        <v>925</v>
      </c>
      <c r="G4523" s="618">
        <f t="shared" si="195"/>
        <v>0</v>
      </c>
    </row>
    <row r="4524" spans="1:7" ht="15.75" hidden="1" customHeight="1" outlineLevel="3">
      <c r="C4524" s="633" t="s">
        <v>1255</v>
      </c>
      <c r="D4524" s="619" t="s">
        <v>72</v>
      </c>
      <c r="E4524" s="633">
        <v>0</v>
      </c>
      <c r="F4524" s="618">
        <f>truc_crane_35t_day/8</f>
        <v>1031250.0000000001</v>
      </c>
      <c r="G4524" s="618">
        <f t="shared" si="195"/>
        <v>0</v>
      </c>
    </row>
    <row r="4525" spans="1:7" ht="15.75" hidden="1" customHeight="1" outlineLevel="3">
      <c r="C4525" s="633" t="s">
        <v>1256</v>
      </c>
      <c r="D4525" s="619" t="s">
        <v>474</v>
      </c>
      <c r="E4525" s="633">
        <v>1</v>
      </c>
      <c r="F4525" s="618">
        <f>alat_bantu_Computer_Printer</f>
        <v>385000.00000000006</v>
      </c>
      <c r="G4525" s="618">
        <f t="shared" si="195"/>
        <v>385000.00000000006</v>
      </c>
    </row>
    <row r="4526" spans="1:7" ht="15.75" hidden="1" customHeight="1" outlineLevel="3">
      <c r="G4526" s="618">
        <f>SUM(G4517:G4525)</f>
        <v>1386055</v>
      </c>
    </row>
    <row r="4527" spans="1:7" ht="15.75" customHeight="1" outlineLevel="1" collapsed="1">
      <c r="A4527" s="633" t="s">
        <v>2074</v>
      </c>
      <c r="B4527" s="619">
        <f>1+B4504</f>
        <v>37</v>
      </c>
      <c r="C4527" s="633" t="s">
        <v>1009</v>
      </c>
    </row>
    <row r="4528" spans="1:7" ht="15.75" hidden="1" customHeight="1" outlineLevel="2">
      <c r="B4528" s="619" t="s">
        <v>816</v>
      </c>
      <c r="C4528" s="633" t="s">
        <v>1010</v>
      </c>
      <c r="G4528" s="618">
        <f>G4538</f>
        <v>7755985.5999999996</v>
      </c>
    </row>
    <row r="4529" spans="2:7" ht="15.75" hidden="1" customHeight="1" outlineLevel="3">
      <c r="C4529" s="633" t="s">
        <v>1052</v>
      </c>
    </row>
    <row r="4530" spans="2:7" ht="15.75" hidden="1" customHeight="1" outlineLevel="3">
      <c r="C4530" s="633" t="s">
        <v>393</v>
      </c>
      <c r="D4530" s="619" t="s">
        <v>1257</v>
      </c>
      <c r="E4530" s="633">
        <v>4</v>
      </c>
      <c r="F4530" s="618">
        <f>supervisor_Asli</f>
        <v>155155</v>
      </c>
      <c r="G4530" s="618">
        <f>E4530*F4530</f>
        <v>620620</v>
      </c>
    </row>
    <row r="4531" spans="2:7" ht="15.75" hidden="1" customHeight="1" outlineLevel="3">
      <c r="C4531" s="633" t="s">
        <v>1279</v>
      </c>
      <c r="D4531" s="619" t="s">
        <v>1257</v>
      </c>
      <c r="E4531" s="633">
        <v>8</v>
      </c>
      <c r="F4531" s="618">
        <f>technician</f>
        <v>331943.7</v>
      </c>
      <c r="G4531" s="618">
        <f>E4531*F4531</f>
        <v>2655549.6</v>
      </c>
    </row>
    <row r="4532" spans="2:7" ht="15.75" hidden="1" customHeight="1" outlineLevel="3">
      <c r="C4532" s="633" t="s">
        <v>1280</v>
      </c>
      <c r="D4532" s="619" t="s">
        <v>1257</v>
      </c>
      <c r="E4532" s="633">
        <v>8</v>
      </c>
      <c r="F4532" s="618">
        <f>electrician</f>
        <v>143220</v>
      </c>
      <c r="G4532" s="618">
        <f>E4532*F4532</f>
        <v>1145760</v>
      </c>
    </row>
    <row r="4533" spans="2:7" ht="15.75" hidden="1" customHeight="1" outlineLevel="3">
      <c r="C4533" s="633" t="s">
        <v>965</v>
      </c>
      <c r="D4533" s="619" t="s">
        <v>1257</v>
      </c>
      <c r="E4533" s="633">
        <v>4</v>
      </c>
      <c r="F4533" s="618">
        <f>engineer</f>
        <v>429000.00000000006</v>
      </c>
      <c r="G4533" s="618">
        <f>E4533*F4533</f>
        <v>1716000.0000000002</v>
      </c>
    </row>
    <row r="4534" spans="2:7" ht="15.75" hidden="1" customHeight="1" outlineLevel="3"/>
    <row r="4535" spans="2:7" ht="15.75" hidden="1" customHeight="1" outlineLevel="3">
      <c r="C4535" s="633" t="s">
        <v>925</v>
      </c>
      <c r="G4535" s="618">
        <f>E4535*F4535</f>
        <v>0</v>
      </c>
    </row>
    <row r="4536" spans="2:7" ht="15.75" hidden="1" customHeight="1" outlineLevel="3">
      <c r="C4536" s="633" t="s">
        <v>1284</v>
      </c>
      <c r="D4536" s="619" t="s">
        <v>72</v>
      </c>
      <c r="E4536" s="633">
        <v>4</v>
      </c>
      <c r="F4536" s="618">
        <f>alat_pengujian_baterai</f>
        <v>308264</v>
      </c>
      <c r="G4536" s="618">
        <f>E4536*F4536</f>
        <v>1233056</v>
      </c>
    </row>
    <row r="4537" spans="2:7" ht="15.75" hidden="1" customHeight="1" outlineLevel="3">
      <c r="C4537" s="633" t="s">
        <v>1256</v>
      </c>
      <c r="D4537" s="619" t="s">
        <v>474</v>
      </c>
      <c r="E4537" s="633">
        <v>1</v>
      </c>
      <c r="F4537" s="618">
        <f>alat_bantu_Computer_Printer</f>
        <v>385000.00000000006</v>
      </c>
      <c r="G4537" s="618">
        <f>E4537*F4537</f>
        <v>385000.00000000006</v>
      </c>
    </row>
    <row r="4538" spans="2:7" ht="15.75" hidden="1" customHeight="1" outlineLevel="3">
      <c r="G4538" s="618">
        <f>SUM(G4529:G4537)</f>
        <v>7755985.5999999996</v>
      </c>
    </row>
    <row r="4539" spans="2:7" ht="15.75" hidden="1" customHeight="1" outlineLevel="2">
      <c r="B4539" s="619" t="s">
        <v>818</v>
      </c>
      <c r="C4539" s="633" t="s">
        <v>1285</v>
      </c>
      <c r="G4539" s="618">
        <f>G4549</f>
        <v>1386055</v>
      </c>
    </row>
    <row r="4540" spans="2:7" ht="15.75" hidden="1" customHeight="1" outlineLevel="3">
      <c r="C4540" s="633" t="s">
        <v>1052</v>
      </c>
    </row>
    <row r="4541" spans="2:7" ht="15.75" hidden="1" customHeight="1" outlineLevel="3">
      <c r="C4541" s="633" t="s">
        <v>393</v>
      </c>
      <c r="D4541" s="619" t="s">
        <v>1257</v>
      </c>
      <c r="E4541" s="633">
        <v>1</v>
      </c>
      <c r="F4541" s="618">
        <f>supervisor_Asli</f>
        <v>155155</v>
      </c>
      <c r="G4541" s="618">
        <f t="shared" ref="G4541:G4548" si="196">E4541*F4541</f>
        <v>155155</v>
      </c>
    </row>
    <row r="4542" spans="2:7" ht="15.75" hidden="1" customHeight="1" outlineLevel="3">
      <c r="C4542" s="633" t="s">
        <v>1227</v>
      </c>
      <c r="D4542" s="619" t="s">
        <v>1257</v>
      </c>
      <c r="E4542" s="633">
        <v>2</v>
      </c>
      <c r="F4542" s="618">
        <f>skill_worker</f>
        <v>195360.00000000003</v>
      </c>
      <c r="G4542" s="618">
        <f t="shared" si="196"/>
        <v>390720.00000000006</v>
      </c>
    </row>
    <row r="4543" spans="2:7" ht="15.75" hidden="1" customHeight="1" outlineLevel="3">
      <c r="C4543" s="633" t="s">
        <v>952</v>
      </c>
      <c r="D4543" s="619" t="s">
        <v>1257</v>
      </c>
      <c r="E4543" s="633">
        <v>2</v>
      </c>
      <c r="F4543" s="618">
        <f>worker</f>
        <v>107800.00000000001</v>
      </c>
      <c r="G4543" s="618">
        <f t="shared" si="196"/>
        <v>215600.00000000003</v>
      </c>
    </row>
    <row r="4544" spans="2:7" ht="15.75" hidden="1" customHeight="1" outlineLevel="3">
      <c r="C4544" s="633" t="s">
        <v>1254</v>
      </c>
      <c r="D4544" s="619" t="s">
        <v>1257</v>
      </c>
      <c r="E4544" s="633">
        <v>1</v>
      </c>
      <c r="F4544" s="618">
        <f>steel_worker_erection</f>
        <v>239580.00000000003</v>
      </c>
      <c r="G4544" s="618">
        <f t="shared" si="196"/>
        <v>239580.00000000003</v>
      </c>
    </row>
    <row r="4545" spans="2:7" ht="15.75" hidden="1" customHeight="1" outlineLevel="3">
      <c r="G4545" s="618">
        <f t="shared" si="196"/>
        <v>0</v>
      </c>
    </row>
    <row r="4546" spans="2:7" ht="15.75" hidden="1" customHeight="1" outlineLevel="3">
      <c r="C4546" s="633" t="s">
        <v>925</v>
      </c>
      <c r="G4546" s="618">
        <f t="shared" si="196"/>
        <v>0</v>
      </c>
    </row>
    <row r="4547" spans="2:7" ht="15.75" hidden="1" customHeight="1" outlineLevel="3">
      <c r="C4547" s="633" t="s">
        <v>1284</v>
      </c>
      <c r="D4547" s="619" t="s">
        <v>72</v>
      </c>
      <c r="E4547" s="633">
        <v>0</v>
      </c>
      <c r="F4547" s="618">
        <f>alat_pengujian_baterai</f>
        <v>308264</v>
      </c>
      <c r="G4547" s="618">
        <f t="shared" si="196"/>
        <v>0</v>
      </c>
    </row>
    <row r="4548" spans="2:7" ht="15.75" hidden="1" customHeight="1" outlineLevel="3">
      <c r="C4548" s="633" t="s">
        <v>1256</v>
      </c>
      <c r="D4548" s="619" t="s">
        <v>474</v>
      </c>
      <c r="E4548" s="633">
        <v>1</v>
      </c>
      <c r="F4548" s="618">
        <f>alat_bantu_Computer_Printer</f>
        <v>385000.00000000006</v>
      </c>
      <c r="G4548" s="618">
        <f t="shared" si="196"/>
        <v>385000.00000000006</v>
      </c>
    </row>
    <row r="4549" spans="2:7" ht="15.75" hidden="1" customHeight="1" outlineLevel="3">
      <c r="G4549" s="618">
        <f>SUM(G4540:G4548)</f>
        <v>1386055</v>
      </c>
    </row>
    <row r="4550" spans="2:7" ht="15.75" hidden="1" customHeight="1" outlineLevel="2">
      <c r="B4550" s="619" t="s">
        <v>819</v>
      </c>
      <c r="C4550" s="633" t="s">
        <v>1012</v>
      </c>
      <c r="G4550" s="618">
        <f>G4560</f>
        <v>1456895</v>
      </c>
    </row>
    <row r="4551" spans="2:7" ht="15.75" hidden="1" customHeight="1" outlineLevel="3">
      <c r="C4551" s="633" t="s">
        <v>1052</v>
      </c>
    </row>
    <row r="4552" spans="2:7" ht="15.75" hidden="1" customHeight="1" outlineLevel="3">
      <c r="C4552" s="633" t="s">
        <v>393</v>
      </c>
      <c r="D4552" s="619" t="s">
        <v>1257</v>
      </c>
      <c r="E4552" s="633">
        <v>1</v>
      </c>
      <c r="F4552" s="618">
        <f>supervisor_Asli</f>
        <v>155155</v>
      </c>
      <c r="G4552" s="618">
        <f t="shared" ref="G4552:G4559" si="197">E4552*F4552</f>
        <v>155155</v>
      </c>
    </row>
    <row r="4553" spans="2:7" ht="15.75" hidden="1" customHeight="1" outlineLevel="3">
      <c r="C4553" s="633" t="s">
        <v>1227</v>
      </c>
      <c r="D4553" s="619" t="s">
        <v>1257</v>
      </c>
      <c r="E4553" s="633">
        <v>2</v>
      </c>
      <c r="F4553" s="618">
        <f>skill_worker</f>
        <v>195360.00000000003</v>
      </c>
      <c r="G4553" s="618">
        <f t="shared" si="197"/>
        <v>390720.00000000006</v>
      </c>
    </row>
    <row r="4554" spans="2:7" ht="15.75" hidden="1" customHeight="1" outlineLevel="3">
      <c r="C4554" s="633" t="s">
        <v>1280</v>
      </c>
      <c r="D4554" s="619" t="s">
        <v>1257</v>
      </c>
      <c r="E4554" s="633">
        <v>2</v>
      </c>
      <c r="F4554" s="618">
        <f>electrician</f>
        <v>143220</v>
      </c>
      <c r="G4554" s="618">
        <f t="shared" si="197"/>
        <v>286440</v>
      </c>
    </row>
    <row r="4555" spans="2:7" ht="15.75" hidden="1" customHeight="1" outlineLevel="3">
      <c r="C4555" s="633" t="s">
        <v>1254</v>
      </c>
      <c r="D4555" s="619" t="s">
        <v>1257</v>
      </c>
      <c r="E4555" s="633">
        <v>1</v>
      </c>
      <c r="F4555" s="618">
        <f>steel_worker_erection</f>
        <v>239580.00000000003</v>
      </c>
      <c r="G4555" s="618">
        <f t="shared" si="197"/>
        <v>239580.00000000003</v>
      </c>
    </row>
    <row r="4556" spans="2:7" ht="15.75" hidden="1" customHeight="1" outlineLevel="3">
      <c r="G4556" s="618">
        <f t="shared" si="197"/>
        <v>0</v>
      </c>
    </row>
    <row r="4557" spans="2:7" ht="15.75" hidden="1" customHeight="1" outlineLevel="3">
      <c r="C4557" s="633" t="s">
        <v>925</v>
      </c>
      <c r="G4557" s="618">
        <f t="shared" si="197"/>
        <v>0</v>
      </c>
    </row>
    <row r="4558" spans="2:7" ht="15.75" hidden="1" customHeight="1" outlineLevel="3">
      <c r="C4558" s="633" t="s">
        <v>1255</v>
      </c>
      <c r="D4558" s="619" t="s">
        <v>72</v>
      </c>
      <c r="E4558" s="633">
        <v>0</v>
      </c>
      <c r="F4558" s="618">
        <f>truc_crane_35t_day/8</f>
        <v>1031250.0000000001</v>
      </c>
      <c r="G4558" s="618">
        <f t="shared" si="197"/>
        <v>0</v>
      </c>
    </row>
    <row r="4559" spans="2:7" ht="15.75" hidden="1" customHeight="1" outlineLevel="3">
      <c r="C4559" s="633" t="s">
        <v>1256</v>
      </c>
      <c r="D4559" s="619" t="s">
        <v>474</v>
      </c>
      <c r="E4559" s="633">
        <v>1</v>
      </c>
      <c r="F4559" s="618">
        <f>alat_bantu_Computer_Printer</f>
        <v>385000.00000000006</v>
      </c>
      <c r="G4559" s="618">
        <f t="shared" si="197"/>
        <v>385000.00000000006</v>
      </c>
    </row>
    <row r="4560" spans="2:7" ht="15.75" hidden="1" customHeight="1" outlineLevel="3">
      <c r="G4560" s="618">
        <f>SUM(G4551:G4559)</f>
        <v>1456895</v>
      </c>
    </row>
    <row r="4561" spans="2:7" ht="15.75" hidden="1" customHeight="1" outlineLevel="2">
      <c r="B4561" s="619" t="s">
        <v>820</v>
      </c>
      <c r="C4561" s="633" t="s">
        <v>1013</v>
      </c>
      <c r="G4561" s="618">
        <f>G4571</f>
        <v>1456895</v>
      </c>
    </row>
    <row r="4562" spans="2:7" ht="15.75" hidden="1" customHeight="1" outlineLevel="3">
      <c r="C4562" s="633" t="s">
        <v>1052</v>
      </c>
    </row>
    <row r="4563" spans="2:7" ht="15.75" hidden="1" customHeight="1" outlineLevel="3">
      <c r="C4563" s="633" t="s">
        <v>393</v>
      </c>
      <c r="D4563" s="619" t="s">
        <v>1257</v>
      </c>
      <c r="E4563" s="633">
        <v>1</v>
      </c>
      <c r="F4563" s="618">
        <f>supervisor_Asli</f>
        <v>155155</v>
      </c>
      <c r="G4563" s="618">
        <f t="shared" ref="G4563:G4570" si="198">E4563*F4563</f>
        <v>155155</v>
      </c>
    </row>
    <row r="4564" spans="2:7" ht="15.75" hidden="1" customHeight="1" outlineLevel="3">
      <c r="C4564" s="633" t="s">
        <v>1227</v>
      </c>
      <c r="D4564" s="619" t="s">
        <v>1257</v>
      </c>
      <c r="E4564" s="633">
        <v>2</v>
      </c>
      <c r="F4564" s="618">
        <f>skill_worker</f>
        <v>195360.00000000003</v>
      </c>
      <c r="G4564" s="618">
        <f t="shared" si="198"/>
        <v>390720.00000000006</v>
      </c>
    </row>
    <row r="4565" spans="2:7" ht="15.75" hidden="1" customHeight="1" outlineLevel="3">
      <c r="C4565" s="633" t="s">
        <v>1280</v>
      </c>
      <c r="D4565" s="619" t="s">
        <v>1257</v>
      </c>
      <c r="E4565" s="633">
        <v>2</v>
      </c>
      <c r="F4565" s="618">
        <f>electrician</f>
        <v>143220</v>
      </c>
      <c r="G4565" s="618">
        <f t="shared" si="198"/>
        <v>286440</v>
      </c>
    </row>
    <row r="4566" spans="2:7" ht="15.75" hidden="1" customHeight="1" outlineLevel="3">
      <c r="C4566" s="633" t="s">
        <v>1254</v>
      </c>
      <c r="D4566" s="619" t="s">
        <v>1257</v>
      </c>
      <c r="E4566" s="633">
        <v>1</v>
      </c>
      <c r="F4566" s="618">
        <f>steel_worker_erection</f>
        <v>239580.00000000003</v>
      </c>
      <c r="G4566" s="618">
        <f t="shared" si="198"/>
        <v>239580.00000000003</v>
      </c>
    </row>
    <row r="4567" spans="2:7" ht="15.75" hidden="1" customHeight="1" outlineLevel="3">
      <c r="G4567" s="618">
        <f t="shared" si="198"/>
        <v>0</v>
      </c>
    </row>
    <row r="4568" spans="2:7" ht="15.75" hidden="1" customHeight="1" outlineLevel="3">
      <c r="C4568" s="633" t="s">
        <v>925</v>
      </c>
      <c r="G4568" s="618">
        <f t="shared" si="198"/>
        <v>0</v>
      </c>
    </row>
    <row r="4569" spans="2:7" ht="15.75" hidden="1" customHeight="1" outlineLevel="3">
      <c r="C4569" s="633" t="s">
        <v>1255</v>
      </c>
      <c r="D4569" s="619" t="s">
        <v>72</v>
      </c>
      <c r="E4569" s="633">
        <v>0</v>
      </c>
      <c r="F4569" s="618">
        <f>truc_crane_35t_day/8</f>
        <v>1031250.0000000001</v>
      </c>
      <c r="G4569" s="618">
        <f t="shared" si="198"/>
        <v>0</v>
      </c>
    </row>
    <row r="4570" spans="2:7" ht="15.75" hidden="1" customHeight="1" outlineLevel="3">
      <c r="C4570" s="633" t="s">
        <v>1256</v>
      </c>
      <c r="D4570" s="619" t="s">
        <v>474</v>
      </c>
      <c r="E4570" s="633">
        <v>1</v>
      </c>
      <c r="F4570" s="618">
        <f>alat_bantu_Computer_Printer</f>
        <v>385000.00000000006</v>
      </c>
      <c r="G4570" s="618">
        <f t="shared" si="198"/>
        <v>385000.00000000006</v>
      </c>
    </row>
    <row r="4571" spans="2:7" ht="15.75" hidden="1" customHeight="1" outlineLevel="3">
      <c r="G4571" s="618">
        <f>SUM(G4562:G4570)</f>
        <v>1456895</v>
      </c>
    </row>
    <row r="4572" spans="2:7" ht="15.75" hidden="1" customHeight="1" outlineLevel="2">
      <c r="B4572" s="619" t="s">
        <v>821</v>
      </c>
      <c r="C4572" s="633" t="s">
        <v>1014</v>
      </c>
      <c r="G4572" s="618">
        <f>G4582</f>
        <v>1600115</v>
      </c>
    </row>
    <row r="4573" spans="2:7" ht="15.75" hidden="1" customHeight="1" outlineLevel="3">
      <c r="C4573" s="633" t="s">
        <v>1052</v>
      </c>
    </row>
    <row r="4574" spans="2:7" ht="15.75" hidden="1" customHeight="1" outlineLevel="3">
      <c r="C4574" s="633" t="s">
        <v>393</v>
      </c>
      <c r="D4574" s="619" t="s">
        <v>1257</v>
      </c>
      <c r="E4574" s="633">
        <v>1</v>
      </c>
      <c r="F4574" s="618">
        <f>supervisor_Asli</f>
        <v>155155</v>
      </c>
      <c r="G4574" s="618">
        <f t="shared" ref="G4574:G4581" si="199">E4574*F4574</f>
        <v>155155</v>
      </c>
    </row>
    <row r="4575" spans="2:7" ht="15.75" hidden="1" customHeight="1" outlineLevel="3">
      <c r="C4575" s="633" t="s">
        <v>1227</v>
      </c>
      <c r="D4575" s="619" t="s">
        <v>1257</v>
      </c>
      <c r="E4575" s="633">
        <v>2</v>
      </c>
      <c r="F4575" s="618">
        <f>skill_worker</f>
        <v>195360.00000000003</v>
      </c>
      <c r="G4575" s="618">
        <f t="shared" si="199"/>
        <v>390720.00000000006</v>
      </c>
    </row>
    <row r="4576" spans="2:7" ht="15.75" hidden="1" customHeight="1" outlineLevel="3">
      <c r="C4576" s="633" t="s">
        <v>1280</v>
      </c>
      <c r="D4576" s="619" t="s">
        <v>1257</v>
      </c>
      <c r="E4576" s="633">
        <v>3</v>
      </c>
      <c r="F4576" s="618">
        <f>electrician</f>
        <v>143220</v>
      </c>
      <c r="G4576" s="618">
        <f t="shared" si="199"/>
        <v>429660</v>
      </c>
    </row>
    <row r="4577" spans="2:7" ht="15.75" hidden="1" customHeight="1" outlineLevel="3">
      <c r="C4577" s="633" t="s">
        <v>1254</v>
      </c>
      <c r="D4577" s="619" t="s">
        <v>1257</v>
      </c>
      <c r="E4577" s="633">
        <v>1</v>
      </c>
      <c r="F4577" s="618">
        <f>steel_worker_erection</f>
        <v>239580.00000000003</v>
      </c>
      <c r="G4577" s="618">
        <f t="shared" si="199"/>
        <v>239580.00000000003</v>
      </c>
    </row>
    <row r="4578" spans="2:7" ht="15.75" hidden="1" customHeight="1" outlineLevel="3">
      <c r="G4578" s="618">
        <f t="shared" si="199"/>
        <v>0</v>
      </c>
    </row>
    <row r="4579" spans="2:7" ht="15.75" hidden="1" customHeight="1" outlineLevel="3">
      <c r="C4579" s="633" t="s">
        <v>925</v>
      </c>
      <c r="G4579" s="618">
        <f t="shared" si="199"/>
        <v>0</v>
      </c>
    </row>
    <row r="4580" spans="2:7" ht="15.75" hidden="1" customHeight="1" outlineLevel="3">
      <c r="C4580" s="633" t="s">
        <v>1255</v>
      </c>
      <c r="D4580" s="619" t="s">
        <v>72</v>
      </c>
      <c r="E4580" s="633">
        <v>0</v>
      </c>
      <c r="F4580" s="618">
        <f>truc_crane_35t_day/8</f>
        <v>1031250.0000000001</v>
      </c>
      <c r="G4580" s="618">
        <f t="shared" si="199"/>
        <v>0</v>
      </c>
    </row>
    <row r="4581" spans="2:7" ht="15.75" hidden="1" customHeight="1" outlineLevel="3">
      <c r="C4581" s="633" t="s">
        <v>1256</v>
      </c>
      <c r="D4581" s="619" t="s">
        <v>474</v>
      </c>
      <c r="E4581" s="633">
        <v>1</v>
      </c>
      <c r="F4581" s="618">
        <f>alat_bantu_Computer_Printer</f>
        <v>385000.00000000006</v>
      </c>
      <c r="G4581" s="618">
        <f t="shared" si="199"/>
        <v>385000.00000000006</v>
      </c>
    </row>
    <row r="4582" spans="2:7" ht="15.75" hidden="1" customHeight="1" outlineLevel="3">
      <c r="G4582" s="618">
        <f>SUM(G4573:G4581)</f>
        <v>1600115</v>
      </c>
    </row>
    <row r="4583" spans="2:7" ht="15.75" hidden="1" customHeight="1" outlineLevel="2">
      <c r="B4583" s="619" t="s">
        <v>1282</v>
      </c>
      <c r="C4583" s="633" t="s">
        <v>1015</v>
      </c>
      <c r="G4583" s="618">
        <f>G4593</f>
        <v>1456895</v>
      </c>
    </row>
    <row r="4584" spans="2:7" ht="15.75" hidden="1" customHeight="1" outlineLevel="3">
      <c r="C4584" s="633" t="s">
        <v>1052</v>
      </c>
    </row>
    <row r="4585" spans="2:7" ht="15.75" hidden="1" customHeight="1" outlineLevel="3">
      <c r="C4585" s="633" t="s">
        <v>393</v>
      </c>
      <c r="D4585" s="619" t="s">
        <v>1257</v>
      </c>
      <c r="E4585" s="633">
        <v>1</v>
      </c>
      <c r="F4585" s="618">
        <f>supervisor_Asli</f>
        <v>155155</v>
      </c>
      <c r="G4585" s="618">
        <f t="shared" ref="G4585:G4592" si="200">E4585*F4585</f>
        <v>155155</v>
      </c>
    </row>
    <row r="4586" spans="2:7" ht="15.75" hidden="1" customHeight="1" outlineLevel="3">
      <c r="C4586" s="633" t="s">
        <v>1227</v>
      </c>
      <c r="D4586" s="619" t="s">
        <v>1257</v>
      </c>
      <c r="E4586" s="633">
        <v>2</v>
      </c>
      <c r="F4586" s="618">
        <f>skill_worker</f>
        <v>195360.00000000003</v>
      </c>
      <c r="G4586" s="618">
        <f t="shared" si="200"/>
        <v>390720.00000000006</v>
      </c>
    </row>
    <row r="4587" spans="2:7" ht="15.75" hidden="1" customHeight="1" outlineLevel="3">
      <c r="C4587" s="633" t="s">
        <v>1280</v>
      </c>
      <c r="D4587" s="619" t="s">
        <v>1257</v>
      </c>
      <c r="E4587" s="633">
        <v>2</v>
      </c>
      <c r="F4587" s="618">
        <f>electrician</f>
        <v>143220</v>
      </c>
      <c r="G4587" s="618">
        <f t="shared" si="200"/>
        <v>286440</v>
      </c>
    </row>
    <row r="4588" spans="2:7" ht="15.75" hidden="1" customHeight="1" outlineLevel="3">
      <c r="C4588" s="633" t="s">
        <v>1254</v>
      </c>
      <c r="D4588" s="619" t="s">
        <v>1257</v>
      </c>
      <c r="E4588" s="633">
        <v>1</v>
      </c>
      <c r="F4588" s="618">
        <f>steel_worker_erection</f>
        <v>239580.00000000003</v>
      </c>
      <c r="G4588" s="618">
        <f t="shared" si="200"/>
        <v>239580.00000000003</v>
      </c>
    </row>
    <row r="4589" spans="2:7" ht="15.75" hidden="1" customHeight="1" outlineLevel="3">
      <c r="G4589" s="618">
        <f t="shared" si="200"/>
        <v>0</v>
      </c>
    </row>
    <row r="4590" spans="2:7" ht="15.75" hidden="1" customHeight="1" outlineLevel="3">
      <c r="C4590" s="633" t="s">
        <v>925</v>
      </c>
      <c r="G4590" s="618">
        <f t="shared" si="200"/>
        <v>0</v>
      </c>
    </row>
    <row r="4591" spans="2:7" ht="15.75" hidden="1" customHeight="1" outlineLevel="3">
      <c r="C4591" s="633" t="s">
        <v>1255</v>
      </c>
      <c r="D4591" s="619" t="s">
        <v>72</v>
      </c>
      <c r="E4591" s="633">
        <v>0</v>
      </c>
      <c r="F4591" s="618">
        <f>truc_crane_35t_day/8</f>
        <v>1031250.0000000001</v>
      </c>
      <c r="G4591" s="618">
        <f t="shared" si="200"/>
        <v>0</v>
      </c>
    </row>
    <row r="4592" spans="2:7" ht="15.75" hidden="1" customHeight="1" outlineLevel="3">
      <c r="C4592" s="633" t="s">
        <v>1256</v>
      </c>
      <c r="D4592" s="619" t="s">
        <v>474</v>
      </c>
      <c r="E4592" s="633">
        <v>1</v>
      </c>
      <c r="F4592" s="618">
        <f>alat_bantu_Computer_Printer</f>
        <v>385000.00000000006</v>
      </c>
      <c r="G4592" s="618">
        <f t="shared" si="200"/>
        <v>385000.00000000006</v>
      </c>
    </row>
    <row r="4593" spans="1:7" ht="15.75" hidden="1" customHeight="1" outlineLevel="3">
      <c r="G4593" s="618">
        <f>SUM(G4584:G4592)</f>
        <v>1456895</v>
      </c>
    </row>
    <row r="4594" spans="1:7" ht="15.75" customHeight="1" outlineLevel="1" collapsed="1">
      <c r="A4594" s="633" t="s">
        <v>2074</v>
      </c>
      <c r="B4594" s="619">
        <f>1+B4527</f>
        <v>38</v>
      </c>
      <c r="C4594" s="633" t="s">
        <v>1016</v>
      </c>
      <c r="G4594" s="618">
        <f>G4604</f>
        <v>1839695</v>
      </c>
    </row>
    <row r="4595" spans="1:7" ht="15.75" hidden="1" customHeight="1" outlineLevel="2">
      <c r="C4595" s="633" t="s">
        <v>1052</v>
      </c>
    </row>
    <row r="4596" spans="1:7" ht="15.75" hidden="1" customHeight="1" outlineLevel="2">
      <c r="C4596" s="633" t="s">
        <v>393</v>
      </c>
      <c r="D4596" s="619" t="s">
        <v>1257</v>
      </c>
      <c r="E4596" s="633">
        <v>1</v>
      </c>
      <c r="F4596" s="618">
        <f>supervisor_Asli</f>
        <v>155155</v>
      </c>
      <c r="G4596" s="618">
        <f t="shared" ref="G4596:G4603" si="201">E4596*F4596</f>
        <v>155155</v>
      </c>
    </row>
    <row r="4597" spans="1:7" ht="15.75" hidden="1" customHeight="1" outlineLevel="2">
      <c r="C4597" s="633" t="s">
        <v>1227</v>
      </c>
      <c r="D4597" s="619" t="s">
        <v>1257</v>
      </c>
      <c r="E4597" s="633">
        <v>2</v>
      </c>
      <c r="F4597" s="618">
        <f>skill_worker</f>
        <v>195360.00000000003</v>
      </c>
      <c r="G4597" s="618">
        <f t="shared" si="201"/>
        <v>390720.00000000006</v>
      </c>
    </row>
    <row r="4598" spans="1:7" ht="15.75" hidden="1" customHeight="1" outlineLevel="2">
      <c r="C4598" s="633" t="s">
        <v>1280</v>
      </c>
      <c r="D4598" s="619" t="s">
        <v>1257</v>
      </c>
      <c r="E4598" s="633">
        <v>3</v>
      </c>
      <c r="F4598" s="618">
        <f>electrician</f>
        <v>143220</v>
      </c>
      <c r="G4598" s="618">
        <f t="shared" si="201"/>
        <v>429660</v>
      </c>
    </row>
    <row r="4599" spans="1:7" ht="15.75" hidden="1" customHeight="1" outlineLevel="2">
      <c r="C4599" s="633" t="s">
        <v>1254</v>
      </c>
      <c r="D4599" s="619" t="s">
        <v>1257</v>
      </c>
      <c r="E4599" s="633">
        <v>2</v>
      </c>
      <c r="F4599" s="618">
        <f>steel_worker_erection</f>
        <v>239580.00000000003</v>
      </c>
      <c r="G4599" s="618">
        <f t="shared" si="201"/>
        <v>479160.00000000006</v>
      </c>
    </row>
    <row r="4600" spans="1:7" ht="15.75" hidden="1" customHeight="1" outlineLevel="2">
      <c r="G4600" s="618">
        <f t="shared" si="201"/>
        <v>0</v>
      </c>
    </row>
    <row r="4601" spans="1:7" ht="15.75" hidden="1" customHeight="1" outlineLevel="2">
      <c r="C4601" s="633" t="s">
        <v>925</v>
      </c>
      <c r="G4601" s="618">
        <f t="shared" si="201"/>
        <v>0</v>
      </c>
    </row>
    <row r="4602" spans="1:7" ht="15.75" hidden="1" customHeight="1" outlineLevel="2">
      <c r="C4602" s="633" t="s">
        <v>1255</v>
      </c>
      <c r="D4602" s="619" t="s">
        <v>72</v>
      </c>
      <c r="E4602" s="633">
        <v>0</v>
      </c>
      <c r="F4602" s="618">
        <f>truc_crane_35t_day/8</f>
        <v>1031250.0000000001</v>
      </c>
      <c r="G4602" s="618">
        <f t="shared" si="201"/>
        <v>0</v>
      </c>
    </row>
    <row r="4603" spans="1:7" ht="15.75" hidden="1" customHeight="1" outlineLevel="2">
      <c r="C4603" s="633" t="s">
        <v>1256</v>
      </c>
      <c r="D4603" s="619" t="s">
        <v>474</v>
      </c>
      <c r="E4603" s="633">
        <v>1</v>
      </c>
      <c r="F4603" s="618">
        <f>alat_bantu_Computer_Printer</f>
        <v>385000.00000000006</v>
      </c>
      <c r="G4603" s="618">
        <f t="shared" si="201"/>
        <v>385000.00000000006</v>
      </c>
    </row>
    <row r="4604" spans="1:7" ht="15.75" hidden="1" customHeight="1" outlineLevel="2">
      <c r="G4604" s="618">
        <f>SUM(G4595:G4603)</f>
        <v>1839695</v>
      </c>
    </row>
    <row r="4605" spans="1:7" ht="15.75" hidden="1" customHeight="1" outlineLevel="2">
      <c r="C4605" s="1200" t="s">
        <v>1286</v>
      </c>
      <c r="D4605" s="1200"/>
      <c r="E4605" s="1200"/>
      <c r="F4605" s="1200"/>
      <c r="G4605" s="618">
        <f>2*G4604</f>
        <v>3679390</v>
      </c>
    </row>
    <row r="4606" spans="1:7" ht="15.75" customHeight="1" outlineLevel="1" collapsed="1">
      <c r="C4606" s="633" t="s">
        <v>2075</v>
      </c>
    </row>
  </sheetData>
  <protectedRanges>
    <protectedRange sqref="I9:J9 K131:L183 I13:I28 I10:I11 J918:K931 J2524:J2536 J1923:IX1925 J1915:IX1916 I1917:IX1922 I2524:I2537 I2788:IX2802 J211:IX223 J184:IX196 J2749:IX2757 K2524:IX2549 I2666:IX2675 J1802:IX1824 I2742:IX2748 I1825:IX1914 J1157:IX1162 K1163:IX1163 K932:K933 J934:K947 I949:K970 I1958:IX1962 J2803:IX2814 J1956:IX1957 J1968:IX1969 I1970:IX1976 I1988:IX1993 J1987:IX1987 I2999:IX2999 K1124:IX1148 K948 I971 I972:K1025 K971 J1943:IX1945 J1936:IX1936 I1937:IX1942 J1164:IX1175 N5 K45 I307:K308 I2765:IX2769 J2770:IX2774 K330:L356 J2676:IX2741 I2005:IX2523 L307:IX320 K518:K706 I1385:IX1801 I2758:IX2763 J2764:IX2764 I197:IX203 J82:IX117 K868:K917 K856:N865 I691:IX691 I677:J690 J676 I693:IX706 J692:IX692 I661:J675 J660 J643 J626 I644:J659 I627:J642 I205:IX210 I204 K204:IX204 J309:IX327 J10:IX28 I259:I292 I224:I257 K224:IX256 J224:J255 I449:J625 L518:L690 I436:IX448 I357:K435 I130:J183 M130:IX183 J257:J306 M257:IX306 K257:L269 K271:L306 I328:J356 K328:L328 K449:K516 M328:IX690 L357:L516 I29:J81 M29:IX81 K29:L44 K46:L81 J2550:IX2665 I1026:IX1081 I1082:I1107 L1082:IX1107 I723:I763 J723:K855 J868:J915 P707:IX763 L707:O855 I1108:IX1113 Q1114:IX1117 I1114:I1117 M9:IX9 I1118:IX1122 I868:I948 L868:IX1025 I866:IX867 I779:I865 P779:IX865 I764:IX778" name="Range1"/>
    <protectedRange sqref="J2537:J2549 J1148 J1124:J1135" name="Range1_46"/>
    <protectedRange sqref="B1783 D1783:H1783 B1754:B1755 D1754:D1755 B1756:D1764 F1754:H1764 B2123:D2126 D2122:H2122 B2127:B2128 B2149 D2149:H2149 B2150:D2153 B2154:B2155 B2199 D2227:D2228 C2229:D2230 A9 D82:E83 B497:H498 D2199:H2199 D186:D187 E186:E195 D295:D296 E295:E304 D84:D85 E84:E92 D196:E196 D213:D214 E213:E221 D222:E223 F2134:H2135 B2134:D2135 B2129:D2130 F2184:H2185 B2184:D2185 C2231:H2231 B1803:B1805 G1803:H1805 B1806:H1807 D1808 E1808:H1809 B2742:B2752 B2677:B2679 B2713 B2682 D184:E185 B1919:B1929 D1919:H1929 D2127:D2128 B2209 D2209:H2209 B2221:B2232 C2221:H2222 C2223:D2226 F2223:H2230 D2242:D2243 C2244:D2244 C2236:E2237 C2238:D2241 F2236:H2244 B2311:D2315 B2683:C2691 B2692:B2694 B2695:C2697 B2699:C2712 B2698 B2680:C2681 C2245:H2246 F2311:H2315 B2236:B2246 D1272:H1272 B1272 B1273:H1277 B1278:F1283 G1279:H1284 B211:C223 D211:E212 F184:H196 B184:C196 A329 B209:H210 D293:E294 B2676:C2676 B1823:B1828 B1808:C1822 B1829:H1918 B1157:H1163 B1147:H1148 B103:B116 G103:H116 F2849:H2849 B733:H734 G723:H732 B956:C959 F956:H959 B1959:B1963 C1960:C1962 D1959:H1963 B2753:H2757 G211:H283 B1964:H1969 C1972:C1976 D1971:F1977 B1971:B1977 B1970:F1970 B1978:F1985 G1970:H1985 C1990:C1993 B1988:F1988 B1995:F2002 G1988:H2002 B1989:B1994 D1989:F1994 B1986:H1987 B886:H902 B117:H117 A130 D1164:H1164 B1167:H1175 A2999 B3552 B118 B762:H763 G749:H761 A1123 B3568 B3582 B3602 A3666 B284:H292 G903:H915 B2849 B2859 B2878 B2892 B2909 B2920 B2937 B2951 B2960 B2979 F211:F223 G205:H208 B3592 G131:H146 G154:H183 E147:H153 C147:C153 B979:C982 F979:H982 B960:H978 B3612 B3622 B748:H748 G735:H747 B793:H793 G779:H792 B823:H823 G809:H822 B838:H838 G824:H837 B808:H808 G794:H807 B1950:H1958 B1930:H1937 B1938:B1949 D1938:H1949 F1143:H1146 F1165:H1166 D1165:D1166 B1164:B1166 B2161 D2161:H2161 B2162:D2165 B2166:B2167 F2123:H2130 B2168:D2169 F2162:H2169 B2172 D2172:H2172 B2173:D2176 B2177:B2178 B2179:D2180 F2173:H2180 B916:H955 G10:H81 B2741:C2741 D2741:H2752 B2740:H2740 B2714:C2739 B2156:D2157 F2150:H2157 D311:D312 E311:E315 D305:E310 E320 E316:F318 B293:C318 B319 B1765:H1782 B983:H1038 B1784:H1802 D1810:H1828 D2758:H2770 B2771:H2848 A2005 D1738:D1739 B1750:H1753 A1385 B1740:D1749 F1738:H1749 B2758:B2770 G197:H203 B2131:H2133 B2136:H2148 B2158:H2160 B2170:H2171 B2181:H2183 B2186:H2198 B2200:H2208 B2210:H2220 B2233:H2235 B2247:H2310 D2676:H2739 A2388 D93:E95 D102:E102 D96:D97 F82:H102 B82:C102 E96:E101 G499:H706 B328:E328 D323:D324 D321:E322 B320:C326 F293:H328 B327 E323:E326 G330:H496 C9:H9 C130:H130 C329:H329 B1124:B1146 C1385:H1737 B1386:B1739 C2003:H2121 B2003:B2004 A2120 B2006:B2119 B2121:B2122 C2316:H2549 B2316:B2387 C2999:H2999 C3666:H3666 B2389:B2557 B2558:H2675 C1123:H1142 D1079:H1079 F1080:H1091 B3646 B1039:B1122 G839:H885 B778:H778 G764:H777 F1099:H1122 C1092:H1093 C1094:C1099 D1094:H1098 B3655 F1039:H1078" name="Range1_10"/>
    <protectedRange sqref="E1754:E1760 E1738:E1745" name="Range1_23_1_1"/>
    <protectedRange sqref="E1761:E1764 E1746:E1749" name="Range1_47_1_1"/>
    <protectedRange sqref="C2122" name="Range1_1_1"/>
    <protectedRange sqref="C2127:C2128" name="Range1_2_1"/>
    <protectedRange sqref="E2134:E2135 E2184:E2185 E2123:E2130 E2223:E2226 E2240:E2241 E2164:E2169 E2175:E2180 E2152:E2157" name="Range1_3_1"/>
    <protectedRange sqref="C2149 C2161 C2172" name="Range1_5_1"/>
    <protectedRange sqref="C2154:D2155 C2166:D2167 C2177:D2178" name="Range1_6_1"/>
    <protectedRange sqref="E2150:E2151 E2238:E2239 E2311:E2315 E2162:E2163 E2173:E2174" name="Range1_7_1"/>
    <protectedRange sqref="C2199 C2209" name="Range1_8_1"/>
    <protectedRange sqref="C2227:C2228 C2242:C2243" name="Range1_9_1"/>
    <protectedRange sqref="E2227:E2230 E2242:E2244" name="Range1_12_1"/>
    <protectedRange sqref="B197:F200 B131:F146 B154:F183 B147:B153 B10:F81 C104 C108 C119 C123 B203:F208" name="Range1_15_1"/>
    <protectedRange sqref="C1803:F1805 C2677:C2679 C2713 C2742:C2752 C1919:C1929 C2692:C2694 C1823:C1828 C1959 C1963 B224:F283 C1971 C1977 C1989 C1994 B496:F496 B495 D495:E495 C1938:C1949 C319:F319 C2759:C2770 B201:F202 C327:F327 B330:F494" name="Range1_16_1"/>
    <protectedRange sqref="B540:D541 F540:F541 B576:D577 F576:F577 B612:D613 F612:F613 B559:D560 F559:F560 B594:D595 F594:F595 F495 C495 B749:F761 B903:F915 B561:F575 B578:F593 B596:F611 B735:F747 B723:F732 B779:F792 B809:F822 B824:F837 B794:F807 C1057:E1060 C1068:E1071 E1165:E1166 C1164:C1166 B614:F632 B703:F706 B694:D702 F694:F702 B687:F693 B683:D686 F683:F686 B671:F682 B667:D670 F667:F670 B654:F666 B650:D653 F650:F653 B637:F649 B633:D636 F633:F636 B499:F539 B542:F558 B839:F885 B764:F777" name="Range1_17_1"/>
    <protectedRange sqref="C2682 C2698" name="Range1_4_1"/>
    <protectedRange sqref="C1272" name="Range1_10_1"/>
    <protectedRange sqref="D1185:E1193 C1176:E1184" name="Range1_10_2"/>
    <protectedRange sqref="C1352:E1356" name="Range1_10_3"/>
    <protectedRange sqref="I1351" name="Range1_1"/>
    <protectedRange sqref="C1149:E1155" name="Range1_10_5"/>
    <protectedRange sqref="C1143:E1146" name="Range1_10_6"/>
    <protectedRange sqref="C113" name="Range1_10_7"/>
    <protectedRange sqref="C103:F103 C105:F107 D104:F104 C109:F112 D108:F108 C114:F116 D113:F113" name="Range1_10_8"/>
    <protectedRange sqref="C1248:E1248 C1271:E1271 C1296:E1296 C1309:E1309 C1329:E1329 C1228:E1238" name="Range1_10_9"/>
    <protectedRange sqref="C1239:E1247" name="Range1_10_10"/>
    <protectedRange sqref="C1249:E1262" name="Range1_10_11"/>
    <protectedRange sqref="C1263:E1270" name="Range1_10_12"/>
    <protectedRange sqref="C1285:E1295" name="Range1_10_13"/>
    <protectedRange sqref="C1039:E1056 C1072:E1078 C1061:E1067" name="Range1_10_14"/>
    <protectedRange sqref="C1297:E1308" name="Range1_10_15"/>
    <protectedRange sqref="C1310:E1318 C1324:E1328 D1319:E1323" name="Range1_10_17"/>
    <protectedRange sqref="C1336:E1336 C1208:E1216 D1217:E1222 C1223:E1227" name="Range1_10_18"/>
    <protectedRange sqref="C1196:E1206 C1195 D1374:E1374 D1379:E1379 D1384:E1384" name="Range1_10_19"/>
    <protectedRange sqref="C1330:E1335" name="Range1_10_20"/>
    <protectedRange sqref="C1337:E1343 C1350:E1350" name="Range1_10_21"/>
    <protectedRange sqref="C1344:E1349" name="Range1_10_22"/>
    <protectedRange sqref="C1358:E1362" name="Range1_10_23"/>
    <protectedRange sqref="C1363:E1373" name="Range1_10_24"/>
    <protectedRange sqref="C2855:E2857" name="Range1_10_4_1"/>
    <protectedRange sqref="C1375:E1378" name="Range1_10_4"/>
    <protectedRange sqref="C1380:E1383" name="Range1_10_16"/>
    <protectedRange sqref="E694:E702" name="Range1_17_1_1"/>
    <protectedRange sqref="E683:E686 E667:E670" name="Range1_17_1_2"/>
    <protectedRange sqref="I676" name="Range1_3"/>
    <protectedRange sqref="I692" name="Range1_4"/>
    <protectedRange sqref="I660" name="Range1_5"/>
    <protectedRange sqref="I643 I626" name="Range1_6"/>
    <protectedRange sqref="J204" name="Range1_7"/>
    <protectedRange sqref="C2550:H2552 C2554:H2557" name="Range1_10_25"/>
    <protectedRange sqref="C1110 C1101:C1103 C1105:C1108 C1082:C1085 C1087:C1089" name="Range1_10_26"/>
    <protectedRange sqref="D1110:D1113 D1102:D1103 D1105 D1083:D1085 D1087 D1121:D1122" name="Range1_10_27"/>
    <protectedRange sqref="E1110 E1105 E1087" name="Range1_10_28"/>
    <protectedRange sqref="J856:N865" name="Range1_2"/>
  </protectedRanges>
  <mergeCells count="100">
    <mergeCell ref="A3666:G3666"/>
    <mergeCell ref="A2999:G2999"/>
    <mergeCell ref="A2388:G2388"/>
    <mergeCell ref="A2120:G2120"/>
    <mergeCell ref="A2005:G2005"/>
    <mergeCell ref="K3804:L3804"/>
    <mergeCell ref="C3781:F3781"/>
    <mergeCell ref="C3804:F3804"/>
    <mergeCell ref="C3814:F3814"/>
    <mergeCell ref="J1:K1"/>
    <mergeCell ref="J2:K2"/>
    <mergeCell ref="J3:K3"/>
    <mergeCell ref="K3814:L3814"/>
    <mergeCell ref="C3689:F3689"/>
    <mergeCell ref="C3712:F3712"/>
    <mergeCell ref="C3735:F3735"/>
    <mergeCell ref="C3758:F3758"/>
    <mergeCell ref="J3512:K3512"/>
    <mergeCell ref="L3512:M3512"/>
    <mergeCell ref="J3531:K3531"/>
    <mergeCell ref="L3531:M3531"/>
    <mergeCell ref="A329:G329"/>
    <mergeCell ref="J3265:K3265"/>
    <mergeCell ref="L3265:M3265"/>
    <mergeCell ref="J3236:K3236"/>
    <mergeCell ref="L3236:M3236"/>
    <mergeCell ref="A1385:G1385"/>
    <mergeCell ref="A1123:G1123"/>
    <mergeCell ref="B1:G1"/>
    <mergeCell ref="B2:G2"/>
    <mergeCell ref="I5:I8"/>
    <mergeCell ref="A5:B8"/>
    <mergeCell ref="A130:G130"/>
    <mergeCell ref="A9:G9"/>
    <mergeCell ref="C5:C8"/>
    <mergeCell ref="D5:D8"/>
    <mergeCell ref="E5:E8"/>
    <mergeCell ref="C4000:F4000"/>
    <mergeCell ref="C3826:F3826"/>
    <mergeCell ref="B4001:B4003"/>
    <mergeCell ref="C4001:C4003"/>
    <mergeCell ref="D4001:D4003"/>
    <mergeCell ref="B3982:C3982"/>
    <mergeCell ref="B3984:C3984"/>
    <mergeCell ref="C3985:D3985"/>
    <mergeCell ref="C3986:C3988"/>
    <mergeCell ref="D3986:D3988"/>
    <mergeCell ref="C3880:F3880"/>
    <mergeCell ref="C3891:F3891"/>
    <mergeCell ref="B3983:C3983"/>
    <mergeCell ref="C3980:F3980"/>
    <mergeCell ref="C3981:F3981"/>
    <mergeCell ref="C3836:F3836"/>
    <mergeCell ref="K3836:L3836"/>
    <mergeCell ref="C3846:F3846"/>
    <mergeCell ref="K3826:L3826"/>
    <mergeCell ref="C3959:D3959"/>
    <mergeCell ref="C3935:F3935"/>
    <mergeCell ref="C3912:F3912"/>
    <mergeCell ref="C3902:F3902"/>
    <mergeCell ref="C3958:F3958"/>
    <mergeCell ref="C4605:F4605"/>
    <mergeCell ref="C4039:F4039"/>
    <mergeCell ref="C4050:F4050"/>
    <mergeCell ref="C4061:F4061"/>
    <mergeCell ref="C4028:F4028"/>
    <mergeCell ref="C4086:F4086"/>
    <mergeCell ref="C4111:F4111"/>
    <mergeCell ref="B4015:B4017"/>
    <mergeCell ref="C4015:C4017"/>
    <mergeCell ref="D4015:D4017"/>
    <mergeCell ref="J3567:K3567"/>
    <mergeCell ref="L3567:M3567"/>
    <mergeCell ref="K3869:L3869"/>
    <mergeCell ref="K3902:L3902"/>
    <mergeCell ref="C3869:F3869"/>
    <mergeCell ref="C4014:F4014"/>
    <mergeCell ref="B3986:B3988"/>
    <mergeCell ref="D3982:D3984"/>
    <mergeCell ref="E3982:F3982"/>
    <mergeCell ref="E3983:F3983"/>
    <mergeCell ref="E3984:F3984"/>
    <mergeCell ref="C3825:F3825"/>
    <mergeCell ref="C3824:F3824"/>
    <mergeCell ref="J3491:K3491"/>
    <mergeCell ref="L3491:M3491"/>
    <mergeCell ref="J3281:K3281"/>
    <mergeCell ref="L3281:M3281"/>
    <mergeCell ref="J3425:K3425"/>
    <mergeCell ref="L3425:M3425"/>
    <mergeCell ref="J3417:K3417"/>
    <mergeCell ref="L3417:M3417"/>
    <mergeCell ref="J3433:K3433"/>
    <mergeCell ref="L3433:M3433"/>
    <mergeCell ref="J3441:K3441"/>
    <mergeCell ref="L3441:M3441"/>
    <mergeCell ref="J3449:K3449"/>
    <mergeCell ref="L3449:M3449"/>
    <mergeCell ref="J3459:K3459"/>
    <mergeCell ref="L3459:M3459"/>
  </mergeCells>
  <hyperlinks>
    <hyperlink ref="I2075" r:id="rId1"/>
    <hyperlink ref="I2091" r:id="rId2"/>
    <hyperlink ref="I2059" r:id="rId3"/>
  </hyperlinks>
  <printOptions horizontalCentered="1"/>
  <pageMargins left="0.5" right="0.25" top="0.25" bottom="1" header="0.5" footer="0"/>
  <pageSetup paperSize="9" scale="74" orientation="portrait" horizontalDpi="4294967294" r:id="rId4"/>
  <headerFooter alignWithMargins="0">
    <oddFooter>&amp;L&amp;8DATE :NAME OF BIDDER   :SIGNATURE OF BIDDER :&amp;R&amp;8&amp;A Page &amp;P of   &amp;NGIS 150 kV JATIWARINGIN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C000"/>
  </sheetPr>
  <dimension ref="A1:AA413"/>
  <sheetViews>
    <sheetView topLeftCell="A277" zoomScale="85" zoomScaleNormal="85" workbookViewId="0">
      <selection activeCell="J293" sqref="J293"/>
    </sheetView>
  </sheetViews>
  <sheetFormatPr defaultRowHeight="12.75" outlineLevelRow="1"/>
  <cols>
    <col min="1" max="1" width="5.5703125" style="619" customWidth="1"/>
    <col min="2" max="2" width="49.42578125" style="633" customWidth="1"/>
    <col min="3" max="3" width="13.42578125" style="619" customWidth="1"/>
    <col min="4" max="4" width="15" style="618" customWidth="1"/>
    <col min="5" max="5" width="39.42578125" style="633" customWidth="1"/>
    <col min="6" max="6" width="9.28515625" style="633" hidden="1" customWidth="1"/>
    <col min="7" max="7" width="7.28515625" style="633" hidden="1" customWidth="1"/>
    <col min="8" max="8" width="12.5703125" style="633" customWidth="1"/>
    <col min="9" max="10" width="14.85546875" style="633" customWidth="1"/>
    <col min="11" max="11" width="23.140625" style="633" customWidth="1"/>
    <col min="12" max="12" width="14.42578125" style="633" customWidth="1"/>
    <col min="13" max="13" width="9.140625" style="633"/>
    <col min="14" max="14" width="13" style="633" customWidth="1"/>
    <col min="15" max="15" width="9.140625" style="633"/>
    <col min="16" max="19" width="9.28515625" style="633" customWidth="1"/>
    <col min="20" max="24" width="9.140625" style="633"/>
    <col min="25" max="25" width="9.28515625" style="633" customWidth="1"/>
    <col min="26" max="257" width="9.140625" style="633"/>
    <col min="258" max="258" width="5.5703125" style="633" customWidth="1"/>
    <col min="259" max="259" width="46.28515625" style="633" customWidth="1"/>
    <col min="260" max="260" width="12.7109375" style="633" customWidth="1"/>
    <col min="261" max="261" width="15" style="633" customWidth="1"/>
    <col min="262" max="262" width="39.28515625" style="633" customWidth="1"/>
    <col min="263" max="264" width="0" style="633" hidden="1" customWidth="1"/>
    <col min="265" max="266" width="14.85546875" style="633" customWidth="1"/>
    <col min="267" max="269" width="9.140625" style="633"/>
    <col min="270" max="270" width="13" style="633" customWidth="1"/>
    <col min="271" max="271" width="9.140625" style="633"/>
    <col min="272" max="275" width="9.28515625" style="633" customWidth="1"/>
    <col min="276" max="280" width="9.140625" style="633"/>
    <col min="281" max="281" width="9.28515625" style="633" customWidth="1"/>
    <col min="282" max="513" width="9.140625" style="633"/>
    <col min="514" max="514" width="5.5703125" style="633" customWidth="1"/>
    <col min="515" max="515" width="46.28515625" style="633" customWidth="1"/>
    <col min="516" max="516" width="12.7109375" style="633" customWidth="1"/>
    <col min="517" max="517" width="15" style="633" customWidth="1"/>
    <col min="518" max="518" width="39.28515625" style="633" customWidth="1"/>
    <col min="519" max="520" width="0" style="633" hidden="1" customWidth="1"/>
    <col min="521" max="522" width="14.85546875" style="633" customWidth="1"/>
    <col min="523" max="525" width="9.140625" style="633"/>
    <col min="526" max="526" width="13" style="633" customWidth="1"/>
    <col min="527" max="527" width="9.140625" style="633"/>
    <col min="528" max="531" width="9.28515625" style="633" customWidth="1"/>
    <col min="532" max="536" width="9.140625" style="633"/>
    <col min="537" max="537" width="9.28515625" style="633" customWidth="1"/>
    <col min="538" max="769" width="9.140625" style="633"/>
    <col min="770" max="770" width="5.5703125" style="633" customWidth="1"/>
    <col min="771" max="771" width="46.28515625" style="633" customWidth="1"/>
    <col min="772" max="772" width="12.7109375" style="633" customWidth="1"/>
    <col min="773" max="773" width="15" style="633" customWidth="1"/>
    <col min="774" max="774" width="39.28515625" style="633" customWidth="1"/>
    <col min="775" max="776" width="0" style="633" hidden="1" customWidth="1"/>
    <col min="777" max="778" width="14.85546875" style="633" customWidth="1"/>
    <col min="779" max="781" width="9.140625" style="633"/>
    <col min="782" max="782" width="13" style="633" customWidth="1"/>
    <col min="783" max="783" width="9.140625" style="633"/>
    <col min="784" max="787" width="9.28515625" style="633" customWidth="1"/>
    <col min="788" max="792" width="9.140625" style="633"/>
    <col min="793" max="793" width="9.28515625" style="633" customWidth="1"/>
    <col min="794" max="1025" width="9.140625" style="633"/>
    <col min="1026" max="1026" width="5.5703125" style="633" customWidth="1"/>
    <col min="1027" max="1027" width="46.28515625" style="633" customWidth="1"/>
    <col min="1028" max="1028" width="12.7109375" style="633" customWidth="1"/>
    <col min="1029" max="1029" width="15" style="633" customWidth="1"/>
    <col min="1030" max="1030" width="39.28515625" style="633" customWidth="1"/>
    <col min="1031" max="1032" width="0" style="633" hidden="1" customWidth="1"/>
    <col min="1033" max="1034" width="14.85546875" style="633" customWidth="1"/>
    <col min="1035" max="1037" width="9.140625" style="633"/>
    <col min="1038" max="1038" width="13" style="633" customWidth="1"/>
    <col min="1039" max="1039" width="9.140625" style="633"/>
    <col min="1040" max="1043" width="9.28515625" style="633" customWidth="1"/>
    <col min="1044" max="1048" width="9.140625" style="633"/>
    <col min="1049" max="1049" width="9.28515625" style="633" customWidth="1"/>
    <col min="1050" max="1281" width="9.140625" style="633"/>
    <col min="1282" max="1282" width="5.5703125" style="633" customWidth="1"/>
    <col min="1283" max="1283" width="46.28515625" style="633" customWidth="1"/>
    <col min="1284" max="1284" width="12.7109375" style="633" customWidth="1"/>
    <col min="1285" max="1285" width="15" style="633" customWidth="1"/>
    <col min="1286" max="1286" width="39.28515625" style="633" customWidth="1"/>
    <col min="1287" max="1288" width="0" style="633" hidden="1" customWidth="1"/>
    <col min="1289" max="1290" width="14.85546875" style="633" customWidth="1"/>
    <col min="1291" max="1293" width="9.140625" style="633"/>
    <col min="1294" max="1294" width="13" style="633" customWidth="1"/>
    <col min="1295" max="1295" width="9.140625" style="633"/>
    <col min="1296" max="1299" width="9.28515625" style="633" customWidth="1"/>
    <col min="1300" max="1304" width="9.140625" style="633"/>
    <col min="1305" max="1305" width="9.28515625" style="633" customWidth="1"/>
    <col min="1306" max="1537" width="9.140625" style="633"/>
    <col min="1538" max="1538" width="5.5703125" style="633" customWidth="1"/>
    <col min="1539" max="1539" width="46.28515625" style="633" customWidth="1"/>
    <col min="1540" max="1540" width="12.7109375" style="633" customWidth="1"/>
    <col min="1541" max="1541" width="15" style="633" customWidth="1"/>
    <col min="1542" max="1542" width="39.28515625" style="633" customWidth="1"/>
    <col min="1543" max="1544" width="0" style="633" hidden="1" customWidth="1"/>
    <col min="1545" max="1546" width="14.85546875" style="633" customWidth="1"/>
    <col min="1547" max="1549" width="9.140625" style="633"/>
    <col min="1550" max="1550" width="13" style="633" customWidth="1"/>
    <col min="1551" max="1551" width="9.140625" style="633"/>
    <col min="1552" max="1555" width="9.28515625" style="633" customWidth="1"/>
    <col min="1556" max="1560" width="9.140625" style="633"/>
    <col min="1561" max="1561" width="9.28515625" style="633" customWidth="1"/>
    <col min="1562" max="1793" width="9.140625" style="633"/>
    <col min="1794" max="1794" width="5.5703125" style="633" customWidth="1"/>
    <col min="1795" max="1795" width="46.28515625" style="633" customWidth="1"/>
    <col min="1796" max="1796" width="12.7109375" style="633" customWidth="1"/>
    <col min="1797" max="1797" width="15" style="633" customWidth="1"/>
    <col min="1798" max="1798" width="39.28515625" style="633" customWidth="1"/>
    <col min="1799" max="1800" width="0" style="633" hidden="1" customWidth="1"/>
    <col min="1801" max="1802" width="14.85546875" style="633" customWidth="1"/>
    <col min="1803" max="1805" width="9.140625" style="633"/>
    <col min="1806" max="1806" width="13" style="633" customWidth="1"/>
    <col min="1807" max="1807" width="9.140625" style="633"/>
    <col min="1808" max="1811" width="9.28515625" style="633" customWidth="1"/>
    <col min="1812" max="1816" width="9.140625" style="633"/>
    <col min="1817" max="1817" width="9.28515625" style="633" customWidth="1"/>
    <col min="1818" max="2049" width="9.140625" style="633"/>
    <col min="2050" max="2050" width="5.5703125" style="633" customWidth="1"/>
    <col min="2051" max="2051" width="46.28515625" style="633" customWidth="1"/>
    <col min="2052" max="2052" width="12.7109375" style="633" customWidth="1"/>
    <col min="2053" max="2053" width="15" style="633" customWidth="1"/>
    <col min="2054" max="2054" width="39.28515625" style="633" customWidth="1"/>
    <col min="2055" max="2056" width="0" style="633" hidden="1" customWidth="1"/>
    <col min="2057" max="2058" width="14.85546875" style="633" customWidth="1"/>
    <col min="2059" max="2061" width="9.140625" style="633"/>
    <col min="2062" max="2062" width="13" style="633" customWidth="1"/>
    <col min="2063" max="2063" width="9.140625" style="633"/>
    <col min="2064" max="2067" width="9.28515625" style="633" customWidth="1"/>
    <col min="2068" max="2072" width="9.140625" style="633"/>
    <col min="2073" max="2073" width="9.28515625" style="633" customWidth="1"/>
    <col min="2074" max="2305" width="9.140625" style="633"/>
    <col min="2306" max="2306" width="5.5703125" style="633" customWidth="1"/>
    <col min="2307" max="2307" width="46.28515625" style="633" customWidth="1"/>
    <col min="2308" max="2308" width="12.7109375" style="633" customWidth="1"/>
    <col min="2309" max="2309" width="15" style="633" customWidth="1"/>
    <col min="2310" max="2310" width="39.28515625" style="633" customWidth="1"/>
    <col min="2311" max="2312" width="0" style="633" hidden="1" customWidth="1"/>
    <col min="2313" max="2314" width="14.85546875" style="633" customWidth="1"/>
    <col min="2315" max="2317" width="9.140625" style="633"/>
    <col min="2318" max="2318" width="13" style="633" customWidth="1"/>
    <col min="2319" max="2319" width="9.140625" style="633"/>
    <col min="2320" max="2323" width="9.28515625" style="633" customWidth="1"/>
    <col min="2324" max="2328" width="9.140625" style="633"/>
    <col min="2329" max="2329" width="9.28515625" style="633" customWidth="1"/>
    <col min="2330" max="2561" width="9.140625" style="633"/>
    <col min="2562" max="2562" width="5.5703125" style="633" customWidth="1"/>
    <col min="2563" max="2563" width="46.28515625" style="633" customWidth="1"/>
    <col min="2564" max="2564" width="12.7109375" style="633" customWidth="1"/>
    <col min="2565" max="2565" width="15" style="633" customWidth="1"/>
    <col min="2566" max="2566" width="39.28515625" style="633" customWidth="1"/>
    <col min="2567" max="2568" width="0" style="633" hidden="1" customWidth="1"/>
    <col min="2569" max="2570" width="14.85546875" style="633" customWidth="1"/>
    <col min="2571" max="2573" width="9.140625" style="633"/>
    <col min="2574" max="2574" width="13" style="633" customWidth="1"/>
    <col min="2575" max="2575" width="9.140625" style="633"/>
    <col min="2576" max="2579" width="9.28515625" style="633" customWidth="1"/>
    <col min="2580" max="2584" width="9.140625" style="633"/>
    <col min="2585" max="2585" width="9.28515625" style="633" customWidth="1"/>
    <col min="2586" max="2817" width="9.140625" style="633"/>
    <col min="2818" max="2818" width="5.5703125" style="633" customWidth="1"/>
    <col min="2819" max="2819" width="46.28515625" style="633" customWidth="1"/>
    <col min="2820" max="2820" width="12.7109375" style="633" customWidth="1"/>
    <col min="2821" max="2821" width="15" style="633" customWidth="1"/>
    <col min="2822" max="2822" width="39.28515625" style="633" customWidth="1"/>
    <col min="2823" max="2824" width="0" style="633" hidden="1" customWidth="1"/>
    <col min="2825" max="2826" width="14.85546875" style="633" customWidth="1"/>
    <col min="2827" max="2829" width="9.140625" style="633"/>
    <col min="2830" max="2830" width="13" style="633" customWidth="1"/>
    <col min="2831" max="2831" width="9.140625" style="633"/>
    <col min="2832" max="2835" width="9.28515625" style="633" customWidth="1"/>
    <col min="2836" max="2840" width="9.140625" style="633"/>
    <col min="2841" max="2841" width="9.28515625" style="633" customWidth="1"/>
    <col min="2842" max="3073" width="9.140625" style="633"/>
    <col min="3074" max="3074" width="5.5703125" style="633" customWidth="1"/>
    <col min="3075" max="3075" width="46.28515625" style="633" customWidth="1"/>
    <col min="3076" max="3076" width="12.7109375" style="633" customWidth="1"/>
    <col min="3077" max="3077" width="15" style="633" customWidth="1"/>
    <col min="3078" max="3078" width="39.28515625" style="633" customWidth="1"/>
    <col min="3079" max="3080" width="0" style="633" hidden="1" customWidth="1"/>
    <col min="3081" max="3082" width="14.85546875" style="633" customWidth="1"/>
    <col min="3083" max="3085" width="9.140625" style="633"/>
    <col min="3086" max="3086" width="13" style="633" customWidth="1"/>
    <col min="3087" max="3087" width="9.140625" style="633"/>
    <col min="3088" max="3091" width="9.28515625" style="633" customWidth="1"/>
    <col min="3092" max="3096" width="9.140625" style="633"/>
    <col min="3097" max="3097" width="9.28515625" style="633" customWidth="1"/>
    <col min="3098" max="3329" width="9.140625" style="633"/>
    <col min="3330" max="3330" width="5.5703125" style="633" customWidth="1"/>
    <col min="3331" max="3331" width="46.28515625" style="633" customWidth="1"/>
    <col min="3332" max="3332" width="12.7109375" style="633" customWidth="1"/>
    <col min="3333" max="3333" width="15" style="633" customWidth="1"/>
    <col min="3334" max="3334" width="39.28515625" style="633" customWidth="1"/>
    <col min="3335" max="3336" width="0" style="633" hidden="1" customWidth="1"/>
    <col min="3337" max="3338" width="14.85546875" style="633" customWidth="1"/>
    <col min="3339" max="3341" width="9.140625" style="633"/>
    <col min="3342" max="3342" width="13" style="633" customWidth="1"/>
    <col min="3343" max="3343" width="9.140625" style="633"/>
    <col min="3344" max="3347" width="9.28515625" style="633" customWidth="1"/>
    <col min="3348" max="3352" width="9.140625" style="633"/>
    <col min="3353" max="3353" width="9.28515625" style="633" customWidth="1"/>
    <col min="3354" max="3585" width="9.140625" style="633"/>
    <col min="3586" max="3586" width="5.5703125" style="633" customWidth="1"/>
    <col min="3587" max="3587" width="46.28515625" style="633" customWidth="1"/>
    <col min="3588" max="3588" width="12.7109375" style="633" customWidth="1"/>
    <col min="3589" max="3589" width="15" style="633" customWidth="1"/>
    <col min="3590" max="3590" width="39.28515625" style="633" customWidth="1"/>
    <col min="3591" max="3592" width="0" style="633" hidden="1" customWidth="1"/>
    <col min="3593" max="3594" width="14.85546875" style="633" customWidth="1"/>
    <col min="3595" max="3597" width="9.140625" style="633"/>
    <col min="3598" max="3598" width="13" style="633" customWidth="1"/>
    <col min="3599" max="3599" width="9.140625" style="633"/>
    <col min="3600" max="3603" width="9.28515625" style="633" customWidth="1"/>
    <col min="3604" max="3608" width="9.140625" style="633"/>
    <col min="3609" max="3609" width="9.28515625" style="633" customWidth="1"/>
    <col min="3610" max="3841" width="9.140625" style="633"/>
    <col min="3842" max="3842" width="5.5703125" style="633" customWidth="1"/>
    <col min="3843" max="3843" width="46.28515625" style="633" customWidth="1"/>
    <col min="3844" max="3844" width="12.7109375" style="633" customWidth="1"/>
    <col min="3845" max="3845" width="15" style="633" customWidth="1"/>
    <col min="3846" max="3846" width="39.28515625" style="633" customWidth="1"/>
    <col min="3847" max="3848" width="0" style="633" hidden="1" customWidth="1"/>
    <col min="3849" max="3850" width="14.85546875" style="633" customWidth="1"/>
    <col min="3851" max="3853" width="9.140625" style="633"/>
    <col min="3854" max="3854" width="13" style="633" customWidth="1"/>
    <col min="3855" max="3855" width="9.140625" style="633"/>
    <col min="3856" max="3859" width="9.28515625" style="633" customWidth="1"/>
    <col min="3860" max="3864" width="9.140625" style="633"/>
    <col min="3865" max="3865" width="9.28515625" style="633" customWidth="1"/>
    <col min="3866" max="4097" width="9.140625" style="633"/>
    <col min="4098" max="4098" width="5.5703125" style="633" customWidth="1"/>
    <col min="4099" max="4099" width="46.28515625" style="633" customWidth="1"/>
    <col min="4100" max="4100" width="12.7109375" style="633" customWidth="1"/>
    <col min="4101" max="4101" width="15" style="633" customWidth="1"/>
    <col min="4102" max="4102" width="39.28515625" style="633" customWidth="1"/>
    <col min="4103" max="4104" width="0" style="633" hidden="1" customWidth="1"/>
    <col min="4105" max="4106" width="14.85546875" style="633" customWidth="1"/>
    <col min="4107" max="4109" width="9.140625" style="633"/>
    <col min="4110" max="4110" width="13" style="633" customWidth="1"/>
    <col min="4111" max="4111" width="9.140625" style="633"/>
    <col min="4112" max="4115" width="9.28515625" style="633" customWidth="1"/>
    <col min="4116" max="4120" width="9.140625" style="633"/>
    <col min="4121" max="4121" width="9.28515625" style="633" customWidth="1"/>
    <col min="4122" max="4353" width="9.140625" style="633"/>
    <col min="4354" max="4354" width="5.5703125" style="633" customWidth="1"/>
    <col min="4355" max="4355" width="46.28515625" style="633" customWidth="1"/>
    <col min="4356" max="4356" width="12.7109375" style="633" customWidth="1"/>
    <col min="4357" max="4357" width="15" style="633" customWidth="1"/>
    <col min="4358" max="4358" width="39.28515625" style="633" customWidth="1"/>
    <col min="4359" max="4360" width="0" style="633" hidden="1" customWidth="1"/>
    <col min="4361" max="4362" width="14.85546875" style="633" customWidth="1"/>
    <col min="4363" max="4365" width="9.140625" style="633"/>
    <col min="4366" max="4366" width="13" style="633" customWidth="1"/>
    <col min="4367" max="4367" width="9.140625" style="633"/>
    <col min="4368" max="4371" width="9.28515625" style="633" customWidth="1"/>
    <col min="4372" max="4376" width="9.140625" style="633"/>
    <col min="4377" max="4377" width="9.28515625" style="633" customWidth="1"/>
    <col min="4378" max="4609" width="9.140625" style="633"/>
    <col min="4610" max="4610" width="5.5703125" style="633" customWidth="1"/>
    <col min="4611" max="4611" width="46.28515625" style="633" customWidth="1"/>
    <col min="4612" max="4612" width="12.7109375" style="633" customWidth="1"/>
    <col min="4613" max="4613" width="15" style="633" customWidth="1"/>
    <col min="4614" max="4614" width="39.28515625" style="633" customWidth="1"/>
    <col min="4615" max="4616" width="0" style="633" hidden="1" customWidth="1"/>
    <col min="4617" max="4618" width="14.85546875" style="633" customWidth="1"/>
    <col min="4619" max="4621" width="9.140625" style="633"/>
    <col min="4622" max="4622" width="13" style="633" customWidth="1"/>
    <col min="4623" max="4623" width="9.140625" style="633"/>
    <col min="4624" max="4627" width="9.28515625" style="633" customWidth="1"/>
    <col min="4628" max="4632" width="9.140625" style="633"/>
    <col min="4633" max="4633" width="9.28515625" style="633" customWidth="1"/>
    <col min="4634" max="4865" width="9.140625" style="633"/>
    <col min="4866" max="4866" width="5.5703125" style="633" customWidth="1"/>
    <col min="4867" max="4867" width="46.28515625" style="633" customWidth="1"/>
    <col min="4868" max="4868" width="12.7109375" style="633" customWidth="1"/>
    <col min="4869" max="4869" width="15" style="633" customWidth="1"/>
    <col min="4870" max="4870" width="39.28515625" style="633" customWidth="1"/>
    <col min="4871" max="4872" width="0" style="633" hidden="1" customWidth="1"/>
    <col min="4873" max="4874" width="14.85546875" style="633" customWidth="1"/>
    <col min="4875" max="4877" width="9.140625" style="633"/>
    <col min="4878" max="4878" width="13" style="633" customWidth="1"/>
    <col min="4879" max="4879" width="9.140625" style="633"/>
    <col min="4880" max="4883" width="9.28515625" style="633" customWidth="1"/>
    <col min="4884" max="4888" width="9.140625" style="633"/>
    <col min="4889" max="4889" width="9.28515625" style="633" customWidth="1"/>
    <col min="4890" max="5121" width="9.140625" style="633"/>
    <col min="5122" max="5122" width="5.5703125" style="633" customWidth="1"/>
    <col min="5123" max="5123" width="46.28515625" style="633" customWidth="1"/>
    <col min="5124" max="5124" width="12.7109375" style="633" customWidth="1"/>
    <col min="5125" max="5125" width="15" style="633" customWidth="1"/>
    <col min="5126" max="5126" width="39.28515625" style="633" customWidth="1"/>
    <col min="5127" max="5128" width="0" style="633" hidden="1" customWidth="1"/>
    <col min="5129" max="5130" width="14.85546875" style="633" customWidth="1"/>
    <col min="5131" max="5133" width="9.140625" style="633"/>
    <col min="5134" max="5134" width="13" style="633" customWidth="1"/>
    <col min="5135" max="5135" width="9.140625" style="633"/>
    <col min="5136" max="5139" width="9.28515625" style="633" customWidth="1"/>
    <col min="5140" max="5144" width="9.140625" style="633"/>
    <col min="5145" max="5145" width="9.28515625" style="633" customWidth="1"/>
    <col min="5146" max="5377" width="9.140625" style="633"/>
    <col min="5378" max="5378" width="5.5703125" style="633" customWidth="1"/>
    <col min="5379" max="5379" width="46.28515625" style="633" customWidth="1"/>
    <col min="5380" max="5380" width="12.7109375" style="633" customWidth="1"/>
    <col min="5381" max="5381" width="15" style="633" customWidth="1"/>
    <col min="5382" max="5382" width="39.28515625" style="633" customWidth="1"/>
    <col min="5383" max="5384" width="0" style="633" hidden="1" customWidth="1"/>
    <col min="5385" max="5386" width="14.85546875" style="633" customWidth="1"/>
    <col min="5387" max="5389" width="9.140625" style="633"/>
    <col min="5390" max="5390" width="13" style="633" customWidth="1"/>
    <col min="5391" max="5391" width="9.140625" style="633"/>
    <col min="5392" max="5395" width="9.28515625" style="633" customWidth="1"/>
    <col min="5396" max="5400" width="9.140625" style="633"/>
    <col min="5401" max="5401" width="9.28515625" style="633" customWidth="1"/>
    <col min="5402" max="5633" width="9.140625" style="633"/>
    <col min="5634" max="5634" width="5.5703125" style="633" customWidth="1"/>
    <col min="5635" max="5635" width="46.28515625" style="633" customWidth="1"/>
    <col min="5636" max="5636" width="12.7109375" style="633" customWidth="1"/>
    <col min="5637" max="5637" width="15" style="633" customWidth="1"/>
    <col min="5638" max="5638" width="39.28515625" style="633" customWidth="1"/>
    <col min="5639" max="5640" width="0" style="633" hidden="1" customWidth="1"/>
    <col min="5641" max="5642" width="14.85546875" style="633" customWidth="1"/>
    <col min="5643" max="5645" width="9.140625" style="633"/>
    <col min="5646" max="5646" width="13" style="633" customWidth="1"/>
    <col min="5647" max="5647" width="9.140625" style="633"/>
    <col min="5648" max="5651" width="9.28515625" style="633" customWidth="1"/>
    <col min="5652" max="5656" width="9.140625" style="633"/>
    <col min="5657" max="5657" width="9.28515625" style="633" customWidth="1"/>
    <col min="5658" max="5889" width="9.140625" style="633"/>
    <col min="5890" max="5890" width="5.5703125" style="633" customWidth="1"/>
    <col min="5891" max="5891" width="46.28515625" style="633" customWidth="1"/>
    <col min="5892" max="5892" width="12.7109375" style="633" customWidth="1"/>
    <col min="5893" max="5893" width="15" style="633" customWidth="1"/>
    <col min="5894" max="5894" width="39.28515625" style="633" customWidth="1"/>
    <col min="5895" max="5896" width="0" style="633" hidden="1" customWidth="1"/>
    <col min="5897" max="5898" width="14.85546875" style="633" customWidth="1"/>
    <col min="5899" max="5901" width="9.140625" style="633"/>
    <col min="5902" max="5902" width="13" style="633" customWidth="1"/>
    <col min="5903" max="5903" width="9.140625" style="633"/>
    <col min="5904" max="5907" width="9.28515625" style="633" customWidth="1"/>
    <col min="5908" max="5912" width="9.140625" style="633"/>
    <col min="5913" max="5913" width="9.28515625" style="633" customWidth="1"/>
    <col min="5914" max="6145" width="9.140625" style="633"/>
    <col min="6146" max="6146" width="5.5703125" style="633" customWidth="1"/>
    <col min="6147" max="6147" width="46.28515625" style="633" customWidth="1"/>
    <col min="6148" max="6148" width="12.7109375" style="633" customWidth="1"/>
    <col min="6149" max="6149" width="15" style="633" customWidth="1"/>
    <col min="6150" max="6150" width="39.28515625" style="633" customWidth="1"/>
    <col min="6151" max="6152" width="0" style="633" hidden="1" customWidth="1"/>
    <col min="6153" max="6154" width="14.85546875" style="633" customWidth="1"/>
    <col min="6155" max="6157" width="9.140625" style="633"/>
    <col min="6158" max="6158" width="13" style="633" customWidth="1"/>
    <col min="6159" max="6159" width="9.140625" style="633"/>
    <col min="6160" max="6163" width="9.28515625" style="633" customWidth="1"/>
    <col min="6164" max="6168" width="9.140625" style="633"/>
    <col min="6169" max="6169" width="9.28515625" style="633" customWidth="1"/>
    <col min="6170" max="6401" width="9.140625" style="633"/>
    <col min="6402" max="6402" width="5.5703125" style="633" customWidth="1"/>
    <col min="6403" max="6403" width="46.28515625" style="633" customWidth="1"/>
    <col min="6404" max="6404" width="12.7109375" style="633" customWidth="1"/>
    <col min="6405" max="6405" width="15" style="633" customWidth="1"/>
    <col min="6406" max="6406" width="39.28515625" style="633" customWidth="1"/>
    <col min="6407" max="6408" width="0" style="633" hidden="1" customWidth="1"/>
    <col min="6409" max="6410" width="14.85546875" style="633" customWidth="1"/>
    <col min="6411" max="6413" width="9.140625" style="633"/>
    <col min="6414" max="6414" width="13" style="633" customWidth="1"/>
    <col min="6415" max="6415" width="9.140625" style="633"/>
    <col min="6416" max="6419" width="9.28515625" style="633" customWidth="1"/>
    <col min="6420" max="6424" width="9.140625" style="633"/>
    <col min="6425" max="6425" width="9.28515625" style="633" customWidth="1"/>
    <col min="6426" max="6657" width="9.140625" style="633"/>
    <col min="6658" max="6658" width="5.5703125" style="633" customWidth="1"/>
    <col min="6659" max="6659" width="46.28515625" style="633" customWidth="1"/>
    <col min="6660" max="6660" width="12.7109375" style="633" customWidth="1"/>
    <col min="6661" max="6661" width="15" style="633" customWidth="1"/>
    <col min="6662" max="6662" width="39.28515625" style="633" customWidth="1"/>
    <col min="6663" max="6664" width="0" style="633" hidden="1" customWidth="1"/>
    <col min="6665" max="6666" width="14.85546875" style="633" customWidth="1"/>
    <col min="6667" max="6669" width="9.140625" style="633"/>
    <col min="6670" max="6670" width="13" style="633" customWidth="1"/>
    <col min="6671" max="6671" width="9.140625" style="633"/>
    <col min="6672" max="6675" width="9.28515625" style="633" customWidth="1"/>
    <col min="6676" max="6680" width="9.140625" style="633"/>
    <col min="6681" max="6681" width="9.28515625" style="633" customWidth="1"/>
    <col min="6682" max="6913" width="9.140625" style="633"/>
    <col min="6914" max="6914" width="5.5703125" style="633" customWidth="1"/>
    <col min="6915" max="6915" width="46.28515625" style="633" customWidth="1"/>
    <col min="6916" max="6916" width="12.7109375" style="633" customWidth="1"/>
    <col min="6917" max="6917" width="15" style="633" customWidth="1"/>
    <col min="6918" max="6918" width="39.28515625" style="633" customWidth="1"/>
    <col min="6919" max="6920" width="0" style="633" hidden="1" customWidth="1"/>
    <col min="6921" max="6922" width="14.85546875" style="633" customWidth="1"/>
    <col min="6923" max="6925" width="9.140625" style="633"/>
    <col min="6926" max="6926" width="13" style="633" customWidth="1"/>
    <col min="6927" max="6927" width="9.140625" style="633"/>
    <col min="6928" max="6931" width="9.28515625" style="633" customWidth="1"/>
    <col min="6932" max="6936" width="9.140625" style="633"/>
    <col min="6937" max="6937" width="9.28515625" style="633" customWidth="1"/>
    <col min="6938" max="7169" width="9.140625" style="633"/>
    <col min="7170" max="7170" width="5.5703125" style="633" customWidth="1"/>
    <col min="7171" max="7171" width="46.28515625" style="633" customWidth="1"/>
    <col min="7172" max="7172" width="12.7109375" style="633" customWidth="1"/>
    <col min="7173" max="7173" width="15" style="633" customWidth="1"/>
    <col min="7174" max="7174" width="39.28515625" style="633" customWidth="1"/>
    <col min="7175" max="7176" width="0" style="633" hidden="1" customWidth="1"/>
    <col min="7177" max="7178" width="14.85546875" style="633" customWidth="1"/>
    <col min="7179" max="7181" width="9.140625" style="633"/>
    <col min="7182" max="7182" width="13" style="633" customWidth="1"/>
    <col min="7183" max="7183" width="9.140625" style="633"/>
    <col min="7184" max="7187" width="9.28515625" style="633" customWidth="1"/>
    <col min="7188" max="7192" width="9.140625" style="633"/>
    <col min="7193" max="7193" width="9.28515625" style="633" customWidth="1"/>
    <col min="7194" max="7425" width="9.140625" style="633"/>
    <col min="7426" max="7426" width="5.5703125" style="633" customWidth="1"/>
    <col min="7427" max="7427" width="46.28515625" style="633" customWidth="1"/>
    <col min="7428" max="7428" width="12.7109375" style="633" customWidth="1"/>
    <col min="7429" max="7429" width="15" style="633" customWidth="1"/>
    <col min="7430" max="7430" width="39.28515625" style="633" customWidth="1"/>
    <col min="7431" max="7432" width="0" style="633" hidden="1" customWidth="1"/>
    <col min="7433" max="7434" width="14.85546875" style="633" customWidth="1"/>
    <col min="7435" max="7437" width="9.140625" style="633"/>
    <col min="7438" max="7438" width="13" style="633" customWidth="1"/>
    <col min="7439" max="7439" width="9.140625" style="633"/>
    <col min="7440" max="7443" width="9.28515625" style="633" customWidth="1"/>
    <col min="7444" max="7448" width="9.140625" style="633"/>
    <col min="7449" max="7449" width="9.28515625" style="633" customWidth="1"/>
    <col min="7450" max="7681" width="9.140625" style="633"/>
    <col min="7682" max="7682" width="5.5703125" style="633" customWidth="1"/>
    <col min="7683" max="7683" width="46.28515625" style="633" customWidth="1"/>
    <col min="7684" max="7684" width="12.7109375" style="633" customWidth="1"/>
    <col min="7685" max="7685" width="15" style="633" customWidth="1"/>
    <col min="7686" max="7686" width="39.28515625" style="633" customWidth="1"/>
    <col min="7687" max="7688" width="0" style="633" hidden="1" customWidth="1"/>
    <col min="7689" max="7690" width="14.85546875" style="633" customWidth="1"/>
    <col min="7691" max="7693" width="9.140625" style="633"/>
    <col min="7694" max="7694" width="13" style="633" customWidth="1"/>
    <col min="7695" max="7695" width="9.140625" style="633"/>
    <col min="7696" max="7699" width="9.28515625" style="633" customWidth="1"/>
    <col min="7700" max="7704" width="9.140625" style="633"/>
    <col min="7705" max="7705" width="9.28515625" style="633" customWidth="1"/>
    <col min="7706" max="7937" width="9.140625" style="633"/>
    <col min="7938" max="7938" width="5.5703125" style="633" customWidth="1"/>
    <col min="7939" max="7939" width="46.28515625" style="633" customWidth="1"/>
    <col min="7940" max="7940" width="12.7109375" style="633" customWidth="1"/>
    <col min="7941" max="7941" width="15" style="633" customWidth="1"/>
    <col min="7942" max="7942" width="39.28515625" style="633" customWidth="1"/>
    <col min="7943" max="7944" width="0" style="633" hidden="1" customWidth="1"/>
    <col min="7945" max="7946" width="14.85546875" style="633" customWidth="1"/>
    <col min="7947" max="7949" width="9.140625" style="633"/>
    <col min="7950" max="7950" width="13" style="633" customWidth="1"/>
    <col min="7951" max="7951" width="9.140625" style="633"/>
    <col min="7952" max="7955" width="9.28515625" style="633" customWidth="1"/>
    <col min="7956" max="7960" width="9.140625" style="633"/>
    <col min="7961" max="7961" width="9.28515625" style="633" customWidth="1"/>
    <col min="7962" max="8193" width="9.140625" style="633"/>
    <col min="8194" max="8194" width="5.5703125" style="633" customWidth="1"/>
    <col min="8195" max="8195" width="46.28515625" style="633" customWidth="1"/>
    <col min="8196" max="8196" width="12.7109375" style="633" customWidth="1"/>
    <col min="8197" max="8197" width="15" style="633" customWidth="1"/>
    <col min="8198" max="8198" width="39.28515625" style="633" customWidth="1"/>
    <col min="8199" max="8200" width="0" style="633" hidden="1" customWidth="1"/>
    <col min="8201" max="8202" width="14.85546875" style="633" customWidth="1"/>
    <col min="8203" max="8205" width="9.140625" style="633"/>
    <col min="8206" max="8206" width="13" style="633" customWidth="1"/>
    <col min="8207" max="8207" width="9.140625" style="633"/>
    <col min="8208" max="8211" width="9.28515625" style="633" customWidth="1"/>
    <col min="8212" max="8216" width="9.140625" style="633"/>
    <col min="8217" max="8217" width="9.28515625" style="633" customWidth="1"/>
    <col min="8218" max="8449" width="9.140625" style="633"/>
    <col min="8450" max="8450" width="5.5703125" style="633" customWidth="1"/>
    <col min="8451" max="8451" width="46.28515625" style="633" customWidth="1"/>
    <col min="8452" max="8452" width="12.7109375" style="633" customWidth="1"/>
    <col min="8453" max="8453" width="15" style="633" customWidth="1"/>
    <col min="8454" max="8454" width="39.28515625" style="633" customWidth="1"/>
    <col min="8455" max="8456" width="0" style="633" hidden="1" customWidth="1"/>
    <col min="8457" max="8458" width="14.85546875" style="633" customWidth="1"/>
    <col min="8459" max="8461" width="9.140625" style="633"/>
    <col min="8462" max="8462" width="13" style="633" customWidth="1"/>
    <col min="8463" max="8463" width="9.140625" style="633"/>
    <col min="8464" max="8467" width="9.28515625" style="633" customWidth="1"/>
    <col min="8468" max="8472" width="9.140625" style="633"/>
    <col min="8473" max="8473" width="9.28515625" style="633" customWidth="1"/>
    <col min="8474" max="8705" width="9.140625" style="633"/>
    <col min="8706" max="8706" width="5.5703125" style="633" customWidth="1"/>
    <col min="8707" max="8707" width="46.28515625" style="633" customWidth="1"/>
    <col min="8708" max="8708" width="12.7109375" style="633" customWidth="1"/>
    <col min="8709" max="8709" width="15" style="633" customWidth="1"/>
    <col min="8710" max="8710" width="39.28515625" style="633" customWidth="1"/>
    <col min="8711" max="8712" width="0" style="633" hidden="1" customWidth="1"/>
    <col min="8713" max="8714" width="14.85546875" style="633" customWidth="1"/>
    <col min="8715" max="8717" width="9.140625" style="633"/>
    <col min="8718" max="8718" width="13" style="633" customWidth="1"/>
    <col min="8719" max="8719" width="9.140625" style="633"/>
    <col min="8720" max="8723" width="9.28515625" style="633" customWidth="1"/>
    <col min="8724" max="8728" width="9.140625" style="633"/>
    <col min="8729" max="8729" width="9.28515625" style="633" customWidth="1"/>
    <col min="8730" max="8961" width="9.140625" style="633"/>
    <col min="8962" max="8962" width="5.5703125" style="633" customWidth="1"/>
    <col min="8963" max="8963" width="46.28515625" style="633" customWidth="1"/>
    <col min="8964" max="8964" width="12.7109375" style="633" customWidth="1"/>
    <col min="8965" max="8965" width="15" style="633" customWidth="1"/>
    <col min="8966" max="8966" width="39.28515625" style="633" customWidth="1"/>
    <col min="8967" max="8968" width="0" style="633" hidden="1" customWidth="1"/>
    <col min="8969" max="8970" width="14.85546875" style="633" customWidth="1"/>
    <col min="8971" max="8973" width="9.140625" style="633"/>
    <col min="8974" max="8974" width="13" style="633" customWidth="1"/>
    <col min="8975" max="8975" width="9.140625" style="633"/>
    <col min="8976" max="8979" width="9.28515625" style="633" customWidth="1"/>
    <col min="8980" max="8984" width="9.140625" style="633"/>
    <col min="8985" max="8985" width="9.28515625" style="633" customWidth="1"/>
    <col min="8986" max="9217" width="9.140625" style="633"/>
    <col min="9218" max="9218" width="5.5703125" style="633" customWidth="1"/>
    <col min="9219" max="9219" width="46.28515625" style="633" customWidth="1"/>
    <col min="9220" max="9220" width="12.7109375" style="633" customWidth="1"/>
    <col min="9221" max="9221" width="15" style="633" customWidth="1"/>
    <col min="9222" max="9222" width="39.28515625" style="633" customWidth="1"/>
    <col min="9223" max="9224" width="0" style="633" hidden="1" customWidth="1"/>
    <col min="9225" max="9226" width="14.85546875" style="633" customWidth="1"/>
    <col min="9227" max="9229" width="9.140625" style="633"/>
    <col min="9230" max="9230" width="13" style="633" customWidth="1"/>
    <col min="9231" max="9231" width="9.140625" style="633"/>
    <col min="9232" max="9235" width="9.28515625" style="633" customWidth="1"/>
    <col min="9236" max="9240" width="9.140625" style="633"/>
    <col min="9241" max="9241" width="9.28515625" style="633" customWidth="1"/>
    <col min="9242" max="9473" width="9.140625" style="633"/>
    <col min="9474" max="9474" width="5.5703125" style="633" customWidth="1"/>
    <col min="9475" max="9475" width="46.28515625" style="633" customWidth="1"/>
    <col min="9476" max="9476" width="12.7109375" style="633" customWidth="1"/>
    <col min="9477" max="9477" width="15" style="633" customWidth="1"/>
    <col min="9478" max="9478" width="39.28515625" style="633" customWidth="1"/>
    <col min="9479" max="9480" width="0" style="633" hidden="1" customWidth="1"/>
    <col min="9481" max="9482" width="14.85546875" style="633" customWidth="1"/>
    <col min="9483" max="9485" width="9.140625" style="633"/>
    <col min="9486" max="9486" width="13" style="633" customWidth="1"/>
    <col min="9487" max="9487" width="9.140625" style="633"/>
    <col min="9488" max="9491" width="9.28515625" style="633" customWidth="1"/>
    <col min="9492" max="9496" width="9.140625" style="633"/>
    <col min="9497" max="9497" width="9.28515625" style="633" customWidth="1"/>
    <col min="9498" max="9729" width="9.140625" style="633"/>
    <col min="9730" max="9730" width="5.5703125" style="633" customWidth="1"/>
    <col min="9731" max="9731" width="46.28515625" style="633" customWidth="1"/>
    <col min="9732" max="9732" width="12.7109375" style="633" customWidth="1"/>
    <col min="9733" max="9733" width="15" style="633" customWidth="1"/>
    <col min="9734" max="9734" width="39.28515625" style="633" customWidth="1"/>
    <col min="9735" max="9736" width="0" style="633" hidden="1" customWidth="1"/>
    <col min="9737" max="9738" width="14.85546875" style="633" customWidth="1"/>
    <col min="9739" max="9741" width="9.140625" style="633"/>
    <col min="9742" max="9742" width="13" style="633" customWidth="1"/>
    <col min="9743" max="9743" width="9.140625" style="633"/>
    <col min="9744" max="9747" width="9.28515625" style="633" customWidth="1"/>
    <col min="9748" max="9752" width="9.140625" style="633"/>
    <col min="9753" max="9753" width="9.28515625" style="633" customWidth="1"/>
    <col min="9754" max="9985" width="9.140625" style="633"/>
    <col min="9986" max="9986" width="5.5703125" style="633" customWidth="1"/>
    <col min="9987" max="9987" width="46.28515625" style="633" customWidth="1"/>
    <col min="9988" max="9988" width="12.7109375" style="633" customWidth="1"/>
    <col min="9989" max="9989" width="15" style="633" customWidth="1"/>
    <col min="9990" max="9990" width="39.28515625" style="633" customWidth="1"/>
    <col min="9991" max="9992" width="0" style="633" hidden="1" customWidth="1"/>
    <col min="9993" max="9994" width="14.85546875" style="633" customWidth="1"/>
    <col min="9995" max="9997" width="9.140625" style="633"/>
    <col min="9998" max="9998" width="13" style="633" customWidth="1"/>
    <col min="9999" max="9999" width="9.140625" style="633"/>
    <col min="10000" max="10003" width="9.28515625" style="633" customWidth="1"/>
    <col min="10004" max="10008" width="9.140625" style="633"/>
    <col min="10009" max="10009" width="9.28515625" style="633" customWidth="1"/>
    <col min="10010" max="10241" width="9.140625" style="633"/>
    <col min="10242" max="10242" width="5.5703125" style="633" customWidth="1"/>
    <col min="10243" max="10243" width="46.28515625" style="633" customWidth="1"/>
    <col min="10244" max="10244" width="12.7109375" style="633" customWidth="1"/>
    <col min="10245" max="10245" width="15" style="633" customWidth="1"/>
    <col min="10246" max="10246" width="39.28515625" style="633" customWidth="1"/>
    <col min="10247" max="10248" width="0" style="633" hidden="1" customWidth="1"/>
    <col min="10249" max="10250" width="14.85546875" style="633" customWidth="1"/>
    <col min="10251" max="10253" width="9.140625" style="633"/>
    <col min="10254" max="10254" width="13" style="633" customWidth="1"/>
    <col min="10255" max="10255" width="9.140625" style="633"/>
    <col min="10256" max="10259" width="9.28515625" style="633" customWidth="1"/>
    <col min="10260" max="10264" width="9.140625" style="633"/>
    <col min="10265" max="10265" width="9.28515625" style="633" customWidth="1"/>
    <col min="10266" max="10497" width="9.140625" style="633"/>
    <col min="10498" max="10498" width="5.5703125" style="633" customWidth="1"/>
    <col min="10499" max="10499" width="46.28515625" style="633" customWidth="1"/>
    <col min="10500" max="10500" width="12.7109375" style="633" customWidth="1"/>
    <col min="10501" max="10501" width="15" style="633" customWidth="1"/>
    <col min="10502" max="10502" width="39.28515625" style="633" customWidth="1"/>
    <col min="10503" max="10504" width="0" style="633" hidden="1" customWidth="1"/>
    <col min="10505" max="10506" width="14.85546875" style="633" customWidth="1"/>
    <col min="10507" max="10509" width="9.140625" style="633"/>
    <col min="10510" max="10510" width="13" style="633" customWidth="1"/>
    <col min="10511" max="10511" width="9.140625" style="633"/>
    <col min="10512" max="10515" width="9.28515625" style="633" customWidth="1"/>
    <col min="10516" max="10520" width="9.140625" style="633"/>
    <col min="10521" max="10521" width="9.28515625" style="633" customWidth="1"/>
    <col min="10522" max="10753" width="9.140625" style="633"/>
    <col min="10754" max="10754" width="5.5703125" style="633" customWidth="1"/>
    <col min="10755" max="10755" width="46.28515625" style="633" customWidth="1"/>
    <col min="10756" max="10756" width="12.7109375" style="633" customWidth="1"/>
    <col min="10757" max="10757" width="15" style="633" customWidth="1"/>
    <col min="10758" max="10758" width="39.28515625" style="633" customWidth="1"/>
    <col min="10759" max="10760" width="0" style="633" hidden="1" customWidth="1"/>
    <col min="10761" max="10762" width="14.85546875" style="633" customWidth="1"/>
    <col min="10763" max="10765" width="9.140625" style="633"/>
    <col min="10766" max="10766" width="13" style="633" customWidth="1"/>
    <col min="10767" max="10767" width="9.140625" style="633"/>
    <col min="10768" max="10771" width="9.28515625" style="633" customWidth="1"/>
    <col min="10772" max="10776" width="9.140625" style="633"/>
    <col min="10777" max="10777" width="9.28515625" style="633" customWidth="1"/>
    <col min="10778" max="11009" width="9.140625" style="633"/>
    <col min="11010" max="11010" width="5.5703125" style="633" customWidth="1"/>
    <col min="11011" max="11011" width="46.28515625" style="633" customWidth="1"/>
    <col min="11012" max="11012" width="12.7109375" style="633" customWidth="1"/>
    <col min="11013" max="11013" width="15" style="633" customWidth="1"/>
    <col min="11014" max="11014" width="39.28515625" style="633" customWidth="1"/>
    <col min="11015" max="11016" width="0" style="633" hidden="1" customWidth="1"/>
    <col min="11017" max="11018" width="14.85546875" style="633" customWidth="1"/>
    <col min="11019" max="11021" width="9.140625" style="633"/>
    <col min="11022" max="11022" width="13" style="633" customWidth="1"/>
    <col min="11023" max="11023" width="9.140625" style="633"/>
    <col min="11024" max="11027" width="9.28515625" style="633" customWidth="1"/>
    <col min="11028" max="11032" width="9.140625" style="633"/>
    <col min="11033" max="11033" width="9.28515625" style="633" customWidth="1"/>
    <col min="11034" max="11265" width="9.140625" style="633"/>
    <col min="11266" max="11266" width="5.5703125" style="633" customWidth="1"/>
    <col min="11267" max="11267" width="46.28515625" style="633" customWidth="1"/>
    <col min="11268" max="11268" width="12.7109375" style="633" customWidth="1"/>
    <col min="11269" max="11269" width="15" style="633" customWidth="1"/>
    <col min="11270" max="11270" width="39.28515625" style="633" customWidth="1"/>
    <col min="11271" max="11272" width="0" style="633" hidden="1" customWidth="1"/>
    <col min="11273" max="11274" width="14.85546875" style="633" customWidth="1"/>
    <col min="11275" max="11277" width="9.140625" style="633"/>
    <col min="11278" max="11278" width="13" style="633" customWidth="1"/>
    <col min="11279" max="11279" width="9.140625" style="633"/>
    <col min="11280" max="11283" width="9.28515625" style="633" customWidth="1"/>
    <col min="11284" max="11288" width="9.140625" style="633"/>
    <col min="11289" max="11289" width="9.28515625" style="633" customWidth="1"/>
    <col min="11290" max="11521" width="9.140625" style="633"/>
    <col min="11522" max="11522" width="5.5703125" style="633" customWidth="1"/>
    <col min="11523" max="11523" width="46.28515625" style="633" customWidth="1"/>
    <col min="11524" max="11524" width="12.7109375" style="633" customWidth="1"/>
    <col min="11525" max="11525" width="15" style="633" customWidth="1"/>
    <col min="11526" max="11526" width="39.28515625" style="633" customWidth="1"/>
    <col min="11527" max="11528" width="0" style="633" hidden="1" customWidth="1"/>
    <col min="11529" max="11530" width="14.85546875" style="633" customWidth="1"/>
    <col min="11531" max="11533" width="9.140625" style="633"/>
    <col min="11534" max="11534" width="13" style="633" customWidth="1"/>
    <col min="11535" max="11535" width="9.140625" style="633"/>
    <col min="11536" max="11539" width="9.28515625" style="633" customWidth="1"/>
    <col min="11540" max="11544" width="9.140625" style="633"/>
    <col min="11545" max="11545" width="9.28515625" style="633" customWidth="1"/>
    <col min="11546" max="11777" width="9.140625" style="633"/>
    <col min="11778" max="11778" width="5.5703125" style="633" customWidth="1"/>
    <col min="11779" max="11779" width="46.28515625" style="633" customWidth="1"/>
    <col min="11780" max="11780" width="12.7109375" style="633" customWidth="1"/>
    <col min="11781" max="11781" width="15" style="633" customWidth="1"/>
    <col min="11782" max="11782" width="39.28515625" style="633" customWidth="1"/>
    <col min="11783" max="11784" width="0" style="633" hidden="1" customWidth="1"/>
    <col min="11785" max="11786" width="14.85546875" style="633" customWidth="1"/>
    <col min="11787" max="11789" width="9.140625" style="633"/>
    <col min="11790" max="11790" width="13" style="633" customWidth="1"/>
    <col min="11791" max="11791" width="9.140625" style="633"/>
    <col min="11792" max="11795" width="9.28515625" style="633" customWidth="1"/>
    <col min="11796" max="11800" width="9.140625" style="633"/>
    <col min="11801" max="11801" width="9.28515625" style="633" customWidth="1"/>
    <col min="11802" max="12033" width="9.140625" style="633"/>
    <col min="12034" max="12034" width="5.5703125" style="633" customWidth="1"/>
    <col min="12035" max="12035" width="46.28515625" style="633" customWidth="1"/>
    <col min="12036" max="12036" width="12.7109375" style="633" customWidth="1"/>
    <col min="12037" max="12037" width="15" style="633" customWidth="1"/>
    <col min="12038" max="12038" width="39.28515625" style="633" customWidth="1"/>
    <col min="12039" max="12040" width="0" style="633" hidden="1" customWidth="1"/>
    <col min="12041" max="12042" width="14.85546875" style="633" customWidth="1"/>
    <col min="12043" max="12045" width="9.140625" style="633"/>
    <col min="12046" max="12046" width="13" style="633" customWidth="1"/>
    <col min="12047" max="12047" width="9.140625" style="633"/>
    <col min="12048" max="12051" width="9.28515625" style="633" customWidth="1"/>
    <col min="12052" max="12056" width="9.140625" style="633"/>
    <col min="12057" max="12057" width="9.28515625" style="633" customWidth="1"/>
    <col min="12058" max="12289" width="9.140625" style="633"/>
    <col min="12290" max="12290" width="5.5703125" style="633" customWidth="1"/>
    <col min="12291" max="12291" width="46.28515625" style="633" customWidth="1"/>
    <col min="12292" max="12292" width="12.7109375" style="633" customWidth="1"/>
    <col min="12293" max="12293" width="15" style="633" customWidth="1"/>
    <col min="12294" max="12294" width="39.28515625" style="633" customWidth="1"/>
    <col min="12295" max="12296" width="0" style="633" hidden="1" customWidth="1"/>
    <col min="12297" max="12298" width="14.85546875" style="633" customWidth="1"/>
    <col min="12299" max="12301" width="9.140625" style="633"/>
    <col min="12302" max="12302" width="13" style="633" customWidth="1"/>
    <col min="12303" max="12303" width="9.140625" style="633"/>
    <col min="12304" max="12307" width="9.28515625" style="633" customWidth="1"/>
    <col min="12308" max="12312" width="9.140625" style="633"/>
    <col min="12313" max="12313" width="9.28515625" style="633" customWidth="1"/>
    <col min="12314" max="12545" width="9.140625" style="633"/>
    <col min="12546" max="12546" width="5.5703125" style="633" customWidth="1"/>
    <col min="12547" max="12547" width="46.28515625" style="633" customWidth="1"/>
    <col min="12548" max="12548" width="12.7109375" style="633" customWidth="1"/>
    <col min="12549" max="12549" width="15" style="633" customWidth="1"/>
    <col min="12550" max="12550" width="39.28515625" style="633" customWidth="1"/>
    <col min="12551" max="12552" width="0" style="633" hidden="1" customWidth="1"/>
    <col min="12553" max="12554" width="14.85546875" style="633" customWidth="1"/>
    <col min="12555" max="12557" width="9.140625" style="633"/>
    <col min="12558" max="12558" width="13" style="633" customWidth="1"/>
    <col min="12559" max="12559" width="9.140625" style="633"/>
    <col min="12560" max="12563" width="9.28515625" style="633" customWidth="1"/>
    <col min="12564" max="12568" width="9.140625" style="633"/>
    <col min="12569" max="12569" width="9.28515625" style="633" customWidth="1"/>
    <col min="12570" max="12801" width="9.140625" style="633"/>
    <col min="12802" max="12802" width="5.5703125" style="633" customWidth="1"/>
    <col min="12803" max="12803" width="46.28515625" style="633" customWidth="1"/>
    <col min="12804" max="12804" width="12.7109375" style="633" customWidth="1"/>
    <col min="12805" max="12805" width="15" style="633" customWidth="1"/>
    <col min="12806" max="12806" width="39.28515625" style="633" customWidth="1"/>
    <col min="12807" max="12808" width="0" style="633" hidden="1" customWidth="1"/>
    <col min="12809" max="12810" width="14.85546875" style="633" customWidth="1"/>
    <col min="12811" max="12813" width="9.140625" style="633"/>
    <col min="12814" max="12814" width="13" style="633" customWidth="1"/>
    <col min="12815" max="12815" width="9.140625" style="633"/>
    <col min="12816" max="12819" width="9.28515625" style="633" customWidth="1"/>
    <col min="12820" max="12824" width="9.140625" style="633"/>
    <col min="12825" max="12825" width="9.28515625" style="633" customWidth="1"/>
    <col min="12826" max="13057" width="9.140625" style="633"/>
    <col min="13058" max="13058" width="5.5703125" style="633" customWidth="1"/>
    <col min="13059" max="13059" width="46.28515625" style="633" customWidth="1"/>
    <col min="13060" max="13060" width="12.7109375" style="633" customWidth="1"/>
    <col min="13061" max="13061" width="15" style="633" customWidth="1"/>
    <col min="13062" max="13062" width="39.28515625" style="633" customWidth="1"/>
    <col min="13063" max="13064" width="0" style="633" hidden="1" customWidth="1"/>
    <col min="13065" max="13066" width="14.85546875" style="633" customWidth="1"/>
    <col min="13067" max="13069" width="9.140625" style="633"/>
    <col min="13070" max="13070" width="13" style="633" customWidth="1"/>
    <col min="13071" max="13071" width="9.140625" style="633"/>
    <col min="13072" max="13075" width="9.28515625" style="633" customWidth="1"/>
    <col min="13076" max="13080" width="9.140625" style="633"/>
    <col min="13081" max="13081" width="9.28515625" style="633" customWidth="1"/>
    <col min="13082" max="13313" width="9.140625" style="633"/>
    <col min="13314" max="13314" width="5.5703125" style="633" customWidth="1"/>
    <col min="13315" max="13315" width="46.28515625" style="633" customWidth="1"/>
    <col min="13316" max="13316" width="12.7109375" style="633" customWidth="1"/>
    <col min="13317" max="13317" width="15" style="633" customWidth="1"/>
    <col min="13318" max="13318" width="39.28515625" style="633" customWidth="1"/>
    <col min="13319" max="13320" width="0" style="633" hidden="1" customWidth="1"/>
    <col min="13321" max="13322" width="14.85546875" style="633" customWidth="1"/>
    <col min="13323" max="13325" width="9.140625" style="633"/>
    <col min="13326" max="13326" width="13" style="633" customWidth="1"/>
    <col min="13327" max="13327" width="9.140625" style="633"/>
    <col min="13328" max="13331" width="9.28515625" style="633" customWidth="1"/>
    <col min="13332" max="13336" width="9.140625" style="633"/>
    <col min="13337" max="13337" width="9.28515625" style="633" customWidth="1"/>
    <col min="13338" max="13569" width="9.140625" style="633"/>
    <col min="13570" max="13570" width="5.5703125" style="633" customWidth="1"/>
    <col min="13571" max="13571" width="46.28515625" style="633" customWidth="1"/>
    <col min="13572" max="13572" width="12.7109375" style="633" customWidth="1"/>
    <col min="13573" max="13573" width="15" style="633" customWidth="1"/>
    <col min="13574" max="13574" width="39.28515625" style="633" customWidth="1"/>
    <col min="13575" max="13576" width="0" style="633" hidden="1" customWidth="1"/>
    <col min="13577" max="13578" width="14.85546875" style="633" customWidth="1"/>
    <col min="13579" max="13581" width="9.140625" style="633"/>
    <col min="13582" max="13582" width="13" style="633" customWidth="1"/>
    <col min="13583" max="13583" width="9.140625" style="633"/>
    <col min="13584" max="13587" width="9.28515625" style="633" customWidth="1"/>
    <col min="13588" max="13592" width="9.140625" style="633"/>
    <col min="13593" max="13593" width="9.28515625" style="633" customWidth="1"/>
    <col min="13594" max="13825" width="9.140625" style="633"/>
    <col min="13826" max="13826" width="5.5703125" style="633" customWidth="1"/>
    <col min="13827" max="13827" width="46.28515625" style="633" customWidth="1"/>
    <col min="13828" max="13828" width="12.7109375" style="633" customWidth="1"/>
    <col min="13829" max="13829" width="15" style="633" customWidth="1"/>
    <col min="13830" max="13830" width="39.28515625" style="633" customWidth="1"/>
    <col min="13831" max="13832" width="0" style="633" hidden="1" customWidth="1"/>
    <col min="13833" max="13834" width="14.85546875" style="633" customWidth="1"/>
    <col min="13835" max="13837" width="9.140625" style="633"/>
    <col min="13838" max="13838" width="13" style="633" customWidth="1"/>
    <col min="13839" max="13839" width="9.140625" style="633"/>
    <col min="13840" max="13843" width="9.28515625" style="633" customWidth="1"/>
    <col min="13844" max="13848" width="9.140625" style="633"/>
    <col min="13849" max="13849" width="9.28515625" style="633" customWidth="1"/>
    <col min="13850" max="14081" width="9.140625" style="633"/>
    <col min="14082" max="14082" width="5.5703125" style="633" customWidth="1"/>
    <col min="14083" max="14083" width="46.28515625" style="633" customWidth="1"/>
    <col min="14084" max="14084" width="12.7109375" style="633" customWidth="1"/>
    <col min="14085" max="14085" width="15" style="633" customWidth="1"/>
    <col min="14086" max="14086" width="39.28515625" style="633" customWidth="1"/>
    <col min="14087" max="14088" width="0" style="633" hidden="1" customWidth="1"/>
    <col min="14089" max="14090" width="14.85546875" style="633" customWidth="1"/>
    <col min="14091" max="14093" width="9.140625" style="633"/>
    <col min="14094" max="14094" width="13" style="633" customWidth="1"/>
    <col min="14095" max="14095" width="9.140625" style="633"/>
    <col min="14096" max="14099" width="9.28515625" style="633" customWidth="1"/>
    <col min="14100" max="14104" width="9.140625" style="633"/>
    <col min="14105" max="14105" width="9.28515625" style="633" customWidth="1"/>
    <col min="14106" max="14337" width="9.140625" style="633"/>
    <col min="14338" max="14338" width="5.5703125" style="633" customWidth="1"/>
    <col min="14339" max="14339" width="46.28515625" style="633" customWidth="1"/>
    <col min="14340" max="14340" width="12.7109375" style="633" customWidth="1"/>
    <col min="14341" max="14341" width="15" style="633" customWidth="1"/>
    <col min="14342" max="14342" width="39.28515625" style="633" customWidth="1"/>
    <col min="14343" max="14344" width="0" style="633" hidden="1" customWidth="1"/>
    <col min="14345" max="14346" width="14.85546875" style="633" customWidth="1"/>
    <col min="14347" max="14349" width="9.140625" style="633"/>
    <col min="14350" max="14350" width="13" style="633" customWidth="1"/>
    <col min="14351" max="14351" width="9.140625" style="633"/>
    <col min="14352" max="14355" width="9.28515625" style="633" customWidth="1"/>
    <col min="14356" max="14360" width="9.140625" style="633"/>
    <col min="14361" max="14361" width="9.28515625" style="633" customWidth="1"/>
    <col min="14362" max="14593" width="9.140625" style="633"/>
    <col min="14594" max="14594" width="5.5703125" style="633" customWidth="1"/>
    <col min="14595" max="14595" width="46.28515625" style="633" customWidth="1"/>
    <col min="14596" max="14596" width="12.7109375" style="633" customWidth="1"/>
    <col min="14597" max="14597" width="15" style="633" customWidth="1"/>
    <col min="14598" max="14598" width="39.28515625" style="633" customWidth="1"/>
    <col min="14599" max="14600" width="0" style="633" hidden="1" customWidth="1"/>
    <col min="14601" max="14602" width="14.85546875" style="633" customWidth="1"/>
    <col min="14603" max="14605" width="9.140625" style="633"/>
    <col min="14606" max="14606" width="13" style="633" customWidth="1"/>
    <col min="14607" max="14607" width="9.140625" style="633"/>
    <col min="14608" max="14611" width="9.28515625" style="633" customWidth="1"/>
    <col min="14612" max="14616" width="9.140625" style="633"/>
    <col min="14617" max="14617" width="9.28515625" style="633" customWidth="1"/>
    <col min="14618" max="14849" width="9.140625" style="633"/>
    <col min="14850" max="14850" width="5.5703125" style="633" customWidth="1"/>
    <col min="14851" max="14851" width="46.28515625" style="633" customWidth="1"/>
    <col min="14852" max="14852" width="12.7109375" style="633" customWidth="1"/>
    <col min="14853" max="14853" width="15" style="633" customWidth="1"/>
    <col min="14854" max="14854" width="39.28515625" style="633" customWidth="1"/>
    <col min="14855" max="14856" width="0" style="633" hidden="1" customWidth="1"/>
    <col min="14857" max="14858" width="14.85546875" style="633" customWidth="1"/>
    <col min="14859" max="14861" width="9.140625" style="633"/>
    <col min="14862" max="14862" width="13" style="633" customWidth="1"/>
    <col min="14863" max="14863" width="9.140625" style="633"/>
    <col min="14864" max="14867" width="9.28515625" style="633" customWidth="1"/>
    <col min="14868" max="14872" width="9.140625" style="633"/>
    <col min="14873" max="14873" width="9.28515625" style="633" customWidth="1"/>
    <col min="14874" max="15105" width="9.140625" style="633"/>
    <col min="15106" max="15106" width="5.5703125" style="633" customWidth="1"/>
    <col min="15107" max="15107" width="46.28515625" style="633" customWidth="1"/>
    <col min="15108" max="15108" width="12.7109375" style="633" customWidth="1"/>
    <col min="15109" max="15109" width="15" style="633" customWidth="1"/>
    <col min="15110" max="15110" width="39.28515625" style="633" customWidth="1"/>
    <col min="15111" max="15112" width="0" style="633" hidden="1" customWidth="1"/>
    <col min="15113" max="15114" width="14.85546875" style="633" customWidth="1"/>
    <col min="15115" max="15117" width="9.140625" style="633"/>
    <col min="15118" max="15118" width="13" style="633" customWidth="1"/>
    <col min="15119" max="15119" width="9.140625" style="633"/>
    <col min="15120" max="15123" width="9.28515625" style="633" customWidth="1"/>
    <col min="15124" max="15128" width="9.140625" style="633"/>
    <col min="15129" max="15129" width="9.28515625" style="633" customWidth="1"/>
    <col min="15130" max="15361" width="9.140625" style="633"/>
    <col min="15362" max="15362" width="5.5703125" style="633" customWidth="1"/>
    <col min="15363" max="15363" width="46.28515625" style="633" customWidth="1"/>
    <col min="15364" max="15364" width="12.7109375" style="633" customWidth="1"/>
    <col min="15365" max="15365" width="15" style="633" customWidth="1"/>
    <col min="15366" max="15366" width="39.28515625" style="633" customWidth="1"/>
    <col min="15367" max="15368" width="0" style="633" hidden="1" customWidth="1"/>
    <col min="15369" max="15370" width="14.85546875" style="633" customWidth="1"/>
    <col min="15371" max="15373" width="9.140625" style="633"/>
    <col min="15374" max="15374" width="13" style="633" customWidth="1"/>
    <col min="15375" max="15375" width="9.140625" style="633"/>
    <col min="15376" max="15379" width="9.28515625" style="633" customWidth="1"/>
    <col min="15380" max="15384" width="9.140625" style="633"/>
    <col min="15385" max="15385" width="9.28515625" style="633" customWidth="1"/>
    <col min="15386" max="15617" width="9.140625" style="633"/>
    <col min="15618" max="15618" width="5.5703125" style="633" customWidth="1"/>
    <col min="15619" max="15619" width="46.28515625" style="633" customWidth="1"/>
    <col min="15620" max="15620" width="12.7109375" style="633" customWidth="1"/>
    <col min="15621" max="15621" width="15" style="633" customWidth="1"/>
    <col min="15622" max="15622" width="39.28515625" style="633" customWidth="1"/>
    <col min="15623" max="15624" width="0" style="633" hidden="1" customWidth="1"/>
    <col min="15625" max="15626" width="14.85546875" style="633" customWidth="1"/>
    <col min="15627" max="15629" width="9.140625" style="633"/>
    <col min="15630" max="15630" width="13" style="633" customWidth="1"/>
    <col min="15631" max="15631" width="9.140625" style="633"/>
    <col min="15632" max="15635" width="9.28515625" style="633" customWidth="1"/>
    <col min="15636" max="15640" width="9.140625" style="633"/>
    <col min="15641" max="15641" width="9.28515625" style="633" customWidth="1"/>
    <col min="15642" max="15873" width="9.140625" style="633"/>
    <col min="15874" max="15874" width="5.5703125" style="633" customWidth="1"/>
    <col min="15875" max="15875" width="46.28515625" style="633" customWidth="1"/>
    <col min="15876" max="15876" width="12.7109375" style="633" customWidth="1"/>
    <col min="15877" max="15877" width="15" style="633" customWidth="1"/>
    <col min="15878" max="15878" width="39.28515625" style="633" customWidth="1"/>
    <col min="15879" max="15880" width="0" style="633" hidden="1" customWidth="1"/>
    <col min="15881" max="15882" width="14.85546875" style="633" customWidth="1"/>
    <col min="15883" max="15885" width="9.140625" style="633"/>
    <col min="15886" max="15886" width="13" style="633" customWidth="1"/>
    <col min="15887" max="15887" width="9.140625" style="633"/>
    <col min="15888" max="15891" width="9.28515625" style="633" customWidth="1"/>
    <col min="15892" max="15896" width="9.140625" style="633"/>
    <col min="15897" max="15897" width="9.28515625" style="633" customWidth="1"/>
    <col min="15898" max="16129" width="9.140625" style="633"/>
    <col min="16130" max="16130" width="5.5703125" style="633" customWidth="1"/>
    <col min="16131" max="16131" width="46.28515625" style="633" customWidth="1"/>
    <col min="16132" max="16132" width="12.7109375" style="633" customWidth="1"/>
    <col min="16133" max="16133" width="15" style="633" customWidth="1"/>
    <col min="16134" max="16134" width="39.28515625" style="633" customWidth="1"/>
    <col min="16135" max="16136" width="0" style="633" hidden="1" customWidth="1"/>
    <col min="16137" max="16138" width="14.85546875" style="633" customWidth="1"/>
    <col min="16139" max="16141" width="9.140625" style="633"/>
    <col min="16142" max="16142" width="13" style="633" customWidth="1"/>
    <col min="16143" max="16143" width="9.140625" style="633"/>
    <col min="16144" max="16147" width="9.28515625" style="633" customWidth="1"/>
    <col min="16148" max="16152" width="9.140625" style="633"/>
    <col min="16153" max="16153" width="9.28515625" style="633" customWidth="1"/>
    <col min="16154" max="16384" width="9.140625" style="633"/>
  </cols>
  <sheetData>
    <row r="1" spans="1:27">
      <c r="A1" s="1201" t="str">
        <f>Rekapitulasi!B3</f>
        <v>PEMBANGUNAN T/L 150 kV PASAMAN - SIMPANG EMPAT (SECTION 2)</v>
      </c>
      <c r="B1" s="1201"/>
      <c r="C1" s="1201"/>
      <c r="D1" s="1201"/>
      <c r="E1" s="1201"/>
      <c r="I1" s="1221" t="s">
        <v>1288</v>
      </c>
      <c r="J1" s="1221"/>
    </row>
    <row r="2" spans="1:27">
      <c r="A2" s="1201" t="s">
        <v>496</v>
      </c>
      <c r="B2" s="1201"/>
      <c r="C2" s="1201"/>
      <c r="D2" s="1201"/>
      <c r="E2" s="1201"/>
      <c r="I2" s="1221">
        <f>AHS!J2</f>
        <v>42957</v>
      </c>
      <c r="J2" s="1221"/>
    </row>
    <row r="3" spans="1:27">
      <c r="A3" s="1201" t="s">
        <v>497</v>
      </c>
      <c r="B3" s="1201"/>
      <c r="C3" s="1201"/>
      <c r="D3" s="1201"/>
      <c r="E3" s="1201"/>
      <c r="I3" s="1221" t="str">
        <f>AHS!J3</f>
        <v>SumBagUt</v>
      </c>
      <c r="J3" s="1221"/>
    </row>
    <row r="5" spans="1:27" ht="14.25" customHeight="1">
      <c r="A5" s="1222" t="s">
        <v>498</v>
      </c>
      <c r="B5" s="1222"/>
      <c r="C5" s="1222" t="s">
        <v>12</v>
      </c>
      <c r="D5" s="632" t="s">
        <v>499</v>
      </c>
      <c r="E5" s="1222" t="s">
        <v>500</v>
      </c>
      <c r="F5" s="631"/>
      <c r="G5" s="631"/>
      <c r="H5" s="631"/>
      <c r="I5" s="1223" t="s">
        <v>501</v>
      </c>
      <c r="J5" s="1223"/>
      <c r="K5" s="631"/>
      <c r="L5" s="631"/>
      <c r="M5" s="631"/>
      <c r="N5" s="631"/>
      <c r="O5" s="631"/>
      <c r="P5" s="631"/>
      <c r="Q5" s="631"/>
      <c r="R5" s="631"/>
      <c r="S5" s="631"/>
    </row>
    <row r="6" spans="1:27">
      <c r="A6" s="1222"/>
      <c r="B6" s="1222"/>
      <c r="C6" s="1222"/>
      <c r="D6" s="632" t="s">
        <v>502</v>
      </c>
      <c r="E6" s="1222"/>
      <c r="F6" s="631"/>
      <c r="G6" s="631"/>
      <c r="H6" s="631"/>
      <c r="I6" s="1224">
        <v>0.1</v>
      </c>
      <c r="J6" s="1224"/>
      <c r="K6" s="631"/>
      <c r="L6" s="631"/>
      <c r="M6" s="631"/>
      <c r="N6" s="631"/>
      <c r="O6" s="631"/>
      <c r="P6" s="631"/>
      <c r="Q6" s="631"/>
      <c r="R6" s="631"/>
      <c r="S6" s="631"/>
    </row>
    <row r="7" spans="1:27">
      <c r="A7" s="630" t="s">
        <v>504</v>
      </c>
      <c r="B7" s="629" t="s">
        <v>505</v>
      </c>
      <c r="C7" s="630"/>
      <c r="D7" s="628"/>
      <c r="E7" s="629"/>
      <c r="F7" s="631"/>
      <c r="G7" s="631"/>
      <c r="H7" s="631"/>
      <c r="I7" s="627" t="s">
        <v>503</v>
      </c>
      <c r="J7" s="637">
        <v>1.1000000000000001</v>
      </c>
      <c r="K7" s="631" t="s">
        <v>1021</v>
      </c>
      <c r="L7" s="631">
        <v>0.02</v>
      </c>
      <c r="M7" s="631"/>
      <c r="N7" s="631"/>
      <c r="O7" s="631"/>
      <c r="P7" s="631"/>
      <c r="Q7" s="631"/>
      <c r="R7" s="631"/>
      <c r="S7" s="631"/>
    </row>
    <row r="8" spans="1:27" ht="15" customHeight="1" outlineLevel="1">
      <c r="A8" s="626">
        <v>1</v>
      </c>
      <c r="B8" s="625" t="s">
        <v>506</v>
      </c>
      <c r="C8" s="626" t="s">
        <v>1</v>
      </c>
      <c r="D8" s="624">
        <f>J8</f>
        <v>1348.6000000000001</v>
      </c>
      <c r="E8" s="649" t="s">
        <v>2107</v>
      </c>
      <c r="F8" s="631"/>
      <c r="G8" s="631"/>
      <c r="H8" s="631"/>
      <c r="I8" s="641">
        <f>61300/50</f>
        <v>1226</v>
      </c>
      <c r="J8" s="623">
        <f t="shared" ref="J8:J24" si="0">I8*$J$7</f>
        <v>1348.6000000000001</v>
      </c>
      <c r="K8" s="631" t="s">
        <v>1022</v>
      </c>
      <c r="L8" s="631">
        <v>0.03</v>
      </c>
      <c r="M8" s="631"/>
      <c r="N8" s="631"/>
      <c r="O8" s="631"/>
      <c r="P8" s="631"/>
      <c r="Q8" s="631"/>
      <c r="R8" s="631"/>
      <c r="S8" s="631"/>
    </row>
    <row r="9" spans="1:27" ht="15" customHeight="1" outlineLevel="1">
      <c r="A9" s="626">
        <f>A8+1</f>
        <v>2</v>
      </c>
      <c r="B9" s="625" t="s">
        <v>507</v>
      </c>
      <c r="C9" s="626" t="s">
        <v>1</v>
      </c>
      <c r="D9" s="624">
        <f t="shared" ref="D9:D96" si="1">J9</f>
        <v>10890</v>
      </c>
      <c r="E9" s="649" t="s">
        <v>2107</v>
      </c>
      <c r="F9" s="631"/>
      <c r="G9" s="631"/>
      <c r="H9" s="631"/>
      <c r="I9" s="641">
        <v>9900</v>
      </c>
      <c r="J9" s="623">
        <f t="shared" si="0"/>
        <v>10890</v>
      </c>
      <c r="K9" s="631" t="s">
        <v>1023</v>
      </c>
      <c r="L9" s="631">
        <v>0.1</v>
      </c>
      <c r="M9" s="631"/>
      <c r="N9" s="631"/>
      <c r="O9" s="631"/>
      <c r="P9" s="631"/>
      <c r="Q9" s="631"/>
      <c r="R9" s="631"/>
      <c r="S9" s="631"/>
    </row>
    <row r="10" spans="1:27" ht="15" customHeight="1" outlineLevel="1">
      <c r="A10" s="626">
        <f t="shared" ref="A10:A73" si="2">A9+1</f>
        <v>3</v>
      </c>
      <c r="B10" s="625" t="s">
        <v>2106</v>
      </c>
      <c r="C10" s="626" t="s">
        <v>141</v>
      </c>
      <c r="D10" s="624">
        <f>J10</f>
        <v>990.00000000000011</v>
      </c>
      <c r="E10" s="649" t="s">
        <v>2107</v>
      </c>
      <c r="F10" s="631"/>
      <c r="G10" s="631"/>
      <c r="H10" s="631"/>
      <c r="I10" s="641">
        <v>900</v>
      </c>
      <c r="J10" s="623">
        <f t="shared" si="0"/>
        <v>990.00000000000011</v>
      </c>
      <c r="K10" s="631" t="s">
        <v>1024</v>
      </c>
      <c r="L10" s="631">
        <v>0</v>
      </c>
      <c r="M10" s="631"/>
      <c r="N10" s="631"/>
      <c r="O10" s="631"/>
      <c r="P10" s="631"/>
      <c r="Q10" s="631"/>
      <c r="R10" s="631"/>
      <c r="S10" s="631"/>
    </row>
    <row r="11" spans="1:27" ht="15" customHeight="1" outlineLevel="1">
      <c r="A11" s="626">
        <f t="shared" si="2"/>
        <v>4</v>
      </c>
      <c r="B11" s="625" t="s">
        <v>834</v>
      </c>
      <c r="C11" s="626" t="s">
        <v>141</v>
      </c>
      <c r="D11" s="624">
        <f>J11</f>
        <v>4180</v>
      </c>
      <c r="E11" s="626" t="s">
        <v>1700</v>
      </c>
      <c r="F11" s="631"/>
      <c r="G11" s="631"/>
      <c r="H11" s="631"/>
      <c r="I11" s="623">
        <v>3800</v>
      </c>
      <c r="J11" s="623">
        <f t="shared" si="0"/>
        <v>4180</v>
      </c>
      <c r="K11" s="631"/>
      <c r="L11" s="631">
        <f>SUM(L7:L10)</f>
        <v>0.15000000000000002</v>
      </c>
      <c r="M11" s="631"/>
      <c r="N11" s="631"/>
      <c r="O11" s="631"/>
      <c r="P11" s="631"/>
      <c r="Q11" s="631"/>
      <c r="R11" s="631"/>
      <c r="S11" s="631"/>
    </row>
    <row r="12" spans="1:27" ht="15" customHeight="1" outlineLevel="1">
      <c r="A12" s="626">
        <f t="shared" si="2"/>
        <v>5</v>
      </c>
      <c r="B12" s="625" t="s">
        <v>870</v>
      </c>
      <c r="C12" s="626" t="s">
        <v>141</v>
      </c>
      <c r="D12" s="624">
        <f>J12</f>
        <v>42900</v>
      </c>
      <c r="E12" s="626" t="s">
        <v>2108</v>
      </c>
      <c r="F12" s="631"/>
      <c r="G12" s="631"/>
      <c r="H12" s="631"/>
      <c r="I12" s="623">
        <v>39000</v>
      </c>
      <c r="J12" s="623">
        <f t="shared" si="0"/>
        <v>42900</v>
      </c>
      <c r="K12" s="631"/>
      <c r="L12" s="631"/>
      <c r="M12" s="631"/>
      <c r="N12" s="631"/>
      <c r="O12" s="631"/>
      <c r="P12" s="631"/>
      <c r="Q12" s="631"/>
      <c r="R12" s="631"/>
      <c r="S12" s="631"/>
    </row>
    <row r="13" spans="1:27" ht="15" customHeight="1" outlineLevel="1">
      <c r="A13" s="626">
        <f t="shared" si="2"/>
        <v>6</v>
      </c>
      <c r="B13" s="625" t="s">
        <v>1717</v>
      </c>
      <c r="C13" s="626" t="s">
        <v>141</v>
      </c>
      <c r="D13" s="624">
        <f>J13</f>
        <v>4400</v>
      </c>
      <c r="E13" s="626" t="s">
        <v>2105</v>
      </c>
      <c r="F13" s="631"/>
      <c r="G13" s="631"/>
      <c r="H13" s="631"/>
      <c r="I13" s="623">
        <v>4000</v>
      </c>
      <c r="J13" s="623">
        <f t="shared" si="0"/>
        <v>4400</v>
      </c>
      <c r="K13" s="631"/>
      <c r="L13" s="631"/>
      <c r="M13" s="631"/>
      <c r="N13" s="631"/>
      <c r="O13" s="631"/>
      <c r="P13" s="631"/>
      <c r="Q13" s="631"/>
      <c r="R13" s="631"/>
      <c r="S13" s="631"/>
    </row>
    <row r="14" spans="1:27" ht="15" customHeight="1" outlineLevel="1">
      <c r="A14" s="626">
        <f t="shared" si="2"/>
        <v>7</v>
      </c>
      <c r="B14" s="625" t="s">
        <v>855</v>
      </c>
      <c r="C14" s="626" t="s">
        <v>4288</v>
      </c>
      <c r="D14" s="624">
        <f t="shared" si="1"/>
        <v>178640</v>
      </c>
      <c r="E14" s="649" t="s">
        <v>2127</v>
      </c>
      <c r="F14" s="631"/>
      <c r="G14" s="631"/>
      <c r="H14" s="631"/>
      <c r="I14" s="641">
        <v>162400</v>
      </c>
      <c r="J14" s="623">
        <f t="shared" si="0"/>
        <v>178640</v>
      </c>
      <c r="K14" s="631"/>
      <c r="L14" s="631"/>
      <c r="M14" s="631"/>
      <c r="N14" s="631"/>
      <c r="O14" s="631"/>
      <c r="P14" s="631"/>
      <c r="Q14" s="631"/>
      <c r="R14" s="631"/>
      <c r="S14" s="631"/>
    </row>
    <row r="15" spans="1:27" ht="15" customHeight="1" outlineLevel="1">
      <c r="A15" s="626">
        <f t="shared" si="2"/>
        <v>8</v>
      </c>
      <c r="B15" s="625" t="s">
        <v>508</v>
      </c>
      <c r="C15" s="626" t="s">
        <v>4288</v>
      </c>
      <c r="D15" s="624">
        <f t="shared" si="1"/>
        <v>291500</v>
      </c>
      <c r="E15" s="649" t="s">
        <v>2127</v>
      </c>
      <c r="F15" s="631"/>
      <c r="G15" s="631"/>
      <c r="H15" s="631"/>
      <c r="I15" s="641">
        <v>265000</v>
      </c>
      <c r="J15" s="623">
        <f t="shared" si="0"/>
        <v>291500</v>
      </c>
      <c r="K15" s="631"/>
      <c r="L15" s="631"/>
      <c r="M15" s="631"/>
      <c r="N15" s="631"/>
      <c r="O15" s="631"/>
      <c r="P15" s="631"/>
      <c r="Q15" s="631"/>
      <c r="R15" s="631"/>
      <c r="S15" s="631"/>
      <c r="AA15" s="633" t="s">
        <v>1713</v>
      </c>
    </row>
    <row r="16" spans="1:27" ht="15" customHeight="1" outlineLevel="1">
      <c r="A16" s="626">
        <f t="shared" si="2"/>
        <v>9</v>
      </c>
      <c r="B16" s="625" t="s">
        <v>835</v>
      </c>
      <c r="C16" s="626" t="s">
        <v>4288</v>
      </c>
      <c r="D16" s="624">
        <f t="shared" si="1"/>
        <v>281380</v>
      </c>
      <c r="E16" s="649" t="s">
        <v>2127</v>
      </c>
      <c r="F16" s="631"/>
      <c r="G16" s="631"/>
      <c r="H16" s="631"/>
      <c r="I16" s="641">
        <v>255800</v>
      </c>
      <c r="J16" s="623">
        <f t="shared" si="0"/>
        <v>281380</v>
      </c>
      <c r="K16" s="631"/>
      <c r="L16" s="631"/>
      <c r="M16" s="631"/>
      <c r="N16" s="631"/>
      <c r="O16" s="631"/>
      <c r="P16" s="631"/>
      <c r="Q16" s="631"/>
      <c r="R16" s="631"/>
      <c r="S16" s="631"/>
      <c r="AA16" s="633" t="s">
        <v>1714</v>
      </c>
    </row>
    <row r="17" spans="1:19" ht="15" customHeight="1" outlineLevel="1">
      <c r="A17" s="626">
        <f t="shared" si="2"/>
        <v>10</v>
      </c>
      <c r="B17" s="625" t="s">
        <v>2109</v>
      </c>
      <c r="C17" s="626" t="s">
        <v>4288</v>
      </c>
      <c r="D17" s="624">
        <f t="shared" si="1"/>
        <v>269170</v>
      </c>
      <c r="E17" s="649" t="s">
        <v>2127</v>
      </c>
      <c r="F17" s="631"/>
      <c r="G17" s="631"/>
      <c r="H17" s="631"/>
      <c r="I17" s="641">
        <v>244700</v>
      </c>
      <c r="J17" s="623">
        <f t="shared" si="0"/>
        <v>269170</v>
      </c>
      <c r="K17" s="631"/>
      <c r="L17" s="631"/>
      <c r="M17" s="631"/>
      <c r="N17" s="631"/>
      <c r="O17" s="631"/>
      <c r="P17" s="631"/>
      <c r="Q17" s="631"/>
      <c r="R17" s="631"/>
      <c r="S17" s="631"/>
    </row>
    <row r="18" spans="1:19" ht="15" customHeight="1" outlineLevel="1">
      <c r="A18" s="626">
        <f t="shared" si="2"/>
        <v>11</v>
      </c>
      <c r="B18" s="625" t="s">
        <v>509</v>
      </c>
      <c r="C18" s="626" t="s">
        <v>4288</v>
      </c>
      <c r="D18" s="624">
        <f t="shared" si="1"/>
        <v>256630.00000000003</v>
      </c>
      <c r="E18" s="649" t="s">
        <v>2127</v>
      </c>
      <c r="F18" s="631"/>
      <c r="G18" s="631"/>
      <c r="H18" s="631"/>
      <c r="I18" s="641">
        <v>233300</v>
      </c>
      <c r="J18" s="623">
        <f t="shared" si="0"/>
        <v>256630.00000000003</v>
      </c>
      <c r="K18" s="631"/>
      <c r="L18" s="631"/>
      <c r="M18" s="631"/>
      <c r="N18" s="631"/>
      <c r="O18" s="631"/>
      <c r="P18" s="631"/>
      <c r="Q18" s="631"/>
      <c r="R18" s="631"/>
      <c r="S18" s="631"/>
    </row>
    <row r="19" spans="1:19" ht="15" customHeight="1" outlineLevel="1">
      <c r="A19" s="626">
        <f t="shared" si="2"/>
        <v>12</v>
      </c>
      <c r="B19" s="625" t="s">
        <v>510</v>
      </c>
      <c r="C19" s="626" t="s">
        <v>4288</v>
      </c>
      <c r="D19" s="624">
        <f t="shared" si="1"/>
        <v>147070</v>
      </c>
      <c r="E19" s="649" t="s">
        <v>2127</v>
      </c>
      <c r="F19" s="631"/>
      <c r="G19" s="631"/>
      <c r="H19" s="631"/>
      <c r="I19" s="641">
        <v>133700</v>
      </c>
      <c r="J19" s="623">
        <f t="shared" si="0"/>
        <v>147070</v>
      </c>
      <c r="K19" s="631"/>
      <c r="L19" s="631"/>
      <c r="M19" s="631"/>
      <c r="N19" s="631"/>
      <c r="O19" s="631"/>
      <c r="P19" s="631"/>
      <c r="Q19" s="631"/>
      <c r="R19" s="631"/>
      <c r="S19" s="631"/>
    </row>
    <row r="20" spans="1:19" ht="15" customHeight="1" outlineLevel="1">
      <c r="A20" s="626">
        <f t="shared" si="2"/>
        <v>13</v>
      </c>
      <c r="B20" s="625" t="s">
        <v>511</v>
      </c>
      <c r="C20" s="626" t="s">
        <v>4288</v>
      </c>
      <c r="D20" s="624">
        <f t="shared" si="1"/>
        <v>150590</v>
      </c>
      <c r="E20" s="649" t="s">
        <v>2127</v>
      </c>
      <c r="F20" s="631"/>
      <c r="G20" s="631"/>
      <c r="H20" s="631"/>
      <c r="I20" s="641">
        <v>136900</v>
      </c>
      <c r="J20" s="623">
        <f t="shared" si="0"/>
        <v>150590</v>
      </c>
      <c r="K20" s="631"/>
      <c r="L20" s="631"/>
      <c r="M20" s="631"/>
      <c r="N20" s="631"/>
      <c r="O20" s="631"/>
      <c r="P20" s="631"/>
      <c r="Q20" s="631"/>
      <c r="R20" s="631"/>
      <c r="S20" s="631"/>
    </row>
    <row r="21" spans="1:19" ht="15" customHeight="1" outlineLevel="1">
      <c r="A21" s="626">
        <f t="shared" si="2"/>
        <v>14</v>
      </c>
      <c r="B21" s="625" t="s">
        <v>512</v>
      </c>
      <c r="C21" s="626" t="s">
        <v>4288</v>
      </c>
      <c r="D21" s="624">
        <f t="shared" si="1"/>
        <v>285230</v>
      </c>
      <c r="E21" s="649" t="s">
        <v>2127</v>
      </c>
      <c r="F21" s="631"/>
      <c r="G21" s="631"/>
      <c r="H21" s="631"/>
      <c r="I21" s="641">
        <v>259300</v>
      </c>
      <c r="J21" s="623">
        <f t="shared" si="0"/>
        <v>285230</v>
      </c>
      <c r="K21" s="631"/>
      <c r="L21" s="631"/>
      <c r="M21" s="631"/>
      <c r="N21" s="631"/>
      <c r="O21" s="631"/>
      <c r="P21" s="631"/>
      <c r="Q21" s="631"/>
      <c r="R21" s="631"/>
      <c r="S21" s="631"/>
    </row>
    <row r="22" spans="1:19" ht="15" customHeight="1" outlineLevel="1">
      <c r="A22" s="626">
        <f t="shared" si="2"/>
        <v>15</v>
      </c>
      <c r="B22" s="625" t="s">
        <v>513</v>
      </c>
      <c r="C22" s="626" t="s">
        <v>4288</v>
      </c>
      <c r="D22" s="624">
        <f t="shared" si="1"/>
        <v>170610</v>
      </c>
      <c r="E22" s="649" t="s">
        <v>2127</v>
      </c>
      <c r="F22" s="631"/>
      <c r="G22" s="631"/>
      <c r="H22" s="631"/>
      <c r="I22" s="641">
        <v>155100</v>
      </c>
      <c r="J22" s="623">
        <f t="shared" si="0"/>
        <v>170610</v>
      </c>
      <c r="K22" s="631"/>
      <c r="L22" s="631"/>
      <c r="M22" s="631"/>
      <c r="N22" s="631"/>
      <c r="O22" s="631"/>
      <c r="P22" s="631"/>
      <c r="Q22" s="631"/>
      <c r="R22" s="631"/>
      <c r="S22" s="631"/>
    </row>
    <row r="23" spans="1:19" ht="15" customHeight="1" outlineLevel="1">
      <c r="A23" s="626">
        <f t="shared" si="2"/>
        <v>16</v>
      </c>
      <c r="B23" s="625" t="s">
        <v>514</v>
      </c>
      <c r="C23" s="626" t="s">
        <v>5</v>
      </c>
      <c r="D23" s="624">
        <f t="shared" si="1"/>
        <v>170610</v>
      </c>
      <c r="E23" s="649" t="s">
        <v>2127</v>
      </c>
      <c r="F23" s="631"/>
      <c r="G23" s="631"/>
      <c r="H23" s="631"/>
      <c r="I23" s="641">
        <v>155100</v>
      </c>
      <c r="J23" s="623">
        <f t="shared" si="0"/>
        <v>170610</v>
      </c>
      <c r="K23" s="631"/>
      <c r="L23" s="631"/>
      <c r="M23" s="631"/>
      <c r="N23" s="631"/>
      <c r="O23" s="631"/>
      <c r="P23" s="631"/>
      <c r="Q23" s="631"/>
      <c r="R23" s="631"/>
      <c r="S23" s="631"/>
    </row>
    <row r="24" spans="1:19" ht="15" customHeight="1" outlineLevel="1">
      <c r="A24" s="626">
        <f t="shared" si="2"/>
        <v>17</v>
      </c>
      <c r="B24" s="625" t="s">
        <v>515</v>
      </c>
      <c r="C24" s="626" t="s">
        <v>5</v>
      </c>
      <c r="D24" s="624">
        <f t="shared" si="1"/>
        <v>117700.00000000001</v>
      </c>
      <c r="E24" s="649" t="s">
        <v>2127</v>
      </c>
      <c r="F24" s="631"/>
      <c r="G24" s="631"/>
      <c r="H24" s="631"/>
      <c r="I24" s="641">
        <v>107000</v>
      </c>
      <c r="J24" s="623">
        <f t="shared" si="0"/>
        <v>117700.00000000001</v>
      </c>
      <c r="K24" s="631"/>
      <c r="L24" s="631"/>
      <c r="M24" s="631"/>
      <c r="N24" s="631"/>
      <c r="O24" s="631"/>
      <c r="P24" s="631"/>
      <c r="Q24" s="631"/>
      <c r="R24" s="631"/>
      <c r="S24" s="631"/>
    </row>
    <row r="25" spans="1:19" ht="15" customHeight="1" outlineLevel="1">
      <c r="A25" s="626">
        <f t="shared" si="2"/>
        <v>18</v>
      </c>
      <c r="B25" s="625" t="s">
        <v>864</v>
      </c>
      <c r="C25" s="626" t="s">
        <v>4288</v>
      </c>
      <c r="D25" s="624">
        <f>sand</f>
        <v>285230</v>
      </c>
      <c r="E25" s="649" t="s">
        <v>2127</v>
      </c>
      <c r="F25" s="631"/>
      <c r="G25" s="631"/>
      <c r="H25" s="631"/>
      <c r="I25" s="641">
        <v>155100</v>
      </c>
      <c r="J25" s="623"/>
      <c r="K25" s="631"/>
      <c r="L25" s="631"/>
      <c r="M25" s="631"/>
      <c r="N25" s="631"/>
      <c r="O25" s="631"/>
      <c r="P25" s="631"/>
      <c r="Q25" s="631"/>
      <c r="R25" s="631"/>
      <c r="S25" s="631"/>
    </row>
    <row r="26" spans="1:19" ht="15" customHeight="1" outlineLevel="1">
      <c r="A26" s="626">
        <f t="shared" si="2"/>
        <v>19</v>
      </c>
      <c r="B26" s="625" t="s">
        <v>516</v>
      </c>
      <c r="C26" s="626" t="s">
        <v>4288</v>
      </c>
      <c r="D26" s="624">
        <f t="shared" si="1"/>
        <v>137500</v>
      </c>
      <c r="E26" s="626" t="s">
        <v>2105</v>
      </c>
      <c r="F26" s="631"/>
      <c r="G26" s="631"/>
      <c r="H26" s="631"/>
      <c r="I26" s="623">
        <v>125000</v>
      </c>
      <c r="J26" s="623">
        <f t="shared" ref="J26:J34" si="3">I26*$J$7</f>
        <v>137500</v>
      </c>
      <c r="K26" s="631"/>
      <c r="L26" s="631"/>
      <c r="M26" s="631"/>
      <c r="N26" s="631"/>
      <c r="O26" s="631"/>
      <c r="P26" s="631"/>
      <c r="Q26" s="631"/>
      <c r="R26" s="631"/>
      <c r="S26" s="631"/>
    </row>
    <row r="27" spans="1:19" ht="15" customHeight="1" outlineLevel="1">
      <c r="A27" s="626">
        <f t="shared" si="2"/>
        <v>20</v>
      </c>
      <c r="B27" s="625" t="s">
        <v>520</v>
      </c>
      <c r="C27" s="626" t="s">
        <v>1</v>
      </c>
      <c r="D27" s="624">
        <f t="shared" si="1"/>
        <v>15537.500000000002</v>
      </c>
      <c r="E27" s="626" t="s">
        <v>2110</v>
      </c>
      <c r="F27" s="631"/>
      <c r="G27" s="631"/>
      <c r="H27" s="631"/>
      <c r="I27" s="623">
        <v>14125</v>
      </c>
      <c r="J27" s="623">
        <f t="shared" si="3"/>
        <v>15537.500000000002</v>
      </c>
      <c r="K27" s="631"/>
      <c r="L27" s="631"/>
      <c r="M27" s="631"/>
      <c r="N27" s="631"/>
      <c r="O27" s="631"/>
      <c r="P27" s="631"/>
      <c r="Q27" s="631"/>
      <c r="R27" s="631"/>
      <c r="S27" s="631"/>
    </row>
    <row r="28" spans="1:19" ht="15" customHeight="1" outlineLevel="1">
      <c r="A28" s="626">
        <f t="shared" si="2"/>
        <v>21</v>
      </c>
      <c r="B28" s="625" t="s">
        <v>894</v>
      </c>
      <c r="C28" s="626" t="s">
        <v>1</v>
      </c>
      <c r="D28" s="624">
        <f t="shared" ref="D28:D34" si="4">J28</f>
        <v>16428.5</v>
      </c>
      <c r="E28" s="649" t="s">
        <v>4333</v>
      </c>
      <c r="F28" s="631"/>
      <c r="G28" s="631"/>
      <c r="H28" s="631"/>
      <c r="I28" s="623">
        <v>14935</v>
      </c>
      <c r="J28" s="623">
        <f t="shared" si="3"/>
        <v>16428.5</v>
      </c>
      <c r="K28" s="631">
        <f>260400/L28</f>
        <v>27673.575842100392</v>
      </c>
      <c r="L28" s="631">
        <f>0.25*PI()*0.016^2*6*7800</f>
        <v>9.4096983160321486</v>
      </c>
      <c r="M28" s="631"/>
      <c r="N28" s="631"/>
      <c r="O28" s="631"/>
      <c r="P28" s="631"/>
      <c r="Q28" s="631"/>
      <c r="R28" s="631"/>
      <c r="S28" s="631"/>
    </row>
    <row r="29" spans="1:19" ht="15" customHeight="1" outlineLevel="1">
      <c r="A29" s="626">
        <f t="shared" si="2"/>
        <v>22</v>
      </c>
      <c r="B29" s="625" t="s">
        <v>533</v>
      </c>
      <c r="C29" s="626" t="s">
        <v>1</v>
      </c>
      <c r="D29" s="624">
        <f t="shared" si="4"/>
        <v>18480</v>
      </c>
      <c r="E29" s="649" t="s">
        <v>4333</v>
      </c>
      <c r="F29" s="631"/>
      <c r="G29" s="631"/>
      <c r="H29" s="631"/>
      <c r="I29" s="623">
        <v>16800</v>
      </c>
      <c r="J29" s="623">
        <f t="shared" si="3"/>
        <v>18480</v>
      </c>
      <c r="K29" s="631"/>
      <c r="L29" s="631"/>
      <c r="M29" s="631"/>
      <c r="N29" s="631"/>
      <c r="O29" s="631"/>
      <c r="P29" s="631"/>
      <c r="Q29" s="631"/>
      <c r="R29" s="631"/>
      <c r="S29" s="631"/>
    </row>
    <row r="30" spans="1:19" ht="15" customHeight="1" outlineLevel="1">
      <c r="A30" s="626">
        <f t="shared" si="2"/>
        <v>23</v>
      </c>
      <c r="B30" s="625" t="s">
        <v>667</v>
      </c>
      <c r="C30" s="626" t="s">
        <v>3</v>
      </c>
      <c r="D30" s="624">
        <f>J30</f>
        <v>18590</v>
      </c>
      <c r="E30" s="649" t="s">
        <v>4334</v>
      </c>
      <c r="F30" s="631"/>
      <c r="G30" s="631"/>
      <c r="H30" s="631"/>
      <c r="I30" s="623">
        <v>16900</v>
      </c>
      <c r="J30" s="623">
        <f>I30*$J$7</f>
        <v>18590</v>
      </c>
      <c r="K30" s="631"/>
      <c r="L30" s="631"/>
      <c r="M30" s="631"/>
      <c r="N30" s="631"/>
      <c r="O30" s="631"/>
      <c r="P30" s="631"/>
      <c r="Q30" s="631"/>
      <c r="R30" s="631"/>
      <c r="S30" s="631"/>
    </row>
    <row r="31" spans="1:19" ht="15" customHeight="1" outlineLevel="1">
      <c r="A31" s="626">
        <f t="shared" si="2"/>
        <v>24</v>
      </c>
      <c r="B31" s="625" t="s">
        <v>1294</v>
      </c>
      <c r="C31" s="626" t="s">
        <v>1</v>
      </c>
      <c r="D31" s="624">
        <f t="shared" si="4"/>
        <v>96250.000000000015</v>
      </c>
      <c r="E31" s="649" t="s">
        <v>4334</v>
      </c>
      <c r="F31" s="631"/>
      <c r="G31" s="631"/>
      <c r="H31" s="631"/>
      <c r="I31" s="623">
        <v>87500</v>
      </c>
      <c r="J31" s="623">
        <f t="shared" si="3"/>
        <v>96250.000000000015</v>
      </c>
      <c r="K31" s="631"/>
      <c r="L31" s="631"/>
      <c r="M31" s="631"/>
      <c r="N31" s="631"/>
      <c r="O31" s="631"/>
      <c r="P31" s="631"/>
      <c r="Q31" s="631"/>
      <c r="R31" s="631"/>
      <c r="S31" s="631"/>
    </row>
    <row r="32" spans="1:19" ht="15" customHeight="1" outlineLevel="1">
      <c r="A32" s="626">
        <f t="shared" si="2"/>
        <v>25</v>
      </c>
      <c r="B32" s="625" t="s">
        <v>555</v>
      </c>
      <c r="C32" s="626" t="s">
        <v>1</v>
      </c>
      <c r="D32" s="624">
        <f t="shared" si="4"/>
        <v>18370</v>
      </c>
      <c r="E32" s="649" t="s">
        <v>4334</v>
      </c>
      <c r="F32" s="631"/>
      <c r="G32" s="631"/>
      <c r="H32" s="631"/>
      <c r="I32" s="623">
        <v>16700</v>
      </c>
      <c r="J32" s="623">
        <f t="shared" si="3"/>
        <v>18370</v>
      </c>
      <c r="K32" s="631"/>
      <c r="L32" s="631"/>
      <c r="M32" s="631"/>
      <c r="N32" s="631"/>
      <c r="O32" s="631"/>
      <c r="P32" s="631"/>
      <c r="Q32" s="631"/>
      <c r="R32" s="631"/>
      <c r="S32" s="631"/>
    </row>
    <row r="33" spans="1:19" ht="15" customHeight="1" outlineLevel="1">
      <c r="A33" s="626">
        <f t="shared" si="2"/>
        <v>26</v>
      </c>
      <c r="B33" s="625" t="s">
        <v>556</v>
      </c>
      <c r="C33" s="626" t="s">
        <v>1</v>
      </c>
      <c r="D33" s="624">
        <f t="shared" si="4"/>
        <v>29920.000000000004</v>
      </c>
      <c r="E33" s="649" t="s">
        <v>4334</v>
      </c>
      <c r="F33" s="631"/>
      <c r="G33" s="631"/>
      <c r="H33" s="631"/>
      <c r="I33" s="623">
        <v>27200</v>
      </c>
      <c r="J33" s="623">
        <f t="shared" si="3"/>
        <v>29920.000000000004</v>
      </c>
      <c r="K33" s="631"/>
      <c r="L33" s="631"/>
      <c r="M33" s="631"/>
      <c r="N33" s="631"/>
      <c r="O33" s="631"/>
      <c r="P33" s="631"/>
      <c r="Q33" s="631"/>
      <c r="R33" s="631"/>
      <c r="S33" s="631"/>
    </row>
    <row r="34" spans="1:19" ht="15" customHeight="1" outlineLevel="1">
      <c r="A34" s="626">
        <f t="shared" si="2"/>
        <v>27</v>
      </c>
      <c r="B34" s="625" t="s">
        <v>557</v>
      </c>
      <c r="C34" s="626" t="s">
        <v>1</v>
      </c>
      <c r="D34" s="624">
        <f t="shared" si="4"/>
        <v>22000</v>
      </c>
      <c r="E34" s="649" t="s">
        <v>4334</v>
      </c>
      <c r="F34" s="631"/>
      <c r="G34" s="631"/>
      <c r="H34" s="631"/>
      <c r="I34" s="623">
        <v>20000</v>
      </c>
      <c r="J34" s="623">
        <f t="shared" si="3"/>
        <v>22000</v>
      </c>
      <c r="K34" s="631"/>
      <c r="L34" s="631"/>
      <c r="M34" s="631"/>
      <c r="N34" s="631"/>
      <c r="O34" s="631"/>
      <c r="P34" s="631"/>
      <c r="Q34" s="631"/>
      <c r="R34" s="631"/>
      <c r="S34" s="631"/>
    </row>
    <row r="35" spans="1:19" ht="15" customHeight="1" outlineLevel="1">
      <c r="A35" s="626">
        <f t="shared" si="2"/>
        <v>28</v>
      </c>
      <c r="B35" s="625" t="s">
        <v>524</v>
      </c>
      <c r="C35" s="626" t="s">
        <v>1</v>
      </c>
      <c r="D35" s="624">
        <f t="shared" ref="D35:D45" si="5">J35</f>
        <v>22000</v>
      </c>
      <c r="E35" s="649" t="s">
        <v>4334</v>
      </c>
      <c r="F35" s="631"/>
      <c r="G35" s="631"/>
      <c r="H35" s="631"/>
      <c r="I35" s="623">
        <v>20000</v>
      </c>
      <c r="J35" s="623">
        <f t="shared" ref="J35:J70" si="6">I35*$J$7</f>
        <v>22000</v>
      </c>
      <c r="K35" s="631"/>
      <c r="L35" s="631"/>
      <c r="M35" s="631"/>
      <c r="N35" s="631"/>
      <c r="O35" s="631"/>
      <c r="P35" s="631"/>
      <c r="Q35" s="631"/>
      <c r="R35" s="631"/>
      <c r="S35" s="631"/>
    </row>
    <row r="36" spans="1:19" ht="15" customHeight="1" outlineLevel="1">
      <c r="A36" s="626">
        <f t="shared" si="2"/>
        <v>29</v>
      </c>
      <c r="B36" s="625" t="s">
        <v>525</v>
      </c>
      <c r="C36" s="626" t="s">
        <v>1</v>
      </c>
      <c r="D36" s="624">
        <f t="shared" si="5"/>
        <v>15950.000000000002</v>
      </c>
      <c r="E36" s="649" t="s">
        <v>4333</v>
      </c>
      <c r="F36" s="631"/>
      <c r="G36" s="631"/>
      <c r="H36" s="631"/>
      <c r="I36" s="623">
        <v>14500</v>
      </c>
      <c r="J36" s="623">
        <f t="shared" si="6"/>
        <v>15950.000000000002</v>
      </c>
      <c r="K36" s="631"/>
      <c r="L36" s="631"/>
      <c r="M36" s="631"/>
      <c r="N36" s="631"/>
      <c r="O36" s="631"/>
      <c r="P36" s="631"/>
      <c r="Q36" s="631"/>
      <c r="R36" s="631"/>
      <c r="S36" s="631"/>
    </row>
    <row r="37" spans="1:19" ht="15" customHeight="1" outlineLevel="1">
      <c r="A37" s="626">
        <f t="shared" si="2"/>
        <v>30</v>
      </c>
      <c r="B37" s="625" t="s">
        <v>1323</v>
      </c>
      <c r="C37" s="626" t="s">
        <v>1</v>
      </c>
      <c r="D37" s="624">
        <f t="shared" si="5"/>
        <v>15950.000000000002</v>
      </c>
      <c r="E37" s="649" t="s">
        <v>4333</v>
      </c>
      <c r="F37" s="631"/>
      <c r="G37" s="631"/>
      <c r="H37" s="631"/>
      <c r="I37" s="623">
        <v>14500</v>
      </c>
      <c r="J37" s="623">
        <f t="shared" si="6"/>
        <v>15950.000000000002</v>
      </c>
      <c r="K37" s="631"/>
      <c r="L37" s="631"/>
      <c r="M37" s="631"/>
      <c r="N37" s="631"/>
      <c r="O37" s="631"/>
      <c r="P37" s="631"/>
      <c r="Q37" s="631"/>
      <c r="R37" s="631"/>
      <c r="S37" s="631"/>
    </row>
    <row r="38" spans="1:19" ht="15" customHeight="1" outlineLevel="1">
      <c r="A38" s="626">
        <f t="shared" si="2"/>
        <v>31</v>
      </c>
      <c r="B38" s="625" t="s">
        <v>1351</v>
      </c>
      <c r="C38" s="626" t="s">
        <v>1</v>
      </c>
      <c r="D38" s="624">
        <f t="shared" si="5"/>
        <v>21450</v>
      </c>
      <c r="E38" s="649" t="s">
        <v>4333</v>
      </c>
      <c r="F38" s="631"/>
      <c r="G38" s="631"/>
      <c r="H38" s="631"/>
      <c r="I38" s="623">
        <v>19500</v>
      </c>
      <c r="J38" s="623">
        <f t="shared" si="6"/>
        <v>21450</v>
      </c>
      <c r="K38" s="631"/>
      <c r="L38" s="631"/>
      <c r="M38" s="631"/>
      <c r="N38" s="631"/>
      <c r="O38" s="631"/>
      <c r="P38" s="631"/>
      <c r="Q38" s="631"/>
      <c r="R38" s="631"/>
      <c r="S38" s="631"/>
    </row>
    <row r="39" spans="1:19" ht="15" customHeight="1" outlineLevel="1">
      <c r="A39" s="626">
        <f t="shared" si="2"/>
        <v>32</v>
      </c>
      <c r="B39" s="625" t="s">
        <v>521</v>
      </c>
      <c r="C39" s="626" t="s">
        <v>1</v>
      </c>
      <c r="D39" s="624">
        <f t="shared" si="5"/>
        <v>24200.000000000004</v>
      </c>
      <c r="E39" s="626" t="s">
        <v>1303</v>
      </c>
      <c r="F39" s="631"/>
      <c r="G39" s="631"/>
      <c r="H39" s="631"/>
      <c r="I39" s="641">
        <v>22000</v>
      </c>
      <c r="J39" s="623">
        <f>I39*$J$7</f>
        <v>24200.000000000004</v>
      </c>
      <c r="K39" s="631"/>
      <c r="L39" s="631"/>
      <c r="M39" s="631"/>
      <c r="N39" s="631"/>
      <c r="O39" s="631"/>
      <c r="P39" s="631"/>
      <c r="Q39" s="631"/>
      <c r="R39" s="631"/>
      <c r="S39" s="631"/>
    </row>
    <row r="40" spans="1:19" ht="15" customHeight="1" outlineLevel="1">
      <c r="A40" s="626">
        <f t="shared" si="2"/>
        <v>33</v>
      </c>
      <c r="B40" s="625" t="s">
        <v>522</v>
      </c>
      <c r="C40" s="626" t="s">
        <v>1</v>
      </c>
      <c r="D40" s="624">
        <f t="shared" si="5"/>
        <v>24200.000000000004</v>
      </c>
      <c r="E40" s="626" t="s">
        <v>1303</v>
      </c>
      <c r="F40" s="631"/>
      <c r="G40" s="631"/>
      <c r="H40" s="631"/>
      <c r="I40" s="641">
        <f>I39</f>
        <v>22000</v>
      </c>
      <c r="J40" s="623">
        <f>I40*$J$7</f>
        <v>24200.000000000004</v>
      </c>
      <c r="K40" s="631"/>
      <c r="L40" s="631"/>
      <c r="M40" s="631"/>
      <c r="N40" s="631"/>
      <c r="O40" s="631"/>
      <c r="P40" s="631"/>
      <c r="Q40" s="631"/>
      <c r="R40" s="631"/>
      <c r="S40" s="631"/>
    </row>
    <row r="41" spans="1:19" ht="15" customHeight="1" outlineLevel="1">
      <c r="A41" s="626">
        <f t="shared" si="2"/>
        <v>34</v>
      </c>
      <c r="B41" s="625" t="s">
        <v>523</v>
      </c>
      <c r="C41" s="626" t="s">
        <v>1</v>
      </c>
      <c r="D41" s="624">
        <f t="shared" si="5"/>
        <v>22000</v>
      </c>
      <c r="E41" s="626" t="s">
        <v>1303</v>
      </c>
      <c r="F41" s="631"/>
      <c r="G41" s="631"/>
      <c r="H41" s="631"/>
      <c r="I41" s="623">
        <v>20000</v>
      </c>
      <c r="J41" s="623">
        <f>I41*$J$7</f>
        <v>22000</v>
      </c>
      <c r="K41" s="631"/>
      <c r="L41" s="631"/>
      <c r="M41" s="631"/>
      <c r="N41" s="631"/>
      <c r="O41" s="631"/>
      <c r="P41" s="631"/>
      <c r="Q41" s="631"/>
      <c r="R41" s="631"/>
      <c r="S41" s="631"/>
    </row>
    <row r="42" spans="1:19" ht="15" customHeight="1" outlineLevel="1">
      <c r="A42" s="626">
        <f t="shared" si="2"/>
        <v>35</v>
      </c>
      <c r="B42" s="625" t="s">
        <v>615</v>
      </c>
      <c r="C42" s="626" t="s">
        <v>141</v>
      </c>
      <c r="D42" s="624">
        <f>J42</f>
        <v>126500.00000000001</v>
      </c>
      <c r="E42" s="626" t="s">
        <v>616</v>
      </c>
      <c r="F42" s="631"/>
      <c r="G42" s="631"/>
      <c r="H42" s="631"/>
      <c r="I42" s="623">
        <v>115000</v>
      </c>
      <c r="J42" s="623">
        <f>I42*$J$7</f>
        <v>126500.00000000001</v>
      </c>
      <c r="K42" s="631"/>
      <c r="L42" s="631"/>
      <c r="M42" s="631"/>
      <c r="N42" s="631"/>
      <c r="O42" s="631"/>
      <c r="P42" s="631"/>
      <c r="Q42" s="631"/>
      <c r="R42" s="631"/>
      <c r="S42" s="631"/>
    </row>
    <row r="43" spans="1:19" ht="15" customHeight="1" outlineLevel="1">
      <c r="A43" s="626">
        <f t="shared" si="2"/>
        <v>36</v>
      </c>
      <c r="B43" s="625" t="s">
        <v>814</v>
      </c>
      <c r="C43" s="626" t="s">
        <v>2</v>
      </c>
      <c r="D43" s="624">
        <f>J43</f>
        <v>38500</v>
      </c>
      <c r="E43" s="626"/>
      <c r="F43" s="631"/>
      <c r="G43" s="631"/>
      <c r="H43" s="631"/>
      <c r="I43" s="623">
        <v>35000</v>
      </c>
      <c r="J43" s="623">
        <f>I43*$J$7</f>
        <v>38500</v>
      </c>
      <c r="K43" s="631"/>
      <c r="L43" s="631"/>
      <c r="M43" s="631"/>
      <c r="N43" s="631"/>
      <c r="O43" s="631"/>
      <c r="P43" s="631"/>
      <c r="Q43" s="631"/>
      <c r="R43" s="631"/>
      <c r="S43" s="631"/>
    </row>
    <row r="44" spans="1:19" ht="15" customHeight="1" outlineLevel="1">
      <c r="A44" s="626">
        <f t="shared" si="2"/>
        <v>37</v>
      </c>
      <c r="B44" s="625" t="s">
        <v>614</v>
      </c>
      <c r="C44" s="626" t="s">
        <v>141</v>
      </c>
      <c r="D44" s="624">
        <f t="shared" si="5"/>
        <v>133100</v>
      </c>
      <c r="E44" s="626"/>
      <c r="F44" s="631"/>
      <c r="G44" s="631"/>
      <c r="H44" s="631"/>
      <c r="I44" s="623">
        <v>121000</v>
      </c>
      <c r="J44" s="623">
        <f t="shared" si="6"/>
        <v>133100</v>
      </c>
      <c r="K44" s="631"/>
      <c r="L44" s="631"/>
      <c r="M44" s="631"/>
      <c r="N44" s="631"/>
      <c r="O44" s="631"/>
      <c r="P44" s="631"/>
      <c r="Q44" s="631"/>
      <c r="R44" s="631"/>
      <c r="S44" s="631"/>
    </row>
    <row r="45" spans="1:19" ht="15" customHeight="1" outlineLevel="1">
      <c r="A45" s="626">
        <f t="shared" si="2"/>
        <v>38</v>
      </c>
      <c r="B45" s="625" t="s">
        <v>2111</v>
      </c>
      <c r="C45" s="626" t="s">
        <v>141</v>
      </c>
      <c r="D45" s="624">
        <f t="shared" si="5"/>
        <v>8800</v>
      </c>
      <c r="E45" s="626" t="s">
        <v>2110</v>
      </c>
      <c r="F45" s="631"/>
      <c r="G45" s="631"/>
      <c r="H45" s="631"/>
      <c r="I45" s="623">
        <v>8000</v>
      </c>
      <c r="J45" s="623">
        <f t="shared" si="6"/>
        <v>8800</v>
      </c>
      <c r="K45" s="631"/>
      <c r="L45" s="631"/>
      <c r="M45" s="631"/>
      <c r="N45" s="631"/>
      <c r="O45" s="631"/>
      <c r="P45" s="631"/>
      <c r="Q45" s="631"/>
      <c r="R45" s="631"/>
      <c r="S45" s="631"/>
    </row>
    <row r="46" spans="1:19" ht="15" customHeight="1" outlineLevel="1">
      <c r="A46" s="626">
        <f t="shared" si="2"/>
        <v>39</v>
      </c>
      <c r="B46" s="625" t="s">
        <v>887</v>
      </c>
      <c r="C46" s="626" t="s">
        <v>141</v>
      </c>
      <c r="D46" s="624">
        <f t="shared" ref="D46:D70" si="7">J46</f>
        <v>11000</v>
      </c>
      <c r="E46" s="626" t="s">
        <v>2110</v>
      </c>
      <c r="F46" s="631"/>
      <c r="G46" s="631"/>
      <c r="H46" s="631"/>
      <c r="I46" s="623">
        <v>10000</v>
      </c>
      <c r="J46" s="623">
        <f t="shared" si="6"/>
        <v>11000</v>
      </c>
      <c r="K46" s="631" t="s">
        <v>1462</v>
      </c>
      <c r="L46" s="631" t="s">
        <v>1463</v>
      </c>
      <c r="M46" s="631"/>
      <c r="N46" s="631"/>
      <c r="O46" s="631"/>
      <c r="P46" s="631"/>
      <c r="Q46" s="631"/>
      <c r="R46" s="631"/>
      <c r="S46" s="631"/>
    </row>
    <row r="47" spans="1:19" ht="15" customHeight="1" outlineLevel="1">
      <c r="A47" s="626">
        <f t="shared" si="2"/>
        <v>40</v>
      </c>
      <c r="B47" s="625" t="s">
        <v>884</v>
      </c>
      <c r="C47" s="626" t="s">
        <v>141</v>
      </c>
      <c r="D47" s="624">
        <f t="shared" ref="D47:D48" si="8">J47</f>
        <v>412.50000000000006</v>
      </c>
      <c r="E47" s="626" t="s">
        <v>886</v>
      </c>
      <c r="F47" s="631"/>
      <c r="G47" s="631"/>
      <c r="H47" s="631"/>
      <c r="I47" s="623">
        <v>375</v>
      </c>
      <c r="J47" s="623">
        <f t="shared" ref="J47:J54" si="9">I47*$J$7</f>
        <v>412.50000000000006</v>
      </c>
      <c r="K47" s="631"/>
      <c r="L47" s="631"/>
      <c r="M47" s="631"/>
      <c r="N47" s="631"/>
      <c r="O47" s="631"/>
      <c r="P47" s="631"/>
      <c r="Q47" s="631"/>
      <c r="R47" s="631"/>
      <c r="S47" s="631"/>
    </row>
    <row r="48" spans="1:19" ht="15" customHeight="1" outlineLevel="1">
      <c r="A48" s="626">
        <f t="shared" si="2"/>
        <v>41</v>
      </c>
      <c r="B48" s="625" t="s">
        <v>885</v>
      </c>
      <c r="C48" s="626" t="s">
        <v>141</v>
      </c>
      <c r="D48" s="624">
        <f t="shared" si="8"/>
        <v>385.00000000000006</v>
      </c>
      <c r="E48" s="626" t="s">
        <v>886</v>
      </c>
      <c r="F48" s="631"/>
      <c r="G48" s="631"/>
      <c r="H48" s="631"/>
      <c r="I48" s="623">
        <v>350</v>
      </c>
      <c r="J48" s="623">
        <f t="shared" si="9"/>
        <v>385.00000000000006</v>
      </c>
      <c r="K48" s="631"/>
      <c r="L48" s="631"/>
      <c r="M48" s="631"/>
      <c r="N48" s="631"/>
      <c r="O48" s="631"/>
      <c r="P48" s="631"/>
      <c r="Q48" s="631"/>
      <c r="R48" s="631"/>
      <c r="S48" s="631"/>
    </row>
    <row r="49" spans="1:19" ht="15" customHeight="1" outlineLevel="1">
      <c r="A49" s="626">
        <f t="shared" si="2"/>
        <v>42</v>
      </c>
      <c r="B49" s="625" t="s">
        <v>534</v>
      </c>
      <c r="C49" s="626" t="s">
        <v>1</v>
      </c>
      <c r="D49" s="624">
        <f>J49</f>
        <v>19250</v>
      </c>
      <c r="E49" s="626" t="s">
        <v>2112</v>
      </c>
      <c r="F49" s="631"/>
      <c r="G49" s="631"/>
      <c r="H49" s="631"/>
      <c r="I49" s="623">
        <v>17500</v>
      </c>
      <c r="J49" s="623">
        <f t="shared" si="9"/>
        <v>19250</v>
      </c>
      <c r="K49" s="631" t="s">
        <v>1465</v>
      </c>
      <c r="L49" s="631">
        <v>156500</v>
      </c>
      <c r="M49" s="631">
        <f>15.46</f>
        <v>15.46</v>
      </c>
      <c r="N49" s="631" t="s">
        <v>1</v>
      </c>
      <c r="O49" s="631"/>
      <c r="P49" s="631"/>
      <c r="Q49" s="631"/>
      <c r="R49" s="631"/>
      <c r="S49" s="631"/>
    </row>
    <row r="50" spans="1:19" ht="15" customHeight="1" outlineLevel="1">
      <c r="A50" s="626">
        <f t="shared" si="2"/>
        <v>43</v>
      </c>
      <c r="B50" s="625" t="s">
        <v>2113</v>
      </c>
      <c r="C50" s="626" t="s">
        <v>5</v>
      </c>
      <c r="D50" s="624">
        <f>J50</f>
        <v>293920</v>
      </c>
      <c r="E50" s="626" t="s">
        <v>2114</v>
      </c>
      <c r="F50" s="631"/>
      <c r="G50" s="631"/>
      <c r="H50" s="631"/>
      <c r="I50" s="623">
        <v>267200</v>
      </c>
      <c r="J50" s="623">
        <f t="shared" si="9"/>
        <v>293920</v>
      </c>
      <c r="K50" s="631"/>
      <c r="L50" s="631"/>
      <c r="M50" s="631"/>
      <c r="N50" s="631"/>
      <c r="O50" s="631"/>
      <c r="P50" s="631"/>
      <c r="Q50" s="631"/>
      <c r="R50" s="631"/>
      <c r="S50" s="631"/>
    </row>
    <row r="51" spans="1:19" ht="15" customHeight="1" outlineLevel="1">
      <c r="A51" s="626">
        <f t="shared" si="2"/>
        <v>44</v>
      </c>
      <c r="B51" s="625" t="s">
        <v>2115</v>
      </c>
      <c r="C51" s="626" t="s">
        <v>5</v>
      </c>
      <c r="D51" s="624">
        <f>J51/1</f>
        <v>416350.00000000006</v>
      </c>
      <c r="E51" s="626" t="s">
        <v>2114</v>
      </c>
      <c r="F51" s="631"/>
      <c r="G51" s="631"/>
      <c r="H51" s="631"/>
      <c r="I51" s="623">
        <v>378500</v>
      </c>
      <c r="J51" s="623">
        <f t="shared" si="9"/>
        <v>416350.00000000006</v>
      </c>
      <c r="K51" s="631"/>
      <c r="L51" s="631"/>
      <c r="M51" s="631"/>
      <c r="N51" s="631"/>
      <c r="O51" s="631"/>
      <c r="P51" s="631"/>
      <c r="Q51" s="631"/>
      <c r="R51" s="631"/>
      <c r="S51" s="631"/>
    </row>
    <row r="52" spans="1:19" ht="15" customHeight="1" outlineLevel="1">
      <c r="A52" s="626">
        <f t="shared" si="2"/>
        <v>45</v>
      </c>
      <c r="B52" s="625" t="s">
        <v>535</v>
      </c>
      <c r="C52" s="626" t="s">
        <v>1</v>
      </c>
      <c r="D52" s="624">
        <f>J52</f>
        <v>20438</v>
      </c>
      <c r="E52" s="626" t="s">
        <v>2110</v>
      </c>
      <c r="F52" s="631"/>
      <c r="G52" s="631"/>
      <c r="H52" s="631"/>
      <c r="I52" s="623">
        <v>18580</v>
      </c>
      <c r="J52" s="623">
        <f t="shared" si="9"/>
        <v>20438</v>
      </c>
      <c r="K52" s="631" t="s">
        <v>1712</v>
      </c>
      <c r="L52" s="631">
        <f>barbed_wire*5/45</f>
        <v>2270.8888888888887</v>
      </c>
      <c r="M52" s="631"/>
      <c r="N52" s="631"/>
      <c r="O52" s="631"/>
      <c r="P52" s="631"/>
      <c r="Q52" s="631"/>
      <c r="R52" s="631"/>
      <c r="S52" s="631"/>
    </row>
    <row r="53" spans="1:19" ht="15" customHeight="1" outlineLevel="1">
      <c r="A53" s="626">
        <f t="shared" si="2"/>
        <v>46</v>
      </c>
      <c r="B53" s="625" t="s">
        <v>1725</v>
      </c>
      <c r="C53" s="626" t="s">
        <v>4</v>
      </c>
      <c r="D53" s="624">
        <f>J53</f>
        <v>28600.000000000004</v>
      </c>
      <c r="E53" s="626" t="s">
        <v>1726</v>
      </c>
      <c r="F53" s="631"/>
      <c r="G53" s="631"/>
      <c r="H53" s="631"/>
      <c r="I53" s="623">
        <v>26000</v>
      </c>
      <c r="J53" s="623">
        <f t="shared" si="9"/>
        <v>28600.000000000004</v>
      </c>
      <c r="K53" s="631"/>
      <c r="L53" s="631"/>
      <c r="M53" s="631"/>
      <c r="N53" s="631"/>
      <c r="O53" s="631"/>
      <c r="P53" s="631"/>
      <c r="Q53" s="631"/>
      <c r="R53" s="631"/>
      <c r="S53" s="631"/>
    </row>
    <row r="54" spans="1:19" ht="15" customHeight="1" outlineLevel="1">
      <c r="A54" s="626">
        <f t="shared" si="2"/>
        <v>47</v>
      </c>
      <c r="B54" s="625" t="s">
        <v>895</v>
      </c>
      <c r="C54" s="626" t="s">
        <v>4</v>
      </c>
      <c r="D54" s="624">
        <f>J54</f>
        <v>16390</v>
      </c>
      <c r="E54" s="626" t="s">
        <v>1325</v>
      </c>
      <c r="F54" s="631"/>
      <c r="G54" s="631"/>
      <c r="H54" s="631"/>
      <c r="I54" s="623">
        <v>14900</v>
      </c>
      <c r="J54" s="623">
        <f t="shared" si="9"/>
        <v>16390</v>
      </c>
      <c r="K54" s="631"/>
      <c r="L54" s="631"/>
      <c r="M54" s="631"/>
      <c r="N54" s="631"/>
      <c r="O54" s="631"/>
      <c r="P54" s="631"/>
      <c r="Q54" s="631"/>
      <c r="R54" s="631"/>
      <c r="S54" s="631"/>
    </row>
    <row r="55" spans="1:19" ht="15" customHeight="1" outlineLevel="1">
      <c r="A55" s="626">
        <f t="shared" si="2"/>
        <v>48</v>
      </c>
      <c r="B55" s="625" t="s">
        <v>537</v>
      </c>
      <c r="C55" s="626" t="s">
        <v>5</v>
      </c>
      <c r="D55" s="624">
        <f t="shared" si="7"/>
        <v>58410.000000000007</v>
      </c>
      <c r="E55" s="626" t="s">
        <v>1701</v>
      </c>
      <c r="F55" s="631"/>
      <c r="G55" s="631"/>
      <c r="H55" s="631"/>
      <c r="I55" s="623">
        <v>53100</v>
      </c>
      <c r="J55" s="623">
        <f t="shared" si="6"/>
        <v>58410.000000000007</v>
      </c>
      <c r="K55" s="631">
        <v>5231000</v>
      </c>
      <c r="L55" s="631">
        <v>41</v>
      </c>
      <c r="M55" s="631"/>
      <c r="N55" s="631"/>
      <c r="O55" s="631"/>
      <c r="P55" s="631"/>
      <c r="Q55" s="631"/>
      <c r="R55" s="631"/>
      <c r="S55" s="631"/>
    </row>
    <row r="56" spans="1:19" ht="15" customHeight="1" outlineLevel="1">
      <c r="A56" s="626">
        <f t="shared" si="2"/>
        <v>49</v>
      </c>
      <c r="B56" s="625" t="s">
        <v>538</v>
      </c>
      <c r="C56" s="626" t="s">
        <v>40</v>
      </c>
      <c r="D56" s="624">
        <f t="shared" si="7"/>
        <v>2730970</v>
      </c>
      <c r="E56" s="649" t="s">
        <v>4335</v>
      </c>
      <c r="F56" s="631"/>
      <c r="G56" s="631"/>
      <c r="H56" s="631"/>
      <c r="I56" s="623">
        <v>2482700</v>
      </c>
      <c r="J56" s="623">
        <f t="shared" si="6"/>
        <v>2730970</v>
      </c>
      <c r="K56" s="631">
        <f>10000/(3*20*4)*79700</f>
        <v>3320833.333333333</v>
      </c>
      <c r="L56" s="631"/>
      <c r="M56" s="631"/>
      <c r="N56" s="631"/>
      <c r="O56" s="631"/>
      <c r="P56" s="631"/>
      <c r="Q56" s="631"/>
      <c r="R56" s="631"/>
      <c r="S56" s="631"/>
    </row>
    <row r="57" spans="1:19" ht="15" customHeight="1" outlineLevel="1">
      <c r="A57" s="626">
        <f t="shared" si="2"/>
        <v>50</v>
      </c>
      <c r="B57" s="625" t="s">
        <v>1304</v>
      </c>
      <c r="C57" s="626" t="s">
        <v>40</v>
      </c>
      <c r="D57" s="624">
        <f t="shared" si="7"/>
        <v>2669260</v>
      </c>
      <c r="E57" s="649" t="s">
        <v>4335</v>
      </c>
      <c r="F57" s="631"/>
      <c r="G57" s="631"/>
      <c r="H57" s="631"/>
      <c r="I57" s="623">
        <v>2426600</v>
      </c>
      <c r="J57" s="623">
        <f t="shared" si="6"/>
        <v>2669260</v>
      </c>
      <c r="K57" s="631">
        <f>10000/(6*12*4)*95600</f>
        <v>3319444.4444444445</v>
      </c>
      <c r="L57" s="631" t="s">
        <v>836</v>
      </c>
      <c r="M57" s="631"/>
      <c r="N57" s="631"/>
      <c r="O57" s="631"/>
      <c r="P57" s="631"/>
      <c r="Q57" s="631"/>
      <c r="R57" s="631"/>
      <c r="S57" s="631"/>
    </row>
    <row r="58" spans="1:19" ht="15" customHeight="1" outlineLevel="1">
      <c r="A58" s="626">
        <f t="shared" si="2"/>
        <v>51</v>
      </c>
      <c r="B58" s="625" t="s">
        <v>1305</v>
      </c>
      <c r="C58" s="626" t="s">
        <v>40</v>
      </c>
      <c r="D58" s="624">
        <f t="shared" si="7"/>
        <v>2669260</v>
      </c>
      <c r="E58" s="649" t="s">
        <v>4335</v>
      </c>
      <c r="F58" s="631"/>
      <c r="G58" s="631"/>
      <c r="H58" s="631"/>
      <c r="I58" s="623">
        <v>2426600</v>
      </c>
      <c r="J58" s="623">
        <f t="shared" si="6"/>
        <v>2669260</v>
      </c>
      <c r="K58" s="631"/>
      <c r="L58" s="631" t="s">
        <v>539</v>
      </c>
      <c r="M58" s="631"/>
      <c r="N58" s="631"/>
      <c r="O58" s="631"/>
      <c r="P58" s="631"/>
      <c r="Q58" s="631"/>
      <c r="R58" s="631"/>
      <c r="S58" s="631"/>
    </row>
    <row r="59" spans="1:19" ht="15" customHeight="1" outlineLevel="1">
      <c r="A59" s="626">
        <f t="shared" si="2"/>
        <v>52</v>
      </c>
      <c r="B59" s="625" t="s">
        <v>1306</v>
      </c>
      <c r="C59" s="626" t="s">
        <v>40</v>
      </c>
      <c r="D59" s="624">
        <f t="shared" si="7"/>
        <v>2669260</v>
      </c>
      <c r="E59" s="649" t="s">
        <v>4335</v>
      </c>
      <c r="F59" s="631"/>
      <c r="G59" s="631"/>
      <c r="H59" s="631"/>
      <c r="I59" s="623">
        <v>2426600</v>
      </c>
      <c r="J59" s="623">
        <f t="shared" si="6"/>
        <v>2669260</v>
      </c>
      <c r="K59" s="631">
        <f>10000/(8*12*4)*132700</f>
        <v>3455729.166666667</v>
      </c>
      <c r="L59" s="631" t="s">
        <v>837</v>
      </c>
      <c r="M59" s="631"/>
      <c r="N59" s="631"/>
      <c r="O59" s="631"/>
      <c r="P59" s="631"/>
      <c r="Q59" s="631"/>
      <c r="R59" s="631"/>
      <c r="S59" s="631"/>
    </row>
    <row r="60" spans="1:19" ht="15" customHeight="1" outlineLevel="1">
      <c r="A60" s="626">
        <f t="shared" si="2"/>
        <v>53</v>
      </c>
      <c r="B60" s="625" t="s">
        <v>540</v>
      </c>
      <c r="C60" s="626" t="s">
        <v>40</v>
      </c>
      <c r="D60" s="624">
        <f t="shared" si="7"/>
        <v>88770</v>
      </c>
      <c r="E60" s="649" t="s">
        <v>4335</v>
      </c>
      <c r="F60" s="631"/>
      <c r="G60" s="631"/>
      <c r="H60" s="631"/>
      <c r="I60" s="623">
        <v>80700</v>
      </c>
      <c r="J60" s="623">
        <f t="shared" si="6"/>
        <v>88770</v>
      </c>
      <c r="K60" s="631"/>
      <c r="L60" s="631"/>
      <c r="M60" s="631"/>
      <c r="N60" s="631"/>
      <c r="O60" s="631"/>
      <c r="P60" s="631"/>
      <c r="Q60" s="631"/>
      <c r="R60" s="631"/>
      <c r="S60" s="631"/>
    </row>
    <row r="61" spans="1:19" ht="15" customHeight="1" outlineLevel="1">
      <c r="A61" s="626">
        <f t="shared" si="2"/>
        <v>54</v>
      </c>
      <c r="B61" s="625" t="s">
        <v>588</v>
      </c>
      <c r="C61" s="626" t="s">
        <v>5</v>
      </c>
      <c r="D61" s="624">
        <f t="shared" si="7"/>
        <v>88770</v>
      </c>
      <c r="E61" s="649" t="s">
        <v>4335</v>
      </c>
      <c r="F61" s="631"/>
      <c r="G61" s="631"/>
      <c r="H61" s="631"/>
      <c r="I61" s="641">
        <v>80700</v>
      </c>
      <c r="J61" s="623">
        <f t="shared" si="6"/>
        <v>88770</v>
      </c>
      <c r="K61" s="631"/>
      <c r="L61" s="631"/>
      <c r="M61" s="631"/>
      <c r="N61" s="631"/>
      <c r="O61" s="631"/>
      <c r="P61" s="631"/>
      <c r="Q61" s="631"/>
      <c r="R61" s="631"/>
      <c r="S61" s="631"/>
    </row>
    <row r="62" spans="1:19" ht="15" customHeight="1" outlineLevel="1">
      <c r="A62" s="626">
        <f t="shared" si="2"/>
        <v>55</v>
      </c>
      <c r="B62" s="625" t="s">
        <v>1431</v>
      </c>
      <c r="C62" s="626" t="s">
        <v>5</v>
      </c>
      <c r="D62" s="624">
        <f t="shared" si="7"/>
        <v>129580.00000000001</v>
      </c>
      <c r="E62" s="649" t="s">
        <v>4333</v>
      </c>
      <c r="F62" s="631"/>
      <c r="G62" s="631"/>
      <c r="H62" s="631"/>
      <c r="I62" s="641">
        <v>117800</v>
      </c>
      <c r="J62" s="623">
        <f t="shared" si="6"/>
        <v>129580.00000000001</v>
      </c>
      <c r="K62" s="631"/>
      <c r="L62" s="631"/>
      <c r="M62" s="631"/>
      <c r="N62" s="631"/>
      <c r="O62" s="631"/>
      <c r="P62" s="631"/>
      <c r="Q62" s="631"/>
      <c r="R62" s="631"/>
      <c r="S62" s="631"/>
    </row>
    <row r="63" spans="1:19" ht="15" customHeight="1" outlineLevel="1">
      <c r="A63" s="626">
        <f t="shared" si="2"/>
        <v>56</v>
      </c>
      <c r="B63" s="625" t="s">
        <v>1293</v>
      </c>
      <c r="C63" s="626" t="s">
        <v>5</v>
      </c>
      <c r="D63" s="624">
        <f t="shared" si="7"/>
        <v>192390.00000000003</v>
      </c>
      <c r="E63" s="649" t="s">
        <v>4333</v>
      </c>
      <c r="F63" s="631" t="s">
        <v>1701</v>
      </c>
      <c r="G63" s="631" t="s">
        <v>1701</v>
      </c>
      <c r="H63" s="631"/>
      <c r="I63" s="641">
        <v>174900</v>
      </c>
      <c r="J63" s="623">
        <f t="shared" si="6"/>
        <v>192390.00000000003</v>
      </c>
      <c r="K63" s="631"/>
      <c r="L63" s="631"/>
      <c r="M63" s="631"/>
      <c r="N63" s="631"/>
      <c r="O63" s="631"/>
      <c r="P63" s="631"/>
      <c r="Q63" s="631"/>
      <c r="R63" s="631"/>
      <c r="S63" s="631"/>
    </row>
    <row r="64" spans="1:19" ht="15" customHeight="1" outlineLevel="1">
      <c r="A64" s="626">
        <f t="shared" si="2"/>
        <v>57</v>
      </c>
      <c r="B64" s="625" t="s">
        <v>589</v>
      </c>
      <c r="C64" s="626" t="s">
        <v>5</v>
      </c>
      <c r="D64" s="624">
        <f t="shared" si="7"/>
        <v>289190</v>
      </c>
      <c r="E64" s="626" t="s">
        <v>2116</v>
      </c>
      <c r="F64" s="631" t="s">
        <v>1701</v>
      </c>
      <c r="G64" s="631" t="s">
        <v>1701</v>
      </c>
      <c r="H64" s="631"/>
      <c r="I64" s="623">
        <v>262900</v>
      </c>
      <c r="J64" s="623">
        <f t="shared" si="6"/>
        <v>289190</v>
      </c>
      <c r="K64" s="631"/>
      <c r="L64" s="631"/>
      <c r="M64" s="631"/>
      <c r="N64" s="631"/>
      <c r="O64" s="631"/>
      <c r="P64" s="631"/>
      <c r="Q64" s="631"/>
      <c r="R64" s="631"/>
      <c r="S64" s="631"/>
    </row>
    <row r="65" spans="1:25" ht="15" customHeight="1" outlineLevel="1">
      <c r="A65" s="626">
        <f t="shared" si="2"/>
        <v>58</v>
      </c>
      <c r="B65" s="625" t="s">
        <v>536</v>
      </c>
      <c r="C65" s="626" t="s">
        <v>40</v>
      </c>
      <c r="D65" s="624">
        <f>J65</f>
        <v>2669260</v>
      </c>
      <c r="E65" s="626" t="s">
        <v>2105</v>
      </c>
      <c r="F65" s="631"/>
      <c r="G65" s="631"/>
      <c r="H65" s="631"/>
      <c r="I65" s="623">
        <v>2426600</v>
      </c>
      <c r="J65" s="623">
        <f>I65*$J$7</f>
        <v>2669260</v>
      </c>
      <c r="K65" s="631"/>
      <c r="L65" s="631"/>
      <c r="M65" s="631"/>
      <c r="N65" s="631"/>
      <c r="O65" s="631"/>
      <c r="P65" s="631"/>
      <c r="Q65" s="631"/>
      <c r="R65" s="631"/>
      <c r="S65" s="631"/>
    </row>
    <row r="66" spans="1:25" ht="15" customHeight="1" outlineLevel="1">
      <c r="A66" s="626">
        <f t="shared" si="2"/>
        <v>59</v>
      </c>
      <c r="B66" s="625" t="s">
        <v>2102</v>
      </c>
      <c r="C66" s="626" t="s">
        <v>50</v>
      </c>
      <c r="D66" s="624">
        <f>J66</f>
        <v>60940.000000000007</v>
      </c>
      <c r="E66" s="649" t="s">
        <v>4335</v>
      </c>
      <c r="F66" s="631"/>
      <c r="G66" s="631"/>
      <c r="H66" s="631"/>
      <c r="I66" s="641">
        <v>55400</v>
      </c>
      <c r="J66" s="623">
        <f>I66*$J$7</f>
        <v>60940.000000000007</v>
      </c>
      <c r="K66" s="631"/>
      <c r="L66" s="631"/>
      <c r="M66" s="631"/>
      <c r="N66" s="631"/>
      <c r="O66" s="631"/>
      <c r="P66" s="631"/>
      <c r="Q66" s="631"/>
      <c r="R66" s="631"/>
      <c r="S66" s="631"/>
    </row>
    <row r="67" spans="1:25" ht="15" customHeight="1" outlineLevel="1">
      <c r="A67" s="626">
        <f t="shared" si="2"/>
        <v>60</v>
      </c>
      <c r="B67" s="625" t="s">
        <v>2117</v>
      </c>
      <c r="C67" s="626" t="s">
        <v>3</v>
      </c>
      <c r="D67" s="624">
        <f>J67/7</f>
        <v>2357.1428571428573</v>
      </c>
      <c r="E67" s="649" t="s">
        <v>4335</v>
      </c>
      <c r="F67" s="631"/>
      <c r="G67" s="631"/>
      <c r="H67" s="631"/>
      <c r="I67" s="641">
        <v>15000</v>
      </c>
      <c r="J67" s="623">
        <f>I67*$J$7</f>
        <v>16500</v>
      </c>
      <c r="K67" s="631"/>
      <c r="L67" s="631"/>
      <c r="M67" s="631"/>
      <c r="N67" s="631"/>
      <c r="O67" s="631"/>
      <c r="P67" s="631"/>
      <c r="Q67" s="631"/>
      <c r="R67" s="631"/>
      <c r="S67" s="631"/>
    </row>
    <row r="68" spans="1:25" ht="15" customHeight="1" outlineLevel="1">
      <c r="A68" s="626">
        <f t="shared" si="2"/>
        <v>61</v>
      </c>
      <c r="B68" s="625" t="s">
        <v>1707</v>
      </c>
      <c r="C68" s="626" t="s">
        <v>1</v>
      </c>
      <c r="D68" s="624">
        <f>J68</f>
        <v>80520</v>
      </c>
      <c r="E68" s="649" t="s">
        <v>4335</v>
      </c>
      <c r="F68" s="631"/>
      <c r="G68" s="631"/>
      <c r="H68" s="631"/>
      <c r="I68" s="641">
        <v>73200</v>
      </c>
      <c r="J68" s="623">
        <f>I68*$J$7</f>
        <v>80520</v>
      </c>
      <c r="K68" s="631"/>
      <c r="L68" s="631"/>
      <c r="M68" s="631"/>
      <c r="N68" s="631"/>
      <c r="O68" s="631"/>
      <c r="P68" s="631"/>
      <c r="Q68" s="631"/>
      <c r="R68" s="631"/>
      <c r="S68" s="631"/>
    </row>
    <row r="69" spans="1:25" ht="15" customHeight="1" outlineLevel="1">
      <c r="A69" s="626">
        <f t="shared" si="2"/>
        <v>62</v>
      </c>
      <c r="B69" s="625" t="s">
        <v>643</v>
      </c>
      <c r="C69" s="626" t="s">
        <v>40</v>
      </c>
      <c r="D69" s="624">
        <v>170000</v>
      </c>
      <c r="E69" s="649" t="s">
        <v>4335</v>
      </c>
      <c r="F69" s="631"/>
      <c r="G69" s="631"/>
      <c r="H69" s="631"/>
      <c r="I69" s="641">
        <v>21400</v>
      </c>
      <c r="J69" s="623">
        <f>I69*$J$7</f>
        <v>23540.000000000004</v>
      </c>
      <c r="K69" s="631"/>
      <c r="L69" s="631"/>
      <c r="M69" s="631"/>
      <c r="N69" s="631"/>
      <c r="O69" s="631"/>
      <c r="P69" s="631"/>
      <c r="Q69" s="631"/>
      <c r="R69" s="631"/>
      <c r="S69" s="631"/>
    </row>
    <row r="70" spans="1:25" ht="15" customHeight="1" outlineLevel="1">
      <c r="A70" s="626">
        <f t="shared" si="2"/>
        <v>63</v>
      </c>
      <c r="B70" s="625" t="s">
        <v>552</v>
      </c>
      <c r="C70" s="626" t="s">
        <v>87</v>
      </c>
      <c r="D70" s="624">
        <f t="shared" si="7"/>
        <v>11660.000000000002</v>
      </c>
      <c r="E70" s="649" t="s">
        <v>4336</v>
      </c>
      <c r="F70" s="631"/>
      <c r="G70" s="631"/>
      <c r="H70" s="631"/>
      <c r="I70" s="641">
        <v>10600</v>
      </c>
      <c r="J70" s="623">
        <f t="shared" si="6"/>
        <v>11660.000000000002</v>
      </c>
      <c r="K70" s="631" t="s">
        <v>1464</v>
      </c>
      <c r="L70" s="631"/>
      <c r="M70" s="631"/>
      <c r="N70" s="631"/>
      <c r="O70" s="631"/>
      <c r="P70" s="631"/>
      <c r="Q70" s="631"/>
      <c r="R70" s="631"/>
      <c r="S70" s="631"/>
    </row>
    <row r="71" spans="1:25" ht="15" customHeight="1" outlineLevel="1">
      <c r="A71" s="626">
        <f t="shared" si="2"/>
        <v>64</v>
      </c>
      <c r="B71" s="625" t="s">
        <v>526</v>
      </c>
      <c r="C71" s="626" t="s">
        <v>1</v>
      </c>
      <c r="D71" s="624">
        <f t="shared" si="1"/>
        <v>110770.00000000001</v>
      </c>
      <c r="E71" s="626" t="s">
        <v>2118</v>
      </c>
      <c r="F71" s="631"/>
      <c r="G71" s="631"/>
      <c r="H71" s="631"/>
      <c r="I71" s="623">
        <v>100700</v>
      </c>
      <c r="J71" s="623">
        <f t="shared" ref="J71:J97" si="10">I71*$J$7</f>
        <v>110770.00000000001</v>
      </c>
      <c r="K71" s="631"/>
      <c r="L71" s="631"/>
      <c r="M71" s="631"/>
      <c r="N71" s="631"/>
      <c r="O71" s="631"/>
      <c r="P71" s="631"/>
      <c r="Q71" s="631"/>
      <c r="R71" s="631"/>
      <c r="S71" s="631"/>
    </row>
    <row r="72" spans="1:25" ht="15" customHeight="1" outlineLevel="1">
      <c r="A72" s="626">
        <f t="shared" si="2"/>
        <v>65</v>
      </c>
      <c r="B72" s="625" t="s">
        <v>527</v>
      </c>
      <c r="C72" s="626" t="s">
        <v>1</v>
      </c>
      <c r="D72" s="624">
        <f t="shared" si="1"/>
        <v>63030.000000000007</v>
      </c>
      <c r="E72" s="626" t="s">
        <v>2118</v>
      </c>
      <c r="F72" s="631"/>
      <c r="G72" s="631"/>
      <c r="H72" s="631"/>
      <c r="I72" s="623">
        <v>57300</v>
      </c>
      <c r="J72" s="623">
        <f t="shared" si="10"/>
        <v>63030.000000000007</v>
      </c>
      <c r="K72" s="631"/>
      <c r="L72" s="631"/>
      <c r="M72" s="631"/>
      <c r="N72" s="631"/>
      <c r="O72" s="631"/>
      <c r="P72" s="631"/>
      <c r="Q72" s="631"/>
      <c r="R72" s="631"/>
      <c r="S72" s="631"/>
    </row>
    <row r="73" spans="1:25" ht="15" customHeight="1" outlineLevel="1">
      <c r="A73" s="626">
        <f t="shared" si="2"/>
        <v>66</v>
      </c>
      <c r="B73" s="625" t="s">
        <v>528</v>
      </c>
      <c r="C73" s="626" t="s">
        <v>1</v>
      </c>
      <c r="D73" s="624">
        <f t="shared" si="1"/>
        <v>26180.000000000004</v>
      </c>
      <c r="E73" s="649" t="s">
        <v>4336</v>
      </c>
      <c r="F73" s="631"/>
      <c r="G73" s="631"/>
      <c r="H73" s="631"/>
      <c r="I73" s="641">
        <v>23800</v>
      </c>
      <c r="J73" s="623">
        <f t="shared" si="10"/>
        <v>26180.000000000004</v>
      </c>
      <c r="K73" s="631"/>
      <c r="L73" s="631"/>
      <c r="M73" s="631"/>
      <c r="N73" s="631"/>
      <c r="O73" s="631"/>
      <c r="P73" s="631"/>
      <c r="Q73" s="631"/>
      <c r="R73" s="631"/>
      <c r="S73" s="631"/>
    </row>
    <row r="74" spans="1:25" ht="15" customHeight="1" outlineLevel="1">
      <c r="A74" s="626">
        <f t="shared" ref="A74:A138" si="11">A73+1</f>
        <v>67</v>
      </c>
      <c r="B74" s="625" t="s">
        <v>2119</v>
      </c>
      <c r="C74" s="626" t="s">
        <v>1</v>
      </c>
      <c r="D74" s="624">
        <f t="shared" si="1"/>
        <v>57640.000000000007</v>
      </c>
      <c r="E74" s="649" t="s">
        <v>4337</v>
      </c>
      <c r="F74" s="631"/>
      <c r="G74" s="631"/>
      <c r="H74" s="631"/>
      <c r="I74" s="654">
        <v>52400</v>
      </c>
      <c r="J74" s="623">
        <f t="shared" si="10"/>
        <v>57640.000000000007</v>
      </c>
      <c r="K74" s="631"/>
      <c r="L74" s="631"/>
      <c r="M74" s="631"/>
      <c r="N74" s="631"/>
      <c r="O74" s="631"/>
      <c r="P74" s="631"/>
      <c r="Q74" s="631"/>
      <c r="R74" s="631"/>
      <c r="S74" s="631"/>
    </row>
    <row r="75" spans="1:25" ht="15" customHeight="1" outlineLevel="1">
      <c r="A75" s="626">
        <f t="shared" si="11"/>
        <v>68</v>
      </c>
      <c r="B75" s="625" t="s">
        <v>546</v>
      </c>
      <c r="C75" s="626" t="s">
        <v>57</v>
      </c>
      <c r="D75" s="624">
        <f>J75</f>
        <v>33440</v>
      </c>
      <c r="E75" s="649" t="s">
        <v>4336</v>
      </c>
      <c r="F75" s="631"/>
      <c r="G75" s="631"/>
      <c r="H75" s="631"/>
      <c r="I75" s="641">
        <v>30400</v>
      </c>
      <c r="J75" s="623">
        <f t="shared" si="10"/>
        <v>33440</v>
      </c>
      <c r="K75" s="631"/>
      <c r="L75" s="631"/>
      <c r="M75" s="631"/>
      <c r="N75" s="631"/>
      <c r="O75" s="631"/>
      <c r="P75" s="631"/>
      <c r="Q75" s="631"/>
      <c r="R75" s="631"/>
      <c r="S75" s="631"/>
    </row>
    <row r="76" spans="1:25" ht="15" customHeight="1" outlineLevel="1">
      <c r="A76" s="626">
        <f t="shared" si="11"/>
        <v>69</v>
      </c>
      <c r="B76" s="625" t="s">
        <v>547</v>
      </c>
      <c r="C76" s="626" t="s">
        <v>57</v>
      </c>
      <c r="D76" s="624">
        <f>J76</f>
        <v>35970</v>
      </c>
      <c r="E76" s="649" t="s">
        <v>4336</v>
      </c>
      <c r="F76" s="631"/>
      <c r="G76" s="631"/>
      <c r="H76" s="631"/>
      <c r="I76" s="641">
        <v>32700</v>
      </c>
      <c r="J76" s="623">
        <f t="shared" si="10"/>
        <v>35970</v>
      </c>
      <c r="K76" s="631" t="s">
        <v>548</v>
      </c>
      <c r="L76" s="631"/>
      <c r="M76" s="631"/>
      <c r="N76" s="631"/>
      <c r="O76" s="631"/>
      <c r="P76" s="631"/>
      <c r="Q76" s="631"/>
      <c r="R76" s="631"/>
      <c r="S76" s="631"/>
      <c r="U76" s="633" t="s">
        <v>549</v>
      </c>
      <c r="W76" s="633" t="s">
        <v>550</v>
      </c>
      <c r="X76" s="633" t="s">
        <v>551</v>
      </c>
      <c r="Y76" s="633">
        <f>5/1.4</f>
        <v>3.5714285714285716</v>
      </c>
    </row>
    <row r="77" spans="1:25" ht="15" customHeight="1" outlineLevel="1">
      <c r="A77" s="626">
        <f t="shared" si="11"/>
        <v>70</v>
      </c>
      <c r="B77" s="625" t="s">
        <v>1731</v>
      </c>
      <c r="C77" s="626" t="s">
        <v>57</v>
      </c>
      <c r="D77" s="624">
        <f>J77</f>
        <v>29868.055555555555</v>
      </c>
      <c r="E77" s="626" t="s">
        <v>1732</v>
      </c>
      <c r="F77" s="631"/>
      <c r="G77" s="631"/>
      <c r="H77" s="631">
        <v>2015</v>
      </c>
      <c r="I77" s="623">
        <f>1.15*425000/18</f>
        <v>27152.777777777774</v>
      </c>
      <c r="J77" s="623">
        <f>I77*$J$7</f>
        <v>29868.055555555555</v>
      </c>
      <c r="K77" s="631"/>
      <c r="L77" s="631"/>
      <c r="M77" s="631"/>
      <c r="N77" s="631"/>
      <c r="O77" s="631"/>
      <c r="P77" s="631"/>
      <c r="Q77" s="631"/>
      <c r="R77" s="631"/>
      <c r="S77" s="631"/>
    </row>
    <row r="78" spans="1:25" ht="15" customHeight="1" outlineLevel="1">
      <c r="A78" s="626">
        <f>A76+1</f>
        <v>70</v>
      </c>
      <c r="B78" s="625" t="s">
        <v>617</v>
      </c>
      <c r="C78" s="626" t="s">
        <v>1</v>
      </c>
      <c r="D78" s="624">
        <f>J78</f>
        <v>100430.00000000001</v>
      </c>
      <c r="E78" s="626" t="s">
        <v>1441</v>
      </c>
      <c r="F78" s="631"/>
      <c r="G78" s="631"/>
      <c r="H78" s="631"/>
      <c r="I78" s="623">
        <v>91300</v>
      </c>
      <c r="J78" s="623">
        <f>I78*$J$7</f>
        <v>100430.00000000001</v>
      </c>
      <c r="K78" s="631"/>
      <c r="L78" s="631"/>
      <c r="M78" s="631"/>
      <c r="N78" s="631"/>
      <c r="O78" s="631"/>
      <c r="P78" s="631"/>
      <c r="Q78" s="631"/>
      <c r="R78" s="631"/>
      <c r="S78" s="631"/>
    </row>
    <row r="79" spans="1:25" ht="15" customHeight="1" outlineLevel="1">
      <c r="A79" s="626">
        <f t="shared" si="11"/>
        <v>71</v>
      </c>
      <c r="B79" s="625" t="s">
        <v>529</v>
      </c>
      <c r="C79" s="626" t="s">
        <v>530</v>
      </c>
      <c r="D79" s="624">
        <f t="shared" si="1"/>
        <v>43010</v>
      </c>
      <c r="E79" s="626" t="s">
        <v>1699</v>
      </c>
      <c r="F79" s="631"/>
      <c r="G79" s="631"/>
      <c r="H79" s="631"/>
      <c r="I79" s="623">
        <v>39100</v>
      </c>
      <c r="J79" s="623">
        <f t="shared" si="10"/>
        <v>43010</v>
      </c>
      <c r="K79" s="631"/>
      <c r="L79" s="631"/>
      <c r="M79" s="631"/>
      <c r="N79" s="631"/>
      <c r="O79" s="631"/>
      <c r="P79" s="631"/>
      <c r="Q79" s="631"/>
      <c r="R79" s="631"/>
      <c r="S79" s="631"/>
    </row>
    <row r="80" spans="1:25" ht="15" customHeight="1" outlineLevel="1">
      <c r="A80" s="626">
        <f t="shared" si="11"/>
        <v>72</v>
      </c>
      <c r="B80" s="625" t="s">
        <v>531</v>
      </c>
      <c r="C80" s="626" t="s">
        <v>141</v>
      </c>
      <c r="D80" s="624">
        <f t="shared" si="1"/>
        <v>17490</v>
      </c>
      <c r="E80" s="626" t="s">
        <v>1300</v>
      </c>
      <c r="F80" s="631"/>
      <c r="G80" s="631"/>
      <c r="H80" s="631"/>
      <c r="I80" s="623">
        <v>15900</v>
      </c>
      <c r="J80" s="623">
        <f t="shared" si="10"/>
        <v>17490</v>
      </c>
      <c r="K80" s="631"/>
      <c r="L80" s="631"/>
      <c r="M80" s="631"/>
      <c r="N80" s="631"/>
      <c r="O80" s="631"/>
      <c r="P80" s="631"/>
      <c r="Q80" s="631"/>
      <c r="R80" s="631"/>
      <c r="S80" s="631"/>
    </row>
    <row r="81" spans="1:19" ht="15" customHeight="1" outlineLevel="1">
      <c r="A81" s="626">
        <f t="shared" si="11"/>
        <v>73</v>
      </c>
      <c r="B81" s="625" t="s">
        <v>1759</v>
      </c>
      <c r="C81" s="626" t="s">
        <v>141</v>
      </c>
      <c r="D81" s="624">
        <f t="shared" si="1"/>
        <v>8690</v>
      </c>
      <c r="E81" s="626" t="s">
        <v>1699</v>
      </c>
      <c r="F81" s="631"/>
      <c r="G81" s="631"/>
      <c r="H81" s="631"/>
      <c r="I81" s="623">
        <v>7900</v>
      </c>
      <c r="J81" s="623">
        <f t="shared" si="10"/>
        <v>8690</v>
      </c>
      <c r="K81" s="631"/>
      <c r="L81" s="631"/>
      <c r="M81" s="631"/>
      <c r="N81" s="631"/>
      <c r="O81" s="631"/>
      <c r="P81" s="631"/>
      <c r="Q81" s="631"/>
      <c r="R81" s="631"/>
      <c r="S81" s="631"/>
    </row>
    <row r="82" spans="1:19" ht="15" customHeight="1" outlineLevel="1">
      <c r="A82" s="626">
        <f t="shared" si="11"/>
        <v>74</v>
      </c>
      <c r="B82" s="625" t="s">
        <v>532</v>
      </c>
      <c r="C82" s="626" t="s">
        <v>1</v>
      </c>
      <c r="D82" s="624">
        <f t="shared" si="1"/>
        <v>15774.000000000002</v>
      </c>
      <c r="E82" s="626" t="s">
        <v>1699</v>
      </c>
      <c r="F82" s="631"/>
      <c r="G82" s="631"/>
      <c r="H82" s="631"/>
      <c r="I82" s="623">
        <f>71700/5</f>
        <v>14340</v>
      </c>
      <c r="J82" s="623">
        <f t="shared" si="10"/>
        <v>15774.000000000002</v>
      </c>
      <c r="K82" s="631"/>
      <c r="L82" s="631"/>
      <c r="M82" s="631"/>
      <c r="N82" s="631"/>
      <c r="O82" s="631"/>
      <c r="P82" s="631"/>
      <c r="Q82" s="631"/>
      <c r="R82" s="631"/>
      <c r="S82" s="631"/>
    </row>
    <row r="83" spans="1:19" ht="15" customHeight="1" outlineLevel="1">
      <c r="A83" s="626">
        <f t="shared" si="11"/>
        <v>75</v>
      </c>
      <c r="B83" s="625" t="s">
        <v>1758</v>
      </c>
      <c r="C83" s="626" t="s">
        <v>1</v>
      </c>
      <c r="D83" s="624">
        <f>J83</f>
        <v>64460.000000000007</v>
      </c>
      <c r="E83" s="626" t="s">
        <v>1699</v>
      </c>
      <c r="F83" s="631"/>
      <c r="G83" s="631"/>
      <c r="H83" s="631"/>
      <c r="I83" s="623">
        <v>58600</v>
      </c>
      <c r="J83" s="623">
        <f t="shared" si="10"/>
        <v>64460.000000000007</v>
      </c>
      <c r="K83" s="631"/>
      <c r="L83" s="631"/>
      <c r="M83" s="631"/>
      <c r="N83" s="631"/>
      <c r="O83" s="631"/>
      <c r="P83" s="631"/>
      <c r="Q83" s="631"/>
      <c r="R83" s="631"/>
      <c r="S83" s="631"/>
    </row>
    <row r="84" spans="1:19" ht="15" customHeight="1" outlineLevel="1">
      <c r="A84" s="626">
        <f t="shared" si="11"/>
        <v>76</v>
      </c>
      <c r="B84" s="625" t="s">
        <v>905</v>
      </c>
      <c r="C84" s="626" t="s">
        <v>4290</v>
      </c>
      <c r="D84" s="624">
        <f>J84</f>
        <v>86790</v>
      </c>
      <c r="E84" s="626" t="s">
        <v>1723</v>
      </c>
      <c r="F84" s="631"/>
      <c r="G84" s="631"/>
      <c r="H84" s="631"/>
      <c r="I84" s="623">
        <v>78900</v>
      </c>
      <c r="J84" s="623">
        <f>I84*$J$7</f>
        <v>86790</v>
      </c>
      <c r="K84" s="631"/>
      <c r="L84" s="631"/>
      <c r="M84" s="631"/>
      <c r="N84" s="631"/>
      <c r="O84" s="631"/>
      <c r="P84" s="631"/>
      <c r="Q84" s="631"/>
      <c r="R84" s="631"/>
      <c r="S84" s="631"/>
    </row>
    <row r="85" spans="1:19" ht="15" customHeight="1" outlineLevel="1">
      <c r="A85" s="626">
        <f t="shared" si="11"/>
        <v>77</v>
      </c>
      <c r="B85" s="625" t="s">
        <v>1751</v>
      </c>
      <c r="C85" s="626" t="s">
        <v>4290</v>
      </c>
      <c r="D85" s="624">
        <f>J85</f>
        <v>83930</v>
      </c>
      <c r="E85" s="626" t="s">
        <v>1723</v>
      </c>
      <c r="F85" s="631"/>
      <c r="G85" s="631"/>
      <c r="H85" s="631"/>
      <c r="I85" s="623">
        <v>76300</v>
      </c>
      <c r="J85" s="623">
        <f>I85*$J$7</f>
        <v>83930</v>
      </c>
      <c r="K85" s="631"/>
      <c r="L85" s="631"/>
      <c r="M85" s="631"/>
      <c r="N85" s="631"/>
      <c r="O85" s="631"/>
      <c r="P85" s="631"/>
      <c r="Q85" s="631"/>
      <c r="R85" s="631"/>
      <c r="S85" s="631"/>
    </row>
    <row r="86" spans="1:19" ht="15" customHeight="1" outlineLevel="1">
      <c r="A86" s="626">
        <f t="shared" si="11"/>
        <v>78</v>
      </c>
      <c r="B86" s="625" t="s">
        <v>906</v>
      </c>
      <c r="C86" s="626" t="s">
        <v>4290</v>
      </c>
      <c r="D86" s="624">
        <f t="shared" si="1"/>
        <v>124520.00000000001</v>
      </c>
      <c r="E86" s="626" t="s">
        <v>1466</v>
      </c>
      <c r="F86" s="631"/>
      <c r="G86" s="631"/>
      <c r="H86" s="631"/>
      <c r="I86" s="623">
        <v>113200</v>
      </c>
      <c r="J86" s="623">
        <f t="shared" si="10"/>
        <v>124520.00000000001</v>
      </c>
      <c r="K86" s="631"/>
      <c r="L86" s="631"/>
      <c r="M86" s="631"/>
      <c r="N86" s="631"/>
      <c r="O86" s="631"/>
      <c r="P86" s="631"/>
      <c r="Q86" s="631"/>
      <c r="R86" s="631"/>
      <c r="S86" s="631"/>
    </row>
    <row r="87" spans="1:19" ht="15" customHeight="1" outlineLevel="1">
      <c r="A87" s="626">
        <f t="shared" si="11"/>
        <v>79</v>
      </c>
      <c r="B87" s="625" t="s">
        <v>541</v>
      </c>
      <c r="C87" s="626" t="s">
        <v>4290</v>
      </c>
      <c r="D87" s="624">
        <f t="shared" si="1"/>
        <v>372020.00000000006</v>
      </c>
      <c r="E87" s="626" t="s">
        <v>1326</v>
      </c>
      <c r="F87" s="631"/>
      <c r="G87" s="631"/>
      <c r="H87" s="631"/>
      <c r="I87" s="623">
        <v>338200</v>
      </c>
      <c r="J87" s="623">
        <f t="shared" si="10"/>
        <v>372020.00000000006</v>
      </c>
      <c r="K87" s="631"/>
      <c r="L87" s="631"/>
      <c r="M87" s="631"/>
      <c r="N87" s="631"/>
      <c r="O87" s="631"/>
      <c r="P87" s="631"/>
      <c r="Q87" s="631"/>
      <c r="R87" s="631"/>
      <c r="S87" s="631"/>
    </row>
    <row r="88" spans="1:19" ht="15" customHeight="1" outlineLevel="1">
      <c r="A88" s="626">
        <f t="shared" si="11"/>
        <v>80</v>
      </c>
      <c r="B88" s="625" t="s">
        <v>542</v>
      </c>
      <c r="C88" s="626" t="s">
        <v>4290</v>
      </c>
      <c r="D88" s="624">
        <f t="shared" si="1"/>
        <v>536360</v>
      </c>
      <c r="E88" s="626" t="s">
        <v>1326</v>
      </c>
      <c r="F88" s="631"/>
      <c r="G88" s="631"/>
      <c r="H88" s="631"/>
      <c r="I88" s="623">
        <v>487600</v>
      </c>
      <c r="J88" s="623">
        <f t="shared" si="10"/>
        <v>536360</v>
      </c>
      <c r="K88" s="631"/>
      <c r="L88" s="631"/>
      <c r="M88" s="631"/>
      <c r="N88" s="631"/>
      <c r="O88" s="631"/>
      <c r="P88" s="631"/>
      <c r="Q88" s="631"/>
      <c r="R88" s="631"/>
      <c r="S88" s="631"/>
    </row>
    <row r="89" spans="1:19" ht="15" customHeight="1" outlineLevel="1">
      <c r="A89" s="626">
        <f t="shared" si="11"/>
        <v>81</v>
      </c>
      <c r="B89" s="625" t="s">
        <v>543</v>
      </c>
      <c r="C89" s="626" t="s">
        <v>4290</v>
      </c>
      <c r="D89" s="624">
        <f t="shared" si="1"/>
        <v>271700</v>
      </c>
      <c r="E89" s="626" t="s">
        <v>1326</v>
      </c>
      <c r="F89" s="631"/>
      <c r="G89" s="631"/>
      <c r="H89" s="631"/>
      <c r="I89" s="623">
        <v>247000</v>
      </c>
      <c r="J89" s="623">
        <f t="shared" si="10"/>
        <v>271700</v>
      </c>
      <c r="K89" s="631"/>
      <c r="L89" s="631"/>
      <c r="M89" s="631"/>
      <c r="N89" s="631"/>
      <c r="O89" s="631"/>
      <c r="P89" s="631"/>
      <c r="Q89" s="631"/>
      <c r="R89" s="631"/>
      <c r="S89" s="631"/>
    </row>
    <row r="90" spans="1:19" ht="15" customHeight="1" outlineLevel="1">
      <c r="A90" s="626">
        <f t="shared" si="11"/>
        <v>82</v>
      </c>
      <c r="B90" s="625" t="s">
        <v>544</v>
      </c>
      <c r="C90" s="626" t="s">
        <v>4290</v>
      </c>
      <c r="D90" s="624">
        <f t="shared" si="1"/>
        <v>429550.00000000006</v>
      </c>
      <c r="E90" s="626" t="s">
        <v>1327</v>
      </c>
      <c r="F90" s="631"/>
      <c r="G90" s="631"/>
      <c r="H90" s="631"/>
      <c r="I90" s="623">
        <v>390500</v>
      </c>
      <c r="J90" s="623">
        <f t="shared" si="10"/>
        <v>429550.00000000006</v>
      </c>
      <c r="K90" s="631"/>
      <c r="L90" s="631"/>
      <c r="M90" s="631"/>
      <c r="N90" s="631"/>
      <c r="O90" s="631"/>
      <c r="P90" s="631"/>
      <c r="Q90" s="631"/>
      <c r="R90" s="631"/>
      <c r="S90" s="631"/>
    </row>
    <row r="91" spans="1:19" ht="15" customHeight="1" outlineLevel="1">
      <c r="A91" s="626">
        <f t="shared" si="11"/>
        <v>83</v>
      </c>
      <c r="B91" s="625" t="s">
        <v>1572</v>
      </c>
      <c r="C91" s="626" t="s">
        <v>4290</v>
      </c>
      <c r="D91" s="624">
        <f t="shared" si="1"/>
        <v>139700</v>
      </c>
      <c r="E91" s="626" t="s">
        <v>1569</v>
      </c>
      <c r="F91" s="631"/>
      <c r="G91" s="631"/>
      <c r="H91" s="631"/>
      <c r="I91" s="623">
        <v>127000</v>
      </c>
      <c r="J91" s="623">
        <f t="shared" si="10"/>
        <v>139700</v>
      </c>
      <c r="K91" s="631"/>
      <c r="L91" s="631"/>
      <c r="M91" s="631"/>
      <c r="N91" s="631"/>
      <c r="O91" s="631"/>
      <c r="P91" s="631"/>
      <c r="Q91" s="631"/>
      <c r="R91" s="631"/>
      <c r="S91" s="631"/>
    </row>
    <row r="92" spans="1:19" ht="15" customHeight="1" outlineLevel="1">
      <c r="A92" s="626">
        <f t="shared" si="11"/>
        <v>84</v>
      </c>
      <c r="B92" s="625" t="s">
        <v>1568</v>
      </c>
      <c r="C92" s="626" t="s">
        <v>4290</v>
      </c>
      <c r="D92" s="624">
        <f t="shared" si="1"/>
        <v>87120</v>
      </c>
      <c r="E92" s="626" t="s">
        <v>1569</v>
      </c>
      <c r="F92" s="631"/>
      <c r="G92" s="631"/>
      <c r="H92" s="631"/>
      <c r="I92" s="623">
        <v>79200</v>
      </c>
      <c r="J92" s="623">
        <f t="shared" si="10"/>
        <v>87120</v>
      </c>
      <c r="K92" s="631"/>
      <c r="L92" s="631"/>
      <c r="M92" s="631"/>
      <c r="N92" s="631"/>
      <c r="O92" s="631"/>
      <c r="P92" s="631"/>
      <c r="Q92" s="631"/>
      <c r="R92" s="631"/>
      <c r="S92" s="631"/>
    </row>
    <row r="93" spans="1:19" ht="15" customHeight="1" outlineLevel="1">
      <c r="A93" s="626">
        <f t="shared" si="11"/>
        <v>85</v>
      </c>
      <c r="B93" s="625" t="s">
        <v>1450</v>
      </c>
      <c r="C93" s="626" t="s">
        <v>141</v>
      </c>
      <c r="D93" s="624">
        <f t="shared" si="1"/>
        <v>32010.000000000004</v>
      </c>
      <c r="E93" s="626" t="s">
        <v>1326</v>
      </c>
      <c r="F93" s="631"/>
      <c r="G93" s="631"/>
      <c r="H93" s="631"/>
      <c r="I93" s="623">
        <v>29100</v>
      </c>
      <c r="J93" s="623">
        <f t="shared" si="10"/>
        <v>32010.000000000004</v>
      </c>
      <c r="K93" s="631"/>
      <c r="L93" s="631"/>
      <c r="M93" s="631"/>
      <c r="N93" s="631"/>
      <c r="O93" s="631"/>
      <c r="P93" s="631"/>
      <c r="Q93" s="631"/>
      <c r="R93" s="631"/>
      <c r="S93" s="631"/>
    </row>
    <row r="94" spans="1:19" ht="15" customHeight="1" outlineLevel="1">
      <c r="A94" s="626">
        <f t="shared" si="11"/>
        <v>86</v>
      </c>
      <c r="B94" s="625" t="s">
        <v>1451</v>
      </c>
      <c r="C94" s="626" t="s">
        <v>141</v>
      </c>
      <c r="D94" s="624">
        <f t="shared" si="1"/>
        <v>27500.000000000004</v>
      </c>
      <c r="E94" s="626" t="s">
        <v>1326</v>
      </c>
      <c r="F94" s="631"/>
      <c r="G94" s="631"/>
      <c r="H94" s="631"/>
      <c r="I94" s="623">
        <v>25000</v>
      </c>
      <c r="J94" s="623">
        <f t="shared" si="10"/>
        <v>27500.000000000004</v>
      </c>
      <c r="K94" s="631"/>
      <c r="L94" s="631"/>
      <c r="M94" s="631"/>
      <c r="N94" s="631"/>
      <c r="O94" s="631"/>
      <c r="P94" s="631"/>
      <c r="Q94" s="631"/>
      <c r="R94" s="631"/>
      <c r="S94" s="631"/>
    </row>
    <row r="95" spans="1:19" ht="15" customHeight="1" outlineLevel="1">
      <c r="A95" s="626">
        <f t="shared" si="11"/>
        <v>87</v>
      </c>
      <c r="B95" s="625" t="s">
        <v>912</v>
      </c>
      <c r="C95" s="626" t="s">
        <v>141</v>
      </c>
      <c r="D95" s="624">
        <f t="shared" si="1"/>
        <v>49500.000000000007</v>
      </c>
      <c r="E95" s="626"/>
      <c r="F95" s="631"/>
      <c r="G95" s="631"/>
      <c r="H95" s="631"/>
      <c r="I95" s="623">
        <v>45000</v>
      </c>
      <c r="J95" s="623">
        <f t="shared" si="10"/>
        <v>49500.000000000007</v>
      </c>
      <c r="K95" s="631"/>
      <c r="L95" s="631"/>
      <c r="M95" s="631"/>
      <c r="N95" s="631"/>
      <c r="O95" s="631"/>
      <c r="P95" s="631"/>
      <c r="Q95" s="631"/>
      <c r="R95" s="631"/>
      <c r="S95" s="631"/>
    </row>
    <row r="96" spans="1:19" ht="15" customHeight="1" outlineLevel="1">
      <c r="A96" s="626">
        <f t="shared" si="11"/>
        <v>88</v>
      </c>
      <c r="B96" s="625" t="s">
        <v>545</v>
      </c>
      <c r="C96" s="626" t="s">
        <v>141</v>
      </c>
      <c r="D96" s="624">
        <f t="shared" si="1"/>
        <v>21499.5</v>
      </c>
      <c r="E96" s="626" t="s">
        <v>1441</v>
      </c>
      <c r="F96" s="631"/>
      <c r="G96" s="631"/>
      <c r="H96" s="631"/>
      <c r="I96" s="623">
        <v>19545</v>
      </c>
      <c r="J96" s="623">
        <f t="shared" si="10"/>
        <v>21499.5</v>
      </c>
      <c r="K96" s="631"/>
      <c r="L96" s="631"/>
      <c r="M96" s="631"/>
      <c r="N96" s="631"/>
      <c r="O96" s="631"/>
      <c r="P96" s="631"/>
      <c r="Q96" s="631"/>
      <c r="R96" s="631"/>
      <c r="S96" s="631"/>
    </row>
    <row r="97" spans="1:19" ht="15" customHeight="1" outlineLevel="1">
      <c r="A97" s="626">
        <f t="shared" si="11"/>
        <v>89</v>
      </c>
      <c r="B97" s="625" t="s">
        <v>1570</v>
      </c>
      <c r="C97" s="626" t="s">
        <v>4</v>
      </c>
      <c r="D97" s="624">
        <f>J97</f>
        <v>346500</v>
      </c>
      <c r="E97" s="626" t="s">
        <v>1571</v>
      </c>
      <c r="F97" s="631"/>
      <c r="G97" s="631"/>
      <c r="H97" s="631"/>
      <c r="I97" s="623">
        <f>285000+30000</f>
        <v>315000</v>
      </c>
      <c r="J97" s="623">
        <f t="shared" si="10"/>
        <v>346500</v>
      </c>
      <c r="K97" s="631"/>
      <c r="L97" s="631"/>
      <c r="M97" s="631"/>
      <c r="N97" s="631"/>
      <c r="O97" s="631"/>
      <c r="P97" s="631"/>
      <c r="Q97" s="631"/>
      <c r="R97" s="631"/>
      <c r="S97" s="631"/>
    </row>
    <row r="98" spans="1:19" ht="15" customHeight="1" outlineLevel="1">
      <c r="A98" s="626">
        <f t="shared" si="11"/>
        <v>90</v>
      </c>
      <c r="B98" s="625" t="s">
        <v>619</v>
      </c>
      <c r="C98" s="626" t="s">
        <v>1</v>
      </c>
      <c r="D98" s="624">
        <f>J98</f>
        <v>33000</v>
      </c>
      <c r="E98" s="626" t="s">
        <v>1441</v>
      </c>
      <c r="F98" s="631"/>
      <c r="G98" s="631"/>
      <c r="H98" s="631"/>
      <c r="I98" s="623">
        <v>30000</v>
      </c>
      <c r="J98" s="623">
        <f t="shared" ref="J98" si="12">I98*$J$7</f>
        <v>33000</v>
      </c>
      <c r="K98" s="631"/>
      <c r="L98" s="631"/>
      <c r="M98" s="631"/>
      <c r="N98" s="631"/>
      <c r="O98" s="631"/>
      <c r="P98" s="631"/>
      <c r="Q98" s="631"/>
      <c r="R98" s="631"/>
      <c r="S98" s="631"/>
    </row>
    <row r="99" spans="1:19" ht="15" customHeight="1" outlineLevel="1">
      <c r="A99" s="626">
        <f t="shared" si="11"/>
        <v>91</v>
      </c>
      <c r="B99" s="625" t="s">
        <v>634</v>
      </c>
      <c r="C99" s="626" t="s">
        <v>4</v>
      </c>
      <c r="D99" s="624">
        <f>J99</f>
        <v>924000.00000000012</v>
      </c>
      <c r="E99" s="626" t="s">
        <v>635</v>
      </c>
      <c r="F99" s="631"/>
      <c r="G99" s="631"/>
      <c r="H99" s="631"/>
      <c r="I99" s="623">
        <v>840000</v>
      </c>
      <c r="J99" s="623">
        <f>I99*$J$7</f>
        <v>924000.00000000012</v>
      </c>
      <c r="K99" s="631"/>
      <c r="L99" s="631"/>
      <c r="M99" s="631"/>
      <c r="N99" s="631"/>
      <c r="O99" s="631"/>
      <c r="P99" s="631"/>
      <c r="Q99" s="631"/>
      <c r="R99" s="631"/>
      <c r="S99" s="631"/>
    </row>
    <row r="100" spans="1:19" ht="15" customHeight="1" outlineLevel="1">
      <c r="A100" s="626">
        <f t="shared" si="11"/>
        <v>92</v>
      </c>
      <c r="B100" s="625" t="s">
        <v>565</v>
      </c>
      <c r="C100" s="626" t="s">
        <v>226</v>
      </c>
      <c r="D100" s="624">
        <v>3300</v>
      </c>
      <c r="E100" s="626" t="s">
        <v>1441</v>
      </c>
      <c r="F100" s="631" t="s">
        <v>566</v>
      </c>
      <c r="G100" s="631"/>
      <c r="H100" s="631"/>
      <c r="I100" s="623">
        <v>5900</v>
      </c>
      <c r="J100" s="623">
        <f t="shared" ref="J100:J170" si="13">I100*$J$7</f>
        <v>6490.0000000000009</v>
      </c>
      <c r="K100" s="631"/>
      <c r="L100" s="631"/>
      <c r="M100" s="631"/>
      <c r="N100" s="631"/>
      <c r="O100" s="631"/>
      <c r="P100" s="631"/>
      <c r="Q100" s="631"/>
      <c r="R100" s="631"/>
      <c r="S100" s="631"/>
    </row>
    <row r="101" spans="1:19" ht="15" customHeight="1" outlineLevel="1">
      <c r="A101" s="626">
        <f t="shared" si="11"/>
        <v>93</v>
      </c>
      <c r="B101" s="625" t="s">
        <v>567</v>
      </c>
      <c r="C101" s="626" t="s">
        <v>435</v>
      </c>
      <c r="D101" s="624">
        <v>37500</v>
      </c>
      <c r="E101" s="626" t="s">
        <v>1317</v>
      </c>
      <c r="F101" s="631" t="s">
        <v>564</v>
      </c>
      <c r="G101" s="631"/>
      <c r="H101" s="631"/>
      <c r="I101" s="623">
        <v>41600</v>
      </c>
      <c r="J101" s="623">
        <f t="shared" si="13"/>
        <v>45760.000000000007</v>
      </c>
      <c r="K101" s="631"/>
      <c r="L101" s="631"/>
      <c r="M101" s="631"/>
      <c r="N101" s="631"/>
      <c r="O101" s="631"/>
      <c r="P101" s="631"/>
      <c r="Q101" s="631"/>
      <c r="R101" s="631"/>
      <c r="S101" s="631"/>
    </row>
    <row r="102" spans="1:19" ht="15" customHeight="1" outlineLevel="1">
      <c r="A102" s="626">
        <f t="shared" si="11"/>
        <v>94</v>
      </c>
      <c r="B102" s="625" t="s">
        <v>1471</v>
      </c>
      <c r="C102" s="626" t="s">
        <v>226</v>
      </c>
      <c r="D102" s="624">
        <f>J102</f>
        <v>8140.0000000000009</v>
      </c>
      <c r="E102" s="626" t="s">
        <v>1470</v>
      </c>
      <c r="F102" s="631"/>
      <c r="G102" s="631"/>
      <c r="H102" s="631"/>
      <c r="I102" s="623">
        <v>7400</v>
      </c>
      <c r="J102" s="623">
        <f t="shared" si="13"/>
        <v>8140.0000000000009</v>
      </c>
      <c r="K102" s="631"/>
      <c r="L102" s="631"/>
      <c r="M102" s="631"/>
      <c r="N102" s="631"/>
      <c r="O102" s="631"/>
      <c r="P102" s="631"/>
      <c r="Q102" s="631"/>
      <c r="R102" s="631"/>
      <c r="S102" s="631"/>
    </row>
    <row r="103" spans="1:19" ht="15" customHeight="1" outlineLevel="1">
      <c r="A103" s="626">
        <f t="shared" si="11"/>
        <v>95</v>
      </c>
      <c r="B103" s="625" t="s">
        <v>1472</v>
      </c>
      <c r="C103" s="626" t="s">
        <v>226</v>
      </c>
      <c r="D103" s="624">
        <f>J103</f>
        <v>12100.000000000002</v>
      </c>
      <c r="E103" s="626" t="s">
        <v>1470</v>
      </c>
      <c r="F103" s="631"/>
      <c r="G103" s="631"/>
      <c r="H103" s="631"/>
      <c r="I103" s="623">
        <v>11000</v>
      </c>
      <c r="J103" s="623">
        <f t="shared" si="13"/>
        <v>12100.000000000002</v>
      </c>
      <c r="K103" s="631"/>
      <c r="L103" s="631"/>
      <c r="M103" s="631"/>
      <c r="N103" s="631"/>
      <c r="O103" s="631"/>
      <c r="P103" s="631"/>
      <c r="Q103" s="631"/>
      <c r="R103" s="631"/>
      <c r="S103" s="631"/>
    </row>
    <row r="104" spans="1:19" ht="15" customHeight="1" outlineLevel="1">
      <c r="A104" s="626">
        <f t="shared" si="11"/>
        <v>96</v>
      </c>
      <c r="B104" s="625" t="s">
        <v>1473</v>
      </c>
      <c r="C104" s="626" t="s">
        <v>226</v>
      </c>
      <c r="D104" s="624">
        <f>J104</f>
        <v>9900</v>
      </c>
      <c r="E104" s="626" t="s">
        <v>1470</v>
      </c>
      <c r="F104" s="631"/>
      <c r="G104" s="631"/>
      <c r="H104" s="631"/>
      <c r="I104" s="623">
        <v>9000</v>
      </c>
      <c r="J104" s="623">
        <f t="shared" si="13"/>
        <v>9900</v>
      </c>
      <c r="K104" s="631"/>
      <c r="L104" s="631"/>
      <c r="M104" s="631"/>
      <c r="N104" s="631"/>
      <c r="O104" s="631"/>
      <c r="P104" s="631"/>
      <c r="Q104" s="631"/>
      <c r="R104" s="631"/>
      <c r="S104" s="631"/>
    </row>
    <row r="105" spans="1:19" ht="15" customHeight="1" outlineLevel="1">
      <c r="A105" s="626">
        <f t="shared" si="11"/>
        <v>97</v>
      </c>
      <c r="B105" s="625" t="s">
        <v>1474</v>
      </c>
      <c r="C105" s="626" t="s">
        <v>226</v>
      </c>
      <c r="D105" s="624">
        <f>J105</f>
        <v>188100.00000000003</v>
      </c>
      <c r="E105" s="626" t="s">
        <v>1470</v>
      </c>
      <c r="F105" s="631"/>
      <c r="G105" s="631"/>
      <c r="H105" s="631"/>
      <c r="I105" s="623">
        <v>171000</v>
      </c>
      <c r="J105" s="623">
        <f t="shared" si="13"/>
        <v>188100.00000000003</v>
      </c>
      <c r="K105" s="631"/>
      <c r="L105" s="631"/>
      <c r="M105" s="631"/>
      <c r="N105" s="631"/>
      <c r="O105" s="631"/>
      <c r="P105" s="631"/>
      <c r="Q105" s="631"/>
      <c r="R105" s="631"/>
      <c r="S105" s="631"/>
    </row>
    <row r="106" spans="1:19" ht="15" customHeight="1" outlineLevel="1">
      <c r="A106" s="626">
        <f t="shared" si="11"/>
        <v>98</v>
      </c>
      <c r="B106" s="625" t="s">
        <v>1475</v>
      </c>
      <c r="C106" s="626" t="s">
        <v>226</v>
      </c>
      <c r="D106" s="624">
        <f>J106</f>
        <v>446600.00000000006</v>
      </c>
      <c r="E106" s="626" t="s">
        <v>1470</v>
      </c>
      <c r="F106" s="631"/>
      <c r="G106" s="631"/>
      <c r="H106" s="631"/>
      <c r="I106" s="623">
        <v>406000</v>
      </c>
      <c r="J106" s="623">
        <f t="shared" si="13"/>
        <v>446600.00000000006</v>
      </c>
      <c r="K106" s="631"/>
      <c r="L106" s="631"/>
      <c r="M106" s="631"/>
      <c r="N106" s="631"/>
      <c r="O106" s="631"/>
      <c r="P106" s="631"/>
      <c r="Q106" s="631"/>
      <c r="R106" s="631"/>
      <c r="S106" s="631"/>
    </row>
    <row r="107" spans="1:19" ht="15" customHeight="1" outlineLevel="1">
      <c r="A107" s="626">
        <f t="shared" si="11"/>
        <v>99</v>
      </c>
      <c r="B107" s="625" t="s">
        <v>568</v>
      </c>
      <c r="C107" s="626" t="s">
        <v>226</v>
      </c>
      <c r="D107" s="624">
        <v>2000</v>
      </c>
      <c r="E107" s="626" t="s">
        <v>1316</v>
      </c>
      <c r="F107" s="631"/>
      <c r="G107" s="631"/>
      <c r="H107" s="631"/>
      <c r="I107" s="623">
        <v>3300</v>
      </c>
      <c r="J107" s="623">
        <f t="shared" si="13"/>
        <v>3630.0000000000005</v>
      </c>
      <c r="K107" s="631"/>
      <c r="L107" s="631"/>
      <c r="M107" s="631"/>
      <c r="N107" s="631"/>
      <c r="O107" s="631"/>
      <c r="P107" s="631"/>
      <c r="Q107" s="631"/>
      <c r="R107" s="631"/>
      <c r="S107" s="631"/>
    </row>
    <row r="108" spans="1:19" ht="15" customHeight="1" outlineLevel="1">
      <c r="A108" s="626">
        <f t="shared" si="11"/>
        <v>100</v>
      </c>
      <c r="B108" s="625" t="s">
        <v>569</v>
      </c>
      <c r="C108" s="626" t="s">
        <v>226</v>
      </c>
      <c r="D108" s="624">
        <v>3500</v>
      </c>
      <c r="E108" s="626" t="s">
        <v>1316</v>
      </c>
      <c r="F108" s="631"/>
      <c r="G108" s="631"/>
      <c r="H108" s="631"/>
      <c r="I108" s="623">
        <v>5900</v>
      </c>
      <c r="J108" s="623">
        <f t="shared" si="13"/>
        <v>6490.0000000000009</v>
      </c>
      <c r="K108" s="631"/>
      <c r="L108" s="631"/>
      <c r="M108" s="631"/>
      <c r="N108" s="631"/>
      <c r="O108" s="631"/>
      <c r="P108" s="631"/>
      <c r="Q108" s="631"/>
      <c r="R108" s="631"/>
      <c r="S108" s="631"/>
    </row>
    <row r="109" spans="1:19" ht="15" customHeight="1" outlineLevel="1">
      <c r="A109" s="626">
        <f t="shared" si="11"/>
        <v>101</v>
      </c>
      <c r="B109" s="625" t="s">
        <v>570</v>
      </c>
      <c r="C109" s="626" t="s">
        <v>226</v>
      </c>
      <c r="D109" s="624">
        <f t="shared" ref="D109:D185" si="14">J109</f>
        <v>16500</v>
      </c>
      <c r="E109" s="626" t="s">
        <v>1316</v>
      </c>
      <c r="F109" s="631"/>
      <c r="G109" s="631"/>
      <c r="H109" s="631"/>
      <c r="I109" s="623">
        <v>15000</v>
      </c>
      <c r="J109" s="623">
        <f t="shared" si="13"/>
        <v>16500</v>
      </c>
      <c r="K109" s="631"/>
      <c r="L109" s="631"/>
      <c r="M109" s="631"/>
      <c r="N109" s="631"/>
      <c r="O109" s="631"/>
      <c r="P109" s="631"/>
      <c r="Q109" s="631"/>
      <c r="R109" s="631"/>
      <c r="S109" s="631"/>
    </row>
    <row r="110" spans="1:19" ht="15" customHeight="1" outlineLevel="1">
      <c r="A110" s="626">
        <f t="shared" si="11"/>
        <v>102</v>
      </c>
      <c r="B110" s="625" t="s">
        <v>571</v>
      </c>
      <c r="C110" s="626" t="s">
        <v>226</v>
      </c>
      <c r="D110" s="624">
        <f t="shared" si="14"/>
        <v>37730</v>
      </c>
      <c r="E110" s="626" t="s">
        <v>1316</v>
      </c>
      <c r="F110" s="631"/>
      <c r="G110" s="631"/>
      <c r="H110" s="631"/>
      <c r="I110" s="623">
        <v>34300</v>
      </c>
      <c r="J110" s="623">
        <f t="shared" si="13"/>
        <v>37730</v>
      </c>
      <c r="K110" s="631"/>
      <c r="L110" s="631"/>
      <c r="M110" s="631"/>
      <c r="N110" s="631"/>
      <c r="O110" s="631"/>
      <c r="P110" s="631"/>
      <c r="Q110" s="631"/>
      <c r="R110" s="631"/>
      <c r="S110" s="631"/>
    </row>
    <row r="111" spans="1:19" ht="15" customHeight="1" outlineLevel="1">
      <c r="A111" s="626">
        <f t="shared" si="11"/>
        <v>103</v>
      </c>
      <c r="B111" s="625" t="s">
        <v>572</v>
      </c>
      <c r="C111" s="626" t="s">
        <v>226</v>
      </c>
      <c r="D111" s="624">
        <f t="shared" si="14"/>
        <v>70620</v>
      </c>
      <c r="E111" s="626" t="s">
        <v>1316</v>
      </c>
      <c r="F111" s="631"/>
      <c r="G111" s="631"/>
      <c r="H111" s="631"/>
      <c r="I111" s="623">
        <v>64200</v>
      </c>
      <c r="J111" s="623">
        <f t="shared" si="13"/>
        <v>70620</v>
      </c>
      <c r="K111" s="631"/>
      <c r="L111" s="631"/>
      <c r="M111" s="631"/>
      <c r="N111" s="631"/>
      <c r="O111" s="631"/>
      <c r="P111" s="631"/>
      <c r="Q111" s="631"/>
      <c r="R111" s="631"/>
      <c r="S111" s="631"/>
    </row>
    <row r="112" spans="1:19" ht="15" customHeight="1" outlineLevel="1">
      <c r="A112" s="626">
        <f t="shared" si="11"/>
        <v>104</v>
      </c>
      <c r="B112" s="625" t="s">
        <v>2138</v>
      </c>
      <c r="C112" s="626" t="s">
        <v>50</v>
      </c>
      <c r="D112" s="624">
        <f t="shared" si="14"/>
        <v>5390</v>
      </c>
      <c r="E112" s="626" t="s">
        <v>2120</v>
      </c>
      <c r="F112" s="631"/>
      <c r="G112" s="631"/>
      <c r="H112" s="631"/>
      <c r="I112" s="623">
        <v>4900</v>
      </c>
      <c r="J112" s="623">
        <f t="shared" si="13"/>
        <v>5390</v>
      </c>
      <c r="K112" s="631"/>
      <c r="L112" s="631"/>
      <c r="M112" s="631"/>
      <c r="N112" s="631"/>
      <c r="O112" s="631"/>
      <c r="P112" s="631"/>
      <c r="Q112" s="631"/>
      <c r="R112" s="631"/>
      <c r="S112" s="631"/>
    </row>
    <row r="113" spans="1:19" ht="15" customHeight="1" outlineLevel="1">
      <c r="A113" s="626">
        <f t="shared" si="11"/>
        <v>105</v>
      </c>
      <c r="B113" s="625" t="s">
        <v>2139</v>
      </c>
      <c r="C113" s="626" t="s">
        <v>50</v>
      </c>
      <c r="D113" s="624">
        <f t="shared" si="14"/>
        <v>12100.000000000002</v>
      </c>
      <c r="E113" s="626" t="s">
        <v>2120</v>
      </c>
      <c r="F113" s="631" t="s">
        <v>564</v>
      </c>
      <c r="G113" s="631"/>
      <c r="H113" s="631"/>
      <c r="I113" s="623">
        <v>11000</v>
      </c>
      <c r="J113" s="623">
        <f t="shared" si="13"/>
        <v>12100.000000000002</v>
      </c>
      <c r="K113" s="631"/>
      <c r="L113" s="631"/>
      <c r="M113" s="631"/>
      <c r="N113" s="631"/>
      <c r="O113" s="631"/>
      <c r="P113" s="631"/>
      <c r="Q113" s="631"/>
      <c r="R113" s="631"/>
      <c r="S113" s="631"/>
    </row>
    <row r="114" spans="1:19" ht="15" customHeight="1" outlineLevel="1">
      <c r="A114" s="626">
        <f t="shared" si="11"/>
        <v>106</v>
      </c>
      <c r="B114" s="625" t="s">
        <v>2140</v>
      </c>
      <c r="C114" s="626" t="s">
        <v>50</v>
      </c>
      <c r="D114" s="624">
        <f t="shared" si="14"/>
        <v>15400.000000000002</v>
      </c>
      <c r="E114" s="626" t="s">
        <v>2120</v>
      </c>
      <c r="F114" s="631"/>
      <c r="G114" s="631"/>
      <c r="H114" s="631"/>
      <c r="I114" s="623">
        <v>14000</v>
      </c>
      <c r="J114" s="623">
        <f t="shared" si="13"/>
        <v>15400.000000000002</v>
      </c>
      <c r="K114" s="631"/>
      <c r="L114" s="631"/>
      <c r="M114" s="631"/>
      <c r="N114" s="631"/>
      <c r="O114" s="631"/>
      <c r="P114" s="631"/>
      <c r="Q114" s="631"/>
      <c r="R114" s="631"/>
      <c r="S114" s="631"/>
    </row>
    <row r="115" spans="1:19" ht="15" customHeight="1" outlineLevel="1">
      <c r="A115" s="626">
        <f t="shared" si="11"/>
        <v>107</v>
      </c>
      <c r="B115" s="625" t="s">
        <v>2141</v>
      </c>
      <c r="C115" s="626" t="s">
        <v>50</v>
      </c>
      <c r="D115" s="624">
        <f t="shared" si="14"/>
        <v>27500.000000000004</v>
      </c>
      <c r="E115" s="626" t="s">
        <v>2120</v>
      </c>
      <c r="F115" s="631"/>
      <c r="G115" s="631"/>
      <c r="H115" s="631"/>
      <c r="I115" s="623">
        <v>25000</v>
      </c>
      <c r="J115" s="623">
        <f t="shared" si="13"/>
        <v>27500.000000000004</v>
      </c>
      <c r="K115" s="631"/>
      <c r="L115" s="631"/>
      <c r="M115" s="631"/>
      <c r="N115" s="631"/>
      <c r="O115" s="631"/>
      <c r="P115" s="631"/>
      <c r="Q115" s="631"/>
      <c r="R115" s="631"/>
      <c r="S115" s="631"/>
    </row>
    <row r="116" spans="1:19" ht="15" customHeight="1" outlineLevel="1">
      <c r="A116" s="626">
        <f t="shared" si="11"/>
        <v>108</v>
      </c>
      <c r="B116" s="625" t="s">
        <v>2142</v>
      </c>
      <c r="C116" s="626" t="s">
        <v>50</v>
      </c>
      <c r="D116" s="624">
        <f t="shared" si="14"/>
        <v>33000</v>
      </c>
      <c r="E116" s="626" t="s">
        <v>2120</v>
      </c>
      <c r="F116" s="631"/>
      <c r="G116" s="631"/>
      <c r="H116" s="631"/>
      <c r="I116" s="623">
        <v>30000</v>
      </c>
      <c r="J116" s="623">
        <f t="shared" si="13"/>
        <v>33000</v>
      </c>
      <c r="K116" s="631"/>
      <c r="L116" s="631"/>
      <c r="M116" s="631"/>
      <c r="N116" s="631"/>
      <c r="O116" s="631"/>
      <c r="P116" s="631"/>
      <c r="Q116" s="631"/>
      <c r="R116" s="631"/>
      <c r="S116" s="631"/>
    </row>
    <row r="117" spans="1:19" ht="15" customHeight="1" outlineLevel="1">
      <c r="A117" s="626">
        <f t="shared" si="11"/>
        <v>109</v>
      </c>
      <c r="B117" s="625" t="s">
        <v>2143</v>
      </c>
      <c r="C117" s="626" t="s">
        <v>50</v>
      </c>
      <c r="D117" s="624">
        <f t="shared" si="14"/>
        <v>55000.000000000007</v>
      </c>
      <c r="E117" s="626" t="s">
        <v>2120</v>
      </c>
      <c r="F117" s="631"/>
      <c r="G117" s="631"/>
      <c r="H117" s="631"/>
      <c r="I117" s="623">
        <v>50000</v>
      </c>
      <c r="J117" s="623">
        <f t="shared" si="13"/>
        <v>55000.000000000007</v>
      </c>
      <c r="K117" s="631"/>
      <c r="L117" s="631"/>
      <c r="M117" s="631"/>
      <c r="N117" s="631"/>
      <c r="O117" s="631"/>
      <c r="P117" s="631"/>
      <c r="Q117" s="631"/>
      <c r="R117" s="631"/>
      <c r="S117" s="631"/>
    </row>
    <row r="118" spans="1:19" ht="15" customHeight="1" outlineLevel="1">
      <c r="A118" s="626">
        <f t="shared" si="11"/>
        <v>110</v>
      </c>
      <c r="B118" s="625" t="s">
        <v>1557</v>
      </c>
      <c r="C118" s="626" t="s">
        <v>50</v>
      </c>
      <c r="D118" s="624">
        <f t="shared" si="14"/>
        <v>809600.00000000012</v>
      </c>
      <c r="E118" s="626" t="s">
        <v>1298</v>
      </c>
      <c r="F118" s="631"/>
      <c r="G118" s="631"/>
      <c r="H118" s="631"/>
      <c r="I118" s="623">
        <v>736000</v>
      </c>
      <c r="J118" s="623">
        <f t="shared" si="13"/>
        <v>809600.00000000012</v>
      </c>
      <c r="K118" s="631"/>
      <c r="L118" s="631"/>
      <c r="M118" s="631"/>
      <c r="N118" s="631"/>
      <c r="O118" s="631"/>
      <c r="P118" s="631"/>
      <c r="Q118" s="631"/>
      <c r="R118" s="631"/>
      <c r="S118" s="631"/>
    </row>
    <row r="119" spans="1:19" ht="15" customHeight="1" outlineLevel="1">
      <c r="A119" s="626">
        <f t="shared" si="11"/>
        <v>111</v>
      </c>
      <c r="B119" s="625" t="s">
        <v>1558</v>
      </c>
      <c r="C119" s="626" t="s">
        <v>2</v>
      </c>
      <c r="D119" s="624">
        <f t="shared" ref="D119:D140" si="15">J119</f>
        <v>23210.000000000004</v>
      </c>
      <c r="E119" s="626" t="s">
        <v>1298</v>
      </c>
      <c r="F119" s="631"/>
      <c r="G119" s="631"/>
      <c r="H119" s="631"/>
      <c r="I119" s="623">
        <v>21100</v>
      </c>
      <c r="J119" s="623">
        <f>I119*$J$7</f>
        <v>23210.000000000004</v>
      </c>
      <c r="K119" s="631"/>
      <c r="L119" s="631"/>
      <c r="M119" s="631"/>
      <c r="N119" s="631"/>
      <c r="O119" s="631"/>
      <c r="P119" s="631"/>
      <c r="Q119" s="631"/>
      <c r="R119" s="631"/>
      <c r="S119" s="631"/>
    </row>
    <row r="120" spans="1:19" ht="15" customHeight="1" outlineLevel="1">
      <c r="A120" s="626">
        <f t="shared" si="11"/>
        <v>112</v>
      </c>
      <c r="B120" s="625" t="s">
        <v>560</v>
      </c>
      <c r="C120" s="626" t="s">
        <v>50</v>
      </c>
      <c r="D120" s="624">
        <f t="shared" si="15"/>
        <v>676500</v>
      </c>
      <c r="E120" s="626" t="s">
        <v>1467</v>
      </c>
      <c r="F120" s="631"/>
      <c r="G120" s="631"/>
      <c r="H120" s="631"/>
      <c r="I120" s="623">
        <v>615000</v>
      </c>
      <c r="J120" s="623">
        <f>I120*$J$7</f>
        <v>676500</v>
      </c>
      <c r="K120" s="631"/>
      <c r="L120" s="631"/>
      <c r="M120" s="631"/>
      <c r="N120" s="631"/>
      <c r="O120" s="631"/>
      <c r="P120" s="631"/>
      <c r="Q120" s="631"/>
      <c r="R120" s="631"/>
      <c r="S120" s="631"/>
    </row>
    <row r="121" spans="1:19" ht="15" customHeight="1" outlineLevel="1">
      <c r="A121" s="626">
        <f t="shared" si="11"/>
        <v>113</v>
      </c>
      <c r="B121" s="625" t="s">
        <v>561</v>
      </c>
      <c r="C121" s="626" t="s">
        <v>50</v>
      </c>
      <c r="D121" s="624">
        <f t="shared" si="15"/>
        <v>1116500</v>
      </c>
      <c r="E121" s="626" t="s">
        <v>1467</v>
      </c>
      <c r="F121" s="631"/>
      <c r="G121" s="631"/>
      <c r="H121" s="631"/>
      <c r="I121" s="623">
        <v>1015000</v>
      </c>
      <c r="J121" s="623">
        <f>I121*$J$7</f>
        <v>1116500</v>
      </c>
      <c r="K121" s="631"/>
      <c r="L121" s="631"/>
      <c r="M121" s="631"/>
      <c r="N121" s="631"/>
      <c r="O121" s="631"/>
      <c r="P121" s="631"/>
      <c r="Q121" s="631"/>
      <c r="R121" s="631"/>
      <c r="S121" s="631"/>
    </row>
    <row r="122" spans="1:19" ht="15" customHeight="1" outlineLevel="1">
      <c r="A122" s="626">
        <f t="shared" si="11"/>
        <v>114</v>
      </c>
      <c r="B122" s="625" t="s">
        <v>701</v>
      </c>
      <c r="C122" s="626" t="s">
        <v>2</v>
      </c>
      <c r="D122" s="624">
        <f t="shared" si="15"/>
        <v>18150</v>
      </c>
      <c r="E122" s="626" t="s">
        <v>702</v>
      </c>
      <c r="F122" s="631"/>
      <c r="G122" s="631"/>
      <c r="H122" s="631"/>
      <c r="I122" s="623">
        <v>16500</v>
      </c>
      <c r="J122" s="623">
        <f>I122*$J$7</f>
        <v>18150</v>
      </c>
      <c r="K122" s="631"/>
      <c r="L122" s="631"/>
      <c r="M122" s="631"/>
      <c r="N122" s="631"/>
      <c r="O122" s="631"/>
      <c r="P122" s="631"/>
      <c r="Q122" s="631"/>
      <c r="R122" s="631"/>
      <c r="S122" s="631"/>
    </row>
    <row r="123" spans="1:19" ht="15" customHeight="1" outlineLevel="1">
      <c r="A123" s="626">
        <f t="shared" si="11"/>
        <v>115</v>
      </c>
      <c r="B123" s="625" t="s">
        <v>1311</v>
      </c>
      <c r="C123" s="626" t="s">
        <v>141</v>
      </c>
      <c r="D123" s="624">
        <f t="shared" si="15"/>
        <v>150150</v>
      </c>
      <c r="E123" s="626" t="s">
        <v>1321</v>
      </c>
      <c r="F123" s="631"/>
      <c r="G123" s="631"/>
      <c r="H123" s="631"/>
      <c r="I123" s="623">
        <v>136500</v>
      </c>
      <c r="J123" s="623">
        <f t="shared" si="13"/>
        <v>150150</v>
      </c>
      <c r="K123" s="631"/>
      <c r="L123" s="631"/>
      <c r="M123" s="631"/>
      <c r="N123" s="631"/>
      <c r="O123" s="631"/>
      <c r="P123" s="631"/>
      <c r="Q123" s="631"/>
      <c r="R123" s="631"/>
      <c r="S123" s="631"/>
    </row>
    <row r="124" spans="1:19" ht="15" customHeight="1" outlineLevel="1">
      <c r="A124" s="626">
        <f t="shared" si="11"/>
        <v>116</v>
      </c>
      <c r="B124" s="625" t="s">
        <v>677</v>
      </c>
      <c r="C124" s="626" t="s">
        <v>2</v>
      </c>
      <c r="D124" s="624">
        <f t="shared" si="15"/>
        <v>3575000.0000000005</v>
      </c>
      <c r="E124" s="626" t="s">
        <v>1441</v>
      </c>
      <c r="F124" s="631"/>
      <c r="G124" s="631"/>
      <c r="H124" s="631"/>
      <c r="I124" s="623">
        <v>3250000</v>
      </c>
      <c r="J124" s="623">
        <f t="shared" ref="J124:J159" si="16">I124*$J$7</f>
        <v>3575000.0000000005</v>
      </c>
      <c r="K124" s="631"/>
      <c r="L124" s="631"/>
      <c r="M124" s="631"/>
      <c r="N124" s="631"/>
      <c r="O124" s="631"/>
      <c r="P124" s="631"/>
      <c r="Q124" s="631"/>
      <c r="R124" s="631"/>
      <c r="S124" s="631"/>
    </row>
    <row r="125" spans="1:19" ht="15" customHeight="1" outlineLevel="1">
      <c r="A125" s="626">
        <f t="shared" si="11"/>
        <v>117</v>
      </c>
      <c r="B125" s="625" t="s">
        <v>599</v>
      </c>
      <c r="C125" s="626" t="s">
        <v>582</v>
      </c>
      <c r="D125" s="624">
        <f t="shared" si="15"/>
        <v>278740</v>
      </c>
      <c r="E125" s="626" t="s">
        <v>1308</v>
      </c>
      <c r="F125" s="631"/>
      <c r="G125" s="631"/>
      <c r="H125" s="631"/>
      <c r="I125" s="623">
        <v>253400</v>
      </c>
      <c r="J125" s="623">
        <f t="shared" si="16"/>
        <v>278740</v>
      </c>
      <c r="K125" s="631"/>
      <c r="L125" s="631"/>
      <c r="M125" s="631"/>
      <c r="N125" s="631"/>
      <c r="O125" s="631" t="s">
        <v>600</v>
      </c>
      <c r="P125" s="631"/>
      <c r="Q125" s="631"/>
      <c r="R125" s="631"/>
      <c r="S125" s="631"/>
    </row>
    <row r="126" spans="1:19" ht="15" customHeight="1" outlineLevel="1">
      <c r="A126" s="626">
        <f t="shared" si="11"/>
        <v>118</v>
      </c>
      <c r="B126" s="625" t="s">
        <v>601</v>
      </c>
      <c r="C126" s="626" t="s">
        <v>582</v>
      </c>
      <c r="D126" s="624">
        <f t="shared" si="15"/>
        <v>219450.00000000003</v>
      </c>
      <c r="E126" s="626" t="s">
        <v>1308</v>
      </c>
      <c r="F126" s="631"/>
      <c r="G126" s="631"/>
      <c r="H126" s="631"/>
      <c r="I126" s="623">
        <v>199500</v>
      </c>
      <c r="J126" s="623">
        <f t="shared" si="16"/>
        <v>219450.00000000003</v>
      </c>
      <c r="K126" s="631"/>
      <c r="L126" s="631"/>
      <c r="M126" s="631"/>
      <c r="N126" s="631"/>
      <c r="O126" s="631"/>
      <c r="P126" s="631"/>
      <c r="Q126" s="631"/>
      <c r="R126" s="631"/>
      <c r="S126" s="631"/>
    </row>
    <row r="127" spans="1:19" ht="15" customHeight="1" outlineLevel="1">
      <c r="A127" s="626">
        <f t="shared" si="11"/>
        <v>119</v>
      </c>
      <c r="B127" s="625" t="s">
        <v>602</v>
      </c>
      <c r="C127" s="626" t="s">
        <v>582</v>
      </c>
      <c r="D127" s="624">
        <f t="shared" si="15"/>
        <v>252670.00000000003</v>
      </c>
      <c r="E127" s="626" t="s">
        <v>1308</v>
      </c>
      <c r="F127" s="631"/>
      <c r="G127" s="631"/>
      <c r="H127" s="631"/>
      <c r="I127" s="623">
        <v>229700</v>
      </c>
      <c r="J127" s="623">
        <f t="shared" si="16"/>
        <v>252670.00000000003</v>
      </c>
      <c r="K127" s="631"/>
      <c r="L127" s="631"/>
      <c r="M127" s="631"/>
      <c r="N127" s="631"/>
      <c r="O127" s="631"/>
      <c r="P127" s="631"/>
      <c r="Q127" s="631"/>
      <c r="R127" s="631"/>
      <c r="S127" s="631"/>
    </row>
    <row r="128" spans="1:19" ht="15" customHeight="1" outlineLevel="1">
      <c r="A128" s="626">
        <f t="shared" si="11"/>
        <v>120</v>
      </c>
      <c r="B128" s="625" t="s">
        <v>1739</v>
      </c>
      <c r="C128" s="626" t="s">
        <v>2</v>
      </c>
      <c r="D128" s="624">
        <f t="shared" si="15"/>
        <v>236390.00000000003</v>
      </c>
      <c r="E128" s="626" t="s">
        <v>1765</v>
      </c>
      <c r="F128" s="631"/>
      <c r="G128" s="631"/>
      <c r="H128" s="631">
        <v>2017</v>
      </c>
      <c r="I128" s="623">
        <v>214900</v>
      </c>
      <c r="J128" s="623">
        <f t="shared" si="16"/>
        <v>236390.00000000003</v>
      </c>
      <c r="K128" s="631"/>
      <c r="L128" s="631"/>
      <c r="M128" s="631"/>
      <c r="N128" s="631"/>
      <c r="O128" s="631"/>
      <c r="P128" s="631"/>
      <c r="Q128" s="631"/>
      <c r="R128" s="631"/>
      <c r="S128" s="631"/>
    </row>
    <row r="129" spans="1:19" ht="15" customHeight="1" outlineLevel="1">
      <c r="A129" s="626">
        <f t="shared" si="11"/>
        <v>121</v>
      </c>
      <c r="B129" s="625" t="s">
        <v>597</v>
      </c>
      <c r="C129" s="626" t="s">
        <v>2</v>
      </c>
      <c r="D129" s="624">
        <f t="shared" si="15"/>
        <v>3197700.0000000005</v>
      </c>
      <c r="E129" s="626" t="s">
        <v>1346</v>
      </c>
      <c r="F129" s="631"/>
      <c r="G129" s="631"/>
      <c r="H129" s="631"/>
      <c r="I129" s="623">
        <v>2907000</v>
      </c>
      <c r="J129" s="623">
        <f t="shared" si="16"/>
        <v>3197700.0000000005</v>
      </c>
      <c r="K129" s="631"/>
      <c r="L129" s="631"/>
      <c r="M129" s="631"/>
      <c r="N129" s="631"/>
      <c r="O129" s="631"/>
      <c r="P129" s="631"/>
      <c r="Q129" s="631"/>
      <c r="R129" s="631"/>
      <c r="S129" s="631"/>
    </row>
    <row r="130" spans="1:19" ht="15" customHeight="1" outlineLevel="1">
      <c r="A130" s="626">
        <f t="shared" si="11"/>
        <v>122</v>
      </c>
      <c r="B130" s="625" t="s">
        <v>1476</v>
      </c>
      <c r="C130" s="626" t="s">
        <v>582</v>
      </c>
      <c r="D130" s="624">
        <f t="shared" si="15"/>
        <v>3971880.0000000005</v>
      </c>
      <c r="E130" s="626" t="s">
        <v>1441</v>
      </c>
      <c r="F130" s="631"/>
      <c r="G130" s="631"/>
      <c r="H130" s="631">
        <v>2017</v>
      </c>
      <c r="I130" s="623">
        <v>3610800</v>
      </c>
      <c r="J130" s="623">
        <f t="shared" si="16"/>
        <v>3971880.0000000005</v>
      </c>
      <c r="K130" s="631"/>
      <c r="L130" s="631"/>
      <c r="M130" s="631"/>
      <c r="N130" s="631"/>
      <c r="O130" s="631"/>
      <c r="P130" s="631"/>
      <c r="Q130" s="631"/>
      <c r="R130" s="631"/>
      <c r="S130" s="631"/>
    </row>
    <row r="131" spans="1:19" ht="15" customHeight="1" outlineLevel="1">
      <c r="A131" s="626">
        <f t="shared" si="11"/>
        <v>123</v>
      </c>
      <c r="B131" s="625" t="s">
        <v>1555</v>
      </c>
      <c r="C131" s="626" t="s">
        <v>2</v>
      </c>
      <c r="D131" s="624">
        <f t="shared" si="15"/>
        <v>5778300.0000000009</v>
      </c>
      <c r="E131" s="626" t="s">
        <v>1556</v>
      </c>
      <c r="F131" s="631"/>
      <c r="G131" s="631"/>
      <c r="H131" s="631"/>
      <c r="I131" s="623">
        <v>5253000</v>
      </c>
      <c r="J131" s="623">
        <f t="shared" si="16"/>
        <v>5778300.0000000009</v>
      </c>
      <c r="K131" s="631"/>
      <c r="L131" s="631"/>
      <c r="M131" s="631"/>
      <c r="N131" s="631"/>
      <c r="O131" s="631"/>
      <c r="P131" s="631"/>
      <c r="Q131" s="631"/>
      <c r="R131" s="631"/>
      <c r="S131" s="631"/>
    </row>
    <row r="132" spans="1:19" ht="15" customHeight="1" outlineLevel="1">
      <c r="A132" s="626">
        <f t="shared" si="11"/>
        <v>124</v>
      </c>
      <c r="B132" s="625" t="s">
        <v>598</v>
      </c>
      <c r="C132" s="626" t="s">
        <v>2</v>
      </c>
      <c r="D132" s="624">
        <f t="shared" si="15"/>
        <v>666490</v>
      </c>
      <c r="E132" s="626" t="s">
        <v>1329</v>
      </c>
      <c r="F132" s="631"/>
      <c r="G132" s="631"/>
      <c r="H132" s="631"/>
      <c r="I132" s="623">
        <v>605900</v>
      </c>
      <c r="J132" s="623">
        <f t="shared" si="16"/>
        <v>666490</v>
      </c>
      <c r="K132" s="631"/>
      <c r="L132" s="631"/>
      <c r="M132" s="631"/>
      <c r="N132" s="631"/>
      <c r="O132" s="631"/>
      <c r="P132" s="631"/>
      <c r="Q132" s="631"/>
      <c r="R132" s="631"/>
      <c r="S132" s="631"/>
    </row>
    <row r="133" spans="1:19" ht="15" customHeight="1" outlineLevel="1">
      <c r="A133" s="626">
        <f t="shared" si="11"/>
        <v>125</v>
      </c>
      <c r="B133" s="625" t="s">
        <v>1443</v>
      </c>
      <c r="C133" s="626" t="s">
        <v>582</v>
      </c>
      <c r="D133" s="624">
        <f t="shared" si="15"/>
        <v>3063500.0000000005</v>
      </c>
      <c r="E133" s="626" t="s">
        <v>1441</v>
      </c>
      <c r="F133" s="631"/>
      <c r="G133" s="631"/>
      <c r="H133" s="631"/>
      <c r="I133" s="623">
        <v>2785000</v>
      </c>
      <c r="J133" s="623">
        <f t="shared" si="16"/>
        <v>3063500.0000000005</v>
      </c>
      <c r="K133" s="631"/>
      <c r="L133" s="631"/>
      <c r="M133" s="631"/>
      <c r="N133" s="631"/>
      <c r="O133" s="631"/>
      <c r="P133" s="631"/>
      <c r="Q133" s="631"/>
      <c r="R133" s="631"/>
      <c r="S133" s="631"/>
    </row>
    <row r="134" spans="1:19" ht="15" customHeight="1" outlineLevel="1">
      <c r="A134" s="626">
        <f t="shared" si="11"/>
        <v>126</v>
      </c>
      <c r="B134" s="625" t="s">
        <v>1574</v>
      </c>
      <c r="C134" s="626" t="s">
        <v>2</v>
      </c>
      <c r="D134" s="624">
        <f t="shared" si="15"/>
        <v>4730000</v>
      </c>
      <c r="E134" s="626" t="s">
        <v>1575</v>
      </c>
      <c r="F134" s="631"/>
      <c r="G134" s="631"/>
      <c r="H134" s="631"/>
      <c r="I134" s="623">
        <v>4300000</v>
      </c>
      <c r="J134" s="623">
        <f t="shared" si="16"/>
        <v>4730000</v>
      </c>
      <c r="K134" s="631"/>
      <c r="L134" s="631"/>
      <c r="M134" s="631"/>
      <c r="N134" s="631"/>
      <c r="O134" s="631"/>
      <c r="P134" s="631"/>
      <c r="Q134" s="631"/>
      <c r="R134" s="631"/>
      <c r="S134" s="631"/>
    </row>
    <row r="135" spans="1:19" ht="15" customHeight="1" outlineLevel="1">
      <c r="A135" s="626">
        <f t="shared" si="11"/>
        <v>127</v>
      </c>
      <c r="B135" s="625" t="s">
        <v>675</v>
      </c>
      <c r="C135" s="626" t="s">
        <v>2</v>
      </c>
      <c r="D135" s="624">
        <f t="shared" si="15"/>
        <v>1430000</v>
      </c>
      <c r="E135" s="626" t="s">
        <v>676</v>
      </c>
      <c r="F135" s="631"/>
      <c r="G135" s="631"/>
      <c r="H135" s="631"/>
      <c r="I135" s="623">
        <v>1300000</v>
      </c>
      <c r="J135" s="623">
        <f t="shared" si="16"/>
        <v>1430000</v>
      </c>
      <c r="K135" s="631"/>
      <c r="L135" s="631"/>
      <c r="M135" s="631"/>
      <c r="N135" s="631"/>
      <c r="O135" s="631"/>
      <c r="P135" s="631"/>
      <c r="Q135" s="631"/>
      <c r="R135" s="631"/>
      <c r="S135" s="631"/>
    </row>
    <row r="136" spans="1:19" ht="15" customHeight="1" outlineLevel="1">
      <c r="A136" s="626">
        <f t="shared" si="11"/>
        <v>128</v>
      </c>
      <c r="B136" s="625" t="s">
        <v>1740</v>
      </c>
      <c r="C136" s="626" t="s">
        <v>2</v>
      </c>
      <c r="D136" s="624">
        <f t="shared" si="15"/>
        <v>163900</v>
      </c>
      <c r="E136" s="626" t="s">
        <v>1741</v>
      </c>
      <c r="F136" s="631"/>
      <c r="G136" s="631"/>
      <c r="H136" s="631"/>
      <c r="I136" s="623">
        <v>149000</v>
      </c>
      <c r="J136" s="623">
        <f t="shared" si="16"/>
        <v>163900</v>
      </c>
      <c r="K136" s="631"/>
      <c r="L136" s="631"/>
      <c r="M136" s="631"/>
      <c r="N136" s="631"/>
      <c r="O136" s="631"/>
      <c r="P136" s="631"/>
      <c r="Q136" s="631"/>
      <c r="R136" s="631"/>
      <c r="S136" s="631"/>
    </row>
    <row r="137" spans="1:19" ht="15" customHeight="1" outlineLevel="1">
      <c r="A137" s="626">
        <f t="shared" si="11"/>
        <v>129</v>
      </c>
      <c r="B137" s="625" t="s">
        <v>1767</v>
      </c>
      <c r="C137" s="626" t="s">
        <v>141</v>
      </c>
      <c r="D137" s="624">
        <f t="shared" si="15"/>
        <v>21560</v>
      </c>
      <c r="E137" s="626" t="s">
        <v>1768</v>
      </c>
      <c r="F137" s="631"/>
      <c r="G137" s="631"/>
      <c r="H137" s="631"/>
      <c r="I137" s="623">
        <v>19600</v>
      </c>
      <c r="J137" s="623">
        <f t="shared" si="16"/>
        <v>21560</v>
      </c>
      <c r="K137" s="631"/>
      <c r="L137" s="631"/>
      <c r="M137" s="631"/>
      <c r="N137" s="631"/>
      <c r="O137" s="631"/>
      <c r="P137" s="631"/>
      <c r="Q137" s="631"/>
      <c r="R137" s="631"/>
      <c r="S137" s="631"/>
    </row>
    <row r="138" spans="1:19" ht="15" customHeight="1" outlineLevel="1">
      <c r="A138" s="626">
        <f t="shared" si="11"/>
        <v>130</v>
      </c>
      <c r="B138" s="625" t="s">
        <v>1553</v>
      </c>
      <c r="C138" s="626" t="s">
        <v>2</v>
      </c>
      <c r="D138" s="624">
        <f t="shared" si="15"/>
        <v>291500</v>
      </c>
      <c r="E138" s="626" t="s">
        <v>1554</v>
      </c>
      <c r="F138" s="631"/>
      <c r="G138" s="631"/>
      <c r="H138" s="631"/>
      <c r="I138" s="623">
        <v>265000</v>
      </c>
      <c r="J138" s="623">
        <f t="shared" si="16"/>
        <v>291500</v>
      </c>
      <c r="K138" s="631"/>
      <c r="L138" s="631"/>
      <c r="M138" s="631"/>
      <c r="N138" s="631"/>
      <c r="O138" s="631"/>
      <c r="P138" s="631"/>
      <c r="Q138" s="631"/>
      <c r="R138" s="631"/>
      <c r="S138" s="631"/>
    </row>
    <row r="139" spans="1:19" ht="15" customHeight="1" outlineLevel="1">
      <c r="A139" s="626">
        <f t="shared" ref="A139:A202" si="17">A138+1</f>
        <v>131</v>
      </c>
      <c r="B139" s="625" t="s">
        <v>700</v>
      </c>
      <c r="C139" s="626" t="s">
        <v>2</v>
      </c>
      <c r="D139" s="624">
        <f t="shared" si="15"/>
        <v>831600.00000000012</v>
      </c>
      <c r="E139" s="626" t="s">
        <v>1441</v>
      </c>
      <c r="F139" s="631"/>
      <c r="G139" s="631"/>
      <c r="H139" s="631"/>
      <c r="I139" s="623">
        <v>756000</v>
      </c>
      <c r="J139" s="623">
        <f t="shared" si="16"/>
        <v>831600.00000000012</v>
      </c>
      <c r="K139" s="631"/>
      <c r="L139" s="631"/>
      <c r="M139" s="631"/>
      <c r="N139" s="631"/>
      <c r="O139" s="631"/>
      <c r="P139" s="631"/>
      <c r="Q139" s="631"/>
      <c r="R139" s="631"/>
      <c r="S139" s="631"/>
    </row>
    <row r="140" spans="1:19" ht="15" customHeight="1" outlineLevel="1">
      <c r="A140" s="626">
        <f t="shared" si="17"/>
        <v>132</v>
      </c>
      <c r="B140" s="625" t="s">
        <v>1766</v>
      </c>
      <c r="C140" s="626" t="s">
        <v>2</v>
      </c>
      <c r="D140" s="624">
        <f t="shared" si="15"/>
        <v>551430</v>
      </c>
      <c r="E140" s="626" t="s">
        <v>1765</v>
      </c>
      <c r="F140" s="631"/>
      <c r="G140" s="631"/>
      <c r="H140" s="631"/>
      <c r="I140" s="623">
        <v>501300</v>
      </c>
      <c r="J140" s="623">
        <f t="shared" si="16"/>
        <v>551430</v>
      </c>
      <c r="K140" s="631"/>
      <c r="L140" s="631"/>
      <c r="M140" s="631"/>
      <c r="N140" s="631"/>
      <c r="O140" s="631"/>
      <c r="P140" s="631"/>
      <c r="Q140" s="631"/>
      <c r="R140" s="631"/>
      <c r="S140" s="631"/>
    </row>
    <row r="141" spans="1:19" ht="15" customHeight="1" outlineLevel="1">
      <c r="A141" s="626">
        <f t="shared" si="17"/>
        <v>133</v>
      </c>
      <c r="B141" s="625" t="s">
        <v>1551</v>
      </c>
      <c r="C141" s="626" t="s">
        <v>4</v>
      </c>
      <c r="D141" s="624">
        <f t="shared" ref="D141" si="18">J141</f>
        <v>825000.00000000012</v>
      </c>
      <c r="E141" s="626" t="s">
        <v>1552</v>
      </c>
      <c r="F141" s="631"/>
      <c r="G141" s="631"/>
      <c r="H141" s="631"/>
      <c r="I141" s="623">
        <v>750000</v>
      </c>
      <c r="J141" s="623">
        <f t="shared" si="16"/>
        <v>825000.00000000012</v>
      </c>
      <c r="K141" s="631"/>
      <c r="L141" s="631"/>
      <c r="M141" s="631"/>
      <c r="N141" s="631"/>
      <c r="O141" s="631"/>
      <c r="P141" s="631"/>
      <c r="Q141" s="631"/>
      <c r="R141" s="631"/>
      <c r="S141" s="631"/>
    </row>
    <row r="142" spans="1:19" ht="15" customHeight="1" outlineLevel="1">
      <c r="A142" s="626">
        <f t="shared" si="17"/>
        <v>134</v>
      </c>
      <c r="B142" s="625" t="s">
        <v>668</v>
      </c>
      <c r="C142" s="626" t="s">
        <v>4</v>
      </c>
      <c r="D142" s="624">
        <f>J142</f>
        <v>1650000.0000000002</v>
      </c>
      <c r="E142" s="626" t="s">
        <v>669</v>
      </c>
      <c r="F142" s="631"/>
      <c r="G142" s="631"/>
      <c r="H142" s="631"/>
      <c r="I142" s="623">
        <v>1500000</v>
      </c>
      <c r="J142" s="623">
        <f t="shared" si="16"/>
        <v>1650000.0000000002</v>
      </c>
      <c r="K142" s="631"/>
      <c r="L142" s="631"/>
      <c r="M142" s="631"/>
      <c r="N142" s="631"/>
      <c r="O142" s="631"/>
      <c r="P142" s="631"/>
      <c r="Q142" s="631"/>
      <c r="R142" s="631"/>
      <c r="S142" s="631"/>
    </row>
    <row r="143" spans="1:19" ht="15" customHeight="1" outlineLevel="1">
      <c r="A143" s="626">
        <f t="shared" si="17"/>
        <v>135</v>
      </c>
      <c r="B143" s="625" t="s">
        <v>1344</v>
      </c>
      <c r="C143" s="626" t="s">
        <v>4</v>
      </c>
      <c r="D143" s="624">
        <f>J143</f>
        <v>715000</v>
      </c>
      <c r="E143" s="626"/>
      <c r="F143" s="631"/>
      <c r="G143" s="631"/>
      <c r="H143" s="631"/>
      <c r="I143" s="623">
        <v>650000</v>
      </c>
      <c r="J143" s="623">
        <f t="shared" si="16"/>
        <v>715000</v>
      </c>
      <c r="K143" s="631"/>
      <c r="L143" s="631"/>
      <c r="M143" s="631"/>
      <c r="N143" s="631"/>
      <c r="O143" s="631"/>
      <c r="P143" s="631"/>
      <c r="Q143" s="631"/>
      <c r="R143" s="631"/>
      <c r="S143" s="631"/>
    </row>
    <row r="144" spans="1:19" ht="15" customHeight="1" outlineLevel="1">
      <c r="A144" s="626">
        <f t="shared" si="17"/>
        <v>136</v>
      </c>
      <c r="B144" s="625" t="s">
        <v>638</v>
      </c>
      <c r="C144" s="626" t="s">
        <v>4</v>
      </c>
      <c r="D144" s="624">
        <f t="shared" ref="D144:D145" si="19">J144</f>
        <v>301829.26829268294</v>
      </c>
      <c r="E144" s="626" t="s">
        <v>639</v>
      </c>
      <c r="F144" s="631"/>
      <c r="G144" s="631"/>
      <c r="H144" s="631"/>
      <c r="I144" s="623">
        <f>900000/(2*0.82*2)</f>
        <v>274390.24390243902</v>
      </c>
      <c r="J144" s="623">
        <f t="shared" si="16"/>
        <v>301829.26829268294</v>
      </c>
      <c r="K144" s="631" t="s">
        <v>640</v>
      </c>
      <c r="L144" s="631"/>
      <c r="M144" s="631"/>
      <c r="N144" s="631"/>
      <c r="O144" s="631"/>
      <c r="P144" s="631"/>
      <c r="Q144" s="631"/>
      <c r="R144" s="631"/>
      <c r="S144" s="631"/>
    </row>
    <row r="145" spans="1:19" ht="15" customHeight="1" outlineLevel="1">
      <c r="A145" s="626">
        <f t="shared" si="17"/>
        <v>137</v>
      </c>
      <c r="B145" s="625" t="s">
        <v>641</v>
      </c>
      <c r="C145" s="626" t="s">
        <v>5</v>
      </c>
      <c r="D145" s="624">
        <f t="shared" si="19"/>
        <v>264605</v>
      </c>
      <c r="E145" s="626"/>
      <c r="F145" s="631"/>
      <c r="G145" s="631"/>
      <c r="H145" s="631"/>
      <c r="I145" s="623">
        <v>240550</v>
      </c>
      <c r="J145" s="623">
        <f t="shared" si="16"/>
        <v>264605</v>
      </c>
      <c r="K145" s="631" t="s">
        <v>642</v>
      </c>
      <c r="L145" s="631"/>
      <c r="M145" s="631"/>
      <c r="N145" s="631"/>
      <c r="O145" s="631"/>
      <c r="P145" s="631"/>
      <c r="Q145" s="631"/>
      <c r="R145" s="631"/>
      <c r="S145" s="631"/>
    </row>
    <row r="146" spans="1:19" ht="15" customHeight="1" outlineLevel="1">
      <c r="A146" s="626">
        <f t="shared" si="17"/>
        <v>138</v>
      </c>
      <c r="B146" s="625" t="s">
        <v>670</v>
      </c>
      <c r="C146" s="626" t="s">
        <v>194</v>
      </c>
      <c r="D146" s="624">
        <f t="shared" ref="D146:D159" si="20">J146</f>
        <v>190575.00000000003</v>
      </c>
      <c r="E146" s="626" t="s">
        <v>1441</v>
      </c>
      <c r="F146" s="631"/>
      <c r="G146" s="631"/>
      <c r="H146" s="631"/>
      <c r="I146" s="623">
        <v>173250</v>
      </c>
      <c r="J146" s="623">
        <f t="shared" si="16"/>
        <v>190575.00000000003</v>
      </c>
      <c r="K146" s="631"/>
      <c r="L146" s="631"/>
      <c r="M146" s="631"/>
      <c r="N146" s="631"/>
      <c r="O146" s="631"/>
      <c r="P146" s="631"/>
      <c r="Q146" s="631"/>
      <c r="R146" s="631"/>
      <c r="S146" s="631"/>
    </row>
    <row r="147" spans="1:19" ht="15" customHeight="1" outlineLevel="1">
      <c r="A147" s="626">
        <f t="shared" si="17"/>
        <v>139</v>
      </c>
      <c r="B147" s="625" t="s">
        <v>1735</v>
      </c>
      <c r="C147" s="626" t="s">
        <v>194</v>
      </c>
      <c r="D147" s="624">
        <f t="shared" si="20"/>
        <v>302500</v>
      </c>
      <c r="E147" s="626" t="s">
        <v>1736</v>
      </c>
      <c r="F147" s="631"/>
      <c r="G147" s="631"/>
      <c r="H147" s="631">
        <v>2017</v>
      </c>
      <c r="I147" s="623">
        <v>275000</v>
      </c>
      <c r="J147" s="623">
        <f t="shared" si="16"/>
        <v>302500</v>
      </c>
      <c r="K147" s="631"/>
      <c r="L147" s="631"/>
      <c r="M147" s="631"/>
      <c r="N147" s="631"/>
      <c r="O147" s="631"/>
      <c r="P147" s="631"/>
      <c r="Q147" s="631"/>
      <c r="R147" s="631"/>
      <c r="S147" s="631"/>
    </row>
    <row r="148" spans="1:19" ht="15" customHeight="1" outlineLevel="1">
      <c r="A148" s="626">
        <f t="shared" si="17"/>
        <v>140</v>
      </c>
      <c r="B148" s="625" t="s">
        <v>1737</v>
      </c>
      <c r="C148" s="626" t="s">
        <v>4</v>
      </c>
      <c r="D148" s="624">
        <f t="shared" si="20"/>
        <v>96250.000000000015</v>
      </c>
      <c r="E148" s="626" t="s">
        <v>1738</v>
      </c>
      <c r="F148" s="631"/>
      <c r="G148" s="631"/>
      <c r="H148" s="631"/>
      <c r="I148" s="623">
        <v>87500</v>
      </c>
      <c r="J148" s="623">
        <f t="shared" si="16"/>
        <v>96250.000000000015</v>
      </c>
      <c r="K148" s="631"/>
      <c r="L148" s="631"/>
      <c r="M148" s="631"/>
      <c r="N148" s="631"/>
      <c r="O148" s="631"/>
      <c r="P148" s="631"/>
      <c r="Q148" s="631"/>
      <c r="R148" s="631"/>
      <c r="S148" s="631"/>
    </row>
    <row r="149" spans="1:19" ht="15" customHeight="1" outlineLevel="1">
      <c r="A149" s="626">
        <f t="shared" si="17"/>
        <v>141</v>
      </c>
      <c r="B149" s="625" t="s">
        <v>671</v>
      </c>
      <c r="C149" s="626" t="s">
        <v>4</v>
      </c>
      <c r="D149" s="624">
        <f t="shared" si="20"/>
        <v>1650000.0000000002</v>
      </c>
      <c r="E149" s="626" t="s">
        <v>669</v>
      </c>
      <c r="F149" s="631"/>
      <c r="G149" s="631"/>
      <c r="H149" s="631"/>
      <c r="I149" s="623">
        <v>1500000</v>
      </c>
      <c r="J149" s="623">
        <f t="shared" si="16"/>
        <v>1650000.0000000002</v>
      </c>
      <c r="K149" s="631"/>
      <c r="L149" s="631"/>
      <c r="M149" s="631"/>
      <c r="N149" s="631"/>
      <c r="O149" s="631"/>
      <c r="P149" s="631"/>
      <c r="Q149" s="631"/>
      <c r="R149" s="631"/>
      <c r="S149" s="631"/>
    </row>
    <row r="150" spans="1:19" ht="15" customHeight="1" outlineLevel="1">
      <c r="A150" s="626">
        <f t="shared" si="17"/>
        <v>142</v>
      </c>
      <c r="B150" s="625" t="s">
        <v>1335</v>
      </c>
      <c r="C150" s="626" t="s">
        <v>141</v>
      </c>
      <c r="D150" s="624">
        <f t="shared" si="20"/>
        <v>617100</v>
      </c>
      <c r="E150" s="626" t="s">
        <v>1336</v>
      </c>
      <c r="F150" s="631"/>
      <c r="G150" s="631"/>
      <c r="H150" s="631"/>
      <c r="I150" s="623">
        <v>561000</v>
      </c>
      <c r="J150" s="623">
        <f t="shared" si="16"/>
        <v>617100</v>
      </c>
      <c r="K150" s="631"/>
      <c r="L150" s="631"/>
      <c r="M150" s="631"/>
      <c r="N150" s="631"/>
      <c r="O150" s="631"/>
      <c r="P150" s="631"/>
      <c r="Q150" s="631"/>
      <c r="R150" s="631"/>
      <c r="S150" s="631"/>
    </row>
    <row r="151" spans="1:19" ht="15" customHeight="1" outlineLevel="1">
      <c r="A151" s="626">
        <f t="shared" si="17"/>
        <v>143</v>
      </c>
      <c r="B151" s="625" t="s">
        <v>1348</v>
      </c>
      <c r="C151" s="626" t="s">
        <v>141</v>
      </c>
      <c r="D151" s="624">
        <f t="shared" si="20"/>
        <v>539000</v>
      </c>
      <c r="E151" s="626" t="s">
        <v>1339</v>
      </c>
      <c r="F151" s="631"/>
      <c r="G151" s="631"/>
      <c r="H151" s="631"/>
      <c r="I151" s="623">
        <v>490000</v>
      </c>
      <c r="J151" s="623">
        <f t="shared" si="16"/>
        <v>539000</v>
      </c>
      <c r="K151" s="631"/>
      <c r="L151" s="631"/>
      <c r="M151" s="631"/>
      <c r="N151" s="631"/>
      <c r="O151" s="631"/>
      <c r="P151" s="631"/>
      <c r="Q151" s="631"/>
      <c r="R151" s="631"/>
      <c r="S151" s="631"/>
    </row>
    <row r="152" spans="1:19" ht="15" customHeight="1" outlineLevel="1">
      <c r="A152" s="626">
        <f t="shared" si="17"/>
        <v>144</v>
      </c>
      <c r="B152" s="625" t="s">
        <v>1347</v>
      </c>
      <c r="C152" s="626" t="s">
        <v>455</v>
      </c>
      <c r="D152" s="624">
        <f t="shared" si="20"/>
        <v>542300</v>
      </c>
      <c r="E152" s="626" t="s">
        <v>1339</v>
      </c>
      <c r="F152" s="631"/>
      <c r="G152" s="631"/>
      <c r="H152" s="631"/>
      <c r="I152" s="623">
        <v>493000</v>
      </c>
      <c r="J152" s="623">
        <f t="shared" si="16"/>
        <v>542300</v>
      </c>
      <c r="K152" s="631"/>
      <c r="L152" s="631"/>
      <c r="M152" s="631"/>
      <c r="N152" s="631"/>
      <c r="O152" s="631"/>
      <c r="P152" s="631"/>
      <c r="Q152" s="631"/>
      <c r="R152" s="631"/>
      <c r="S152" s="631"/>
    </row>
    <row r="153" spans="1:19" ht="15" customHeight="1" outlineLevel="1">
      <c r="A153" s="626">
        <f t="shared" si="17"/>
        <v>145</v>
      </c>
      <c r="B153" s="625" t="s">
        <v>2044</v>
      </c>
      <c r="C153" s="626" t="s">
        <v>141</v>
      </c>
      <c r="D153" s="624">
        <f t="shared" si="20"/>
        <v>204820.00000000003</v>
      </c>
      <c r="E153" s="626" t="s">
        <v>1784</v>
      </c>
      <c r="F153" s="631"/>
      <c r="G153" s="631"/>
      <c r="H153" s="631"/>
      <c r="I153" s="623">
        <v>186200</v>
      </c>
      <c r="J153" s="623">
        <f t="shared" si="16"/>
        <v>204820.00000000003</v>
      </c>
      <c r="K153" s="631"/>
      <c r="L153" s="631"/>
      <c r="M153" s="631"/>
      <c r="N153" s="631"/>
      <c r="O153" s="631"/>
      <c r="P153" s="631"/>
      <c r="Q153" s="631"/>
      <c r="R153" s="631"/>
      <c r="S153" s="631"/>
    </row>
    <row r="154" spans="1:19" ht="15" customHeight="1" outlineLevel="1">
      <c r="A154" s="626">
        <f t="shared" si="17"/>
        <v>146</v>
      </c>
      <c r="B154" s="625" t="s">
        <v>1453</v>
      </c>
      <c r="C154" s="626" t="s">
        <v>141</v>
      </c>
      <c r="D154" s="624">
        <f t="shared" si="20"/>
        <v>159390</v>
      </c>
      <c r="E154" s="626" t="s">
        <v>1336</v>
      </c>
      <c r="F154" s="631"/>
      <c r="G154" s="631"/>
      <c r="H154" s="631"/>
      <c r="I154" s="623">
        <v>144900</v>
      </c>
      <c r="J154" s="623">
        <f t="shared" si="16"/>
        <v>159390</v>
      </c>
      <c r="K154" s="631"/>
      <c r="L154" s="631"/>
      <c r="M154" s="631"/>
      <c r="N154" s="631"/>
      <c r="O154" s="631"/>
      <c r="P154" s="631"/>
      <c r="Q154" s="631"/>
      <c r="R154" s="631"/>
      <c r="S154" s="631"/>
    </row>
    <row r="155" spans="1:19" ht="15" customHeight="1" outlineLevel="1">
      <c r="A155" s="626">
        <f t="shared" si="17"/>
        <v>147</v>
      </c>
      <c r="B155" s="625" t="s">
        <v>1452</v>
      </c>
      <c r="C155" s="626" t="s">
        <v>141</v>
      </c>
      <c r="D155" s="624">
        <f t="shared" si="20"/>
        <v>68530</v>
      </c>
      <c r="E155" s="626" t="s">
        <v>1336</v>
      </c>
      <c r="F155" s="631"/>
      <c r="G155" s="631"/>
      <c r="H155" s="631"/>
      <c r="I155" s="623">
        <v>62300</v>
      </c>
      <c r="J155" s="623">
        <f t="shared" si="16"/>
        <v>68530</v>
      </c>
      <c r="K155" s="631"/>
      <c r="L155" s="631"/>
      <c r="M155" s="631"/>
      <c r="N155" s="631"/>
      <c r="O155" s="631"/>
      <c r="P155" s="631"/>
      <c r="Q155" s="631"/>
      <c r="R155" s="631"/>
      <c r="S155" s="631"/>
    </row>
    <row r="156" spans="1:19" ht="15" customHeight="1" outlineLevel="1">
      <c r="A156" s="626">
        <f t="shared" si="17"/>
        <v>148</v>
      </c>
      <c r="B156" s="625" t="s">
        <v>1337</v>
      </c>
      <c r="C156" s="626" t="s">
        <v>141</v>
      </c>
      <c r="D156" s="624">
        <f t="shared" si="20"/>
        <v>82500</v>
      </c>
      <c r="E156" s="626" t="s">
        <v>1338</v>
      </c>
      <c r="F156" s="631"/>
      <c r="G156" s="631"/>
      <c r="H156" s="631"/>
      <c r="I156" s="623">
        <v>75000</v>
      </c>
      <c r="J156" s="623">
        <f t="shared" si="16"/>
        <v>82500</v>
      </c>
      <c r="K156" s="631"/>
      <c r="L156" s="631"/>
      <c r="M156" s="631"/>
      <c r="N156" s="631"/>
      <c r="O156" s="631"/>
      <c r="P156" s="631"/>
      <c r="Q156" s="631"/>
      <c r="R156" s="631"/>
      <c r="S156" s="631"/>
    </row>
    <row r="157" spans="1:19" ht="15" customHeight="1" outlineLevel="1">
      <c r="A157" s="626">
        <f t="shared" si="17"/>
        <v>149</v>
      </c>
      <c r="B157" s="625" t="s">
        <v>1454</v>
      </c>
      <c r="C157" s="626" t="s">
        <v>141</v>
      </c>
      <c r="D157" s="624">
        <f t="shared" si="20"/>
        <v>337810</v>
      </c>
      <c r="E157" s="626" t="s">
        <v>1441</v>
      </c>
      <c r="F157" s="631"/>
      <c r="G157" s="631"/>
      <c r="H157" s="631"/>
      <c r="I157" s="623">
        <v>307100</v>
      </c>
      <c r="J157" s="623">
        <f t="shared" si="16"/>
        <v>337810</v>
      </c>
      <c r="K157" s="631"/>
      <c r="L157" s="631"/>
      <c r="M157" s="631"/>
      <c r="N157" s="631"/>
      <c r="O157" s="631"/>
      <c r="P157" s="631"/>
      <c r="Q157" s="631"/>
      <c r="R157" s="631"/>
      <c r="S157" s="631"/>
    </row>
    <row r="158" spans="1:19" ht="15" customHeight="1" outlineLevel="1">
      <c r="A158" s="626">
        <f t="shared" si="17"/>
        <v>150</v>
      </c>
      <c r="B158" s="625" t="s">
        <v>1341</v>
      </c>
      <c r="C158" s="626" t="s">
        <v>141</v>
      </c>
      <c r="D158" s="624">
        <f t="shared" si="20"/>
        <v>248050.00000000003</v>
      </c>
      <c r="E158" s="626" t="s">
        <v>1441</v>
      </c>
      <c r="F158" s="631"/>
      <c r="G158" s="631"/>
      <c r="H158" s="631"/>
      <c r="I158" s="623">
        <v>225500</v>
      </c>
      <c r="J158" s="623">
        <f t="shared" si="16"/>
        <v>248050.00000000003</v>
      </c>
      <c r="K158" s="631"/>
      <c r="L158" s="631"/>
      <c r="M158" s="631"/>
      <c r="N158" s="631"/>
      <c r="O158" s="631"/>
      <c r="P158" s="631"/>
      <c r="Q158" s="631"/>
      <c r="R158" s="631"/>
      <c r="S158" s="631"/>
    </row>
    <row r="159" spans="1:19" ht="15" customHeight="1" outlineLevel="1">
      <c r="A159" s="626">
        <f t="shared" si="17"/>
        <v>151</v>
      </c>
      <c r="B159" s="625" t="s">
        <v>1340</v>
      </c>
      <c r="C159" s="626" t="s">
        <v>141</v>
      </c>
      <c r="D159" s="624">
        <f t="shared" si="20"/>
        <v>195800.00000000003</v>
      </c>
      <c r="E159" s="626" t="s">
        <v>1339</v>
      </c>
      <c r="F159" s="631"/>
      <c r="G159" s="631"/>
      <c r="H159" s="631"/>
      <c r="I159" s="623">
        <v>178000</v>
      </c>
      <c r="J159" s="623">
        <f t="shared" si="16"/>
        <v>195800.00000000003</v>
      </c>
      <c r="K159" s="631">
        <v>178000</v>
      </c>
      <c r="L159" s="631"/>
      <c r="M159" s="631"/>
      <c r="N159" s="631"/>
      <c r="O159" s="631"/>
      <c r="P159" s="631"/>
      <c r="Q159" s="631"/>
      <c r="R159" s="631"/>
      <c r="S159" s="631"/>
    </row>
    <row r="160" spans="1:19" ht="15" customHeight="1" outlineLevel="1">
      <c r="A160" s="626">
        <f t="shared" si="17"/>
        <v>152</v>
      </c>
      <c r="B160" s="625" t="s">
        <v>573</v>
      </c>
      <c r="C160" s="626" t="s">
        <v>5</v>
      </c>
      <c r="D160" s="624">
        <f t="shared" si="14"/>
        <v>144540</v>
      </c>
      <c r="E160" s="626" t="s">
        <v>2108</v>
      </c>
      <c r="F160" s="631"/>
      <c r="G160" s="631"/>
      <c r="H160" s="631"/>
      <c r="I160" s="623">
        <f>43800*3</f>
        <v>131400</v>
      </c>
      <c r="J160" s="623">
        <f>I160*$J$7</f>
        <v>144540</v>
      </c>
      <c r="K160" s="631"/>
      <c r="L160" s="631"/>
      <c r="M160" s="631"/>
      <c r="N160" s="631"/>
      <c r="O160" s="631"/>
      <c r="P160" s="631"/>
      <c r="Q160" s="631"/>
      <c r="R160" s="631"/>
      <c r="S160" s="631"/>
    </row>
    <row r="161" spans="1:19" ht="15" customHeight="1" outlineLevel="1">
      <c r="A161" s="626">
        <f t="shared" si="17"/>
        <v>153</v>
      </c>
      <c r="B161" s="625" t="s">
        <v>574</v>
      </c>
      <c r="C161" s="626" t="s">
        <v>4</v>
      </c>
      <c r="D161" s="624">
        <f t="shared" si="14"/>
        <v>43120</v>
      </c>
      <c r="E161" s="626" t="s">
        <v>1441</v>
      </c>
      <c r="F161" s="631"/>
      <c r="G161" s="631"/>
      <c r="H161" s="631"/>
      <c r="I161" s="623">
        <v>39200</v>
      </c>
      <c r="J161" s="623">
        <f t="shared" si="13"/>
        <v>43120</v>
      </c>
      <c r="K161" s="631"/>
      <c r="L161" s="631"/>
      <c r="M161" s="631"/>
      <c r="N161" s="631"/>
      <c r="O161" s="631"/>
      <c r="P161" s="631"/>
      <c r="Q161" s="631"/>
      <c r="R161" s="631"/>
      <c r="S161" s="631"/>
    </row>
    <row r="162" spans="1:19" ht="15" customHeight="1" outlineLevel="1">
      <c r="A162" s="626">
        <f t="shared" si="17"/>
        <v>154</v>
      </c>
      <c r="B162" s="625" t="s">
        <v>575</v>
      </c>
      <c r="C162" s="626" t="s">
        <v>4</v>
      </c>
      <c r="D162" s="624">
        <f t="shared" si="14"/>
        <v>234190.00000000003</v>
      </c>
      <c r="E162" s="626" t="s">
        <v>576</v>
      </c>
      <c r="F162" s="631"/>
      <c r="G162" s="631"/>
      <c r="H162" s="631"/>
      <c r="I162" s="623">
        <v>212900</v>
      </c>
      <c r="J162" s="623">
        <f t="shared" si="13"/>
        <v>234190.00000000003</v>
      </c>
      <c r="K162" s="631" t="s">
        <v>577</v>
      </c>
      <c r="L162" s="631"/>
      <c r="M162" s="631"/>
      <c r="N162" s="631"/>
      <c r="O162" s="631"/>
      <c r="P162" s="631"/>
      <c r="Q162" s="631"/>
      <c r="R162" s="631"/>
      <c r="S162" s="631"/>
    </row>
    <row r="163" spans="1:19" ht="15" customHeight="1" outlineLevel="1">
      <c r="A163" s="626">
        <f t="shared" si="17"/>
        <v>155</v>
      </c>
      <c r="B163" s="625" t="s">
        <v>578</v>
      </c>
      <c r="C163" s="626" t="s">
        <v>4</v>
      </c>
      <c r="D163" s="624">
        <f t="shared" si="14"/>
        <v>191070.00000000003</v>
      </c>
      <c r="E163" s="626" t="s">
        <v>576</v>
      </c>
      <c r="F163" s="631"/>
      <c r="G163" s="631"/>
      <c r="H163" s="631"/>
      <c r="I163" s="623">
        <v>173700</v>
      </c>
      <c r="J163" s="623">
        <f t="shared" si="13"/>
        <v>191070.00000000003</v>
      </c>
      <c r="K163" s="631" t="s">
        <v>577</v>
      </c>
      <c r="L163" s="631"/>
      <c r="M163" s="631"/>
      <c r="N163" s="631"/>
      <c r="O163" s="631"/>
      <c r="P163" s="631"/>
      <c r="Q163" s="631"/>
      <c r="R163" s="631"/>
      <c r="S163" s="631"/>
    </row>
    <row r="164" spans="1:19" ht="15" customHeight="1" outlineLevel="1">
      <c r="A164" s="626">
        <f t="shared" si="17"/>
        <v>156</v>
      </c>
      <c r="B164" s="625" t="s">
        <v>889</v>
      </c>
      <c r="C164" s="626" t="s">
        <v>5</v>
      </c>
      <c r="D164" s="624">
        <f t="shared" si="14"/>
        <v>159500</v>
      </c>
      <c r="E164" s="626" t="s">
        <v>890</v>
      </c>
      <c r="F164" s="631"/>
      <c r="G164" s="631"/>
      <c r="H164" s="631"/>
      <c r="I164" s="623">
        <v>145000</v>
      </c>
      <c r="J164" s="623">
        <f t="shared" si="13"/>
        <v>159500</v>
      </c>
      <c r="K164" s="631"/>
      <c r="L164" s="631"/>
      <c r="M164" s="631"/>
      <c r="N164" s="631"/>
      <c r="O164" s="631"/>
      <c r="P164" s="631"/>
      <c r="Q164" s="631"/>
      <c r="R164" s="631"/>
      <c r="S164" s="631"/>
    </row>
    <row r="165" spans="1:19" ht="15" customHeight="1" outlineLevel="1">
      <c r="A165" s="626">
        <f t="shared" si="17"/>
        <v>157</v>
      </c>
      <c r="B165" s="625" t="s">
        <v>579</v>
      </c>
      <c r="C165" s="626" t="s">
        <v>194</v>
      </c>
      <c r="D165" s="624">
        <f t="shared" si="14"/>
        <v>75460</v>
      </c>
      <c r="E165" s="626" t="s">
        <v>1339</v>
      </c>
      <c r="F165" s="631"/>
      <c r="G165" s="631"/>
      <c r="H165" s="631"/>
      <c r="I165" s="623">
        <v>68600</v>
      </c>
      <c r="J165" s="623">
        <f t="shared" si="13"/>
        <v>75460</v>
      </c>
      <c r="K165" s="631"/>
      <c r="L165" s="631"/>
      <c r="M165" s="631"/>
      <c r="N165" s="631"/>
      <c r="O165" s="631"/>
      <c r="P165" s="631"/>
      <c r="Q165" s="631"/>
      <c r="R165" s="631"/>
      <c r="S165" s="631"/>
    </row>
    <row r="166" spans="1:19" ht="15" customHeight="1" outlineLevel="1">
      <c r="A166" s="626">
        <f t="shared" si="17"/>
        <v>158</v>
      </c>
      <c r="B166" s="625" t="s">
        <v>580</v>
      </c>
      <c r="C166" s="626" t="s">
        <v>194</v>
      </c>
      <c r="D166" s="624">
        <f t="shared" si="14"/>
        <v>63580.000000000007</v>
      </c>
      <c r="E166" s="626" t="s">
        <v>1339</v>
      </c>
      <c r="F166" s="631"/>
      <c r="G166" s="631"/>
      <c r="H166" s="631"/>
      <c r="I166" s="623">
        <v>57800</v>
      </c>
      <c r="J166" s="623">
        <f t="shared" si="13"/>
        <v>63580.000000000007</v>
      </c>
      <c r="K166" s="631"/>
      <c r="L166" s="631"/>
      <c r="M166" s="631"/>
      <c r="N166" s="631"/>
      <c r="O166" s="631"/>
      <c r="P166" s="631"/>
      <c r="Q166" s="631"/>
      <c r="R166" s="631"/>
      <c r="S166" s="631"/>
    </row>
    <row r="167" spans="1:19" ht="15" customHeight="1" outlineLevel="1">
      <c r="A167" s="626">
        <f t="shared" si="17"/>
        <v>159</v>
      </c>
      <c r="B167" s="625" t="s">
        <v>891</v>
      </c>
      <c r="C167" s="626" t="s">
        <v>194</v>
      </c>
      <c r="D167" s="624">
        <f t="shared" si="14"/>
        <v>84700</v>
      </c>
      <c r="E167" s="626" t="s">
        <v>892</v>
      </c>
      <c r="F167" s="631"/>
      <c r="G167" s="631"/>
      <c r="H167" s="631"/>
      <c r="I167" s="623">
        <f>1.1*70000</f>
        <v>77000</v>
      </c>
      <c r="J167" s="623">
        <f t="shared" si="13"/>
        <v>84700</v>
      </c>
      <c r="K167" s="631"/>
      <c r="L167" s="631"/>
      <c r="M167" s="631"/>
      <c r="N167" s="631"/>
      <c r="O167" s="631"/>
      <c r="P167" s="631"/>
      <c r="Q167" s="631"/>
      <c r="R167" s="631"/>
      <c r="S167" s="631"/>
    </row>
    <row r="168" spans="1:19" ht="15" customHeight="1" outlineLevel="1">
      <c r="A168" s="626">
        <f t="shared" si="17"/>
        <v>160</v>
      </c>
      <c r="B168" s="625" t="s">
        <v>1576</v>
      </c>
      <c r="C168" s="626" t="s">
        <v>194</v>
      </c>
      <c r="D168" s="624">
        <f>J168</f>
        <v>91300.000000000015</v>
      </c>
      <c r="E168" s="626" t="s">
        <v>1577</v>
      </c>
      <c r="F168" s="631"/>
      <c r="G168" s="631"/>
      <c r="H168" s="631"/>
      <c r="I168" s="623">
        <v>83000</v>
      </c>
      <c r="J168" s="623">
        <f t="shared" si="13"/>
        <v>91300.000000000015</v>
      </c>
      <c r="K168" s="631"/>
      <c r="L168" s="631"/>
      <c r="M168" s="631"/>
      <c r="N168" s="631"/>
      <c r="O168" s="631"/>
      <c r="P168" s="631"/>
      <c r="Q168" s="631"/>
      <c r="R168" s="631"/>
      <c r="S168" s="631"/>
    </row>
    <row r="169" spans="1:19" ht="15" customHeight="1" outlineLevel="1">
      <c r="A169" s="626">
        <f t="shared" si="17"/>
        <v>161</v>
      </c>
      <c r="B169" s="625" t="s">
        <v>900</v>
      </c>
      <c r="C169" s="626" t="s">
        <v>5</v>
      </c>
      <c r="D169" s="624">
        <f>J169</f>
        <v>34100</v>
      </c>
      <c r="E169" s="626" t="s">
        <v>901</v>
      </c>
      <c r="F169" s="631"/>
      <c r="G169" s="631"/>
      <c r="H169" s="631"/>
      <c r="I169" s="623">
        <v>31000</v>
      </c>
      <c r="J169" s="623">
        <f t="shared" si="13"/>
        <v>34100</v>
      </c>
      <c r="K169" s="631"/>
      <c r="L169" s="631"/>
      <c r="M169" s="631"/>
      <c r="N169" s="631"/>
      <c r="O169" s="631"/>
      <c r="P169" s="631"/>
      <c r="Q169" s="631"/>
      <c r="R169" s="631"/>
      <c r="S169" s="631"/>
    </row>
    <row r="170" spans="1:19" ht="15" customHeight="1" outlineLevel="1">
      <c r="A170" s="626">
        <f t="shared" si="17"/>
        <v>162</v>
      </c>
      <c r="B170" s="625" t="s">
        <v>902</v>
      </c>
      <c r="C170" s="626" t="s">
        <v>194</v>
      </c>
      <c r="D170" s="624">
        <f>J170/3.6</f>
        <v>7638.8888888888896</v>
      </c>
      <c r="E170" s="626" t="s">
        <v>901</v>
      </c>
      <c r="F170" s="631"/>
      <c r="G170" s="631"/>
      <c r="H170" s="631"/>
      <c r="I170" s="623">
        <v>25000</v>
      </c>
      <c r="J170" s="623">
        <f t="shared" si="13"/>
        <v>27500.000000000004</v>
      </c>
      <c r="K170" s="631"/>
      <c r="L170" s="631"/>
      <c r="M170" s="631"/>
      <c r="N170" s="631"/>
      <c r="O170" s="631"/>
      <c r="P170" s="631"/>
      <c r="Q170" s="631"/>
      <c r="R170" s="631"/>
      <c r="S170" s="631"/>
    </row>
    <row r="171" spans="1:19" ht="15" customHeight="1" outlineLevel="1">
      <c r="A171" s="626">
        <f t="shared" si="17"/>
        <v>163</v>
      </c>
      <c r="B171" s="625" t="s">
        <v>590</v>
      </c>
      <c r="C171" s="626" t="s">
        <v>5</v>
      </c>
      <c r="D171" s="624">
        <f t="shared" si="14"/>
        <v>106920.00000000001</v>
      </c>
      <c r="E171" s="626" t="s">
        <v>1332</v>
      </c>
      <c r="F171" s="631"/>
      <c r="G171" s="631"/>
      <c r="H171" s="631"/>
      <c r="I171" s="623">
        <v>97200</v>
      </c>
      <c r="J171" s="623">
        <f t="shared" ref="J171:J185" si="21">I171*$J$7</f>
        <v>106920.00000000001</v>
      </c>
      <c r="K171" s="631"/>
      <c r="L171" s="631"/>
      <c r="M171" s="631"/>
      <c r="N171" s="631"/>
      <c r="O171" s="631"/>
      <c r="P171" s="631"/>
      <c r="Q171" s="631"/>
      <c r="R171" s="631"/>
      <c r="S171" s="631"/>
    </row>
    <row r="172" spans="1:19" ht="15" customHeight="1" outlineLevel="1">
      <c r="A172" s="626">
        <f t="shared" si="17"/>
        <v>164</v>
      </c>
      <c r="B172" s="625" t="s">
        <v>904</v>
      </c>
      <c r="C172" s="626" t="s">
        <v>4</v>
      </c>
      <c r="D172" s="624">
        <f t="shared" si="14"/>
        <v>423500.00000000012</v>
      </c>
      <c r="E172" s="626" t="s">
        <v>903</v>
      </c>
      <c r="F172" s="631"/>
      <c r="G172" s="631"/>
      <c r="H172" s="631"/>
      <c r="I172" s="623">
        <f>350000*1.1</f>
        <v>385000.00000000006</v>
      </c>
      <c r="J172" s="623">
        <f t="shared" si="21"/>
        <v>423500.00000000012</v>
      </c>
      <c r="K172" s="631"/>
      <c r="L172" s="631"/>
      <c r="M172" s="631"/>
      <c r="N172" s="631"/>
      <c r="O172" s="631"/>
      <c r="P172" s="631"/>
      <c r="Q172" s="631"/>
      <c r="R172" s="631"/>
      <c r="S172" s="631"/>
    </row>
    <row r="173" spans="1:19" ht="15" customHeight="1" outlineLevel="1">
      <c r="A173" s="626">
        <f t="shared" si="17"/>
        <v>165</v>
      </c>
      <c r="B173" s="625" t="s">
        <v>1727</v>
      </c>
      <c r="C173" s="626" t="s">
        <v>4</v>
      </c>
      <c r="D173" s="624">
        <f t="shared" si="14"/>
        <v>121000.00000000001</v>
      </c>
      <c r="E173" s="626" t="s">
        <v>1728</v>
      </c>
      <c r="F173" s="631"/>
      <c r="G173" s="631"/>
      <c r="H173" s="631"/>
      <c r="I173" s="623">
        <v>110000</v>
      </c>
      <c r="J173" s="623">
        <f t="shared" si="21"/>
        <v>121000.00000000001</v>
      </c>
      <c r="K173" s="631"/>
      <c r="L173" s="631"/>
      <c r="M173" s="631"/>
      <c r="N173" s="631"/>
      <c r="O173" s="631"/>
      <c r="P173" s="631"/>
      <c r="Q173" s="631"/>
      <c r="R173" s="631"/>
      <c r="S173" s="631"/>
    </row>
    <row r="174" spans="1:19" ht="15" customHeight="1" outlineLevel="1">
      <c r="A174" s="626">
        <f t="shared" si="17"/>
        <v>166</v>
      </c>
      <c r="B174" s="625" t="s">
        <v>1729</v>
      </c>
      <c r="C174" s="626" t="s">
        <v>4</v>
      </c>
      <c r="D174" s="624">
        <f>J174</f>
        <v>418000.00000000006</v>
      </c>
      <c r="E174" s="626" t="s">
        <v>1730</v>
      </c>
      <c r="F174" s="631"/>
      <c r="G174" s="631"/>
      <c r="H174" s="631">
        <v>2017</v>
      </c>
      <c r="I174" s="623">
        <f>250000+130000</f>
        <v>380000</v>
      </c>
      <c r="J174" s="623">
        <f t="shared" si="21"/>
        <v>418000.00000000006</v>
      </c>
      <c r="K174" s="631"/>
      <c r="L174" s="631"/>
      <c r="M174" s="631"/>
      <c r="N174" s="631"/>
      <c r="O174" s="631"/>
      <c r="P174" s="631"/>
      <c r="Q174" s="631"/>
      <c r="R174" s="631"/>
      <c r="S174" s="631"/>
    </row>
    <row r="175" spans="1:19" ht="15" customHeight="1" outlineLevel="1">
      <c r="A175" s="626">
        <f t="shared" si="17"/>
        <v>167</v>
      </c>
      <c r="B175" s="625" t="s">
        <v>591</v>
      </c>
      <c r="C175" s="626" t="s">
        <v>5</v>
      </c>
      <c r="D175" s="624">
        <f t="shared" si="14"/>
        <v>144430</v>
      </c>
      <c r="E175" s="626" t="s">
        <v>1308</v>
      </c>
      <c r="F175" s="631"/>
      <c r="G175" s="631"/>
      <c r="H175" s="631"/>
      <c r="I175" s="623">
        <v>131300</v>
      </c>
      <c r="J175" s="623">
        <f t="shared" si="21"/>
        <v>144430</v>
      </c>
      <c r="K175" s="631" t="s">
        <v>592</v>
      </c>
      <c r="L175" s="631"/>
      <c r="M175" s="631"/>
      <c r="N175" s="631"/>
      <c r="O175" s="631"/>
      <c r="P175" s="631"/>
      <c r="Q175" s="631"/>
      <c r="R175" s="631"/>
      <c r="S175" s="631"/>
    </row>
    <row r="176" spans="1:19" ht="15" customHeight="1" outlineLevel="1">
      <c r="A176" s="626">
        <f t="shared" si="17"/>
        <v>168</v>
      </c>
      <c r="B176" s="625" t="s">
        <v>593</v>
      </c>
      <c r="C176" s="626" t="s">
        <v>194</v>
      </c>
      <c r="D176" s="624">
        <f t="shared" si="14"/>
        <v>43560</v>
      </c>
      <c r="E176" s="626" t="s">
        <v>1332</v>
      </c>
      <c r="F176" s="631"/>
      <c r="G176" s="631"/>
      <c r="H176" s="631"/>
      <c r="I176" s="623">
        <v>39600</v>
      </c>
      <c r="J176" s="623">
        <f t="shared" si="21"/>
        <v>43560</v>
      </c>
      <c r="K176" s="631"/>
      <c r="L176" s="631"/>
      <c r="M176" s="631"/>
      <c r="N176" s="631"/>
      <c r="O176" s="631"/>
      <c r="P176" s="631"/>
      <c r="Q176" s="631"/>
      <c r="R176" s="631"/>
      <c r="S176" s="631"/>
    </row>
    <row r="177" spans="1:19" ht="15" customHeight="1" outlineLevel="1">
      <c r="A177" s="626">
        <f t="shared" si="17"/>
        <v>169</v>
      </c>
      <c r="B177" s="625" t="s">
        <v>594</v>
      </c>
      <c r="C177" s="626" t="s">
        <v>1</v>
      </c>
      <c r="D177" s="624">
        <f t="shared" si="14"/>
        <v>9130</v>
      </c>
      <c r="E177" s="626" t="s">
        <v>1299</v>
      </c>
      <c r="F177" s="631"/>
      <c r="G177" s="631"/>
      <c r="H177" s="631"/>
      <c r="I177" s="623">
        <v>8300</v>
      </c>
      <c r="J177" s="623">
        <f t="shared" si="21"/>
        <v>9130</v>
      </c>
      <c r="K177" s="631"/>
      <c r="L177" s="631"/>
      <c r="M177" s="631"/>
      <c r="N177" s="631"/>
      <c r="O177" s="631"/>
      <c r="P177" s="631"/>
      <c r="Q177" s="631"/>
      <c r="R177" s="631"/>
      <c r="S177" s="631"/>
    </row>
    <row r="178" spans="1:19" ht="15" customHeight="1" outlineLevel="1">
      <c r="A178" s="626">
        <f t="shared" si="17"/>
        <v>170</v>
      </c>
      <c r="B178" s="625" t="s">
        <v>595</v>
      </c>
      <c r="C178" s="626" t="s">
        <v>4</v>
      </c>
      <c r="D178" s="624">
        <f>2*P202</f>
        <v>28000</v>
      </c>
      <c r="E178" s="626" t="s">
        <v>1441</v>
      </c>
      <c r="F178" s="631"/>
      <c r="G178" s="631"/>
      <c r="H178" s="631"/>
      <c r="I178" s="623">
        <v>94819</v>
      </c>
      <c r="J178" s="623">
        <f t="shared" si="21"/>
        <v>104300.90000000001</v>
      </c>
      <c r="K178" s="631"/>
      <c r="L178" s="631"/>
      <c r="M178" s="631"/>
      <c r="N178" s="631"/>
      <c r="O178" s="631"/>
      <c r="P178" s="631"/>
      <c r="Q178" s="631"/>
      <c r="R178" s="631"/>
      <c r="S178" s="631"/>
    </row>
    <row r="179" spans="1:19" ht="15" customHeight="1" outlineLevel="1">
      <c r="A179" s="626">
        <f t="shared" si="17"/>
        <v>171</v>
      </c>
      <c r="B179" s="625" t="s">
        <v>596</v>
      </c>
      <c r="C179" s="626" t="s">
        <v>1</v>
      </c>
      <c r="D179" s="624">
        <f t="shared" si="14"/>
        <v>32725.000000000004</v>
      </c>
      <c r="E179" s="626" t="s">
        <v>1339</v>
      </c>
      <c r="F179" s="631"/>
      <c r="G179" s="631"/>
      <c r="H179" s="631"/>
      <c r="I179" s="623">
        <v>29750</v>
      </c>
      <c r="J179" s="623">
        <f t="shared" si="21"/>
        <v>32725.000000000004</v>
      </c>
      <c r="K179" s="631"/>
      <c r="L179" s="631"/>
      <c r="M179" s="631"/>
      <c r="N179" s="631"/>
      <c r="O179" s="631"/>
      <c r="P179" s="631"/>
      <c r="Q179" s="631"/>
      <c r="R179" s="631"/>
      <c r="S179" s="631"/>
    </row>
    <row r="180" spans="1:19" ht="15" customHeight="1" outlineLevel="1">
      <c r="A180" s="626">
        <f t="shared" si="17"/>
        <v>172</v>
      </c>
      <c r="B180" s="625" t="s">
        <v>605</v>
      </c>
      <c r="C180" s="626" t="s">
        <v>4</v>
      </c>
      <c r="D180" s="624">
        <f t="shared" si="14"/>
        <v>49280.000000000007</v>
      </c>
      <c r="E180" s="626" t="s">
        <v>1477</v>
      </c>
      <c r="F180" s="631"/>
      <c r="G180" s="631"/>
      <c r="H180" s="631"/>
      <c r="I180" s="623">
        <v>44800</v>
      </c>
      <c r="J180" s="623">
        <f t="shared" si="21"/>
        <v>49280.000000000007</v>
      </c>
      <c r="K180" s="631"/>
      <c r="L180" s="631"/>
      <c r="M180" s="631"/>
      <c r="N180" s="631"/>
      <c r="O180" s="631"/>
      <c r="P180" s="631"/>
      <c r="Q180" s="631"/>
      <c r="R180" s="631"/>
      <c r="S180" s="631"/>
    </row>
    <row r="181" spans="1:19" ht="15" customHeight="1" outlineLevel="1">
      <c r="A181" s="626">
        <f t="shared" si="17"/>
        <v>173</v>
      </c>
      <c r="B181" s="625" t="s">
        <v>606</v>
      </c>
      <c r="C181" s="626" t="s">
        <v>141</v>
      </c>
      <c r="D181" s="624">
        <f t="shared" si="14"/>
        <v>211090.00000000003</v>
      </c>
      <c r="E181" s="626" t="s">
        <v>1343</v>
      </c>
      <c r="F181" s="631"/>
      <c r="G181" s="631"/>
      <c r="H181" s="631"/>
      <c r="I181" s="623">
        <v>191900</v>
      </c>
      <c r="J181" s="623">
        <f t="shared" si="21"/>
        <v>211090.00000000003</v>
      </c>
      <c r="K181" s="631"/>
      <c r="L181" s="631"/>
      <c r="M181" s="631"/>
      <c r="N181" s="631"/>
      <c r="O181" s="631"/>
      <c r="P181" s="631"/>
      <c r="Q181" s="631"/>
      <c r="R181" s="631"/>
      <c r="S181" s="631"/>
    </row>
    <row r="182" spans="1:19" ht="15" customHeight="1" outlineLevel="1">
      <c r="A182" s="626">
        <f t="shared" si="17"/>
        <v>174</v>
      </c>
      <c r="B182" s="625" t="s">
        <v>672</v>
      </c>
      <c r="C182" s="626" t="s">
        <v>673</v>
      </c>
      <c r="D182" s="624">
        <f>J182</f>
        <v>770000.00000000012</v>
      </c>
      <c r="E182" s="626" t="s">
        <v>674</v>
      </c>
      <c r="F182" s="631"/>
      <c r="G182" s="631"/>
      <c r="H182" s="631"/>
      <c r="I182" s="623">
        <v>700000</v>
      </c>
      <c r="J182" s="623">
        <f>I182*$J$7</f>
        <v>770000.00000000012</v>
      </c>
      <c r="K182" s="631"/>
      <c r="L182" s="631"/>
      <c r="M182" s="631"/>
      <c r="N182" s="631"/>
      <c r="O182" s="631"/>
      <c r="P182" s="631"/>
      <c r="Q182" s="631"/>
      <c r="R182" s="631"/>
      <c r="S182" s="631"/>
    </row>
    <row r="183" spans="1:19" ht="15" customHeight="1" outlineLevel="1">
      <c r="A183" s="626">
        <f t="shared" si="17"/>
        <v>175</v>
      </c>
      <c r="B183" s="625" t="s">
        <v>607</v>
      </c>
      <c r="C183" s="626" t="s">
        <v>141</v>
      </c>
      <c r="D183" s="624">
        <f t="shared" si="14"/>
        <v>528000</v>
      </c>
      <c r="E183" s="626" t="s">
        <v>608</v>
      </c>
      <c r="F183" s="631"/>
      <c r="G183" s="631"/>
      <c r="H183" s="631"/>
      <c r="I183" s="623">
        <v>480000</v>
      </c>
      <c r="J183" s="623">
        <f t="shared" si="21"/>
        <v>528000</v>
      </c>
      <c r="K183" s="631"/>
      <c r="L183" s="631"/>
      <c r="M183" s="631"/>
      <c r="N183" s="631"/>
      <c r="O183" s="631"/>
      <c r="P183" s="631"/>
      <c r="Q183" s="631"/>
      <c r="R183" s="631"/>
      <c r="S183" s="631"/>
    </row>
    <row r="184" spans="1:19" ht="15" customHeight="1" outlineLevel="1">
      <c r="A184" s="626">
        <f t="shared" si="17"/>
        <v>176</v>
      </c>
      <c r="B184" s="625" t="s">
        <v>609</v>
      </c>
      <c r="C184" s="626" t="s">
        <v>141</v>
      </c>
      <c r="D184" s="624">
        <f t="shared" si="14"/>
        <v>434500.00000000006</v>
      </c>
      <c r="E184" s="626" t="s">
        <v>608</v>
      </c>
      <c r="F184" s="631"/>
      <c r="G184" s="631"/>
      <c r="H184" s="631"/>
      <c r="I184" s="623">
        <v>395000</v>
      </c>
      <c r="J184" s="623">
        <f t="shared" si="21"/>
        <v>434500.00000000006</v>
      </c>
      <c r="K184" s="631"/>
      <c r="L184" s="631"/>
      <c r="M184" s="631"/>
      <c r="N184" s="631"/>
      <c r="O184" s="631"/>
      <c r="P184" s="631"/>
      <c r="Q184" s="631"/>
      <c r="R184" s="631"/>
      <c r="S184" s="631"/>
    </row>
    <row r="185" spans="1:19" ht="15" customHeight="1" outlineLevel="1">
      <c r="A185" s="626">
        <f t="shared" si="17"/>
        <v>177</v>
      </c>
      <c r="B185" s="625" t="s">
        <v>618</v>
      </c>
      <c r="C185" s="626" t="s">
        <v>4</v>
      </c>
      <c r="D185" s="624">
        <f t="shared" si="14"/>
        <v>9900</v>
      </c>
      <c r="E185" s="626" t="s">
        <v>1478</v>
      </c>
      <c r="F185" s="631"/>
      <c r="G185" s="631"/>
      <c r="H185" s="631"/>
      <c r="I185" s="623">
        <v>9000</v>
      </c>
      <c r="J185" s="623">
        <f t="shared" si="21"/>
        <v>9900</v>
      </c>
      <c r="K185" s="631"/>
      <c r="L185" s="631"/>
      <c r="M185" s="631"/>
      <c r="N185" s="631"/>
      <c r="O185" s="631"/>
      <c r="P185" s="631"/>
      <c r="Q185" s="631"/>
      <c r="R185" s="631"/>
      <c r="S185" s="631"/>
    </row>
    <row r="186" spans="1:19" ht="15" customHeight="1" outlineLevel="1">
      <c r="A186" s="626">
        <f t="shared" si="17"/>
        <v>178</v>
      </c>
      <c r="B186" s="625" t="s">
        <v>1769</v>
      </c>
      <c r="C186" s="626" t="s">
        <v>2</v>
      </c>
      <c r="D186" s="624">
        <f t="shared" ref="D186:D190" si="22">J186</f>
        <v>3382500.0000000005</v>
      </c>
      <c r="E186" s="626" t="s">
        <v>1770</v>
      </c>
      <c r="F186" s="631"/>
      <c r="G186" s="631"/>
      <c r="H186" s="631">
        <v>2017</v>
      </c>
      <c r="I186" s="623">
        <v>3075000</v>
      </c>
      <c r="J186" s="623">
        <f t="shared" ref="J186:J189" si="23">I186*$J$7</f>
        <v>3382500.0000000005</v>
      </c>
      <c r="K186" s="631"/>
      <c r="L186" s="631"/>
      <c r="M186" s="631"/>
      <c r="N186" s="631"/>
      <c r="O186" s="631"/>
      <c r="P186" s="631"/>
      <c r="Q186" s="631"/>
      <c r="R186" s="631"/>
      <c r="S186" s="631"/>
    </row>
    <row r="187" spans="1:19" ht="15" customHeight="1" outlineLevel="1">
      <c r="A187" s="626">
        <f t="shared" si="17"/>
        <v>179</v>
      </c>
      <c r="B187" s="625" t="s">
        <v>1771</v>
      </c>
      <c r="C187" s="626" t="s">
        <v>2</v>
      </c>
      <c r="D187" s="624">
        <f t="shared" si="22"/>
        <v>3520000.0000000005</v>
      </c>
      <c r="E187" s="626" t="s">
        <v>678</v>
      </c>
      <c r="F187" s="631"/>
      <c r="G187" s="631"/>
      <c r="H187" s="631"/>
      <c r="I187" s="623">
        <v>3200000</v>
      </c>
      <c r="J187" s="623">
        <f t="shared" si="23"/>
        <v>3520000.0000000005</v>
      </c>
      <c r="K187" s="631"/>
      <c r="L187" s="631"/>
      <c r="M187" s="631"/>
      <c r="N187" s="631"/>
      <c r="O187" s="631"/>
      <c r="P187" s="631"/>
      <c r="Q187" s="631"/>
      <c r="R187" s="631"/>
      <c r="S187" s="631"/>
    </row>
    <row r="188" spans="1:19" ht="15" customHeight="1" outlineLevel="1">
      <c r="A188" s="626">
        <f t="shared" si="17"/>
        <v>180</v>
      </c>
      <c r="B188" s="625" t="s">
        <v>1772</v>
      </c>
      <c r="C188" s="626" t="s">
        <v>2</v>
      </c>
      <c r="D188" s="624">
        <f>J188</f>
        <v>6160000.0000000009</v>
      </c>
      <c r="E188" s="626" t="s">
        <v>678</v>
      </c>
      <c r="F188" s="631"/>
      <c r="G188" s="631"/>
      <c r="H188" s="631"/>
      <c r="I188" s="623">
        <v>5600000</v>
      </c>
      <c r="J188" s="623">
        <f>I188*$J$7</f>
        <v>6160000.0000000009</v>
      </c>
      <c r="K188" s="631"/>
      <c r="L188" s="631"/>
      <c r="M188" s="631"/>
      <c r="N188" s="631"/>
      <c r="O188" s="631"/>
      <c r="P188" s="631"/>
      <c r="Q188" s="631"/>
      <c r="R188" s="631"/>
      <c r="S188" s="631"/>
    </row>
    <row r="189" spans="1:19" ht="15" customHeight="1" outlineLevel="1">
      <c r="A189" s="626">
        <f t="shared" si="17"/>
        <v>181</v>
      </c>
      <c r="B189" s="625" t="s">
        <v>607</v>
      </c>
      <c r="C189" s="626" t="s">
        <v>2</v>
      </c>
      <c r="D189" s="624">
        <f t="shared" si="22"/>
        <v>649000</v>
      </c>
      <c r="E189" s="626" t="s">
        <v>608</v>
      </c>
      <c r="F189" s="631"/>
      <c r="G189" s="631"/>
      <c r="H189" s="631"/>
      <c r="I189" s="623">
        <v>590000</v>
      </c>
      <c r="J189" s="623">
        <f t="shared" si="23"/>
        <v>649000</v>
      </c>
      <c r="K189" s="631"/>
      <c r="L189" s="631"/>
      <c r="M189" s="631"/>
      <c r="N189" s="631"/>
      <c r="O189" s="631"/>
      <c r="P189" s="631"/>
      <c r="Q189" s="631"/>
      <c r="R189" s="631"/>
      <c r="S189" s="631"/>
    </row>
    <row r="190" spans="1:19" ht="15" customHeight="1" outlineLevel="1">
      <c r="A190" s="626">
        <f t="shared" si="17"/>
        <v>182</v>
      </c>
      <c r="B190" s="625" t="s">
        <v>609</v>
      </c>
      <c r="C190" s="626" t="s">
        <v>2</v>
      </c>
      <c r="D190" s="624">
        <f t="shared" si="22"/>
        <v>327800</v>
      </c>
      <c r="E190" s="626" t="s">
        <v>608</v>
      </c>
      <c r="F190" s="631"/>
      <c r="G190" s="631"/>
      <c r="H190" s="631"/>
      <c r="I190" s="623">
        <v>298000</v>
      </c>
      <c r="J190" s="623">
        <f t="shared" ref="J190:J225" si="24">I190*$J$7</f>
        <v>327800</v>
      </c>
      <c r="K190" s="631"/>
      <c r="L190" s="631"/>
      <c r="M190" s="631"/>
      <c r="N190" s="631"/>
      <c r="O190" s="631"/>
      <c r="P190" s="631"/>
      <c r="Q190" s="631"/>
      <c r="R190" s="631"/>
      <c r="S190" s="631"/>
    </row>
    <row r="191" spans="1:19" ht="15" customHeight="1" outlineLevel="1">
      <c r="A191" s="626">
        <f t="shared" si="17"/>
        <v>183</v>
      </c>
      <c r="B191" s="625" t="s">
        <v>913</v>
      </c>
      <c r="C191" s="626" t="s">
        <v>2</v>
      </c>
      <c r="D191" s="624">
        <f>J191</f>
        <v>77880</v>
      </c>
      <c r="E191" s="626" t="s">
        <v>1480</v>
      </c>
      <c r="F191" s="631"/>
      <c r="G191" s="631"/>
      <c r="H191" s="631"/>
      <c r="I191" s="623">
        <v>70800</v>
      </c>
      <c r="J191" s="623">
        <f>I191*$J$7</f>
        <v>77880</v>
      </c>
      <c r="K191" s="631"/>
      <c r="L191" s="631"/>
      <c r="M191" s="631"/>
      <c r="N191" s="631"/>
      <c r="O191" s="631"/>
      <c r="P191" s="631"/>
      <c r="Q191" s="631"/>
      <c r="R191" s="631"/>
      <c r="S191" s="631"/>
    </row>
    <row r="192" spans="1:19" ht="15" customHeight="1" outlineLevel="1">
      <c r="A192" s="626">
        <f t="shared" si="17"/>
        <v>184</v>
      </c>
      <c r="B192" s="625" t="s">
        <v>581</v>
      </c>
      <c r="C192" s="626" t="s">
        <v>582</v>
      </c>
      <c r="D192" s="624">
        <f t="shared" ref="D192:D199" si="25">J192</f>
        <v>424600.00000000006</v>
      </c>
      <c r="E192" s="626" t="s">
        <v>1339</v>
      </c>
      <c r="F192" s="631"/>
      <c r="G192" s="631"/>
      <c r="H192" s="631"/>
      <c r="I192" s="623">
        <v>386000</v>
      </c>
      <c r="J192" s="623">
        <f t="shared" ref="J192:J199" si="26">I192*$J$7</f>
        <v>424600.00000000006</v>
      </c>
      <c r="K192" s="631"/>
      <c r="L192" s="631"/>
      <c r="M192" s="631"/>
      <c r="N192" s="631"/>
      <c r="O192" s="631"/>
      <c r="P192" s="631"/>
      <c r="Q192" s="631"/>
      <c r="R192" s="631"/>
      <c r="S192" s="631"/>
    </row>
    <row r="193" spans="1:19" ht="15" customHeight="1" outlineLevel="1">
      <c r="A193" s="626">
        <f t="shared" si="17"/>
        <v>185</v>
      </c>
      <c r="B193" s="625" t="s">
        <v>583</v>
      </c>
      <c r="C193" s="626" t="s">
        <v>582</v>
      </c>
      <c r="D193" s="624">
        <f t="shared" si="25"/>
        <v>577830</v>
      </c>
      <c r="E193" s="626" t="s">
        <v>1339</v>
      </c>
      <c r="F193" s="631"/>
      <c r="G193" s="631"/>
      <c r="H193" s="631"/>
      <c r="I193" s="623">
        <v>525300</v>
      </c>
      <c r="J193" s="623">
        <f t="shared" si="26"/>
        <v>577830</v>
      </c>
      <c r="K193" s="631"/>
      <c r="L193" s="631"/>
      <c r="M193" s="631"/>
      <c r="N193" s="631"/>
      <c r="O193" s="631"/>
      <c r="P193" s="631"/>
      <c r="Q193" s="631"/>
      <c r="R193" s="631"/>
      <c r="S193" s="631"/>
    </row>
    <row r="194" spans="1:19" ht="15" customHeight="1" outlineLevel="1">
      <c r="A194" s="626">
        <f t="shared" si="17"/>
        <v>186</v>
      </c>
      <c r="B194" s="625" t="s">
        <v>584</v>
      </c>
      <c r="C194" s="626" t="s">
        <v>582</v>
      </c>
      <c r="D194" s="624">
        <f t="shared" si="25"/>
        <v>114950.00000000001</v>
      </c>
      <c r="E194" s="626" t="s">
        <v>1339</v>
      </c>
      <c r="F194" s="631"/>
      <c r="G194" s="631"/>
      <c r="H194" s="631"/>
      <c r="I194" s="623">
        <v>104500</v>
      </c>
      <c r="J194" s="623">
        <f t="shared" si="26"/>
        <v>114950.00000000001</v>
      </c>
      <c r="K194" s="631"/>
      <c r="L194" s="631"/>
      <c r="M194" s="631"/>
      <c r="N194" s="631"/>
      <c r="O194" s="631"/>
      <c r="P194" s="631"/>
      <c r="Q194" s="631"/>
      <c r="R194" s="631"/>
      <c r="S194" s="631"/>
    </row>
    <row r="195" spans="1:19" ht="15" customHeight="1" outlineLevel="1">
      <c r="A195" s="626">
        <f t="shared" si="17"/>
        <v>187</v>
      </c>
      <c r="B195" s="625" t="s">
        <v>585</v>
      </c>
      <c r="C195" s="626" t="s">
        <v>582</v>
      </c>
      <c r="D195" s="624">
        <f t="shared" si="25"/>
        <v>171600</v>
      </c>
      <c r="E195" s="626" t="s">
        <v>1339</v>
      </c>
      <c r="F195" s="631"/>
      <c r="G195" s="631"/>
      <c r="H195" s="631"/>
      <c r="I195" s="623">
        <v>156000</v>
      </c>
      <c r="J195" s="623">
        <f t="shared" si="26"/>
        <v>171600</v>
      </c>
      <c r="K195" s="631"/>
      <c r="L195" s="631"/>
      <c r="M195" s="631"/>
      <c r="N195" s="631"/>
      <c r="O195" s="631"/>
      <c r="P195" s="631">
        <v>252000</v>
      </c>
      <c r="Q195" s="631">
        <v>1.2</v>
      </c>
      <c r="R195" s="631">
        <v>15</v>
      </c>
      <c r="S195" s="631">
        <f>Q195*R195</f>
        <v>18</v>
      </c>
    </row>
    <row r="196" spans="1:19" ht="15" customHeight="1" outlineLevel="1">
      <c r="A196" s="626">
        <f t="shared" si="17"/>
        <v>188</v>
      </c>
      <c r="B196" s="625" t="s">
        <v>586</v>
      </c>
      <c r="C196" s="626" t="s">
        <v>582</v>
      </c>
      <c r="D196" s="624">
        <f t="shared" si="25"/>
        <v>686180</v>
      </c>
      <c r="E196" s="626" t="s">
        <v>1339</v>
      </c>
      <c r="F196" s="631"/>
      <c r="G196" s="631"/>
      <c r="H196" s="631"/>
      <c r="I196" s="623">
        <v>623800</v>
      </c>
      <c r="J196" s="623">
        <f t="shared" si="26"/>
        <v>686180</v>
      </c>
      <c r="K196" s="631"/>
      <c r="L196" s="631"/>
      <c r="M196" s="631"/>
      <c r="N196" s="631"/>
      <c r="O196" s="631"/>
      <c r="P196" s="631"/>
      <c r="Q196" s="631"/>
      <c r="R196" s="631"/>
      <c r="S196" s="631"/>
    </row>
    <row r="197" spans="1:19" ht="15" customHeight="1" outlineLevel="1">
      <c r="A197" s="626">
        <f t="shared" si="17"/>
        <v>189</v>
      </c>
      <c r="B197" s="625" t="s">
        <v>661</v>
      </c>
      <c r="C197" s="626" t="s">
        <v>141</v>
      </c>
      <c r="D197" s="624">
        <f t="shared" si="25"/>
        <v>58190.000000000007</v>
      </c>
      <c r="E197" s="626" t="s">
        <v>1308</v>
      </c>
      <c r="F197" s="631"/>
      <c r="G197" s="631"/>
      <c r="H197" s="631"/>
      <c r="I197" s="623">
        <v>52900</v>
      </c>
      <c r="J197" s="623">
        <f t="shared" si="26"/>
        <v>58190.000000000007</v>
      </c>
      <c r="K197" s="631"/>
      <c r="L197" s="631"/>
      <c r="M197" s="631"/>
      <c r="N197" s="631"/>
      <c r="O197" s="631"/>
      <c r="P197" s="631"/>
      <c r="Q197" s="631"/>
      <c r="R197" s="631"/>
      <c r="S197" s="631"/>
    </row>
    <row r="198" spans="1:19" ht="15" customHeight="1" outlineLevel="1">
      <c r="A198" s="626">
        <f t="shared" si="17"/>
        <v>190</v>
      </c>
      <c r="B198" s="625" t="s">
        <v>666</v>
      </c>
      <c r="C198" s="626" t="s">
        <v>2</v>
      </c>
      <c r="D198" s="624">
        <f t="shared" si="25"/>
        <v>190080.00000000003</v>
      </c>
      <c r="E198" s="626" t="s">
        <v>1398</v>
      </c>
      <c r="F198" s="631"/>
      <c r="G198" s="631"/>
      <c r="H198" s="631"/>
      <c r="I198" s="623">
        <v>172800</v>
      </c>
      <c r="J198" s="623">
        <f t="shared" si="26"/>
        <v>190080.00000000003</v>
      </c>
      <c r="K198" s="631"/>
      <c r="L198" s="631"/>
      <c r="M198" s="631"/>
      <c r="N198" s="631"/>
      <c r="O198" s="631"/>
      <c r="P198" s="631"/>
      <c r="Q198" s="631"/>
      <c r="R198" s="631"/>
      <c r="S198" s="631"/>
    </row>
    <row r="199" spans="1:19" ht="15" customHeight="1" outlineLevel="1">
      <c r="A199" s="626">
        <f t="shared" si="17"/>
        <v>191</v>
      </c>
      <c r="B199" s="625" t="s">
        <v>1783</v>
      </c>
      <c r="C199" s="626" t="s">
        <v>2</v>
      </c>
      <c r="D199" s="624">
        <f t="shared" si="25"/>
        <v>121000.00000000001</v>
      </c>
      <c r="E199" s="626" t="s">
        <v>1480</v>
      </c>
      <c r="F199" s="631"/>
      <c r="G199" s="631"/>
      <c r="H199" s="631"/>
      <c r="I199" s="623">
        <v>110000</v>
      </c>
      <c r="J199" s="623">
        <f t="shared" si="26"/>
        <v>121000.00000000001</v>
      </c>
      <c r="K199" s="631"/>
      <c r="L199" s="631"/>
      <c r="M199" s="631"/>
      <c r="N199" s="631"/>
      <c r="O199" s="631"/>
      <c r="P199" s="631"/>
      <c r="Q199" s="631"/>
      <c r="R199" s="631"/>
      <c r="S199" s="631"/>
    </row>
    <row r="200" spans="1:19" ht="15" customHeight="1" outlineLevel="1">
      <c r="A200" s="626">
        <f t="shared" si="17"/>
        <v>192</v>
      </c>
      <c r="B200" s="625" t="s">
        <v>1401</v>
      </c>
      <c r="C200" s="626" t="s">
        <v>2</v>
      </c>
      <c r="D200" s="624">
        <f t="shared" ref="D200:D225" si="27">J200</f>
        <v>1466300.0000000002</v>
      </c>
      <c r="E200" s="626" t="s">
        <v>1400</v>
      </c>
      <c r="F200" s="631"/>
      <c r="G200" s="631"/>
      <c r="H200" s="631"/>
      <c r="I200" s="623">
        <v>1333000</v>
      </c>
      <c r="J200" s="623">
        <f t="shared" si="24"/>
        <v>1466300.0000000002</v>
      </c>
      <c r="K200" s="631"/>
      <c r="L200" s="631"/>
      <c r="M200" s="631"/>
      <c r="N200" s="631"/>
      <c r="O200" s="631"/>
      <c r="P200" s="631"/>
      <c r="Q200" s="631"/>
      <c r="R200" s="631"/>
      <c r="S200" s="631"/>
    </row>
    <row r="201" spans="1:19" ht="15" customHeight="1" outlineLevel="1">
      <c r="A201" s="626">
        <f t="shared" si="17"/>
        <v>193</v>
      </c>
      <c r="B201" s="625" t="s">
        <v>697</v>
      </c>
      <c r="C201" s="626" t="s">
        <v>2</v>
      </c>
      <c r="D201" s="624">
        <f t="shared" si="27"/>
        <v>168300</v>
      </c>
      <c r="E201" s="626" t="s">
        <v>698</v>
      </c>
      <c r="F201" s="631"/>
      <c r="G201" s="631"/>
      <c r="H201" s="631"/>
      <c r="I201" s="623">
        <v>153000</v>
      </c>
      <c r="J201" s="623">
        <f t="shared" si="24"/>
        <v>168300</v>
      </c>
      <c r="K201" s="631"/>
      <c r="L201" s="631"/>
      <c r="M201" s="631"/>
      <c r="N201" s="631"/>
      <c r="O201" s="631"/>
      <c r="P201" s="631"/>
      <c r="Q201" s="631"/>
      <c r="R201" s="631"/>
      <c r="S201" s="631"/>
    </row>
    <row r="202" spans="1:19" ht="15" customHeight="1" outlineLevel="1">
      <c r="A202" s="626">
        <f t="shared" si="17"/>
        <v>194</v>
      </c>
      <c r="B202" s="625" t="s">
        <v>587</v>
      </c>
      <c r="C202" s="626" t="s">
        <v>582</v>
      </c>
      <c r="D202" s="624">
        <f>J202</f>
        <v>85360</v>
      </c>
      <c r="E202" s="626" t="s">
        <v>1339</v>
      </c>
      <c r="F202" s="631"/>
      <c r="G202" s="631"/>
      <c r="H202" s="631"/>
      <c r="I202" s="623">
        <v>77600</v>
      </c>
      <c r="J202" s="623">
        <f>I202*$J$7</f>
        <v>85360</v>
      </c>
      <c r="K202" s="631"/>
      <c r="L202" s="631"/>
      <c r="M202" s="631"/>
      <c r="N202" s="631"/>
      <c r="O202" s="631"/>
      <c r="P202" s="631">
        <f>P195/S195</f>
        <v>14000</v>
      </c>
      <c r="Q202" s="631"/>
      <c r="R202" s="631"/>
      <c r="S202" s="631"/>
    </row>
    <row r="203" spans="1:19" ht="22.5" customHeight="1" outlineLevel="1">
      <c r="A203" s="626">
        <f t="shared" ref="A203:A218" si="28">A202+1</f>
        <v>195</v>
      </c>
      <c r="B203" s="625" t="s">
        <v>681</v>
      </c>
      <c r="C203" s="626" t="s">
        <v>2</v>
      </c>
      <c r="D203" s="624">
        <f>J203</f>
        <v>154000</v>
      </c>
      <c r="E203" s="626" t="s">
        <v>682</v>
      </c>
      <c r="F203" s="631"/>
      <c r="G203" s="631"/>
      <c r="H203" s="631"/>
      <c r="I203" s="623">
        <v>140000</v>
      </c>
      <c r="J203" s="623">
        <f>I203*$J$7</f>
        <v>154000</v>
      </c>
      <c r="K203" s="631"/>
      <c r="L203" s="631"/>
      <c r="M203" s="631"/>
      <c r="N203" s="631"/>
      <c r="O203" s="631"/>
      <c r="P203" s="631"/>
      <c r="Q203" s="631"/>
      <c r="R203" s="631"/>
      <c r="S203" s="631"/>
    </row>
    <row r="204" spans="1:19" ht="15" customHeight="1" outlineLevel="1">
      <c r="A204" s="626">
        <f t="shared" si="28"/>
        <v>196</v>
      </c>
      <c r="B204" s="625" t="s">
        <v>914</v>
      </c>
      <c r="C204" s="626" t="s">
        <v>2</v>
      </c>
      <c r="D204" s="624">
        <f>J204</f>
        <v>291500</v>
      </c>
      <c r="E204" s="626" t="s">
        <v>915</v>
      </c>
      <c r="F204" s="631"/>
      <c r="G204" s="631"/>
      <c r="H204" s="631"/>
      <c r="I204" s="623">
        <v>265000</v>
      </c>
      <c r="J204" s="623">
        <f>I204*$J$7</f>
        <v>291500</v>
      </c>
      <c r="K204" s="631"/>
      <c r="L204" s="631"/>
      <c r="M204" s="631"/>
      <c r="N204" s="631"/>
      <c r="O204" s="631"/>
      <c r="P204" s="631"/>
      <c r="Q204" s="631"/>
      <c r="R204" s="631"/>
      <c r="S204" s="631"/>
    </row>
    <row r="205" spans="1:19" ht="15" customHeight="1" outlineLevel="1">
      <c r="A205" s="626">
        <f t="shared" si="28"/>
        <v>197</v>
      </c>
      <c r="B205" s="625" t="s">
        <v>1349</v>
      </c>
      <c r="C205" s="626" t="s">
        <v>2</v>
      </c>
      <c r="D205" s="624">
        <f>J205</f>
        <v>59400.000000000007</v>
      </c>
      <c r="E205" s="626" t="s">
        <v>1350</v>
      </c>
      <c r="F205" s="631"/>
      <c r="G205" s="631"/>
      <c r="H205" s="631"/>
      <c r="I205" s="623">
        <v>54000</v>
      </c>
      <c r="J205" s="623">
        <f>I205*$J$7</f>
        <v>59400.000000000007</v>
      </c>
      <c r="K205" s="631"/>
      <c r="L205" s="631"/>
      <c r="M205" s="631"/>
      <c r="N205" s="631"/>
      <c r="O205" s="631"/>
      <c r="P205" s="631"/>
      <c r="Q205" s="631"/>
      <c r="R205" s="631"/>
      <c r="S205" s="631"/>
    </row>
    <row r="206" spans="1:19" ht="15" customHeight="1" outlineLevel="1">
      <c r="A206" s="626">
        <f t="shared" si="28"/>
        <v>198</v>
      </c>
      <c r="B206" s="625" t="s">
        <v>1781</v>
      </c>
      <c r="C206" s="626" t="s">
        <v>2</v>
      </c>
      <c r="D206" s="624">
        <f t="shared" si="27"/>
        <v>19800</v>
      </c>
      <c r="E206" s="626" t="s">
        <v>1782</v>
      </c>
      <c r="F206" s="631"/>
      <c r="G206" s="631"/>
      <c r="H206" s="631"/>
      <c r="I206" s="623">
        <v>18000</v>
      </c>
      <c r="J206" s="623">
        <f t="shared" si="24"/>
        <v>19800</v>
      </c>
      <c r="K206" s="631"/>
      <c r="L206" s="631"/>
      <c r="M206" s="631"/>
      <c r="N206" s="631"/>
      <c r="O206" s="631"/>
      <c r="P206" s="631"/>
      <c r="Q206" s="631"/>
      <c r="R206" s="631"/>
      <c r="S206" s="631"/>
    </row>
    <row r="207" spans="1:19" ht="15" customHeight="1" outlineLevel="1">
      <c r="A207" s="626">
        <f t="shared" si="28"/>
        <v>199</v>
      </c>
      <c r="B207" s="625" t="s">
        <v>610</v>
      </c>
      <c r="C207" s="626" t="s">
        <v>141</v>
      </c>
      <c r="D207" s="624">
        <f>J207</f>
        <v>154000</v>
      </c>
      <c r="E207" s="626" t="s">
        <v>611</v>
      </c>
      <c r="F207" s="631"/>
      <c r="G207" s="631"/>
      <c r="H207" s="631"/>
      <c r="I207" s="623">
        <v>140000</v>
      </c>
      <c r="J207" s="623">
        <f>I207*$J$7</f>
        <v>154000</v>
      </c>
      <c r="K207" s="631"/>
      <c r="L207" s="631"/>
      <c r="M207" s="631"/>
      <c r="N207" s="631"/>
      <c r="O207" s="631"/>
      <c r="P207" s="631"/>
      <c r="Q207" s="631"/>
      <c r="R207" s="631"/>
      <c r="S207" s="631"/>
    </row>
    <row r="208" spans="1:19" ht="15" customHeight="1" outlineLevel="1">
      <c r="A208" s="626">
        <f t="shared" si="28"/>
        <v>200</v>
      </c>
      <c r="B208" s="625" t="s">
        <v>1455</v>
      </c>
      <c r="C208" s="626" t="s">
        <v>2</v>
      </c>
      <c r="D208" s="624">
        <f t="shared" si="27"/>
        <v>41800</v>
      </c>
      <c r="E208" s="626" t="s">
        <v>1441</v>
      </c>
      <c r="F208" s="631"/>
      <c r="G208" s="631"/>
      <c r="H208" s="631"/>
      <c r="I208" s="623">
        <v>38000</v>
      </c>
      <c r="J208" s="623">
        <f t="shared" si="24"/>
        <v>41800</v>
      </c>
      <c r="K208" s="631"/>
      <c r="L208" s="631"/>
      <c r="M208" s="631"/>
      <c r="N208" s="631"/>
      <c r="O208" s="631"/>
      <c r="P208" s="631"/>
      <c r="Q208" s="631"/>
      <c r="R208" s="631"/>
      <c r="S208" s="631"/>
    </row>
    <row r="209" spans="1:19" ht="15" customHeight="1" outlineLevel="1">
      <c r="A209" s="626">
        <f t="shared" si="28"/>
        <v>201</v>
      </c>
      <c r="B209" s="625" t="s">
        <v>1698</v>
      </c>
      <c r="C209" s="626" t="s">
        <v>2</v>
      </c>
      <c r="D209" s="624">
        <f t="shared" si="27"/>
        <v>27610.000000000004</v>
      </c>
      <c r="E209" s="626" t="s">
        <v>1773</v>
      </c>
      <c r="F209" s="631"/>
      <c r="G209" s="631"/>
      <c r="H209" s="631"/>
      <c r="I209" s="623">
        <v>25100</v>
      </c>
      <c r="J209" s="623">
        <f t="shared" si="24"/>
        <v>27610.000000000004</v>
      </c>
      <c r="K209" s="631"/>
      <c r="L209" s="631"/>
      <c r="M209" s="631"/>
      <c r="N209" s="631"/>
      <c r="O209" s="631"/>
      <c r="P209" s="631"/>
      <c r="Q209" s="631"/>
      <c r="R209" s="631"/>
      <c r="S209" s="631"/>
    </row>
    <row r="210" spans="1:19" ht="15" customHeight="1" outlineLevel="1">
      <c r="A210" s="626">
        <f t="shared" si="28"/>
        <v>202</v>
      </c>
      <c r="B210" s="625" t="s">
        <v>1456</v>
      </c>
      <c r="C210" s="626" t="s">
        <v>2</v>
      </c>
      <c r="D210" s="624">
        <f t="shared" si="27"/>
        <v>40810</v>
      </c>
      <c r="E210" s="626" t="s">
        <v>1399</v>
      </c>
      <c r="F210" s="631"/>
      <c r="G210" s="631"/>
      <c r="H210" s="631"/>
      <c r="I210" s="623">
        <v>37100</v>
      </c>
      <c r="J210" s="623">
        <f t="shared" si="24"/>
        <v>40810</v>
      </c>
      <c r="K210" s="631"/>
      <c r="L210" s="631"/>
      <c r="M210" s="631"/>
      <c r="N210" s="631"/>
      <c r="O210" s="631"/>
      <c r="P210" s="631"/>
      <c r="Q210" s="631"/>
      <c r="R210" s="631"/>
      <c r="S210" s="631"/>
    </row>
    <row r="211" spans="1:19" ht="15" customHeight="1" outlineLevel="1">
      <c r="A211" s="626">
        <f t="shared" si="28"/>
        <v>203</v>
      </c>
      <c r="B211" s="625" t="s">
        <v>916</v>
      </c>
      <c r="C211" s="626" t="s">
        <v>2</v>
      </c>
      <c r="D211" s="624">
        <f>J211</f>
        <v>36300</v>
      </c>
      <c r="E211" s="626" t="s">
        <v>917</v>
      </c>
      <c r="F211" s="631"/>
      <c r="G211" s="631"/>
      <c r="H211" s="631"/>
      <c r="I211" s="623">
        <v>33000</v>
      </c>
      <c r="J211" s="623">
        <f>I211*$J$7</f>
        <v>36300</v>
      </c>
      <c r="K211" s="631"/>
      <c r="L211" s="631"/>
      <c r="M211" s="631"/>
      <c r="N211" s="631"/>
      <c r="O211" s="631"/>
      <c r="P211" s="631"/>
      <c r="Q211" s="631"/>
      <c r="R211" s="631"/>
      <c r="S211" s="631"/>
    </row>
    <row r="212" spans="1:19" ht="15" customHeight="1" outlineLevel="1">
      <c r="A212" s="626">
        <f t="shared" si="28"/>
        <v>204</v>
      </c>
      <c r="B212" s="625" t="s">
        <v>1775</v>
      </c>
      <c r="C212" s="626" t="s">
        <v>2</v>
      </c>
      <c r="D212" s="624">
        <f t="shared" si="27"/>
        <v>44880</v>
      </c>
      <c r="E212" s="626" t="s">
        <v>1776</v>
      </c>
      <c r="F212" s="631"/>
      <c r="G212" s="631"/>
      <c r="H212" s="631">
        <v>2017</v>
      </c>
      <c r="I212" s="623">
        <v>40800</v>
      </c>
      <c r="J212" s="623">
        <f t="shared" si="24"/>
        <v>44880</v>
      </c>
      <c r="K212" s="631"/>
      <c r="L212" s="631"/>
      <c r="M212" s="631"/>
      <c r="N212" s="631"/>
      <c r="O212" s="631"/>
      <c r="P212" s="631"/>
      <c r="Q212" s="631"/>
      <c r="R212" s="631"/>
      <c r="S212" s="631"/>
    </row>
    <row r="213" spans="1:19" ht="15" customHeight="1" outlineLevel="1">
      <c r="A213" s="626">
        <f t="shared" si="28"/>
        <v>205</v>
      </c>
      <c r="B213" s="625" t="s">
        <v>1774</v>
      </c>
      <c r="C213" s="626" t="s">
        <v>2</v>
      </c>
      <c r="D213" s="624">
        <f t="shared" si="27"/>
        <v>57970.000000000007</v>
      </c>
      <c r="E213" s="626" t="s">
        <v>1776</v>
      </c>
      <c r="F213" s="631"/>
      <c r="G213" s="631"/>
      <c r="H213" s="631"/>
      <c r="I213" s="623">
        <v>52700</v>
      </c>
      <c r="J213" s="623">
        <f t="shared" si="24"/>
        <v>57970.000000000007</v>
      </c>
      <c r="K213" s="631"/>
      <c r="L213" s="631"/>
      <c r="M213" s="631"/>
      <c r="N213" s="631"/>
      <c r="O213" s="631"/>
      <c r="P213" s="631"/>
      <c r="Q213" s="631"/>
      <c r="R213" s="631"/>
      <c r="S213" s="631"/>
    </row>
    <row r="214" spans="1:19" ht="15" customHeight="1" outlineLevel="1">
      <c r="A214" s="626">
        <f t="shared" si="28"/>
        <v>206</v>
      </c>
      <c r="B214" s="625" t="s">
        <v>1778</v>
      </c>
      <c r="C214" s="626" t="s">
        <v>2</v>
      </c>
      <c r="D214" s="624">
        <f t="shared" si="27"/>
        <v>710985</v>
      </c>
      <c r="E214" s="626" t="s">
        <v>1777</v>
      </c>
      <c r="F214" s="631"/>
      <c r="G214" s="631"/>
      <c r="H214" s="631">
        <v>2017</v>
      </c>
      <c r="I214" s="623">
        <v>646350</v>
      </c>
      <c r="J214" s="623">
        <f t="shared" si="24"/>
        <v>710985</v>
      </c>
      <c r="K214" s="631"/>
      <c r="L214" s="631"/>
      <c r="M214" s="631"/>
      <c r="N214" s="631"/>
      <c r="O214" s="631"/>
      <c r="P214" s="631"/>
      <c r="Q214" s="631"/>
      <c r="R214" s="631"/>
      <c r="S214" s="631"/>
    </row>
    <row r="215" spans="1:19" ht="15" customHeight="1" outlineLevel="1">
      <c r="A215" s="626">
        <f t="shared" si="28"/>
        <v>207</v>
      </c>
      <c r="B215" s="625" t="s">
        <v>1780</v>
      </c>
      <c r="C215" s="626" t="s">
        <v>3</v>
      </c>
      <c r="D215" s="624">
        <f t="shared" si="27"/>
        <v>82940</v>
      </c>
      <c r="E215" s="626" t="s">
        <v>1941</v>
      </c>
      <c r="F215" s="631"/>
      <c r="G215" s="631"/>
      <c r="H215" s="631">
        <v>2017</v>
      </c>
      <c r="I215" s="623">
        <v>75400</v>
      </c>
      <c r="J215" s="623">
        <f t="shared" si="24"/>
        <v>82940</v>
      </c>
      <c r="K215" s="631"/>
      <c r="L215" s="631"/>
      <c r="M215" s="631"/>
      <c r="N215" s="631"/>
      <c r="O215" s="631"/>
      <c r="P215" s="631"/>
      <c r="Q215" s="631"/>
      <c r="R215" s="631"/>
      <c r="S215" s="631"/>
    </row>
    <row r="216" spans="1:19" ht="15" customHeight="1" outlineLevel="1">
      <c r="A216" s="626">
        <f t="shared" si="28"/>
        <v>208</v>
      </c>
      <c r="B216" s="625" t="s">
        <v>662</v>
      </c>
      <c r="C216" s="626" t="s">
        <v>663</v>
      </c>
      <c r="D216" s="624">
        <f>J216</f>
        <v>1133000</v>
      </c>
      <c r="E216" s="626" t="s">
        <v>1342</v>
      </c>
      <c r="F216" s="631"/>
      <c r="G216" s="631"/>
      <c r="H216" s="631"/>
      <c r="I216" s="623">
        <f>10300*100</f>
        <v>1030000</v>
      </c>
      <c r="J216" s="623">
        <f>I216*$J$7</f>
        <v>1133000</v>
      </c>
      <c r="K216" s="631"/>
      <c r="L216" s="631"/>
      <c r="M216" s="631"/>
      <c r="N216" s="631"/>
      <c r="O216" s="631"/>
      <c r="P216" s="631"/>
      <c r="Q216" s="631"/>
      <c r="R216" s="631"/>
      <c r="S216" s="631"/>
    </row>
    <row r="217" spans="1:19" ht="51" outlineLevel="1">
      <c r="A217" s="626">
        <f t="shared" si="28"/>
        <v>209</v>
      </c>
      <c r="B217" s="625" t="s">
        <v>656</v>
      </c>
      <c r="C217" s="626" t="s">
        <v>141</v>
      </c>
      <c r="D217" s="624">
        <f>J217</f>
        <v>660000</v>
      </c>
      <c r="E217" s="626" t="s">
        <v>657</v>
      </c>
      <c r="F217" s="631"/>
      <c r="G217" s="631"/>
      <c r="H217" s="631"/>
      <c r="I217" s="623">
        <v>600000</v>
      </c>
      <c r="J217" s="623">
        <f>I217*$J$7</f>
        <v>660000</v>
      </c>
      <c r="K217" s="631"/>
      <c r="L217" s="631"/>
      <c r="M217" s="631"/>
      <c r="N217" s="631"/>
      <c r="O217" s="631" t="s">
        <v>658</v>
      </c>
      <c r="P217" s="631"/>
      <c r="Q217" s="631"/>
      <c r="R217" s="631"/>
      <c r="S217" s="631"/>
    </row>
    <row r="218" spans="1:19" ht="51" outlineLevel="1">
      <c r="A218" s="626">
        <f t="shared" si="28"/>
        <v>210</v>
      </c>
      <c r="B218" s="625" t="s">
        <v>659</v>
      </c>
      <c r="C218" s="626" t="s">
        <v>141</v>
      </c>
      <c r="D218" s="624">
        <f>J218</f>
        <v>4730000</v>
      </c>
      <c r="E218" s="626" t="s">
        <v>660</v>
      </c>
      <c r="F218" s="631"/>
      <c r="G218" s="631"/>
      <c r="H218" s="631"/>
      <c r="I218" s="623">
        <v>4300000</v>
      </c>
      <c r="J218" s="623">
        <f>I218*$J$7</f>
        <v>4730000</v>
      </c>
      <c r="K218" s="631"/>
      <c r="L218" s="631"/>
      <c r="M218" s="631"/>
      <c r="N218" s="631"/>
      <c r="O218" s="631"/>
      <c r="P218" s="631"/>
      <c r="Q218" s="631"/>
      <c r="R218" s="631"/>
      <c r="S218" s="631"/>
    </row>
    <row r="219" spans="1:19" ht="25.5" outlineLevel="1">
      <c r="A219" s="626">
        <f t="shared" ref="A219:A266" si="29">A218+1</f>
        <v>211</v>
      </c>
      <c r="B219" s="625" t="s">
        <v>664</v>
      </c>
      <c r="C219" s="626" t="s">
        <v>2</v>
      </c>
      <c r="D219" s="624">
        <f>J219</f>
        <v>880000.00000000012</v>
      </c>
      <c r="E219" s="626" t="s">
        <v>657</v>
      </c>
      <c r="F219" s="631"/>
      <c r="G219" s="631"/>
      <c r="H219" s="631"/>
      <c r="I219" s="623">
        <v>800000</v>
      </c>
      <c r="J219" s="623">
        <f>I219*$J$7</f>
        <v>880000.00000000012</v>
      </c>
      <c r="K219" s="631"/>
      <c r="L219" s="631"/>
      <c r="M219" s="631"/>
      <c r="N219" s="631"/>
      <c r="O219" s="631"/>
      <c r="P219" s="631"/>
      <c r="Q219" s="631"/>
      <c r="R219" s="631"/>
      <c r="S219" s="631"/>
    </row>
    <row r="220" spans="1:19" ht="51" outlineLevel="1">
      <c r="A220" s="626">
        <f t="shared" si="29"/>
        <v>212</v>
      </c>
      <c r="B220" s="625" t="s">
        <v>665</v>
      </c>
      <c r="C220" s="626" t="s">
        <v>2</v>
      </c>
      <c r="D220" s="624">
        <f>J220</f>
        <v>2750000</v>
      </c>
      <c r="E220" s="626" t="s">
        <v>660</v>
      </c>
      <c r="F220" s="631"/>
      <c r="G220" s="631"/>
      <c r="H220" s="631"/>
      <c r="I220" s="623">
        <v>2500000</v>
      </c>
      <c r="J220" s="623">
        <f>I220*$J$7</f>
        <v>2750000</v>
      </c>
      <c r="K220" s="631"/>
      <c r="L220" s="631"/>
      <c r="M220" s="631"/>
      <c r="N220" s="631"/>
      <c r="O220" s="631"/>
      <c r="P220" s="631"/>
      <c r="Q220" s="631"/>
      <c r="R220" s="631"/>
      <c r="S220" s="631"/>
    </row>
    <row r="221" spans="1:19" ht="15" customHeight="1" outlineLevel="1">
      <c r="A221" s="626">
        <f t="shared" si="29"/>
        <v>213</v>
      </c>
      <c r="B221" s="625" t="s">
        <v>699</v>
      </c>
      <c r="C221" s="626" t="s">
        <v>478</v>
      </c>
      <c r="D221" s="624">
        <f t="shared" si="27"/>
        <v>13310.000000000002</v>
      </c>
      <c r="E221" s="626" t="s">
        <v>1441</v>
      </c>
      <c r="F221" s="631"/>
      <c r="G221" s="631"/>
      <c r="H221" s="631"/>
      <c r="I221" s="623">
        <v>12100</v>
      </c>
      <c r="J221" s="623">
        <f t="shared" si="24"/>
        <v>13310.000000000002</v>
      </c>
      <c r="K221" s="631"/>
      <c r="L221" s="631"/>
      <c r="M221" s="631"/>
      <c r="N221" s="631"/>
      <c r="O221" s="631"/>
      <c r="P221" s="631"/>
      <c r="Q221" s="631"/>
      <c r="R221" s="631"/>
      <c r="S221" s="631"/>
    </row>
    <row r="222" spans="1:19" ht="15" customHeight="1" outlineLevel="1">
      <c r="A222" s="626">
        <f t="shared" si="29"/>
        <v>214</v>
      </c>
      <c r="B222" s="625" t="s">
        <v>704</v>
      </c>
      <c r="C222" s="626" t="s">
        <v>194</v>
      </c>
      <c r="D222" s="624">
        <f>J222</f>
        <v>770000.00000000012</v>
      </c>
      <c r="E222" s="626" t="s">
        <v>705</v>
      </c>
      <c r="F222" s="631"/>
      <c r="G222" s="631"/>
      <c r="H222" s="631"/>
      <c r="I222" s="623">
        <v>700000</v>
      </c>
      <c r="J222" s="623">
        <f>I222*$J$7</f>
        <v>770000.00000000012</v>
      </c>
      <c r="K222" s="631"/>
      <c r="L222" s="631"/>
      <c r="M222" s="631"/>
      <c r="N222" s="631"/>
      <c r="O222" s="631"/>
      <c r="P222" s="631"/>
      <c r="Q222" s="631"/>
      <c r="R222" s="631"/>
      <c r="S222" s="631"/>
    </row>
    <row r="223" spans="1:19" ht="15" customHeight="1" outlineLevel="1">
      <c r="A223" s="626">
        <f t="shared" si="29"/>
        <v>215</v>
      </c>
      <c r="B223" s="625" t="s">
        <v>706</v>
      </c>
      <c r="C223" s="626" t="s">
        <v>455</v>
      </c>
      <c r="D223" s="624">
        <f>J223</f>
        <v>5500000</v>
      </c>
      <c r="E223" s="626" t="s">
        <v>705</v>
      </c>
      <c r="F223" s="631"/>
      <c r="G223" s="631"/>
      <c r="H223" s="631"/>
      <c r="I223" s="623">
        <v>5000000</v>
      </c>
      <c r="J223" s="623">
        <f>I223*$J$7</f>
        <v>5500000</v>
      </c>
      <c r="K223" s="631"/>
      <c r="L223" s="631"/>
      <c r="M223" s="631"/>
      <c r="N223" s="631"/>
      <c r="O223" s="631"/>
      <c r="P223" s="631"/>
      <c r="Q223" s="631"/>
      <c r="R223" s="631"/>
      <c r="S223" s="631"/>
    </row>
    <row r="224" spans="1:19" ht="15" customHeight="1" outlineLevel="1">
      <c r="A224" s="626">
        <f t="shared" si="29"/>
        <v>216</v>
      </c>
      <c r="B224" s="625" t="s">
        <v>707</v>
      </c>
      <c r="C224" s="626" t="s">
        <v>4</v>
      </c>
      <c r="D224" s="624">
        <f>J224</f>
        <v>605000</v>
      </c>
      <c r="E224" s="626" t="s">
        <v>705</v>
      </c>
      <c r="F224" s="631"/>
      <c r="G224" s="631"/>
      <c r="H224" s="631"/>
      <c r="I224" s="623">
        <v>550000</v>
      </c>
      <c r="J224" s="623">
        <f>I224*$J$7</f>
        <v>605000</v>
      </c>
      <c r="K224" s="631"/>
      <c r="L224" s="631"/>
      <c r="M224" s="631"/>
      <c r="N224" s="631"/>
      <c r="O224" s="631"/>
      <c r="P224" s="631"/>
      <c r="Q224" s="631"/>
      <c r="R224" s="631"/>
      <c r="S224" s="631"/>
    </row>
    <row r="225" spans="1:19" ht="15" customHeight="1" outlineLevel="1">
      <c r="A225" s="626">
        <f t="shared" si="29"/>
        <v>217</v>
      </c>
      <c r="B225" s="625" t="s">
        <v>1779</v>
      </c>
      <c r="C225" s="626" t="s">
        <v>455</v>
      </c>
      <c r="D225" s="624">
        <f t="shared" si="27"/>
        <v>5596800</v>
      </c>
      <c r="E225" s="626" t="s">
        <v>1399</v>
      </c>
      <c r="F225" s="631"/>
      <c r="G225" s="631"/>
      <c r="H225" s="631"/>
      <c r="I225" s="623">
        <v>5088000</v>
      </c>
      <c r="J225" s="623">
        <f t="shared" si="24"/>
        <v>5596800</v>
      </c>
      <c r="K225" s="631"/>
      <c r="L225" s="631"/>
      <c r="M225" s="631"/>
      <c r="N225" s="631"/>
      <c r="O225" s="631"/>
      <c r="P225" s="631"/>
      <c r="Q225" s="631"/>
      <c r="R225" s="631"/>
      <c r="S225" s="631"/>
    </row>
    <row r="226" spans="1:19" ht="15" customHeight="1" outlineLevel="1">
      <c r="A226" s="626">
        <f t="shared" si="29"/>
        <v>218</v>
      </c>
      <c r="B226" s="625" t="s">
        <v>1561</v>
      </c>
      <c r="C226" s="626" t="s">
        <v>2</v>
      </c>
      <c r="D226" s="624">
        <f>J226</f>
        <v>28880280.000000004</v>
      </c>
      <c r="E226" s="626" t="s">
        <v>1315</v>
      </c>
      <c r="F226" s="631"/>
      <c r="G226" s="631"/>
      <c r="H226" s="631"/>
      <c r="I226" s="623">
        <v>26254800</v>
      </c>
      <c r="J226" s="623">
        <f t="shared" ref="J226:J263" si="30">I226*$J$7</f>
        <v>28880280.000000004</v>
      </c>
      <c r="K226" s="631"/>
      <c r="L226" s="631"/>
      <c r="M226" s="631"/>
      <c r="N226" s="631"/>
      <c r="O226" s="631"/>
      <c r="P226" s="631"/>
      <c r="Q226" s="631"/>
      <c r="R226" s="631"/>
      <c r="S226" s="631"/>
    </row>
    <row r="227" spans="1:19" ht="15" customHeight="1" outlineLevel="1">
      <c r="A227" s="626">
        <f t="shared" si="29"/>
        <v>219</v>
      </c>
      <c r="B227" s="625" t="s">
        <v>1720</v>
      </c>
      <c r="C227" s="626" t="s">
        <v>2</v>
      </c>
      <c r="D227" s="624">
        <f>J227</f>
        <v>3135000.0000000005</v>
      </c>
      <c r="E227" s="626" t="s">
        <v>1721</v>
      </c>
      <c r="F227" s="631"/>
      <c r="G227" s="631"/>
      <c r="H227" s="631"/>
      <c r="I227" s="623">
        <v>2850000</v>
      </c>
      <c r="J227" s="623">
        <f t="shared" si="30"/>
        <v>3135000.0000000005</v>
      </c>
      <c r="K227" s="631"/>
      <c r="L227" s="631"/>
      <c r="M227" s="631"/>
      <c r="N227" s="631"/>
      <c r="O227" s="631"/>
      <c r="P227" s="631"/>
      <c r="Q227" s="631"/>
      <c r="R227" s="631"/>
      <c r="S227" s="631"/>
    </row>
    <row r="228" spans="1:19" ht="30" customHeight="1" outlineLevel="1">
      <c r="A228" s="626">
        <f t="shared" si="29"/>
        <v>220</v>
      </c>
      <c r="B228" s="625" t="s">
        <v>679</v>
      </c>
      <c r="C228" s="626" t="s">
        <v>2</v>
      </c>
      <c r="D228" s="624">
        <f>J228</f>
        <v>2499200</v>
      </c>
      <c r="E228" s="626" t="s">
        <v>680</v>
      </c>
      <c r="F228" s="631"/>
      <c r="G228" s="631"/>
      <c r="H228" s="631"/>
      <c r="I228" s="623">
        <v>2272000</v>
      </c>
      <c r="J228" s="623">
        <f t="shared" si="30"/>
        <v>2499200</v>
      </c>
      <c r="K228" s="631"/>
      <c r="L228" s="631"/>
      <c r="M228" s="631"/>
      <c r="N228" s="631"/>
      <c r="O228" s="631"/>
      <c r="P228" s="631"/>
      <c r="Q228" s="631"/>
      <c r="R228" s="631"/>
      <c r="S228" s="631"/>
    </row>
    <row r="229" spans="1:19" ht="15" customHeight="1" outlineLevel="1">
      <c r="A229" s="626">
        <f t="shared" si="29"/>
        <v>221</v>
      </c>
      <c r="B229" s="625" t="s">
        <v>683</v>
      </c>
      <c r="C229" s="626" t="s">
        <v>2</v>
      </c>
      <c r="D229" s="624">
        <f>J229</f>
        <v>126500.00000000001</v>
      </c>
      <c r="E229" s="626" t="s">
        <v>684</v>
      </c>
      <c r="F229" s="631"/>
      <c r="G229" s="631"/>
      <c r="H229" s="631"/>
      <c r="I229" s="623">
        <v>115000</v>
      </c>
      <c r="J229" s="623">
        <f t="shared" si="30"/>
        <v>126500.00000000001</v>
      </c>
      <c r="K229" s="631"/>
      <c r="L229" s="631"/>
      <c r="M229" s="631"/>
      <c r="N229" s="631"/>
      <c r="O229" s="631"/>
      <c r="P229" s="631"/>
      <c r="Q229" s="631"/>
      <c r="R229" s="631"/>
      <c r="S229" s="631"/>
    </row>
    <row r="230" spans="1:19" ht="15" customHeight="1" outlineLevel="1">
      <c r="A230" s="626">
        <f t="shared" si="29"/>
        <v>222</v>
      </c>
      <c r="B230" s="625" t="s">
        <v>685</v>
      </c>
      <c r="C230" s="626" t="s">
        <v>2</v>
      </c>
      <c r="D230" s="624">
        <f>J230</f>
        <v>302500</v>
      </c>
      <c r="E230" s="626" t="s">
        <v>686</v>
      </c>
      <c r="F230" s="631"/>
      <c r="G230" s="631"/>
      <c r="H230" s="631"/>
      <c r="I230" s="623">
        <v>275000</v>
      </c>
      <c r="J230" s="623">
        <f t="shared" si="30"/>
        <v>302500</v>
      </c>
      <c r="K230" s="631"/>
      <c r="L230" s="631"/>
      <c r="M230" s="631"/>
      <c r="N230" s="631"/>
      <c r="O230" s="631"/>
      <c r="P230" s="631"/>
      <c r="Q230" s="631"/>
      <c r="R230" s="631"/>
      <c r="S230" s="631"/>
    </row>
    <row r="231" spans="1:19" ht="15" customHeight="1" outlineLevel="1">
      <c r="A231" s="626">
        <f t="shared" si="29"/>
        <v>223</v>
      </c>
      <c r="B231" s="625" t="s">
        <v>687</v>
      </c>
      <c r="C231" s="626" t="s">
        <v>2</v>
      </c>
      <c r="D231" s="624">
        <f t="shared" ref="D231:D233" si="31">J231</f>
        <v>275000</v>
      </c>
      <c r="E231" s="626" t="s">
        <v>688</v>
      </c>
      <c r="F231" s="631"/>
      <c r="G231" s="631"/>
      <c r="H231" s="631"/>
      <c r="I231" s="623">
        <v>250000</v>
      </c>
      <c r="J231" s="623">
        <f t="shared" si="30"/>
        <v>275000</v>
      </c>
      <c r="K231" s="631"/>
      <c r="L231" s="631"/>
      <c r="M231" s="631"/>
      <c r="N231" s="631"/>
      <c r="O231" s="631"/>
      <c r="P231" s="631"/>
      <c r="Q231" s="631"/>
      <c r="R231" s="631"/>
      <c r="S231" s="631"/>
    </row>
    <row r="232" spans="1:19" ht="15" customHeight="1" outlineLevel="1">
      <c r="A232" s="626">
        <f t="shared" si="29"/>
        <v>224</v>
      </c>
      <c r="B232" s="625" t="s">
        <v>689</v>
      </c>
      <c r="C232" s="626" t="s">
        <v>2</v>
      </c>
      <c r="D232" s="624">
        <f t="shared" si="31"/>
        <v>127050.00000000001</v>
      </c>
      <c r="E232" s="626" t="s">
        <v>690</v>
      </c>
      <c r="F232" s="631"/>
      <c r="G232" s="631"/>
      <c r="H232" s="631"/>
      <c r="I232" s="623">
        <v>115500</v>
      </c>
      <c r="J232" s="623">
        <f t="shared" si="30"/>
        <v>127050.00000000001</v>
      </c>
      <c r="K232" s="631"/>
      <c r="L232" s="631"/>
      <c r="M232" s="631"/>
      <c r="N232" s="631"/>
      <c r="O232" s="631"/>
      <c r="P232" s="631"/>
      <c r="Q232" s="631"/>
      <c r="R232" s="631"/>
      <c r="S232" s="631"/>
    </row>
    <row r="233" spans="1:19" ht="15" customHeight="1" outlineLevel="1">
      <c r="A233" s="626">
        <f t="shared" si="29"/>
        <v>225</v>
      </c>
      <c r="B233" s="625" t="s">
        <v>691</v>
      </c>
      <c r="C233" s="626" t="s">
        <v>2</v>
      </c>
      <c r="D233" s="624">
        <f t="shared" si="31"/>
        <v>7672500.0000000009</v>
      </c>
      <c r="E233" s="626" t="s">
        <v>692</v>
      </c>
      <c r="F233" s="631"/>
      <c r="G233" s="631"/>
      <c r="H233" s="631"/>
      <c r="I233" s="623">
        <v>6975000</v>
      </c>
      <c r="J233" s="623">
        <f t="shared" si="30"/>
        <v>7672500.0000000009</v>
      </c>
      <c r="K233" s="631"/>
      <c r="L233" s="631"/>
      <c r="M233" s="631"/>
      <c r="N233" s="631"/>
      <c r="O233" s="631"/>
      <c r="P233" s="631"/>
      <c r="Q233" s="631"/>
      <c r="R233" s="631"/>
      <c r="S233" s="631"/>
    </row>
    <row r="234" spans="1:19" ht="15" customHeight="1" outlineLevel="1">
      <c r="A234" s="626">
        <f t="shared" si="29"/>
        <v>226</v>
      </c>
      <c r="B234" s="625" t="s">
        <v>693</v>
      </c>
      <c r="C234" s="626" t="s">
        <v>2</v>
      </c>
      <c r="D234" s="624">
        <f t="shared" ref="D234:D251" si="32">J234</f>
        <v>694100</v>
      </c>
      <c r="E234" s="626" t="s">
        <v>694</v>
      </c>
      <c r="F234" s="631"/>
      <c r="G234" s="631"/>
      <c r="H234" s="631"/>
      <c r="I234" s="623">
        <v>631000</v>
      </c>
      <c r="J234" s="623">
        <f t="shared" si="30"/>
        <v>694100</v>
      </c>
      <c r="K234" s="631"/>
      <c r="L234" s="631"/>
      <c r="M234" s="631"/>
      <c r="N234" s="631"/>
      <c r="O234" s="631"/>
      <c r="P234" s="631"/>
      <c r="Q234" s="631"/>
      <c r="R234" s="631"/>
      <c r="S234" s="631"/>
    </row>
    <row r="235" spans="1:19" ht="15" customHeight="1" outlineLevel="1">
      <c r="A235" s="626">
        <f t="shared" si="29"/>
        <v>227</v>
      </c>
      <c r="B235" s="625" t="s">
        <v>695</v>
      </c>
      <c r="C235" s="626" t="s">
        <v>2</v>
      </c>
      <c r="D235" s="624">
        <f t="shared" si="32"/>
        <v>15728900.000000002</v>
      </c>
      <c r="E235" s="626" t="s">
        <v>694</v>
      </c>
      <c r="F235" s="631"/>
      <c r="G235" s="631"/>
      <c r="H235" s="631"/>
      <c r="I235" s="623">
        <v>14299000</v>
      </c>
      <c r="J235" s="623">
        <f t="shared" si="30"/>
        <v>15728900.000000002</v>
      </c>
      <c r="K235" s="631"/>
      <c r="L235" s="631"/>
      <c r="M235" s="631"/>
      <c r="N235" s="631"/>
      <c r="O235" s="631"/>
      <c r="P235" s="631"/>
      <c r="Q235" s="631"/>
      <c r="R235" s="631"/>
      <c r="S235" s="631"/>
    </row>
    <row r="236" spans="1:19" ht="15" customHeight="1" outlineLevel="1">
      <c r="A236" s="626">
        <f t="shared" si="29"/>
        <v>228</v>
      </c>
      <c r="B236" s="625" t="s">
        <v>696</v>
      </c>
      <c r="C236" s="626" t="s">
        <v>2</v>
      </c>
      <c r="D236" s="624">
        <f t="shared" si="32"/>
        <v>4207500</v>
      </c>
      <c r="E236" s="626" t="s">
        <v>694</v>
      </c>
      <c r="F236" s="631"/>
      <c r="G236" s="631"/>
      <c r="H236" s="631"/>
      <c r="I236" s="623">
        <v>3825000</v>
      </c>
      <c r="J236" s="623">
        <f t="shared" si="30"/>
        <v>4207500</v>
      </c>
      <c r="K236" s="631"/>
      <c r="L236" s="631"/>
      <c r="M236" s="631"/>
      <c r="N236" s="631"/>
      <c r="O236" s="631"/>
      <c r="P236" s="631"/>
      <c r="Q236" s="631"/>
      <c r="R236" s="631"/>
      <c r="S236" s="631"/>
    </row>
    <row r="237" spans="1:19" ht="15" customHeight="1" outlineLevel="1">
      <c r="A237" s="626">
        <f t="shared" si="29"/>
        <v>229</v>
      </c>
      <c r="B237" s="625" t="s">
        <v>1745</v>
      </c>
      <c r="C237" s="626" t="s">
        <v>2</v>
      </c>
      <c r="D237" s="624">
        <f t="shared" si="32"/>
        <v>770000.00000000012</v>
      </c>
      <c r="E237" s="626" t="s">
        <v>1744</v>
      </c>
      <c r="F237" s="631"/>
      <c r="G237" s="631"/>
      <c r="H237" s="631">
        <v>2017</v>
      </c>
      <c r="I237" s="623">
        <v>700000</v>
      </c>
      <c r="J237" s="623">
        <f t="shared" si="30"/>
        <v>770000.00000000012</v>
      </c>
      <c r="K237" s="631"/>
      <c r="L237" s="631"/>
      <c r="M237" s="631"/>
      <c r="N237" s="631"/>
      <c r="O237" s="631"/>
      <c r="P237" s="631"/>
      <c r="Q237" s="631"/>
      <c r="R237" s="631"/>
      <c r="S237" s="631"/>
    </row>
    <row r="238" spans="1:19" ht="15" customHeight="1" outlineLevel="1">
      <c r="A238" s="626">
        <f t="shared" si="29"/>
        <v>230</v>
      </c>
      <c r="B238" s="625" t="s">
        <v>1711</v>
      </c>
      <c r="C238" s="626" t="s">
        <v>141</v>
      </c>
      <c r="D238" s="624">
        <f t="shared" si="32"/>
        <v>220000.00000000003</v>
      </c>
      <c r="E238" s="626" t="s">
        <v>1710</v>
      </c>
      <c r="F238" s="631"/>
      <c r="G238" s="631"/>
      <c r="H238" s="631"/>
      <c r="I238" s="623">
        <v>200000</v>
      </c>
      <c r="J238" s="623">
        <f t="shared" si="30"/>
        <v>220000.00000000003</v>
      </c>
      <c r="K238" s="631"/>
      <c r="L238" s="631"/>
      <c r="M238" s="631"/>
      <c r="N238" s="631"/>
      <c r="O238" s="631"/>
      <c r="P238" s="631"/>
      <c r="Q238" s="631"/>
      <c r="R238" s="631"/>
      <c r="S238" s="631"/>
    </row>
    <row r="239" spans="1:19" ht="15" customHeight="1" outlineLevel="1">
      <c r="A239" s="626">
        <f t="shared" si="29"/>
        <v>231</v>
      </c>
      <c r="B239" s="625" t="s">
        <v>1318</v>
      </c>
      <c r="C239" s="626" t="s">
        <v>141</v>
      </c>
      <c r="D239" s="624">
        <f t="shared" si="32"/>
        <v>269500</v>
      </c>
      <c r="E239" s="626" t="s">
        <v>1320</v>
      </c>
      <c r="F239" s="631"/>
      <c r="G239" s="631"/>
      <c r="H239" s="631"/>
      <c r="I239" s="623">
        <v>245000</v>
      </c>
      <c r="J239" s="623">
        <f t="shared" si="30"/>
        <v>269500</v>
      </c>
      <c r="K239" s="631"/>
      <c r="L239" s="631"/>
      <c r="M239" s="631"/>
      <c r="N239" s="631"/>
      <c r="O239" s="631"/>
      <c r="P239" s="631"/>
      <c r="Q239" s="631"/>
      <c r="R239" s="631"/>
      <c r="S239" s="631"/>
    </row>
    <row r="240" spans="1:19" ht="15" customHeight="1" outlineLevel="1">
      <c r="A240" s="626">
        <f t="shared" si="29"/>
        <v>232</v>
      </c>
      <c r="B240" s="625" t="s">
        <v>1319</v>
      </c>
      <c r="C240" s="626" t="s">
        <v>141</v>
      </c>
      <c r="D240" s="624">
        <f t="shared" si="32"/>
        <v>297000</v>
      </c>
      <c r="E240" s="626" t="s">
        <v>1320</v>
      </c>
      <c r="F240" s="631"/>
      <c r="G240" s="631"/>
      <c r="H240" s="631"/>
      <c r="I240" s="623">
        <v>270000</v>
      </c>
      <c r="J240" s="623">
        <f t="shared" si="30"/>
        <v>297000</v>
      </c>
      <c r="K240" s="631"/>
      <c r="L240" s="631"/>
      <c r="M240" s="631"/>
      <c r="N240" s="631"/>
      <c r="O240" s="631"/>
      <c r="P240" s="631"/>
      <c r="Q240" s="631"/>
      <c r="R240" s="631"/>
      <c r="S240" s="631"/>
    </row>
    <row r="241" spans="1:19" ht="15" customHeight="1" outlineLevel="1">
      <c r="A241" s="626">
        <f t="shared" si="29"/>
        <v>233</v>
      </c>
      <c r="B241" s="625" t="s">
        <v>1709</v>
      </c>
      <c r="C241" s="626" t="s">
        <v>141</v>
      </c>
      <c r="D241" s="624">
        <f t="shared" si="32"/>
        <v>523600.00000000006</v>
      </c>
      <c r="E241" s="626" t="s">
        <v>1710</v>
      </c>
      <c r="F241" s="631"/>
      <c r="G241" s="631"/>
      <c r="H241" s="631"/>
      <c r="I241" s="623">
        <v>476000</v>
      </c>
      <c r="J241" s="623">
        <f t="shared" si="30"/>
        <v>523600.00000000006</v>
      </c>
      <c r="K241" s="631"/>
      <c r="L241" s="631"/>
      <c r="M241" s="631"/>
      <c r="N241" s="631"/>
      <c r="O241" s="631"/>
      <c r="P241" s="631"/>
      <c r="Q241" s="631"/>
      <c r="R241" s="631"/>
      <c r="S241" s="631"/>
    </row>
    <row r="242" spans="1:19" ht="15" customHeight="1" outlineLevel="1">
      <c r="A242" s="626">
        <f t="shared" si="29"/>
        <v>234</v>
      </c>
      <c r="B242" s="625" t="s">
        <v>553</v>
      </c>
      <c r="C242" s="626" t="s">
        <v>455</v>
      </c>
      <c r="D242" s="624">
        <f t="shared" si="32"/>
        <v>1385999.9999999998</v>
      </c>
      <c r="E242" s="626" t="s">
        <v>1441</v>
      </c>
      <c r="F242" s="631"/>
      <c r="G242" s="631"/>
      <c r="H242" s="631"/>
      <c r="I242" s="623">
        <f>1.5*2.4*L245</f>
        <v>1259999.9999999998</v>
      </c>
      <c r="J242" s="623">
        <f t="shared" si="30"/>
        <v>1385999.9999999998</v>
      </c>
      <c r="K242" s="631"/>
      <c r="L242" s="631"/>
      <c r="M242" s="631"/>
      <c r="N242" s="631"/>
      <c r="O242" s="631"/>
      <c r="P242" s="631"/>
      <c r="Q242" s="631"/>
      <c r="R242" s="631"/>
      <c r="S242" s="631"/>
    </row>
    <row r="243" spans="1:19" ht="15" customHeight="1" outlineLevel="1">
      <c r="A243" s="626">
        <f t="shared" si="29"/>
        <v>235</v>
      </c>
      <c r="B243" s="625" t="s">
        <v>554</v>
      </c>
      <c r="C243" s="626" t="s">
        <v>455</v>
      </c>
      <c r="D243" s="624">
        <f t="shared" si="32"/>
        <v>1755600</v>
      </c>
      <c r="E243" s="626" t="s">
        <v>1441</v>
      </c>
      <c r="F243" s="631"/>
      <c r="G243" s="631"/>
      <c r="H243" s="631"/>
      <c r="I243" s="623">
        <f>1.9*2.4*L245</f>
        <v>1595999.9999999998</v>
      </c>
      <c r="J243" s="623">
        <f t="shared" si="30"/>
        <v>1755600</v>
      </c>
      <c r="K243" s="631"/>
      <c r="L243" s="631"/>
      <c r="M243" s="631"/>
      <c r="N243" s="631"/>
      <c r="O243" s="631"/>
      <c r="P243" s="631"/>
      <c r="Q243" s="631"/>
      <c r="R243" s="631"/>
      <c r="S243" s="631"/>
    </row>
    <row r="244" spans="1:19" ht="15" customHeight="1" outlineLevel="1">
      <c r="A244" s="626">
        <f t="shared" si="29"/>
        <v>236</v>
      </c>
      <c r="B244" s="625" t="s">
        <v>558</v>
      </c>
      <c r="C244" s="626" t="s">
        <v>2</v>
      </c>
      <c r="D244" s="624">
        <f t="shared" si="32"/>
        <v>1397550</v>
      </c>
      <c r="E244" s="626" t="s">
        <v>1441</v>
      </c>
      <c r="F244" s="631"/>
      <c r="G244" s="631"/>
      <c r="H244" s="631"/>
      <c r="I244" s="623">
        <f>3.3*1.1*L245</f>
        <v>1270500</v>
      </c>
      <c r="J244" s="623">
        <f t="shared" si="30"/>
        <v>1397550</v>
      </c>
      <c r="K244" s="631"/>
      <c r="L244" s="631" t="s">
        <v>1441</v>
      </c>
      <c r="M244" s="631"/>
      <c r="N244" s="631"/>
      <c r="O244" s="631"/>
      <c r="P244" s="631"/>
      <c r="Q244" s="631"/>
      <c r="R244" s="631"/>
      <c r="S244" s="631"/>
    </row>
    <row r="245" spans="1:19" ht="15" customHeight="1" outlineLevel="1">
      <c r="A245" s="626">
        <f t="shared" si="29"/>
        <v>237</v>
      </c>
      <c r="B245" s="625" t="s">
        <v>559</v>
      </c>
      <c r="C245" s="626" t="s">
        <v>2</v>
      </c>
      <c r="D245" s="624">
        <f t="shared" si="32"/>
        <v>804650.00000000012</v>
      </c>
      <c r="E245" s="626" t="s">
        <v>1441</v>
      </c>
      <c r="F245" s="631"/>
      <c r="G245" s="631"/>
      <c r="H245" s="631"/>
      <c r="I245" s="623">
        <f>1.1*1.9*L245</f>
        <v>731500</v>
      </c>
      <c r="J245" s="623">
        <f t="shared" si="30"/>
        <v>804650.00000000012</v>
      </c>
      <c r="K245" s="631" t="s">
        <v>1440</v>
      </c>
      <c r="L245" s="631">
        <v>350000</v>
      </c>
      <c r="M245" s="631"/>
      <c r="N245" s="631"/>
      <c r="O245" s="631"/>
      <c r="P245" s="631"/>
      <c r="Q245" s="631"/>
      <c r="R245" s="631"/>
      <c r="S245" s="631"/>
    </row>
    <row r="246" spans="1:19" ht="15" customHeight="1" outlineLevel="1">
      <c r="A246" s="626">
        <f t="shared" si="29"/>
        <v>238</v>
      </c>
      <c r="B246" s="625" t="s">
        <v>1715</v>
      </c>
      <c r="C246" s="626" t="s">
        <v>2</v>
      </c>
      <c r="D246" s="624">
        <f t="shared" si="32"/>
        <v>495000.00000000006</v>
      </c>
      <c r="E246" s="626" t="s">
        <v>1714</v>
      </c>
      <c r="F246" s="631"/>
      <c r="G246" s="631"/>
      <c r="H246" s="631"/>
      <c r="I246" s="623">
        <v>450000</v>
      </c>
      <c r="J246" s="623">
        <f t="shared" si="30"/>
        <v>495000.00000000006</v>
      </c>
      <c r="K246" s="631"/>
      <c r="L246" s="631"/>
      <c r="M246" s="631"/>
      <c r="N246" s="631"/>
      <c r="O246" s="631"/>
      <c r="P246" s="631"/>
      <c r="Q246" s="631"/>
      <c r="R246" s="631"/>
      <c r="S246" s="631"/>
    </row>
    <row r="247" spans="1:19" ht="15" customHeight="1" outlineLevel="1">
      <c r="A247" s="626">
        <f t="shared" si="29"/>
        <v>239</v>
      </c>
      <c r="B247" s="625" t="s">
        <v>703</v>
      </c>
      <c r="C247" s="626" t="s">
        <v>2</v>
      </c>
      <c r="D247" s="624">
        <f t="shared" si="32"/>
        <v>1386000</v>
      </c>
      <c r="E247" s="626" t="s">
        <v>1441</v>
      </c>
      <c r="F247" s="631"/>
      <c r="G247" s="631"/>
      <c r="H247" s="631"/>
      <c r="I247" s="623">
        <v>1260000</v>
      </c>
      <c r="J247" s="623">
        <f t="shared" si="30"/>
        <v>1386000</v>
      </c>
      <c r="K247" s="631"/>
      <c r="L247" s="631"/>
      <c r="M247" s="631"/>
      <c r="N247" s="631"/>
      <c r="O247" s="631"/>
      <c r="P247" s="631"/>
      <c r="Q247" s="631"/>
      <c r="R247" s="631"/>
      <c r="S247" s="631"/>
    </row>
    <row r="248" spans="1:19" ht="15" customHeight="1" outlineLevel="1">
      <c r="A248" s="626">
        <f t="shared" si="29"/>
        <v>240</v>
      </c>
      <c r="B248" s="625" t="s">
        <v>517</v>
      </c>
      <c r="C248" s="626" t="s">
        <v>87</v>
      </c>
      <c r="D248" s="624">
        <f t="shared" si="32"/>
        <v>12100.000000000002</v>
      </c>
      <c r="E248" s="626" t="s">
        <v>518</v>
      </c>
      <c r="F248" s="631"/>
      <c r="G248" s="631"/>
      <c r="H248" s="631"/>
      <c r="I248" s="623">
        <v>11000</v>
      </c>
      <c r="J248" s="623">
        <f t="shared" si="30"/>
        <v>12100.000000000002</v>
      </c>
      <c r="K248" s="631"/>
      <c r="L248" s="631"/>
      <c r="M248" s="631"/>
      <c r="N248" s="631"/>
      <c r="O248" s="631"/>
      <c r="P248" s="631"/>
      <c r="Q248" s="631"/>
      <c r="R248" s="631"/>
      <c r="S248" s="631"/>
    </row>
    <row r="249" spans="1:19" ht="15" customHeight="1" outlineLevel="1">
      <c r="A249" s="626">
        <f t="shared" si="29"/>
        <v>241</v>
      </c>
      <c r="B249" s="625" t="s">
        <v>519</v>
      </c>
      <c r="C249" s="626" t="s">
        <v>87</v>
      </c>
      <c r="D249" s="624">
        <f t="shared" si="32"/>
        <v>19.8</v>
      </c>
      <c r="E249" s="649" t="s">
        <v>2127</v>
      </c>
      <c r="F249" s="631"/>
      <c r="G249" s="631"/>
      <c r="H249" s="631"/>
      <c r="I249" s="641">
        <f>18000/1000</f>
        <v>18</v>
      </c>
      <c r="J249" s="623">
        <f t="shared" si="30"/>
        <v>19.8</v>
      </c>
      <c r="K249" s="631"/>
      <c r="L249" s="631"/>
      <c r="M249" s="631"/>
      <c r="N249" s="631"/>
      <c r="O249" s="631"/>
      <c r="P249" s="631"/>
      <c r="Q249" s="631"/>
      <c r="R249" s="631"/>
      <c r="S249" s="631"/>
    </row>
    <row r="250" spans="1:19" ht="15" customHeight="1" outlineLevel="1">
      <c r="A250" s="626">
        <f t="shared" si="29"/>
        <v>242</v>
      </c>
      <c r="B250" s="625" t="s">
        <v>1027</v>
      </c>
      <c r="C250" s="626" t="s">
        <v>95</v>
      </c>
      <c r="D250" s="624">
        <f t="shared" si="32"/>
        <v>38500</v>
      </c>
      <c r="E250" s="649" t="s">
        <v>4337</v>
      </c>
      <c r="F250" s="631"/>
      <c r="G250" s="631"/>
      <c r="H250" s="631"/>
      <c r="I250" s="641">
        <v>35000</v>
      </c>
      <c r="J250" s="623">
        <f t="shared" si="30"/>
        <v>38500</v>
      </c>
      <c r="K250" s="631"/>
      <c r="L250" s="631"/>
      <c r="M250" s="631"/>
      <c r="N250" s="631"/>
      <c r="O250" s="631"/>
      <c r="P250" s="631"/>
      <c r="Q250" s="631"/>
      <c r="R250" s="631"/>
      <c r="S250" s="631"/>
    </row>
    <row r="251" spans="1:19" ht="15" customHeight="1" outlineLevel="1">
      <c r="A251" s="626">
        <f t="shared" si="29"/>
        <v>243</v>
      </c>
      <c r="B251" s="625" t="s">
        <v>1942</v>
      </c>
      <c r="C251" s="626" t="s">
        <v>95</v>
      </c>
      <c r="D251" s="624">
        <f t="shared" si="32"/>
        <v>88000</v>
      </c>
      <c r="E251" s="626" t="s">
        <v>2121</v>
      </c>
      <c r="F251" s="631"/>
      <c r="G251" s="631"/>
      <c r="H251" s="631"/>
      <c r="I251" s="623">
        <v>80000</v>
      </c>
      <c r="J251" s="623">
        <f t="shared" si="30"/>
        <v>88000</v>
      </c>
      <c r="K251" s="631"/>
      <c r="L251" s="631"/>
      <c r="M251" s="631"/>
      <c r="N251" s="631"/>
      <c r="O251" s="631"/>
      <c r="P251" s="631"/>
      <c r="Q251" s="631"/>
      <c r="R251" s="631"/>
      <c r="S251" s="631"/>
    </row>
    <row r="252" spans="1:19" ht="15" customHeight="1" outlineLevel="1">
      <c r="A252" s="626">
        <f t="shared" si="29"/>
        <v>244</v>
      </c>
      <c r="B252" s="625" t="s">
        <v>644</v>
      </c>
      <c r="C252" s="626" t="s">
        <v>57</v>
      </c>
      <c r="D252" s="624">
        <v>8392.4599999999991</v>
      </c>
      <c r="E252" s="626" t="s">
        <v>645</v>
      </c>
      <c r="F252" s="631" t="s">
        <v>646</v>
      </c>
      <c r="G252" s="631"/>
      <c r="H252" s="631"/>
      <c r="I252" s="623">
        <v>8400</v>
      </c>
      <c r="J252" s="623">
        <f t="shared" si="30"/>
        <v>9240</v>
      </c>
      <c r="K252" s="631"/>
      <c r="L252" s="631"/>
      <c r="M252" s="631"/>
      <c r="N252" s="631"/>
      <c r="O252" s="631"/>
      <c r="P252" s="631"/>
      <c r="Q252" s="631"/>
      <c r="R252" s="631"/>
      <c r="S252" s="631"/>
    </row>
    <row r="253" spans="1:19" ht="15" customHeight="1" outlineLevel="1">
      <c r="A253" s="626">
        <f t="shared" si="29"/>
        <v>245</v>
      </c>
      <c r="B253" s="625" t="s">
        <v>647</v>
      </c>
      <c r="C253" s="626" t="s">
        <v>57</v>
      </c>
      <c r="D253" s="624">
        <v>29000</v>
      </c>
      <c r="E253" s="626" t="s">
        <v>648</v>
      </c>
      <c r="F253" s="631"/>
      <c r="G253" s="631"/>
      <c r="H253" s="631"/>
      <c r="I253" s="623">
        <v>29000</v>
      </c>
      <c r="J253" s="623">
        <f t="shared" si="30"/>
        <v>31900.000000000004</v>
      </c>
      <c r="K253" s="631"/>
      <c r="L253" s="631"/>
      <c r="M253" s="631"/>
      <c r="N253" s="631"/>
      <c r="O253" s="631"/>
      <c r="P253" s="631"/>
      <c r="Q253" s="631"/>
      <c r="R253" s="631"/>
      <c r="S253" s="631"/>
    </row>
    <row r="254" spans="1:19" ht="15" customHeight="1" outlineLevel="1">
      <c r="A254" s="626">
        <f t="shared" si="29"/>
        <v>246</v>
      </c>
      <c r="B254" s="625" t="s">
        <v>563</v>
      </c>
      <c r="C254" s="626" t="s">
        <v>226</v>
      </c>
      <c r="D254" s="624">
        <v>3500</v>
      </c>
      <c r="E254" s="626" t="s">
        <v>1441</v>
      </c>
      <c r="F254" s="631" t="s">
        <v>564</v>
      </c>
      <c r="G254" s="631"/>
      <c r="H254" s="631"/>
      <c r="I254" s="623">
        <v>3500</v>
      </c>
      <c r="J254" s="623">
        <f t="shared" si="30"/>
        <v>3850.0000000000005</v>
      </c>
      <c r="K254" s="631" t="s">
        <v>1468</v>
      </c>
      <c r="L254" s="631"/>
      <c r="M254" s="631"/>
      <c r="N254" s="631"/>
      <c r="O254" s="631"/>
      <c r="P254" s="631"/>
      <c r="Q254" s="631"/>
      <c r="R254" s="631"/>
      <c r="S254" s="631"/>
    </row>
    <row r="255" spans="1:19" ht="15" customHeight="1" outlineLevel="1">
      <c r="A255" s="626">
        <f t="shared" si="29"/>
        <v>247</v>
      </c>
      <c r="B255" s="625" t="s">
        <v>4323</v>
      </c>
      <c r="C255" s="626" t="s">
        <v>3</v>
      </c>
      <c r="D255" s="624">
        <f>J255</f>
        <v>158400</v>
      </c>
      <c r="E255" s="626" t="s">
        <v>4324</v>
      </c>
      <c r="F255" s="631"/>
      <c r="G255" s="631"/>
      <c r="H255" s="631"/>
      <c r="I255" s="623">
        <v>144000</v>
      </c>
      <c r="J255" s="623">
        <f t="shared" si="30"/>
        <v>158400</v>
      </c>
      <c r="K255" s="631"/>
      <c r="L255" s="631"/>
      <c r="M255" s="631"/>
      <c r="N255" s="631"/>
      <c r="O255" s="631"/>
      <c r="P255" s="631"/>
      <c r="Q255" s="631"/>
      <c r="R255" s="631"/>
      <c r="S255" s="631"/>
    </row>
    <row r="256" spans="1:19" ht="15" customHeight="1" outlineLevel="1">
      <c r="A256" s="626">
        <f t="shared" si="29"/>
        <v>248</v>
      </c>
      <c r="B256" s="625" t="s">
        <v>865</v>
      </c>
      <c r="C256" s="626" t="s">
        <v>3</v>
      </c>
      <c r="D256" s="624">
        <f t="shared" ref="D256:D264" si="33">J256</f>
        <v>389400.00000000006</v>
      </c>
      <c r="E256" s="626" t="s">
        <v>4324</v>
      </c>
      <c r="F256" s="631"/>
      <c r="G256" s="631"/>
      <c r="H256" s="631"/>
      <c r="I256" s="623">
        <v>354000</v>
      </c>
      <c r="J256" s="623">
        <f t="shared" si="30"/>
        <v>389400.00000000006</v>
      </c>
      <c r="K256" s="631"/>
      <c r="L256" s="631"/>
      <c r="M256" s="631"/>
      <c r="N256" s="631"/>
      <c r="O256" s="631"/>
      <c r="P256" s="631"/>
      <c r="Q256" s="631"/>
      <c r="R256" s="631"/>
      <c r="S256" s="631"/>
    </row>
    <row r="257" spans="1:19" ht="15" customHeight="1" outlineLevel="1">
      <c r="A257" s="626">
        <f t="shared" si="29"/>
        <v>249</v>
      </c>
      <c r="B257" s="625" t="s">
        <v>1722</v>
      </c>
      <c r="C257" s="626" t="s">
        <v>3</v>
      </c>
      <c r="D257" s="624">
        <f t="shared" si="33"/>
        <v>504900.00000000006</v>
      </c>
      <c r="E257" s="626" t="s">
        <v>4324</v>
      </c>
      <c r="F257" s="631"/>
      <c r="G257" s="631"/>
      <c r="H257" s="631"/>
      <c r="I257" s="623">
        <v>459000</v>
      </c>
      <c r="J257" s="623">
        <f t="shared" si="30"/>
        <v>504900.00000000006</v>
      </c>
      <c r="K257" s="631"/>
      <c r="L257" s="631"/>
      <c r="M257" s="631"/>
      <c r="N257" s="631"/>
      <c r="O257" s="631"/>
      <c r="P257" s="631"/>
      <c r="Q257" s="631"/>
      <c r="R257" s="631"/>
      <c r="S257" s="631"/>
    </row>
    <row r="258" spans="1:19" ht="15" customHeight="1" outlineLevel="1">
      <c r="A258" s="626">
        <f t="shared" si="29"/>
        <v>250</v>
      </c>
      <c r="B258" s="625" t="s">
        <v>562</v>
      </c>
      <c r="C258" s="626" t="s">
        <v>194</v>
      </c>
      <c r="D258" s="624">
        <f t="shared" si="33"/>
        <v>69630</v>
      </c>
      <c r="E258" s="626"/>
      <c r="F258" s="631"/>
      <c r="G258" s="631"/>
      <c r="H258" s="631"/>
      <c r="I258" s="623">
        <v>63300</v>
      </c>
      <c r="J258" s="623">
        <f t="shared" si="30"/>
        <v>69630</v>
      </c>
      <c r="K258" s="631"/>
      <c r="L258" s="631"/>
      <c r="M258" s="631"/>
      <c r="N258" s="631"/>
      <c r="O258" s="631"/>
      <c r="P258" s="631"/>
      <c r="Q258" s="631"/>
      <c r="R258" s="631"/>
      <c r="S258" s="631"/>
    </row>
    <row r="259" spans="1:19" ht="15" customHeight="1" outlineLevel="1">
      <c r="A259" s="626">
        <f t="shared" si="29"/>
        <v>251</v>
      </c>
      <c r="B259" s="625" t="s">
        <v>603</v>
      </c>
      <c r="C259" s="626" t="s">
        <v>141</v>
      </c>
      <c r="D259" s="624">
        <f t="shared" si="33"/>
        <v>66440</v>
      </c>
      <c r="E259" s="626" t="s">
        <v>1308</v>
      </c>
      <c r="F259" s="631"/>
      <c r="G259" s="631"/>
      <c r="H259" s="631"/>
      <c r="I259" s="623">
        <v>60400</v>
      </c>
      <c r="J259" s="623">
        <f t="shared" si="30"/>
        <v>66440</v>
      </c>
      <c r="K259" s="631"/>
      <c r="L259" s="631"/>
      <c r="M259" s="631"/>
      <c r="N259" s="631"/>
      <c r="O259" s="631"/>
      <c r="P259" s="631"/>
      <c r="Q259" s="631"/>
      <c r="R259" s="631"/>
      <c r="S259" s="631"/>
    </row>
    <row r="260" spans="1:19" ht="15" customHeight="1" outlineLevel="1">
      <c r="A260" s="626">
        <f t="shared" si="29"/>
        <v>252</v>
      </c>
      <c r="B260" s="625" t="s">
        <v>604</v>
      </c>
      <c r="C260" s="626" t="s">
        <v>141</v>
      </c>
      <c r="D260" s="624">
        <f t="shared" si="33"/>
        <v>77000</v>
      </c>
      <c r="E260" s="626" t="s">
        <v>1308</v>
      </c>
      <c r="F260" s="631"/>
      <c r="G260" s="631"/>
      <c r="H260" s="631"/>
      <c r="I260" s="623">
        <v>70000</v>
      </c>
      <c r="J260" s="623">
        <f t="shared" si="30"/>
        <v>77000</v>
      </c>
      <c r="K260" s="631"/>
      <c r="L260" s="631"/>
      <c r="M260" s="631"/>
      <c r="N260" s="631"/>
      <c r="O260" s="631"/>
      <c r="P260" s="631"/>
      <c r="Q260" s="631"/>
      <c r="R260" s="631"/>
      <c r="S260" s="631"/>
    </row>
    <row r="261" spans="1:19" ht="15" customHeight="1" outlineLevel="1">
      <c r="A261" s="626">
        <f t="shared" si="29"/>
        <v>253</v>
      </c>
      <c r="B261" s="625" t="s">
        <v>1579</v>
      </c>
      <c r="C261" s="626" t="s">
        <v>194</v>
      </c>
      <c r="D261" s="624">
        <f t="shared" si="33"/>
        <v>641666.66666666674</v>
      </c>
      <c r="E261" s="626" t="s">
        <v>1578</v>
      </c>
      <c r="F261" s="631"/>
      <c r="G261" s="631"/>
      <c r="H261" s="631"/>
      <c r="I261" s="623">
        <f>3500000/6</f>
        <v>583333.33333333337</v>
      </c>
      <c r="J261" s="623">
        <f t="shared" si="30"/>
        <v>641666.66666666674</v>
      </c>
      <c r="K261" s="631"/>
      <c r="L261" s="631"/>
      <c r="M261" s="631"/>
      <c r="N261" s="631"/>
      <c r="O261" s="631"/>
      <c r="P261" s="631"/>
      <c r="Q261" s="631"/>
      <c r="R261" s="631"/>
      <c r="S261" s="631"/>
    </row>
    <row r="262" spans="1:19" ht="15" customHeight="1" outlineLevel="1">
      <c r="A262" s="626">
        <f t="shared" si="29"/>
        <v>254</v>
      </c>
      <c r="B262" s="625" t="s">
        <v>636</v>
      </c>
      <c r="C262" s="626" t="s">
        <v>194</v>
      </c>
      <c r="D262" s="624">
        <f t="shared" si="33"/>
        <v>550000</v>
      </c>
      <c r="E262" s="626" t="s">
        <v>1578</v>
      </c>
      <c r="F262" s="631"/>
      <c r="G262" s="631"/>
      <c r="H262" s="631"/>
      <c r="I262" s="623">
        <f>3000000/6</f>
        <v>500000</v>
      </c>
      <c r="J262" s="623">
        <f t="shared" si="30"/>
        <v>550000</v>
      </c>
      <c r="K262" s="631"/>
      <c r="L262" s="631"/>
      <c r="M262" s="631"/>
      <c r="N262" s="631"/>
      <c r="O262" s="631"/>
      <c r="P262" s="631"/>
      <c r="Q262" s="631"/>
      <c r="R262" s="631"/>
      <c r="S262" s="631"/>
    </row>
    <row r="263" spans="1:19" ht="15" customHeight="1" outlineLevel="1">
      <c r="A263" s="626">
        <f t="shared" si="29"/>
        <v>255</v>
      </c>
      <c r="B263" s="625" t="s">
        <v>637</v>
      </c>
      <c r="C263" s="626" t="s">
        <v>194</v>
      </c>
      <c r="D263" s="624">
        <f t="shared" si="33"/>
        <v>176000</v>
      </c>
      <c r="E263" s="626" t="s">
        <v>1578</v>
      </c>
      <c r="F263" s="631"/>
      <c r="G263" s="631"/>
      <c r="H263" s="631"/>
      <c r="I263" s="623">
        <v>160000</v>
      </c>
      <c r="J263" s="623">
        <f t="shared" si="30"/>
        <v>176000</v>
      </c>
      <c r="K263" s="631"/>
      <c r="L263" s="631"/>
      <c r="M263" s="631"/>
      <c r="N263" s="631"/>
      <c r="O263" s="631"/>
      <c r="P263" s="631"/>
      <c r="Q263" s="631"/>
      <c r="R263" s="631"/>
      <c r="S263" s="631"/>
    </row>
    <row r="264" spans="1:19" ht="15" customHeight="1" outlineLevel="1">
      <c r="A264" s="626">
        <f t="shared" si="29"/>
        <v>256</v>
      </c>
      <c r="B264" s="625" t="s">
        <v>715</v>
      </c>
      <c r="C264" s="626" t="s">
        <v>3</v>
      </c>
      <c r="D264" s="624">
        <f t="shared" si="33"/>
        <v>2035000.0000000002</v>
      </c>
      <c r="E264" s="626" t="s">
        <v>716</v>
      </c>
      <c r="F264" s="631"/>
      <c r="G264" s="631"/>
      <c r="H264" s="631"/>
      <c r="I264" s="623">
        <v>1850000</v>
      </c>
      <c r="J264" s="623">
        <f t="shared" ref="J264" si="34">I264*$J$7</f>
        <v>2035000.0000000002</v>
      </c>
      <c r="K264" s="631"/>
      <c r="L264" s="631"/>
      <c r="M264" s="631"/>
      <c r="N264" s="631"/>
      <c r="O264" s="631"/>
      <c r="P264" s="631"/>
      <c r="Q264" s="631"/>
      <c r="R264" s="631"/>
      <c r="S264" s="631"/>
    </row>
    <row r="265" spans="1:19" ht="15" customHeight="1" outlineLevel="1">
      <c r="A265" s="626">
        <f t="shared" si="29"/>
        <v>257</v>
      </c>
      <c r="B265" s="625" t="s">
        <v>633</v>
      </c>
      <c r="C265" s="626" t="s">
        <v>194</v>
      </c>
      <c r="D265" s="624">
        <f t="shared" ref="D265" si="35">J265</f>
        <v>1419000</v>
      </c>
      <c r="E265" s="626" t="s">
        <v>1308</v>
      </c>
      <c r="F265" s="631"/>
      <c r="G265" s="631"/>
      <c r="H265" s="631"/>
      <c r="I265" s="623">
        <v>1290000</v>
      </c>
      <c r="J265" s="623">
        <f t="shared" ref="J265:J288" si="36">I265*$J$7</f>
        <v>1419000</v>
      </c>
      <c r="K265" s="631"/>
      <c r="L265" s="631"/>
      <c r="M265" s="631"/>
      <c r="N265" s="631"/>
      <c r="O265" s="631"/>
      <c r="P265" s="631"/>
      <c r="Q265" s="631"/>
      <c r="R265" s="631"/>
      <c r="S265" s="631"/>
    </row>
    <row r="266" spans="1:19" ht="15" customHeight="1" outlineLevel="1">
      <c r="A266" s="626">
        <f t="shared" si="29"/>
        <v>258</v>
      </c>
      <c r="B266" s="625" t="s">
        <v>612</v>
      </c>
      <c r="C266" s="626" t="s">
        <v>1</v>
      </c>
      <c r="D266" s="624">
        <f t="shared" ref="D266:D274" si="37">J266</f>
        <v>1357.6200000000001</v>
      </c>
      <c r="E266" s="626" t="s">
        <v>1315</v>
      </c>
      <c r="F266" s="631"/>
      <c r="G266" s="631"/>
      <c r="H266" s="631"/>
      <c r="I266" s="623">
        <v>1234.2</v>
      </c>
      <c r="J266" s="623">
        <f t="shared" si="36"/>
        <v>1357.6200000000001</v>
      </c>
      <c r="K266" s="631"/>
      <c r="L266" s="631"/>
      <c r="M266" s="631"/>
      <c r="N266" s="631"/>
      <c r="O266" s="631"/>
      <c r="P266" s="631"/>
      <c r="Q266" s="631"/>
      <c r="R266" s="631"/>
      <c r="S266" s="631"/>
    </row>
    <row r="267" spans="1:19" ht="15" customHeight="1" outlineLevel="1">
      <c r="A267" s="626">
        <f t="shared" ref="A267:A291" si="38">A266+1</f>
        <v>259</v>
      </c>
      <c r="B267" s="625" t="s">
        <v>613</v>
      </c>
      <c r="C267" s="626" t="s">
        <v>1</v>
      </c>
      <c r="D267" s="624">
        <f t="shared" si="37"/>
        <v>10450</v>
      </c>
      <c r="E267" s="626" t="s">
        <v>1315</v>
      </c>
      <c r="F267" s="631"/>
      <c r="G267" s="631"/>
      <c r="H267" s="631"/>
      <c r="I267" s="623">
        <v>9500</v>
      </c>
      <c r="J267" s="623">
        <f t="shared" si="36"/>
        <v>10450</v>
      </c>
      <c r="K267" s="631"/>
      <c r="L267" s="631"/>
      <c r="M267" s="631"/>
      <c r="N267" s="631"/>
      <c r="O267" s="631"/>
      <c r="P267" s="631"/>
      <c r="Q267" s="631"/>
      <c r="R267" s="631"/>
      <c r="S267" s="631"/>
    </row>
    <row r="268" spans="1:19" ht="15" customHeight="1" outlineLevel="1">
      <c r="A268" s="626">
        <f t="shared" si="38"/>
        <v>260</v>
      </c>
      <c r="B268" s="625" t="s">
        <v>620</v>
      </c>
      <c r="C268" s="626" t="s">
        <v>2</v>
      </c>
      <c r="D268" s="624">
        <f t="shared" si="37"/>
        <v>479600.00000000006</v>
      </c>
      <c r="E268" s="626" t="s">
        <v>1328</v>
      </c>
      <c r="F268" s="631"/>
      <c r="G268" s="631"/>
      <c r="H268" s="631"/>
      <c r="I268" s="623">
        <v>436000</v>
      </c>
      <c r="J268" s="623">
        <f t="shared" si="36"/>
        <v>479600.00000000006</v>
      </c>
      <c r="K268" s="631"/>
      <c r="L268" s="631"/>
      <c r="M268" s="631"/>
      <c r="N268" s="631"/>
      <c r="O268" s="631"/>
      <c r="P268" s="631"/>
      <c r="Q268" s="631"/>
      <c r="R268" s="631"/>
      <c r="S268" s="631"/>
    </row>
    <row r="269" spans="1:19" ht="15" customHeight="1" outlineLevel="1">
      <c r="A269" s="626">
        <f t="shared" si="38"/>
        <v>261</v>
      </c>
      <c r="B269" s="625" t="s">
        <v>621</v>
      </c>
      <c r="C269" s="626" t="s">
        <v>2</v>
      </c>
      <c r="D269" s="624">
        <f t="shared" si="37"/>
        <v>873400.00000000012</v>
      </c>
      <c r="E269" s="626" t="s">
        <v>1328</v>
      </c>
      <c r="F269" s="631"/>
      <c r="G269" s="631"/>
      <c r="H269" s="631"/>
      <c r="I269" s="623">
        <v>794000</v>
      </c>
      <c r="J269" s="623">
        <f t="shared" si="36"/>
        <v>873400.00000000012</v>
      </c>
      <c r="K269" s="631"/>
      <c r="L269" s="631"/>
      <c r="M269" s="631"/>
      <c r="N269" s="631"/>
      <c r="O269" s="631"/>
      <c r="P269" s="631"/>
      <c r="Q269" s="631"/>
      <c r="R269" s="631"/>
      <c r="S269" s="631"/>
    </row>
    <row r="270" spans="1:19" ht="15" customHeight="1" outlineLevel="1">
      <c r="A270" s="626">
        <f t="shared" si="38"/>
        <v>262</v>
      </c>
      <c r="B270" s="625" t="s">
        <v>622</v>
      </c>
      <c r="C270" s="626" t="s">
        <v>2</v>
      </c>
      <c r="D270" s="624">
        <f t="shared" si="37"/>
        <v>1881000.0000000002</v>
      </c>
      <c r="E270" s="626" t="s">
        <v>1328</v>
      </c>
      <c r="F270" s="631"/>
      <c r="G270" s="631"/>
      <c r="H270" s="631"/>
      <c r="I270" s="623">
        <v>1710000</v>
      </c>
      <c r="J270" s="623">
        <f t="shared" si="36"/>
        <v>1881000.0000000002</v>
      </c>
      <c r="K270" s="631"/>
      <c r="L270" s="631"/>
      <c r="M270" s="631"/>
      <c r="N270" s="631"/>
      <c r="O270" s="631"/>
      <c r="P270" s="631"/>
      <c r="Q270" s="631"/>
      <c r="R270" s="631"/>
      <c r="S270" s="631"/>
    </row>
    <row r="271" spans="1:19" ht="15" customHeight="1" outlineLevel="1">
      <c r="A271" s="626">
        <f t="shared" si="38"/>
        <v>263</v>
      </c>
      <c r="B271" s="625" t="s">
        <v>623</v>
      </c>
      <c r="C271" s="626" t="s">
        <v>624</v>
      </c>
      <c r="D271" s="624">
        <f t="shared" si="37"/>
        <v>2626800</v>
      </c>
      <c r="E271" s="626" t="s">
        <v>1328</v>
      </c>
      <c r="F271" s="631"/>
      <c r="G271" s="631"/>
      <c r="H271" s="631"/>
      <c r="I271" s="623">
        <v>2388000</v>
      </c>
      <c r="J271" s="623">
        <f t="shared" si="36"/>
        <v>2626800</v>
      </c>
      <c r="K271" s="631"/>
      <c r="L271" s="631"/>
      <c r="M271" s="631"/>
      <c r="N271" s="631"/>
      <c r="O271" s="631"/>
      <c r="P271" s="631"/>
      <c r="Q271" s="631"/>
      <c r="R271" s="631"/>
      <c r="S271" s="631"/>
    </row>
    <row r="272" spans="1:19" ht="15" customHeight="1" outlineLevel="1">
      <c r="A272" s="626">
        <f t="shared" si="38"/>
        <v>264</v>
      </c>
      <c r="B272" s="625" t="s">
        <v>625</v>
      </c>
      <c r="C272" s="626" t="s">
        <v>2</v>
      </c>
      <c r="D272" s="624">
        <f t="shared" si="37"/>
        <v>1288100</v>
      </c>
      <c r="E272" s="626" t="s">
        <v>1328</v>
      </c>
      <c r="F272" s="631"/>
      <c r="G272" s="631"/>
      <c r="H272" s="631"/>
      <c r="I272" s="623">
        <v>1171000</v>
      </c>
      <c r="J272" s="623">
        <f t="shared" si="36"/>
        <v>1288100</v>
      </c>
      <c r="K272" s="631"/>
      <c r="L272" s="631"/>
      <c r="M272" s="631"/>
      <c r="N272" s="631"/>
      <c r="O272" s="631" t="s">
        <v>626</v>
      </c>
      <c r="P272" s="631"/>
      <c r="Q272" s="631"/>
      <c r="R272" s="631"/>
      <c r="S272" s="631"/>
    </row>
    <row r="273" spans="1:19" ht="15" customHeight="1" outlineLevel="1">
      <c r="A273" s="626">
        <f t="shared" si="38"/>
        <v>265</v>
      </c>
      <c r="B273" s="625" t="s">
        <v>627</v>
      </c>
      <c r="C273" s="626" t="s">
        <v>2</v>
      </c>
      <c r="D273" s="624">
        <f t="shared" si="37"/>
        <v>2101000</v>
      </c>
      <c r="E273" s="626" t="s">
        <v>1328</v>
      </c>
      <c r="F273" s="631"/>
      <c r="G273" s="631"/>
      <c r="H273" s="631"/>
      <c r="I273" s="623">
        <v>1910000</v>
      </c>
      <c r="J273" s="623">
        <f t="shared" si="36"/>
        <v>2101000</v>
      </c>
      <c r="K273" s="631"/>
      <c r="L273" s="631"/>
      <c r="M273" s="631"/>
      <c r="N273" s="631"/>
      <c r="O273" s="631"/>
      <c r="P273" s="631"/>
      <c r="Q273" s="631"/>
      <c r="R273" s="631"/>
      <c r="S273" s="631"/>
    </row>
    <row r="274" spans="1:19" ht="15" customHeight="1" outlineLevel="1">
      <c r="A274" s="626">
        <f t="shared" si="38"/>
        <v>266</v>
      </c>
      <c r="B274" s="625" t="s">
        <v>628</v>
      </c>
      <c r="C274" s="626" t="s">
        <v>2</v>
      </c>
      <c r="D274" s="624">
        <f t="shared" si="37"/>
        <v>179300</v>
      </c>
      <c r="E274" s="626" t="s">
        <v>1328</v>
      </c>
      <c r="F274" s="631"/>
      <c r="G274" s="631"/>
      <c r="H274" s="631"/>
      <c r="I274" s="623">
        <v>163000</v>
      </c>
      <c r="J274" s="623">
        <f t="shared" si="36"/>
        <v>179300</v>
      </c>
      <c r="K274" s="631"/>
      <c r="L274" s="631"/>
      <c r="M274" s="631"/>
      <c r="N274" s="631"/>
      <c r="O274" s="631"/>
      <c r="P274" s="631"/>
      <c r="Q274" s="631"/>
      <c r="R274" s="631"/>
      <c r="S274" s="631"/>
    </row>
    <row r="275" spans="1:19" ht="15" customHeight="1" outlineLevel="1">
      <c r="A275" s="626">
        <f t="shared" si="38"/>
        <v>267</v>
      </c>
      <c r="B275" s="625" t="s">
        <v>629</v>
      </c>
      <c r="C275" s="626" t="s">
        <v>2</v>
      </c>
      <c r="D275" s="624">
        <f t="shared" ref="D275:D278" si="39">J275</f>
        <v>345400</v>
      </c>
      <c r="E275" s="626" t="s">
        <v>1328</v>
      </c>
      <c r="F275" s="631"/>
      <c r="G275" s="631"/>
      <c r="H275" s="631"/>
      <c r="I275" s="623">
        <v>314000</v>
      </c>
      <c r="J275" s="623">
        <f t="shared" si="36"/>
        <v>345400</v>
      </c>
      <c r="K275" s="631"/>
      <c r="L275" s="631"/>
      <c r="M275" s="631"/>
      <c r="N275" s="631"/>
      <c r="O275" s="631"/>
      <c r="P275" s="631"/>
      <c r="Q275" s="631"/>
      <c r="R275" s="631"/>
      <c r="S275" s="631"/>
    </row>
    <row r="276" spans="1:19" ht="15" customHeight="1" outlineLevel="1">
      <c r="A276" s="626">
        <f t="shared" si="38"/>
        <v>268</v>
      </c>
      <c r="B276" s="625" t="s">
        <v>630</v>
      </c>
      <c r="C276" s="626" t="s">
        <v>2</v>
      </c>
      <c r="D276" s="624">
        <f t="shared" si="39"/>
        <v>463100.00000000006</v>
      </c>
      <c r="E276" s="626" t="s">
        <v>1328</v>
      </c>
      <c r="F276" s="631"/>
      <c r="G276" s="631"/>
      <c r="H276" s="631"/>
      <c r="I276" s="623">
        <v>421000</v>
      </c>
      <c r="J276" s="623">
        <f t="shared" si="36"/>
        <v>463100.00000000006</v>
      </c>
      <c r="K276" s="631"/>
      <c r="L276" s="631"/>
      <c r="M276" s="631"/>
      <c r="N276" s="631"/>
      <c r="O276" s="631"/>
      <c r="P276" s="631"/>
      <c r="Q276" s="631"/>
      <c r="R276" s="631"/>
      <c r="S276" s="631"/>
    </row>
    <row r="277" spans="1:19" ht="15" customHeight="1" outlineLevel="1">
      <c r="A277" s="626">
        <f t="shared" si="38"/>
        <v>269</v>
      </c>
      <c r="B277" s="625" t="s">
        <v>631</v>
      </c>
      <c r="C277" s="626" t="s">
        <v>2</v>
      </c>
      <c r="D277" s="624">
        <f t="shared" si="39"/>
        <v>564300</v>
      </c>
      <c r="E277" s="626" t="s">
        <v>1328</v>
      </c>
      <c r="F277" s="631"/>
      <c r="G277" s="631"/>
      <c r="H277" s="631"/>
      <c r="I277" s="623">
        <v>513000</v>
      </c>
      <c r="J277" s="623">
        <f t="shared" si="36"/>
        <v>564300</v>
      </c>
      <c r="K277" s="631"/>
      <c r="L277" s="631"/>
      <c r="M277" s="631"/>
      <c r="N277" s="631"/>
      <c r="O277" s="631"/>
      <c r="P277" s="631"/>
      <c r="Q277" s="631"/>
      <c r="R277" s="631"/>
      <c r="S277" s="631"/>
    </row>
    <row r="278" spans="1:19" ht="15" customHeight="1" outlineLevel="1">
      <c r="A278" s="626">
        <f t="shared" si="38"/>
        <v>270</v>
      </c>
      <c r="B278" s="625" t="s">
        <v>632</v>
      </c>
      <c r="C278" s="626" t="s">
        <v>2</v>
      </c>
      <c r="D278" s="624">
        <f t="shared" si="39"/>
        <v>667700</v>
      </c>
      <c r="E278" s="626" t="s">
        <v>1328</v>
      </c>
      <c r="F278" s="631"/>
      <c r="G278" s="631"/>
      <c r="H278" s="631"/>
      <c r="I278" s="623">
        <v>607000</v>
      </c>
      <c r="J278" s="623">
        <f t="shared" si="36"/>
        <v>667700</v>
      </c>
      <c r="K278" s="631"/>
      <c r="L278" s="631"/>
      <c r="M278" s="631"/>
      <c r="N278" s="631"/>
      <c r="O278" s="631"/>
      <c r="P278" s="631"/>
      <c r="Q278" s="631"/>
      <c r="R278" s="631"/>
      <c r="S278" s="631"/>
    </row>
    <row r="279" spans="1:19" ht="15" customHeight="1" outlineLevel="1">
      <c r="A279" s="626">
        <f t="shared" si="38"/>
        <v>271</v>
      </c>
      <c r="B279" s="625" t="s">
        <v>649</v>
      </c>
      <c r="C279" s="626" t="s">
        <v>294</v>
      </c>
      <c r="D279" s="624">
        <f>J279</f>
        <v>22000</v>
      </c>
      <c r="E279" s="626" t="s">
        <v>650</v>
      </c>
      <c r="F279" s="631"/>
      <c r="G279" s="631"/>
      <c r="H279" s="631"/>
      <c r="I279" s="623">
        <v>20000</v>
      </c>
      <c r="J279" s="623">
        <f t="shared" si="36"/>
        <v>22000</v>
      </c>
      <c r="K279" s="631"/>
      <c r="L279" s="631"/>
      <c r="M279" s="631"/>
      <c r="N279" s="631"/>
      <c r="O279" s="631"/>
      <c r="P279" s="631"/>
      <c r="Q279" s="631"/>
      <c r="R279" s="631"/>
      <c r="S279" s="631"/>
    </row>
    <row r="280" spans="1:19" ht="15" customHeight="1" outlineLevel="1">
      <c r="A280" s="626">
        <f t="shared" si="38"/>
        <v>272</v>
      </c>
      <c r="B280" s="625" t="s">
        <v>651</v>
      </c>
      <c r="C280" s="626" t="s">
        <v>2</v>
      </c>
      <c r="D280" s="624">
        <f>J280</f>
        <v>440000.00000000006</v>
      </c>
      <c r="E280" s="626" t="s">
        <v>652</v>
      </c>
      <c r="F280" s="631"/>
      <c r="G280" s="631"/>
      <c r="H280" s="631"/>
      <c r="I280" s="623">
        <v>400000</v>
      </c>
      <c r="J280" s="623">
        <f t="shared" si="36"/>
        <v>440000.00000000006</v>
      </c>
      <c r="K280" s="631"/>
      <c r="L280" s="631"/>
      <c r="M280" s="631"/>
      <c r="N280" s="631"/>
      <c r="O280" s="631"/>
      <c r="P280" s="631"/>
      <c r="Q280" s="631"/>
      <c r="R280" s="631"/>
      <c r="S280" s="631"/>
    </row>
    <row r="281" spans="1:19" ht="15" customHeight="1" outlineLevel="1">
      <c r="A281" s="626">
        <f t="shared" si="38"/>
        <v>273</v>
      </c>
      <c r="B281" s="625" t="s">
        <v>653</v>
      </c>
      <c r="C281" s="626" t="s">
        <v>4</v>
      </c>
      <c r="D281" s="624">
        <f>J281</f>
        <v>16500</v>
      </c>
      <c r="E281" s="626" t="s">
        <v>1479</v>
      </c>
      <c r="F281" s="631"/>
      <c r="G281" s="631"/>
      <c r="H281" s="631"/>
      <c r="I281" s="623">
        <v>15000</v>
      </c>
      <c r="J281" s="623">
        <f t="shared" si="36"/>
        <v>16500</v>
      </c>
      <c r="K281" s="631"/>
      <c r="L281" s="631"/>
      <c r="M281" s="631"/>
      <c r="N281" s="631"/>
      <c r="O281" s="631"/>
      <c r="P281" s="631"/>
      <c r="Q281" s="631"/>
      <c r="R281" s="631"/>
      <c r="S281" s="631"/>
    </row>
    <row r="282" spans="1:19" ht="15" customHeight="1" outlineLevel="1">
      <c r="A282" s="626">
        <f t="shared" si="38"/>
        <v>274</v>
      </c>
      <c r="B282" s="625" t="s">
        <v>1324</v>
      </c>
      <c r="C282" s="626" t="s">
        <v>1</v>
      </c>
      <c r="D282" s="624">
        <f xml:space="preserve"> J282</f>
        <v>24640.000000000004</v>
      </c>
      <c r="E282" s="626" t="s">
        <v>1322</v>
      </c>
      <c r="F282" s="631"/>
      <c r="G282" s="631"/>
      <c r="H282" s="631"/>
      <c r="I282" s="623">
        <v>22400</v>
      </c>
      <c r="J282" s="623">
        <f t="shared" si="36"/>
        <v>24640.000000000004</v>
      </c>
      <c r="K282" s="631"/>
      <c r="L282" s="631"/>
      <c r="M282" s="631"/>
      <c r="N282" s="631"/>
      <c r="O282" s="631"/>
      <c r="P282" s="631"/>
      <c r="Q282" s="631"/>
      <c r="R282" s="631"/>
      <c r="S282" s="631"/>
    </row>
    <row r="283" spans="1:19" ht="15" customHeight="1" outlineLevel="1">
      <c r="A283" s="626">
        <f t="shared" si="38"/>
        <v>275</v>
      </c>
      <c r="B283" s="625" t="s">
        <v>654</v>
      </c>
      <c r="C283" s="626" t="s">
        <v>2</v>
      </c>
      <c r="D283" s="624">
        <f t="shared" ref="D283:D288" si="40">J283</f>
        <v>5500</v>
      </c>
      <c r="E283" s="626" t="s">
        <v>655</v>
      </c>
      <c r="F283" s="631"/>
      <c r="G283" s="631"/>
      <c r="H283" s="631"/>
      <c r="I283" s="623">
        <v>5000</v>
      </c>
      <c r="J283" s="623">
        <f t="shared" si="36"/>
        <v>5500</v>
      </c>
      <c r="K283" s="631"/>
      <c r="L283" s="631"/>
      <c r="M283" s="631"/>
      <c r="N283" s="631"/>
      <c r="O283" s="631"/>
      <c r="P283" s="631"/>
      <c r="Q283" s="631"/>
      <c r="R283" s="631"/>
      <c r="S283" s="631"/>
    </row>
    <row r="284" spans="1:19" ht="15" customHeight="1" outlineLevel="1">
      <c r="A284" s="626">
        <f t="shared" si="38"/>
        <v>276</v>
      </c>
      <c r="B284" s="625" t="s">
        <v>862</v>
      </c>
      <c r="C284" s="626" t="s">
        <v>1</v>
      </c>
      <c r="D284" s="624">
        <f t="shared" si="40"/>
        <v>26400.000000000004</v>
      </c>
      <c r="E284" s="626"/>
      <c r="F284" s="631"/>
      <c r="G284" s="631"/>
      <c r="H284" s="631"/>
      <c r="I284" s="623">
        <v>24000</v>
      </c>
      <c r="J284" s="623">
        <f t="shared" si="36"/>
        <v>26400.000000000004</v>
      </c>
      <c r="K284" s="631"/>
      <c r="L284" s="631"/>
      <c r="M284" s="631"/>
      <c r="N284" s="631"/>
      <c r="O284" s="631"/>
      <c r="P284" s="631"/>
      <c r="Q284" s="631"/>
      <c r="R284" s="631"/>
      <c r="S284" s="631"/>
    </row>
    <row r="285" spans="1:19" ht="15" customHeight="1" outlineLevel="1">
      <c r="A285" s="626">
        <f t="shared" si="38"/>
        <v>277</v>
      </c>
      <c r="B285" s="625" t="s">
        <v>708</v>
      </c>
      <c r="C285" s="626" t="s">
        <v>1</v>
      </c>
      <c r="D285" s="624">
        <f t="shared" si="40"/>
        <v>20103.600000000002</v>
      </c>
      <c r="E285" s="626"/>
      <c r="F285" s="631"/>
      <c r="G285" s="631"/>
      <c r="H285" s="631"/>
      <c r="I285" s="623">
        <v>18276</v>
      </c>
      <c r="J285" s="623">
        <f t="shared" si="36"/>
        <v>20103.600000000002</v>
      </c>
      <c r="K285" s="631"/>
      <c r="L285" s="631"/>
      <c r="M285" s="631"/>
      <c r="N285" s="631"/>
      <c r="O285" s="631"/>
      <c r="P285" s="631"/>
      <c r="Q285" s="631"/>
      <c r="R285" s="631"/>
      <c r="S285" s="631"/>
    </row>
    <row r="286" spans="1:19" ht="15" customHeight="1" outlineLevel="1">
      <c r="A286" s="626">
        <f t="shared" si="38"/>
        <v>278</v>
      </c>
      <c r="B286" s="625" t="s">
        <v>709</v>
      </c>
      <c r="C286" s="626" t="s">
        <v>710</v>
      </c>
      <c r="D286" s="624">
        <f t="shared" si="40"/>
        <v>13200.000000000002</v>
      </c>
      <c r="E286" s="626"/>
      <c r="F286" s="631"/>
      <c r="G286" s="631"/>
      <c r="H286" s="631"/>
      <c r="I286" s="623">
        <v>12000</v>
      </c>
      <c r="J286" s="623">
        <f t="shared" si="36"/>
        <v>13200.000000000002</v>
      </c>
      <c r="K286" s="631"/>
      <c r="L286" s="631"/>
      <c r="M286" s="631"/>
      <c r="N286" s="631"/>
      <c r="O286" s="631"/>
      <c r="P286" s="631"/>
      <c r="Q286" s="631"/>
      <c r="R286" s="631"/>
      <c r="S286" s="631"/>
    </row>
    <row r="287" spans="1:19" ht="15" customHeight="1" outlineLevel="1">
      <c r="A287" s="626">
        <f t="shared" si="38"/>
        <v>279</v>
      </c>
      <c r="B287" s="625" t="s">
        <v>2122</v>
      </c>
      <c r="C287" s="626" t="s">
        <v>141</v>
      </c>
      <c r="D287" s="624">
        <f t="shared" si="40"/>
        <v>1650.0000000000002</v>
      </c>
      <c r="E287" s="626" t="s">
        <v>2123</v>
      </c>
      <c r="F287" s="631"/>
      <c r="G287" s="631"/>
      <c r="H287" s="631"/>
      <c r="I287" s="623">
        <v>1500</v>
      </c>
      <c r="J287" s="623">
        <f t="shared" si="36"/>
        <v>1650.0000000000002</v>
      </c>
      <c r="K287" s="631"/>
      <c r="L287" s="631"/>
      <c r="M287" s="631"/>
      <c r="N287" s="631"/>
      <c r="O287" s="631"/>
      <c r="P287" s="631"/>
      <c r="Q287" s="631"/>
      <c r="R287" s="631"/>
      <c r="S287" s="631"/>
    </row>
    <row r="288" spans="1:19" ht="15" customHeight="1" outlineLevel="1">
      <c r="A288" s="626">
        <f t="shared" si="38"/>
        <v>280</v>
      </c>
      <c r="B288" s="625" t="s">
        <v>711</v>
      </c>
      <c r="C288" s="626" t="s">
        <v>2</v>
      </c>
      <c r="D288" s="624">
        <f t="shared" si="40"/>
        <v>3025000.0000000005</v>
      </c>
      <c r="E288" s="626" t="s">
        <v>712</v>
      </c>
      <c r="F288" s="631"/>
      <c r="G288" s="631"/>
      <c r="H288" s="631"/>
      <c r="I288" s="623">
        <v>2750000</v>
      </c>
      <c r="J288" s="623">
        <f t="shared" si="36"/>
        <v>3025000.0000000005</v>
      </c>
      <c r="K288" s="631"/>
      <c r="L288" s="631"/>
      <c r="M288" s="631"/>
      <c r="N288" s="631"/>
      <c r="O288" s="631"/>
      <c r="P288" s="631"/>
      <c r="Q288" s="631"/>
      <c r="R288" s="631"/>
      <c r="S288" s="631"/>
    </row>
    <row r="289" spans="1:19" ht="15" customHeight="1" outlineLevel="1">
      <c r="A289" s="626">
        <f t="shared" si="38"/>
        <v>281</v>
      </c>
      <c r="B289" s="625" t="s">
        <v>713</v>
      </c>
      <c r="C289" s="626" t="s">
        <v>65</v>
      </c>
      <c r="D289" s="624">
        <v>50000</v>
      </c>
      <c r="E289" s="626"/>
      <c r="F289" s="631"/>
      <c r="G289" s="631"/>
      <c r="H289" s="631"/>
      <c r="I289" s="623"/>
      <c r="J289" s="623">
        <f t="shared" ref="J289:J290" si="41">I289*$J$7</f>
        <v>0</v>
      </c>
      <c r="K289" s="631"/>
      <c r="L289" s="631"/>
      <c r="M289" s="631"/>
      <c r="N289" s="631"/>
      <c r="O289" s="631"/>
      <c r="P289" s="631"/>
      <c r="Q289" s="631"/>
      <c r="R289" s="631"/>
      <c r="S289" s="631"/>
    </row>
    <row r="290" spans="1:19" ht="15" customHeight="1" outlineLevel="1">
      <c r="A290" s="626">
        <f t="shared" si="38"/>
        <v>282</v>
      </c>
      <c r="B290" s="625" t="s">
        <v>2047</v>
      </c>
      <c r="C290" s="626" t="s">
        <v>3</v>
      </c>
      <c r="D290" s="624">
        <f>J290</f>
        <v>14300.000000000002</v>
      </c>
      <c r="E290" s="626" t="s">
        <v>2046</v>
      </c>
      <c r="F290" s="631"/>
      <c r="G290" s="631"/>
      <c r="H290" s="631"/>
      <c r="I290" s="623">
        <v>13000</v>
      </c>
      <c r="J290" s="623">
        <f t="shared" si="41"/>
        <v>14300.000000000002</v>
      </c>
      <c r="K290" s="631"/>
      <c r="L290" s="631"/>
      <c r="M290" s="631"/>
      <c r="N290" s="631"/>
      <c r="O290" s="631"/>
      <c r="P290" s="631"/>
      <c r="Q290" s="631"/>
      <c r="R290" s="631"/>
      <c r="S290" s="631"/>
    </row>
    <row r="291" spans="1:19" ht="15" customHeight="1" outlineLevel="1">
      <c r="A291" s="626">
        <f t="shared" si="38"/>
        <v>283</v>
      </c>
      <c r="B291" s="625" t="s">
        <v>714</v>
      </c>
      <c r="C291" s="626" t="s">
        <v>4</v>
      </c>
      <c r="D291" s="624">
        <f>J291</f>
        <v>39160</v>
      </c>
      <c r="E291" s="626" t="s">
        <v>1469</v>
      </c>
      <c r="F291" s="631"/>
      <c r="G291" s="631"/>
      <c r="H291" s="631"/>
      <c r="I291" s="623">
        <v>35600</v>
      </c>
      <c r="J291" s="623">
        <f>I291*$J$7</f>
        <v>39160</v>
      </c>
      <c r="K291" s="631"/>
      <c r="L291" s="631"/>
      <c r="M291" s="631"/>
      <c r="N291" s="631"/>
      <c r="O291" s="631"/>
      <c r="P291" s="631"/>
      <c r="Q291" s="631"/>
      <c r="R291" s="631"/>
      <c r="S291" s="631"/>
    </row>
    <row r="292" spans="1:19" ht="15" customHeight="1">
      <c r="A292" s="630" t="s">
        <v>717</v>
      </c>
      <c r="B292" s="629" t="s">
        <v>718</v>
      </c>
      <c r="C292" s="630"/>
      <c r="D292" s="628"/>
      <c r="E292" s="630"/>
      <c r="F292" s="631"/>
      <c r="G292" s="631"/>
      <c r="H292" s="631" t="s">
        <v>1307</v>
      </c>
      <c r="I292" s="622" t="s">
        <v>503</v>
      </c>
      <c r="J292" s="622">
        <v>1.1000000000000001</v>
      </c>
      <c r="K292" s="631"/>
      <c r="L292" s="631"/>
      <c r="M292" s="631"/>
      <c r="N292" s="631"/>
      <c r="O292" s="631"/>
      <c r="P292" s="631"/>
      <c r="Q292" s="631"/>
      <c r="R292" s="631"/>
      <c r="S292" s="631"/>
    </row>
    <row r="293" spans="1:19" ht="15" customHeight="1" outlineLevel="1">
      <c r="A293" s="626">
        <v>1</v>
      </c>
      <c r="B293" s="625" t="s">
        <v>493</v>
      </c>
      <c r="C293" s="626" t="s">
        <v>33</v>
      </c>
      <c r="D293" s="624">
        <f>J293</f>
        <v>107800.00000000001</v>
      </c>
      <c r="E293" s="626" t="s">
        <v>2127</v>
      </c>
      <c r="F293" s="631"/>
      <c r="G293" s="631"/>
      <c r="H293" s="631"/>
      <c r="I293" s="641">
        <v>98000</v>
      </c>
      <c r="J293" s="623">
        <f>I293*$J$292</f>
        <v>107800.00000000001</v>
      </c>
      <c r="K293" s="631"/>
      <c r="L293" s="631"/>
      <c r="M293" s="631"/>
      <c r="N293" s="631"/>
      <c r="O293" s="631"/>
      <c r="P293" s="631"/>
      <c r="Q293" s="631"/>
      <c r="R293" s="631"/>
      <c r="S293" s="631"/>
    </row>
    <row r="294" spans="1:19" ht="15" customHeight="1" outlineLevel="1">
      <c r="A294" s="626">
        <f>1+A293</f>
        <v>2</v>
      </c>
      <c r="B294" s="625" t="s">
        <v>1029</v>
      </c>
      <c r="C294" s="626" t="s">
        <v>33</v>
      </c>
      <c r="D294" s="624">
        <f t="shared" ref="D294:D326" si="42">J294</f>
        <v>119350.00000000001</v>
      </c>
      <c r="E294" s="626" t="s">
        <v>2127</v>
      </c>
      <c r="F294" s="631"/>
      <c r="G294" s="631"/>
      <c r="H294" s="631"/>
      <c r="I294" s="641">
        <v>108500</v>
      </c>
      <c r="J294" s="623">
        <f t="shared" ref="J294:J326" si="43">I294*$J$292</f>
        <v>119350.00000000001</v>
      </c>
      <c r="K294" s="631"/>
      <c r="L294" s="631"/>
      <c r="M294" s="631"/>
      <c r="N294" s="631"/>
      <c r="O294" s="631"/>
      <c r="P294" s="631"/>
      <c r="Q294" s="631"/>
      <c r="R294" s="631"/>
      <c r="S294" s="631"/>
    </row>
    <row r="295" spans="1:19" ht="15" customHeight="1" outlineLevel="1">
      <c r="A295" s="626">
        <f t="shared" ref="A295:A326" si="44">1+A294</f>
        <v>3</v>
      </c>
      <c r="B295" s="625" t="s">
        <v>495</v>
      </c>
      <c r="C295" s="626" t="s">
        <v>33</v>
      </c>
      <c r="D295" s="624">
        <f>J295</f>
        <v>155155</v>
      </c>
      <c r="E295" s="626" t="s">
        <v>2127</v>
      </c>
      <c r="F295" s="631"/>
      <c r="G295" s="631"/>
      <c r="H295" s="631"/>
      <c r="I295" s="641">
        <f>1.3*I294</f>
        <v>141050</v>
      </c>
      <c r="J295" s="623">
        <f>I295*$J$292</f>
        <v>155155</v>
      </c>
      <c r="K295" s="631"/>
      <c r="L295" s="631"/>
      <c r="M295" s="631"/>
      <c r="N295" s="631"/>
      <c r="O295" s="631"/>
      <c r="P295" s="631"/>
      <c r="Q295" s="631"/>
      <c r="R295" s="631"/>
      <c r="S295" s="631"/>
    </row>
    <row r="296" spans="1:19" ht="15" customHeight="1" outlineLevel="1">
      <c r="A296" s="626">
        <f t="shared" si="44"/>
        <v>4</v>
      </c>
      <c r="B296" s="625" t="s">
        <v>1292</v>
      </c>
      <c r="C296" s="626" t="s">
        <v>33</v>
      </c>
      <c r="D296" s="624">
        <f t="shared" si="42"/>
        <v>119350.00000000001</v>
      </c>
      <c r="E296" s="626" t="s">
        <v>2127</v>
      </c>
      <c r="F296" s="631"/>
      <c r="G296" s="631"/>
      <c r="H296" s="631"/>
      <c r="I296" s="641">
        <v>108500</v>
      </c>
      <c r="J296" s="623">
        <f t="shared" si="43"/>
        <v>119350.00000000001</v>
      </c>
      <c r="K296" s="631"/>
      <c r="L296" s="631"/>
      <c r="M296" s="631"/>
      <c r="N296" s="631"/>
      <c r="O296" s="631"/>
      <c r="P296" s="631"/>
      <c r="Q296" s="631"/>
      <c r="R296" s="631"/>
      <c r="S296" s="631"/>
    </row>
    <row r="297" spans="1:19" ht="15" customHeight="1" outlineLevel="1">
      <c r="A297" s="626">
        <f t="shared" si="44"/>
        <v>5</v>
      </c>
      <c r="B297" s="625" t="s">
        <v>1032</v>
      </c>
      <c r="C297" s="626" t="s">
        <v>33</v>
      </c>
      <c r="D297" s="624">
        <f>J297</f>
        <v>107800.00000000001</v>
      </c>
      <c r="E297" s="626" t="s">
        <v>2127</v>
      </c>
      <c r="F297" s="631"/>
      <c r="G297" s="631"/>
      <c r="H297" s="631"/>
      <c r="I297" s="641">
        <v>98000</v>
      </c>
      <c r="J297" s="623">
        <f>I297*$J$292</f>
        <v>107800.00000000001</v>
      </c>
      <c r="K297" s="631"/>
      <c r="L297" s="631"/>
      <c r="M297" s="631"/>
      <c r="N297" s="631"/>
      <c r="O297" s="631"/>
      <c r="P297" s="631"/>
      <c r="Q297" s="631"/>
      <c r="R297" s="631"/>
      <c r="S297" s="631"/>
    </row>
    <row r="298" spans="1:19" ht="15" customHeight="1" outlineLevel="1">
      <c r="A298" s="626">
        <f t="shared" si="44"/>
        <v>6</v>
      </c>
      <c r="B298" s="625" t="s">
        <v>1236</v>
      </c>
      <c r="C298" s="626" t="s">
        <v>33</v>
      </c>
      <c r="D298" s="624">
        <f>J298</f>
        <v>119350.00000000001</v>
      </c>
      <c r="E298" s="626" t="s">
        <v>2127</v>
      </c>
      <c r="F298" s="631"/>
      <c r="G298" s="631"/>
      <c r="H298" s="631"/>
      <c r="I298" s="641">
        <v>108500</v>
      </c>
      <c r="J298" s="623">
        <f>I298*$J$292</f>
        <v>119350.00000000001</v>
      </c>
      <c r="K298" s="631"/>
      <c r="L298" s="631"/>
      <c r="M298" s="631"/>
      <c r="N298" s="631"/>
      <c r="O298" s="631"/>
      <c r="P298" s="631"/>
      <c r="Q298" s="631"/>
      <c r="R298" s="631"/>
      <c r="S298" s="631"/>
    </row>
    <row r="299" spans="1:19" ht="15" customHeight="1" outlineLevel="1">
      <c r="A299" s="626">
        <f t="shared" si="44"/>
        <v>7</v>
      </c>
      <c r="B299" s="625" t="s">
        <v>1237</v>
      </c>
      <c r="C299" s="626" t="s">
        <v>33</v>
      </c>
      <c r="D299" s="624">
        <f>J299</f>
        <v>107800.00000000001</v>
      </c>
      <c r="E299" s="626" t="s">
        <v>2127</v>
      </c>
      <c r="F299" s="631"/>
      <c r="G299" s="631"/>
      <c r="H299" s="631"/>
      <c r="I299" s="641">
        <v>98000</v>
      </c>
      <c r="J299" s="623">
        <f>I299*$J$292</f>
        <v>107800.00000000001</v>
      </c>
      <c r="K299" s="631"/>
      <c r="L299" s="631"/>
      <c r="M299" s="631"/>
      <c r="N299" s="631"/>
      <c r="O299" s="631"/>
      <c r="P299" s="631"/>
      <c r="Q299" s="631"/>
      <c r="R299" s="631"/>
      <c r="S299" s="631"/>
    </row>
    <row r="300" spans="1:19" ht="15" customHeight="1" outlineLevel="1">
      <c r="A300" s="626">
        <f t="shared" si="44"/>
        <v>8</v>
      </c>
      <c r="B300" s="625" t="s">
        <v>1238</v>
      </c>
      <c r="C300" s="626" t="s">
        <v>33</v>
      </c>
      <c r="D300" s="624">
        <f>J300</f>
        <v>119350.00000000001</v>
      </c>
      <c r="E300" s="626" t="s">
        <v>2127</v>
      </c>
      <c r="F300" s="631"/>
      <c r="G300" s="631"/>
      <c r="H300" s="631"/>
      <c r="I300" s="641">
        <v>108500</v>
      </c>
      <c r="J300" s="623">
        <f>I300*$J$292</f>
        <v>119350.00000000001</v>
      </c>
      <c r="K300" s="631"/>
      <c r="L300" s="631"/>
      <c r="M300" s="631"/>
      <c r="N300" s="631"/>
      <c r="O300" s="631"/>
      <c r="P300" s="631"/>
      <c r="Q300" s="631"/>
      <c r="R300" s="631"/>
      <c r="S300" s="631"/>
    </row>
    <row r="301" spans="1:19" ht="15" customHeight="1" outlineLevel="1">
      <c r="A301" s="626">
        <f t="shared" si="44"/>
        <v>9</v>
      </c>
      <c r="B301" s="625" t="s">
        <v>2045</v>
      </c>
      <c r="C301" s="626" t="s">
        <v>33</v>
      </c>
      <c r="D301" s="624">
        <f t="shared" si="42"/>
        <v>107800.00000000001</v>
      </c>
      <c r="E301" s="626" t="s">
        <v>2127</v>
      </c>
      <c r="F301" s="631"/>
      <c r="G301" s="631"/>
      <c r="H301" s="631"/>
      <c r="I301" s="641">
        <v>98000</v>
      </c>
      <c r="J301" s="623">
        <f t="shared" si="43"/>
        <v>107800.00000000001</v>
      </c>
      <c r="K301" s="631"/>
      <c r="L301" s="631"/>
      <c r="M301" s="631"/>
      <c r="N301" s="631"/>
      <c r="O301" s="631"/>
      <c r="P301" s="631"/>
      <c r="Q301" s="631"/>
      <c r="R301" s="631"/>
      <c r="S301" s="631"/>
    </row>
    <row r="302" spans="1:19" ht="15" customHeight="1" outlineLevel="1">
      <c r="A302" s="626">
        <f t="shared" si="44"/>
        <v>10</v>
      </c>
      <c r="B302" s="625" t="s">
        <v>724</v>
      </c>
      <c r="C302" s="626" t="s">
        <v>33</v>
      </c>
      <c r="D302" s="624">
        <f t="shared" si="42"/>
        <v>119350.00000000001</v>
      </c>
      <c r="E302" s="626" t="s">
        <v>2127</v>
      </c>
      <c r="F302" s="631"/>
      <c r="G302" s="631"/>
      <c r="H302" s="631"/>
      <c r="I302" s="641">
        <v>108500</v>
      </c>
      <c r="J302" s="623">
        <f t="shared" si="43"/>
        <v>119350.00000000001</v>
      </c>
      <c r="K302" s="631"/>
      <c r="L302" s="631"/>
      <c r="M302" s="631"/>
      <c r="N302" s="631"/>
      <c r="O302" s="631"/>
      <c r="P302" s="631"/>
      <c r="Q302" s="631"/>
      <c r="R302" s="631"/>
      <c r="S302" s="631"/>
    </row>
    <row r="303" spans="1:19" ht="15" customHeight="1" outlineLevel="1">
      <c r="A303" s="626">
        <f t="shared" si="44"/>
        <v>11</v>
      </c>
      <c r="B303" s="625" t="s">
        <v>725</v>
      </c>
      <c r="C303" s="626" t="s">
        <v>33</v>
      </c>
      <c r="D303" s="624">
        <f t="shared" si="42"/>
        <v>107800.00000000001</v>
      </c>
      <c r="E303" s="626" t="s">
        <v>2127</v>
      </c>
      <c r="F303" s="631"/>
      <c r="G303" s="631"/>
      <c r="H303" s="631"/>
      <c r="I303" s="641">
        <v>98000</v>
      </c>
      <c r="J303" s="623">
        <f t="shared" si="43"/>
        <v>107800.00000000001</v>
      </c>
      <c r="K303" s="631"/>
      <c r="L303" s="631"/>
      <c r="M303" s="631"/>
      <c r="N303" s="631"/>
      <c r="O303" s="631"/>
      <c r="P303" s="631"/>
      <c r="Q303" s="631"/>
      <c r="R303" s="631"/>
      <c r="S303" s="631"/>
    </row>
    <row r="304" spans="1:19" ht="15" customHeight="1" outlineLevel="1">
      <c r="A304" s="626">
        <f t="shared" si="44"/>
        <v>12</v>
      </c>
      <c r="B304" s="625" t="s">
        <v>726</v>
      </c>
      <c r="C304" s="626" t="s">
        <v>33</v>
      </c>
      <c r="D304" s="624">
        <f t="shared" si="42"/>
        <v>119350.00000000001</v>
      </c>
      <c r="E304" s="626" t="s">
        <v>2127</v>
      </c>
      <c r="F304" s="631"/>
      <c r="G304" s="631"/>
      <c r="H304" s="631"/>
      <c r="I304" s="641">
        <v>108500</v>
      </c>
      <c r="J304" s="623">
        <f t="shared" si="43"/>
        <v>119350.00000000001</v>
      </c>
      <c r="K304" s="631"/>
      <c r="L304" s="631"/>
      <c r="M304" s="631"/>
      <c r="N304" s="631"/>
      <c r="O304" s="631"/>
      <c r="P304" s="631"/>
      <c r="Q304" s="631"/>
      <c r="R304" s="631"/>
      <c r="S304" s="631"/>
    </row>
    <row r="305" spans="1:19" ht="15" customHeight="1" outlineLevel="1">
      <c r="A305" s="626">
        <f t="shared" si="44"/>
        <v>13</v>
      </c>
      <c r="B305" s="625" t="s">
        <v>727</v>
      </c>
      <c r="C305" s="626" t="s">
        <v>33</v>
      </c>
      <c r="D305" s="624">
        <f t="shared" si="42"/>
        <v>184800.00000000003</v>
      </c>
      <c r="E305" s="626" t="s">
        <v>2127</v>
      </c>
      <c r="F305" s="631"/>
      <c r="G305" s="631"/>
      <c r="H305" s="631"/>
      <c r="I305" s="641">
        <v>168000</v>
      </c>
      <c r="J305" s="623">
        <f t="shared" si="43"/>
        <v>184800.00000000003</v>
      </c>
      <c r="K305" s="631"/>
      <c r="L305" s="631"/>
      <c r="M305" s="631"/>
      <c r="N305" s="631"/>
      <c r="O305" s="631"/>
      <c r="P305" s="631"/>
      <c r="Q305" s="631"/>
      <c r="R305" s="631"/>
      <c r="S305" s="631"/>
    </row>
    <row r="306" spans="1:19" ht="15" customHeight="1" outlineLevel="1">
      <c r="A306" s="626">
        <f t="shared" si="44"/>
        <v>14</v>
      </c>
      <c r="B306" s="625" t="s">
        <v>728</v>
      </c>
      <c r="C306" s="626" t="s">
        <v>33</v>
      </c>
      <c r="D306" s="624">
        <f t="shared" si="42"/>
        <v>133100</v>
      </c>
      <c r="E306" s="626" t="s">
        <v>2127</v>
      </c>
      <c r="F306" s="631"/>
      <c r="G306" s="631"/>
      <c r="H306" s="631"/>
      <c r="I306" s="641">
        <v>121000</v>
      </c>
      <c r="J306" s="623">
        <f t="shared" si="43"/>
        <v>133100</v>
      </c>
      <c r="K306" s="631"/>
      <c r="L306" s="631"/>
      <c r="M306" s="631"/>
      <c r="N306" s="631"/>
      <c r="O306" s="631"/>
      <c r="P306" s="631"/>
      <c r="Q306" s="631"/>
      <c r="R306" s="631"/>
      <c r="S306" s="631"/>
    </row>
    <row r="307" spans="1:19" ht="15" customHeight="1" outlineLevel="1">
      <c r="A307" s="626">
        <f t="shared" si="44"/>
        <v>15</v>
      </c>
      <c r="B307" s="625" t="s">
        <v>494</v>
      </c>
      <c r="C307" s="626" t="s">
        <v>33</v>
      </c>
      <c r="D307" s="624">
        <f t="shared" si="42"/>
        <v>122100.00000000001</v>
      </c>
      <c r="E307" s="626" t="s">
        <v>2127</v>
      </c>
      <c r="F307" s="631"/>
      <c r="G307" s="631"/>
      <c r="H307" s="631"/>
      <c r="I307" s="641">
        <v>111000</v>
      </c>
      <c r="J307" s="623">
        <f t="shared" si="43"/>
        <v>122100.00000000001</v>
      </c>
      <c r="K307" s="631"/>
      <c r="L307" s="631"/>
      <c r="M307" s="631"/>
      <c r="N307" s="631"/>
      <c r="O307" s="631"/>
      <c r="P307" s="631"/>
      <c r="Q307" s="631"/>
      <c r="R307" s="631"/>
      <c r="S307" s="631"/>
    </row>
    <row r="308" spans="1:19" ht="15" customHeight="1" outlineLevel="1">
      <c r="A308" s="626">
        <f t="shared" si="44"/>
        <v>16</v>
      </c>
      <c r="B308" s="625" t="s">
        <v>729</v>
      </c>
      <c r="C308" s="626" t="s">
        <v>33</v>
      </c>
      <c r="D308" s="624">
        <f t="shared" si="42"/>
        <v>133100</v>
      </c>
      <c r="E308" s="626" t="s">
        <v>2127</v>
      </c>
      <c r="F308" s="631"/>
      <c r="G308" s="631"/>
      <c r="H308" s="631"/>
      <c r="I308" s="641">
        <v>121000</v>
      </c>
      <c r="J308" s="623">
        <f t="shared" si="43"/>
        <v>133100</v>
      </c>
      <c r="K308" s="631"/>
      <c r="L308" s="631"/>
      <c r="M308" s="631"/>
      <c r="N308" s="631"/>
      <c r="O308" s="631"/>
      <c r="P308" s="631"/>
      <c r="Q308" s="631"/>
      <c r="R308" s="631"/>
      <c r="S308" s="631"/>
    </row>
    <row r="309" spans="1:19" ht="15" customHeight="1" outlineLevel="1">
      <c r="A309" s="626">
        <f t="shared" si="44"/>
        <v>17</v>
      </c>
      <c r="B309" s="625" t="s">
        <v>730</v>
      </c>
      <c r="C309" s="626" t="s">
        <v>33</v>
      </c>
      <c r="D309" s="624">
        <f t="shared" si="42"/>
        <v>127600.00000000001</v>
      </c>
      <c r="E309" s="626" t="s">
        <v>2127</v>
      </c>
      <c r="F309" s="631"/>
      <c r="G309" s="631"/>
      <c r="H309" s="631"/>
      <c r="I309" s="641">
        <v>116000</v>
      </c>
      <c r="J309" s="623">
        <f t="shared" si="43"/>
        <v>127600.00000000001</v>
      </c>
      <c r="K309" s="631"/>
      <c r="L309" s="631"/>
      <c r="M309" s="631"/>
      <c r="N309" s="631"/>
      <c r="O309" s="631"/>
      <c r="P309" s="631"/>
      <c r="Q309" s="631"/>
      <c r="R309" s="631"/>
      <c r="S309" s="631"/>
    </row>
    <row r="310" spans="1:19" ht="15" customHeight="1" outlineLevel="1">
      <c r="A310" s="626">
        <f t="shared" si="44"/>
        <v>18</v>
      </c>
      <c r="B310" s="625" t="s">
        <v>731</v>
      </c>
      <c r="C310" s="626" t="s">
        <v>33</v>
      </c>
      <c r="D310" s="624">
        <f t="shared" si="42"/>
        <v>180457.2</v>
      </c>
      <c r="E310" s="626" t="s">
        <v>1302</v>
      </c>
      <c r="F310" s="631"/>
      <c r="G310" s="631"/>
      <c r="H310" s="631"/>
      <c r="I310" s="641">
        <v>164052</v>
      </c>
      <c r="J310" s="623">
        <f t="shared" si="43"/>
        <v>180457.2</v>
      </c>
      <c r="K310" s="631"/>
      <c r="L310" s="631"/>
      <c r="M310" s="631"/>
      <c r="N310" s="631"/>
      <c r="O310" s="631"/>
      <c r="P310" s="631"/>
      <c r="Q310" s="631"/>
      <c r="R310" s="631"/>
      <c r="S310" s="631"/>
    </row>
    <row r="311" spans="1:19" ht="15" customHeight="1" outlineLevel="1">
      <c r="A311" s="626">
        <f t="shared" si="44"/>
        <v>19</v>
      </c>
      <c r="B311" s="625" t="s">
        <v>996</v>
      </c>
      <c r="C311" s="626" t="s">
        <v>33</v>
      </c>
      <c r="D311" s="624">
        <f t="shared" si="42"/>
        <v>429000.00000000006</v>
      </c>
      <c r="E311" s="626" t="s">
        <v>1692</v>
      </c>
      <c r="F311" s="631"/>
      <c r="G311" s="631"/>
      <c r="H311" s="631"/>
      <c r="I311" s="641">
        <v>390000</v>
      </c>
      <c r="J311" s="623">
        <f t="shared" si="43"/>
        <v>429000.00000000006</v>
      </c>
      <c r="K311" s="631"/>
      <c r="L311" s="631"/>
      <c r="M311" s="631"/>
      <c r="N311" s="631"/>
      <c r="O311" s="631"/>
      <c r="P311" s="631"/>
      <c r="Q311" s="631"/>
      <c r="R311" s="631"/>
      <c r="S311" s="631"/>
    </row>
    <row r="312" spans="1:19" ht="15" customHeight="1" outlineLevel="1">
      <c r="A312" s="626">
        <f t="shared" si="44"/>
        <v>20</v>
      </c>
      <c r="B312" s="625" t="s">
        <v>1235</v>
      </c>
      <c r="C312" s="626" t="s">
        <v>33</v>
      </c>
      <c r="D312" s="624">
        <f t="shared" ref="D312:D324" si="45">J312</f>
        <v>465666.30000000005</v>
      </c>
      <c r="E312" s="626" t="s">
        <v>1692</v>
      </c>
      <c r="F312" s="631"/>
      <c r="G312" s="631"/>
      <c r="H312" s="631"/>
      <c r="I312" s="641">
        <v>423333</v>
      </c>
      <c r="J312" s="623">
        <f t="shared" ref="J312:J324" si="46">I312*$J$292</f>
        <v>465666.30000000005</v>
      </c>
      <c r="K312" s="631"/>
      <c r="L312" s="631"/>
      <c r="M312" s="631"/>
      <c r="N312" s="631"/>
      <c r="O312" s="631"/>
      <c r="P312" s="631"/>
      <c r="Q312" s="631"/>
      <c r="R312" s="631"/>
      <c r="S312" s="631"/>
    </row>
    <row r="313" spans="1:19" ht="15" customHeight="1" outlineLevel="1">
      <c r="A313" s="626">
        <f t="shared" si="44"/>
        <v>21</v>
      </c>
      <c r="B313" s="625" t="s">
        <v>719</v>
      </c>
      <c r="C313" s="626" t="s">
        <v>33</v>
      </c>
      <c r="D313" s="624">
        <f t="shared" si="45"/>
        <v>330000</v>
      </c>
      <c r="E313" s="626" t="s">
        <v>1692</v>
      </c>
      <c r="F313" s="631"/>
      <c r="G313" s="631"/>
      <c r="H313" s="631"/>
      <c r="I313" s="641">
        <v>300000</v>
      </c>
      <c r="J313" s="623">
        <f t="shared" si="46"/>
        <v>330000</v>
      </c>
      <c r="K313" s="631"/>
      <c r="L313" s="631"/>
      <c r="M313" s="631"/>
      <c r="N313" s="631"/>
      <c r="O313" s="631"/>
      <c r="P313" s="631"/>
      <c r="Q313" s="631"/>
      <c r="R313" s="631"/>
      <c r="S313" s="631"/>
    </row>
    <row r="314" spans="1:19" ht="15" customHeight="1" outlineLevel="1">
      <c r="A314" s="626">
        <f t="shared" si="44"/>
        <v>22</v>
      </c>
      <c r="B314" s="625" t="s">
        <v>995</v>
      </c>
      <c r="C314" s="626" t="s">
        <v>33</v>
      </c>
      <c r="D314" s="624">
        <f t="shared" si="45"/>
        <v>143220</v>
      </c>
      <c r="E314" s="626" t="s">
        <v>2124</v>
      </c>
      <c r="F314" s="631"/>
      <c r="G314" s="631"/>
      <c r="H314" s="631"/>
      <c r="I314" s="641">
        <v>130200</v>
      </c>
      <c r="J314" s="623">
        <f t="shared" si="46"/>
        <v>143220</v>
      </c>
      <c r="K314" s="631"/>
      <c r="L314" s="631"/>
      <c r="M314" s="631"/>
      <c r="N314" s="631"/>
      <c r="O314" s="631"/>
      <c r="P314" s="631"/>
      <c r="Q314" s="631"/>
      <c r="R314" s="631"/>
      <c r="S314" s="631"/>
    </row>
    <row r="315" spans="1:19" ht="15" customHeight="1" outlineLevel="1">
      <c r="A315" s="626">
        <f t="shared" si="44"/>
        <v>23</v>
      </c>
      <c r="B315" s="625" t="s">
        <v>732</v>
      </c>
      <c r="C315" s="626" t="s">
        <v>33</v>
      </c>
      <c r="D315" s="624">
        <f t="shared" si="45"/>
        <v>366666.66666666669</v>
      </c>
      <c r="E315" s="626" t="s">
        <v>1028</v>
      </c>
      <c r="F315" s="631"/>
      <c r="G315" s="631"/>
      <c r="H315" s="631"/>
      <c r="I315" s="641">
        <f>10000000/30</f>
        <v>333333.33333333331</v>
      </c>
      <c r="J315" s="623">
        <f t="shared" si="46"/>
        <v>366666.66666666669</v>
      </c>
      <c r="K315" s="631"/>
      <c r="L315" s="631"/>
      <c r="M315" s="631"/>
      <c r="N315" s="631"/>
      <c r="O315" s="631"/>
      <c r="P315" s="631"/>
      <c r="Q315" s="631"/>
      <c r="R315" s="631"/>
      <c r="S315" s="631"/>
    </row>
    <row r="316" spans="1:19" ht="15" customHeight="1" outlineLevel="1">
      <c r="A316" s="626">
        <f t="shared" si="44"/>
        <v>24</v>
      </c>
      <c r="B316" s="625" t="s">
        <v>994</v>
      </c>
      <c r="C316" s="626" t="s">
        <v>33</v>
      </c>
      <c r="D316" s="624">
        <f t="shared" si="45"/>
        <v>331943.7</v>
      </c>
      <c r="E316" s="626" t="s">
        <v>1033</v>
      </c>
      <c r="F316" s="631"/>
      <c r="G316" s="631"/>
      <c r="H316" s="631"/>
      <c r="I316" s="641">
        <v>301767</v>
      </c>
      <c r="J316" s="623">
        <f t="shared" si="46"/>
        <v>331943.7</v>
      </c>
      <c r="K316" s="631"/>
      <c r="L316" s="631"/>
      <c r="M316" s="631"/>
      <c r="N316" s="631"/>
      <c r="O316" s="631"/>
      <c r="P316" s="631"/>
      <c r="Q316" s="631"/>
      <c r="R316" s="631"/>
      <c r="S316" s="631"/>
    </row>
    <row r="317" spans="1:19" ht="15" customHeight="1" outlineLevel="1">
      <c r="A317" s="626">
        <f t="shared" si="44"/>
        <v>25</v>
      </c>
      <c r="B317" s="625" t="s">
        <v>974</v>
      </c>
      <c r="C317" s="626" t="s">
        <v>33</v>
      </c>
      <c r="D317" s="624">
        <f t="shared" si="45"/>
        <v>239580.00000000003</v>
      </c>
      <c r="E317" s="626"/>
      <c r="F317" s="631"/>
      <c r="G317" s="631"/>
      <c r="H317" s="631"/>
      <c r="I317" s="641">
        <v>217800</v>
      </c>
      <c r="J317" s="623">
        <f t="shared" si="46"/>
        <v>239580.00000000003</v>
      </c>
      <c r="K317" s="631"/>
      <c r="L317" s="631"/>
      <c r="M317" s="631"/>
      <c r="N317" s="631"/>
      <c r="O317" s="631"/>
      <c r="P317" s="631"/>
      <c r="Q317" s="631"/>
      <c r="R317" s="631"/>
      <c r="S317" s="631"/>
    </row>
    <row r="318" spans="1:19" ht="15" customHeight="1" outlineLevel="1">
      <c r="A318" s="626">
        <f t="shared" si="44"/>
        <v>26</v>
      </c>
      <c r="B318" s="625" t="s">
        <v>1239</v>
      </c>
      <c r="C318" s="626" t="s">
        <v>33</v>
      </c>
      <c r="D318" s="624">
        <f t="shared" si="45"/>
        <v>207570.00000000003</v>
      </c>
      <c r="E318" s="626"/>
      <c r="F318" s="631"/>
      <c r="G318" s="631"/>
      <c r="H318" s="631"/>
      <c r="I318" s="641">
        <v>188700</v>
      </c>
      <c r="J318" s="623">
        <f t="shared" si="46"/>
        <v>207570.00000000003</v>
      </c>
      <c r="K318" s="631"/>
      <c r="L318" s="631"/>
      <c r="M318" s="631"/>
      <c r="N318" s="631"/>
      <c r="O318" s="631"/>
      <c r="P318" s="631"/>
      <c r="Q318" s="631"/>
      <c r="R318" s="631"/>
      <c r="S318" s="631"/>
    </row>
    <row r="319" spans="1:19" ht="15" customHeight="1" outlineLevel="1">
      <c r="A319" s="626">
        <f t="shared" si="44"/>
        <v>27</v>
      </c>
      <c r="B319" s="625" t="s">
        <v>923</v>
      </c>
      <c r="C319" s="626" t="s">
        <v>33</v>
      </c>
      <c r="D319" s="624">
        <f t="shared" si="45"/>
        <v>195360.00000000003</v>
      </c>
      <c r="E319" s="626"/>
      <c r="F319" s="631"/>
      <c r="G319" s="631"/>
      <c r="H319" s="631"/>
      <c r="I319" s="641">
        <v>177600</v>
      </c>
      <c r="J319" s="623">
        <f t="shared" si="46"/>
        <v>195360.00000000003</v>
      </c>
      <c r="K319" s="631"/>
      <c r="L319" s="631"/>
      <c r="M319" s="631"/>
      <c r="N319" s="631"/>
      <c r="O319" s="631"/>
      <c r="P319" s="631"/>
      <c r="Q319" s="631"/>
      <c r="R319" s="631"/>
      <c r="S319" s="631"/>
    </row>
    <row r="320" spans="1:19" ht="15" customHeight="1" outlineLevel="1">
      <c r="A320" s="626">
        <f t="shared" si="44"/>
        <v>28</v>
      </c>
      <c r="B320" s="625" t="s">
        <v>733</v>
      </c>
      <c r="C320" s="626" t="s">
        <v>33</v>
      </c>
      <c r="D320" s="624">
        <f t="shared" si="45"/>
        <v>119350.00000000001</v>
      </c>
      <c r="E320" s="626" t="s">
        <v>1301</v>
      </c>
      <c r="F320" s="631"/>
      <c r="G320" s="631"/>
      <c r="H320" s="631"/>
      <c r="I320" s="641">
        <f>I298</f>
        <v>108500</v>
      </c>
      <c r="J320" s="623">
        <f t="shared" si="46"/>
        <v>119350.00000000001</v>
      </c>
      <c r="K320" s="631"/>
      <c r="L320" s="631"/>
      <c r="M320" s="631"/>
      <c r="N320" s="631"/>
      <c r="O320" s="631"/>
      <c r="P320" s="631"/>
      <c r="Q320" s="631"/>
      <c r="R320" s="631"/>
      <c r="S320" s="631"/>
    </row>
    <row r="321" spans="1:19" ht="15" customHeight="1" outlineLevel="1">
      <c r="A321" s="626">
        <f t="shared" si="44"/>
        <v>29</v>
      </c>
      <c r="B321" s="625" t="s">
        <v>734</v>
      </c>
      <c r="C321" s="626" t="s">
        <v>33</v>
      </c>
      <c r="D321" s="624">
        <f t="shared" si="45"/>
        <v>107800.00000000001</v>
      </c>
      <c r="E321" s="626" t="s">
        <v>1301</v>
      </c>
      <c r="F321" s="631"/>
      <c r="G321" s="631"/>
      <c r="H321" s="631"/>
      <c r="I321" s="641">
        <f>I297</f>
        <v>98000</v>
      </c>
      <c r="J321" s="623">
        <f t="shared" si="46"/>
        <v>107800.00000000001</v>
      </c>
      <c r="K321" s="631"/>
      <c r="L321" s="631"/>
      <c r="M321" s="631"/>
      <c r="N321" s="631"/>
      <c r="O321" s="631"/>
      <c r="P321" s="631"/>
      <c r="Q321" s="631"/>
      <c r="R321" s="631"/>
      <c r="S321" s="631"/>
    </row>
    <row r="322" spans="1:19" ht="15" customHeight="1" outlineLevel="1">
      <c r="A322" s="626">
        <f>1+A321</f>
        <v>30</v>
      </c>
      <c r="B322" s="625" t="s">
        <v>2125</v>
      </c>
      <c r="C322" s="626" t="s">
        <v>33</v>
      </c>
      <c r="D322" s="624">
        <f t="shared" si="45"/>
        <v>211106.28000000003</v>
      </c>
      <c r="E322" s="626" t="s">
        <v>2124</v>
      </c>
      <c r="F322" s="631" t="s">
        <v>721</v>
      </c>
      <c r="G322" s="631"/>
      <c r="H322" s="631"/>
      <c r="I322" s="641">
        <f>1.1*I323</f>
        <v>191914.80000000002</v>
      </c>
      <c r="J322" s="623">
        <f t="shared" si="46"/>
        <v>211106.28000000003</v>
      </c>
      <c r="K322" s="631"/>
      <c r="L322" s="631"/>
      <c r="M322" s="631"/>
      <c r="N322" s="631"/>
      <c r="O322" s="631"/>
      <c r="P322" s="631"/>
      <c r="Q322" s="631"/>
      <c r="R322" s="631"/>
      <c r="S322" s="631"/>
    </row>
    <row r="323" spans="1:19" ht="15" customHeight="1" outlineLevel="1">
      <c r="A323" s="626">
        <f t="shared" si="44"/>
        <v>31</v>
      </c>
      <c r="B323" s="625" t="s">
        <v>2126</v>
      </c>
      <c r="C323" s="626" t="s">
        <v>33</v>
      </c>
      <c r="D323" s="624">
        <f t="shared" si="45"/>
        <v>191914.80000000002</v>
      </c>
      <c r="E323" s="626" t="s">
        <v>2124</v>
      </c>
      <c r="F323" s="631" t="s">
        <v>721</v>
      </c>
      <c r="G323" s="631"/>
      <c r="H323" s="631"/>
      <c r="I323" s="641">
        <v>174468</v>
      </c>
      <c r="J323" s="623">
        <f t="shared" si="46"/>
        <v>191914.80000000002</v>
      </c>
      <c r="K323" s="631"/>
      <c r="L323" s="631"/>
      <c r="M323" s="631"/>
      <c r="N323" s="631"/>
      <c r="O323" s="631"/>
      <c r="P323" s="631"/>
      <c r="Q323" s="631"/>
      <c r="R323" s="631"/>
      <c r="S323" s="631"/>
    </row>
    <row r="324" spans="1:19" ht="15" customHeight="1" outlineLevel="1">
      <c r="A324" s="626">
        <f t="shared" si="44"/>
        <v>32</v>
      </c>
      <c r="B324" s="625" t="s">
        <v>722</v>
      </c>
      <c r="C324" s="626" t="s">
        <v>33</v>
      </c>
      <c r="D324" s="624">
        <f t="shared" si="45"/>
        <v>164703</v>
      </c>
      <c r="E324" s="626" t="s">
        <v>2124</v>
      </c>
      <c r="F324" s="631"/>
      <c r="G324" s="631"/>
      <c r="H324" s="631"/>
      <c r="I324" s="641">
        <v>149730</v>
      </c>
      <c r="J324" s="623">
        <f t="shared" si="46"/>
        <v>164703</v>
      </c>
      <c r="K324" s="631"/>
      <c r="L324" s="631"/>
      <c r="M324" s="631"/>
      <c r="N324" s="631"/>
      <c r="O324" s="631"/>
      <c r="P324" s="631"/>
      <c r="Q324" s="631"/>
      <c r="R324" s="631"/>
      <c r="S324" s="631"/>
    </row>
    <row r="325" spans="1:19" ht="15" customHeight="1" outlineLevel="1">
      <c r="A325" s="626">
        <f t="shared" si="44"/>
        <v>33</v>
      </c>
      <c r="B325" s="625" t="s">
        <v>1030</v>
      </c>
      <c r="C325" s="626" t="s">
        <v>33</v>
      </c>
      <c r="D325" s="624">
        <f t="shared" si="42"/>
        <v>184800.00000000003</v>
      </c>
      <c r="E325" s="626" t="s">
        <v>2127</v>
      </c>
      <c r="F325" s="631"/>
      <c r="G325" s="631"/>
      <c r="H325" s="631"/>
      <c r="I325" s="641">
        <v>168000</v>
      </c>
      <c r="J325" s="623">
        <f t="shared" si="43"/>
        <v>184800.00000000003</v>
      </c>
      <c r="K325" s="631"/>
      <c r="L325" s="631"/>
      <c r="M325" s="631"/>
      <c r="N325" s="631"/>
      <c r="O325" s="631"/>
      <c r="P325" s="631"/>
      <c r="Q325" s="631"/>
      <c r="R325" s="631"/>
      <c r="S325" s="631"/>
    </row>
    <row r="326" spans="1:19" ht="15" customHeight="1" outlineLevel="1">
      <c r="A326" s="626">
        <f t="shared" si="44"/>
        <v>34</v>
      </c>
      <c r="B326" s="625" t="s">
        <v>1789</v>
      </c>
      <c r="C326" s="626" t="s">
        <v>33</v>
      </c>
      <c r="D326" s="624">
        <f t="shared" si="42"/>
        <v>184800.00000000003</v>
      </c>
      <c r="E326" s="626" t="s">
        <v>2127</v>
      </c>
      <c r="F326" s="631"/>
      <c r="G326" s="631"/>
      <c r="H326" s="631"/>
      <c r="I326" s="641">
        <v>168000</v>
      </c>
      <c r="J326" s="623">
        <f t="shared" si="43"/>
        <v>184800.00000000003</v>
      </c>
      <c r="K326" s="631"/>
      <c r="L326" s="631"/>
      <c r="M326" s="631"/>
      <c r="N326" s="631"/>
      <c r="O326" s="631"/>
      <c r="P326" s="631"/>
      <c r="Q326" s="631"/>
      <c r="R326" s="631"/>
      <c r="S326" s="631"/>
    </row>
    <row r="327" spans="1:19" ht="15" customHeight="1">
      <c r="A327" s="630" t="s">
        <v>735</v>
      </c>
      <c r="B327" s="629" t="s">
        <v>736</v>
      </c>
      <c r="C327" s="630"/>
      <c r="D327" s="628"/>
      <c r="E327" s="630"/>
      <c r="F327" s="631"/>
      <c r="G327" s="631"/>
      <c r="H327" s="631"/>
      <c r="I327" s="622" t="s">
        <v>503</v>
      </c>
      <c r="J327" s="622">
        <f>100%+$I$6</f>
        <v>1.1000000000000001</v>
      </c>
      <c r="K327" s="631"/>
      <c r="L327" s="631"/>
      <c r="M327" s="631"/>
      <c r="N327" s="631"/>
      <c r="O327" s="631"/>
      <c r="P327" s="631"/>
      <c r="Q327" s="631"/>
      <c r="R327" s="631"/>
      <c r="S327" s="631"/>
    </row>
    <row r="328" spans="1:19" ht="15" customHeight="1" outlineLevel="1">
      <c r="A328" s="626">
        <v>1</v>
      </c>
      <c r="B328" s="625" t="s">
        <v>737</v>
      </c>
      <c r="C328" s="626" t="s">
        <v>65</v>
      </c>
      <c r="D328" s="624">
        <f>J328</f>
        <v>568528.4</v>
      </c>
      <c r="E328" s="626" t="s">
        <v>4279</v>
      </c>
      <c r="F328" s="631"/>
      <c r="G328" s="631"/>
      <c r="H328" s="631"/>
      <c r="I328" s="623">
        <v>516844</v>
      </c>
      <c r="J328" s="623">
        <f>I328*$J$327</f>
        <v>568528.4</v>
      </c>
      <c r="K328" s="631"/>
      <c r="L328" s="631"/>
      <c r="M328" s="631"/>
      <c r="N328" s="631"/>
      <c r="O328" s="631"/>
      <c r="P328" s="631"/>
      <c r="Q328" s="631"/>
      <c r="R328" s="631"/>
      <c r="S328" s="631"/>
    </row>
    <row r="329" spans="1:19" ht="15" customHeight="1" outlineLevel="1">
      <c r="A329" s="626">
        <f>A328+1</f>
        <v>2</v>
      </c>
      <c r="B329" s="625" t="s">
        <v>839</v>
      </c>
      <c r="C329" s="626" t="s">
        <v>65</v>
      </c>
      <c r="D329" s="624">
        <f t="shared" ref="D329:D375" si="47">J329</f>
        <v>219260.80000000002</v>
      </c>
      <c r="E329" s="626" t="s">
        <v>4279</v>
      </c>
      <c r="F329" s="631"/>
      <c r="G329" s="631"/>
      <c r="H329" s="631"/>
      <c r="I329" s="623">
        <v>199328</v>
      </c>
      <c r="J329" s="623">
        <f t="shared" ref="J329:J375" si="48">I329*$J$327</f>
        <v>219260.80000000002</v>
      </c>
      <c r="K329" s="631"/>
      <c r="L329" s="631"/>
      <c r="M329" s="631"/>
      <c r="N329" s="631"/>
      <c r="O329" s="631"/>
      <c r="P329" s="631"/>
      <c r="Q329" s="631"/>
      <c r="R329" s="631"/>
      <c r="S329" s="631"/>
    </row>
    <row r="330" spans="1:19" ht="15" customHeight="1" outlineLevel="1">
      <c r="A330" s="626">
        <f t="shared" ref="A330:A375" si="49">A329+1</f>
        <v>3</v>
      </c>
      <c r="B330" s="625" t="s">
        <v>801</v>
      </c>
      <c r="C330" s="626" t="s">
        <v>72</v>
      </c>
      <c r="D330" s="624">
        <f t="shared" si="47"/>
        <v>35640</v>
      </c>
      <c r="E330" s="626"/>
      <c r="F330" s="631"/>
      <c r="G330" s="631"/>
      <c r="H330" s="631"/>
      <c r="I330" s="623">
        <v>32400</v>
      </c>
      <c r="J330" s="623">
        <f t="shared" si="48"/>
        <v>35640</v>
      </c>
      <c r="K330" s="631"/>
      <c r="L330" s="631"/>
      <c r="M330" s="631"/>
      <c r="N330" s="631"/>
      <c r="O330" s="631"/>
      <c r="P330" s="631"/>
      <c r="Q330" s="631"/>
      <c r="R330" s="631"/>
      <c r="S330" s="631"/>
    </row>
    <row r="331" spans="1:19" ht="15" customHeight="1" outlineLevel="1">
      <c r="A331" s="626">
        <f t="shared" si="49"/>
        <v>4</v>
      </c>
      <c r="B331" s="625" t="s">
        <v>841</v>
      </c>
      <c r="C331" s="626" t="s">
        <v>72</v>
      </c>
      <c r="D331" s="624">
        <f t="shared" si="47"/>
        <v>105600.00000000001</v>
      </c>
      <c r="E331" s="626" t="s">
        <v>1702</v>
      </c>
      <c r="F331" s="631"/>
      <c r="G331" s="631"/>
      <c r="H331" s="631"/>
      <c r="I331" s="623">
        <v>96000</v>
      </c>
      <c r="J331" s="623">
        <f t="shared" si="48"/>
        <v>105600.00000000001</v>
      </c>
      <c r="K331" s="631"/>
      <c r="L331" s="631"/>
      <c r="M331" s="631"/>
      <c r="N331" s="631"/>
      <c r="O331" s="631"/>
      <c r="P331" s="631"/>
      <c r="Q331" s="631"/>
      <c r="R331" s="631"/>
      <c r="S331" s="631"/>
    </row>
    <row r="332" spans="1:19" ht="15" customHeight="1" outlineLevel="1">
      <c r="A332" s="626">
        <f t="shared" si="49"/>
        <v>5</v>
      </c>
      <c r="B332" s="625" t="s">
        <v>1438</v>
      </c>
      <c r="C332" s="626" t="s">
        <v>65</v>
      </c>
      <c r="D332" s="624">
        <f t="shared" si="47"/>
        <v>1161622.4400000002</v>
      </c>
      <c r="E332" s="626" t="s">
        <v>4279</v>
      </c>
      <c r="F332" s="631"/>
      <c r="G332" s="631"/>
      <c r="H332" s="631"/>
      <c r="I332" s="623">
        <f>0.9*1173356</f>
        <v>1056020.4000000001</v>
      </c>
      <c r="J332" s="623">
        <f t="shared" si="48"/>
        <v>1161622.4400000002</v>
      </c>
      <c r="K332" s="631"/>
      <c r="L332" s="631"/>
      <c r="M332" s="631"/>
      <c r="N332" s="631"/>
      <c r="O332" s="631"/>
      <c r="P332" s="631"/>
      <c r="Q332" s="631"/>
      <c r="R332" s="631"/>
      <c r="S332" s="631"/>
    </row>
    <row r="333" spans="1:19" ht="15" customHeight="1" outlineLevel="1">
      <c r="A333" s="626">
        <f t="shared" si="49"/>
        <v>6</v>
      </c>
      <c r="B333" s="625" t="s">
        <v>838</v>
      </c>
      <c r="C333" s="626" t="s">
        <v>65</v>
      </c>
      <c r="D333" s="624">
        <f t="shared" si="47"/>
        <v>1248500</v>
      </c>
      <c r="E333" s="626" t="s">
        <v>1702</v>
      </c>
      <c r="F333" s="631"/>
      <c r="G333" s="631"/>
      <c r="H333" s="631"/>
      <c r="I333" s="623">
        <v>1135000</v>
      </c>
      <c r="J333" s="623">
        <f t="shared" si="48"/>
        <v>1248500</v>
      </c>
      <c r="K333" s="631"/>
      <c r="L333" s="631"/>
      <c r="M333" s="631"/>
      <c r="N333" s="631"/>
      <c r="O333" s="631"/>
      <c r="P333" s="631"/>
      <c r="Q333" s="631"/>
      <c r="R333" s="631"/>
      <c r="S333" s="631"/>
    </row>
    <row r="334" spans="1:19" ht="15" customHeight="1" outlineLevel="1">
      <c r="A334" s="626">
        <f t="shared" si="49"/>
        <v>7</v>
      </c>
      <c r="B334" s="625" t="s">
        <v>738</v>
      </c>
      <c r="C334" s="626" t="s">
        <v>72</v>
      </c>
      <c r="D334" s="624">
        <f t="shared" si="47"/>
        <v>50820.000000000007</v>
      </c>
      <c r="E334" s="626" t="s">
        <v>1703</v>
      </c>
      <c r="F334" s="631"/>
      <c r="G334" s="631"/>
      <c r="H334" s="631"/>
      <c r="I334" s="623">
        <v>46200</v>
      </c>
      <c r="J334" s="623">
        <f t="shared" si="48"/>
        <v>50820.000000000007</v>
      </c>
      <c r="K334" s="631"/>
      <c r="L334" s="631"/>
      <c r="M334" s="631"/>
      <c r="N334" s="631"/>
      <c r="O334" s="631"/>
      <c r="P334" s="631"/>
      <c r="Q334" s="631"/>
      <c r="R334" s="631"/>
      <c r="S334" s="631"/>
    </row>
    <row r="335" spans="1:19" ht="15" customHeight="1" outlineLevel="1">
      <c r="A335" s="626">
        <f t="shared" si="49"/>
        <v>8</v>
      </c>
      <c r="B335" s="625" t="s">
        <v>739</v>
      </c>
      <c r="C335" s="626" t="s">
        <v>210</v>
      </c>
      <c r="D335" s="624">
        <f t="shared" si="47"/>
        <v>154000</v>
      </c>
      <c r="E335" s="626"/>
      <c r="F335" s="631"/>
      <c r="G335" s="631"/>
      <c r="H335" s="631"/>
      <c r="I335" s="623">
        <v>140000</v>
      </c>
      <c r="J335" s="623">
        <f t="shared" si="48"/>
        <v>154000</v>
      </c>
      <c r="K335" s="631"/>
      <c r="L335" s="631"/>
      <c r="M335" s="631"/>
      <c r="N335" s="631"/>
      <c r="O335" s="631"/>
      <c r="P335" s="631"/>
      <c r="Q335" s="631"/>
      <c r="R335" s="631"/>
      <c r="S335" s="631"/>
    </row>
    <row r="336" spans="1:19" ht="15" customHeight="1" outlineLevel="1">
      <c r="A336" s="626">
        <f t="shared" si="49"/>
        <v>9</v>
      </c>
      <c r="B336" s="625" t="s">
        <v>740</v>
      </c>
      <c r="C336" s="626" t="s">
        <v>65</v>
      </c>
      <c r="D336" s="624">
        <f t="shared" si="47"/>
        <v>163944</v>
      </c>
      <c r="E336" s="626"/>
      <c r="F336" s="631"/>
      <c r="G336" s="631"/>
      <c r="H336" s="631"/>
      <c r="I336" s="623">
        <f>18630*8</f>
        <v>149040</v>
      </c>
      <c r="J336" s="623">
        <f t="shared" si="48"/>
        <v>163944</v>
      </c>
      <c r="K336" s="631"/>
      <c r="L336" s="631"/>
      <c r="M336" s="631"/>
      <c r="N336" s="631"/>
      <c r="O336" s="631"/>
      <c r="P336" s="631"/>
      <c r="Q336" s="631"/>
      <c r="R336" s="631"/>
      <c r="S336" s="631"/>
    </row>
    <row r="337" spans="1:19" ht="15" customHeight="1" outlineLevel="1">
      <c r="A337" s="626">
        <f t="shared" si="49"/>
        <v>10</v>
      </c>
      <c r="B337" s="625" t="s">
        <v>741</v>
      </c>
      <c r="C337" s="626" t="s">
        <v>65</v>
      </c>
      <c r="D337" s="624">
        <f t="shared" si="47"/>
        <v>207636.00000000003</v>
      </c>
      <c r="E337" s="626" t="s">
        <v>2129</v>
      </c>
      <c r="F337" s="631"/>
      <c r="G337" s="631"/>
      <c r="H337" s="631"/>
      <c r="I337" s="623">
        <v>188760</v>
      </c>
      <c r="J337" s="623">
        <f t="shared" si="48"/>
        <v>207636.00000000003</v>
      </c>
      <c r="K337" s="631" t="s">
        <v>742</v>
      </c>
      <c r="L337" s="631"/>
      <c r="M337" s="631"/>
      <c r="N337" s="631"/>
      <c r="O337" s="631"/>
      <c r="P337" s="631"/>
      <c r="Q337" s="631"/>
      <c r="R337" s="631"/>
      <c r="S337" s="631"/>
    </row>
    <row r="338" spans="1:19" ht="15" customHeight="1" outlineLevel="1">
      <c r="A338" s="626">
        <f t="shared" si="49"/>
        <v>11</v>
      </c>
      <c r="B338" s="625" t="s">
        <v>743</v>
      </c>
      <c r="C338" s="626" t="s">
        <v>65</v>
      </c>
      <c r="D338" s="624">
        <f t="shared" si="47"/>
        <v>220000.00000000003</v>
      </c>
      <c r="E338" s="626" t="s">
        <v>744</v>
      </c>
      <c r="F338" s="631"/>
      <c r="G338" s="631"/>
      <c r="H338" s="631"/>
      <c r="I338" s="623">
        <v>200000</v>
      </c>
      <c r="J338" s="623">
        <f t="shared" si="48"/>
        <v>220000.00000000003</v>
      </c>
      <c r="K338" s="631"/>
      <c r="L338" s="631"/>
      <c r="M338" s="631"/>
      <c r="N338" s="631"/>
      <c r="O338" s="631"/>
      <c r="P338" s="631"/>
      <c r="Q338" s="631"/>
      <c r="R338" s="631"/>
      <c r="S338" s="631"/>
    </row>
    <row r="339" spans="1:19" ht="15" customHeight="1" outlineLevel="1">
      <c r="A339" s="626">
        <f t="shared" si="49"/>
        <v>12</v>
      </c>
      <c r="B339" s="625" t="s">
        <v>745</v>
      </c>
      <c r="C339" s="626" t="s">
        <v>65</v>
      </c>
      <c r="D339" s="624">
        <f t="shared" si="47"/>
        <v>510754.20000000007</v>
      </c>
      <c r="E339" s="626" t="s">
        <v>4279</v>
      </c>
      <c r="F339" s="631"/>
      <c r="G339" s="631"/>
      <c r="H339" s="631"/>
      <c r="I339" s="623">
        <v>464322</v>
      </c>
      <c r="J339" s="623">
        <f t="shared" si="48"/>
        <v>510754.20000000007</v>
      </c>
      <c r="K339" s="631"/>
      <c r="L339" s="631"/>
      <c r="M339" s="631"/>
      <c r="N339" s="631"/>
      <c r="O339" s="631"/>
      <c r="P339" s="631"/>
      <c r="Q339" s="631"/>
      <c r="R339" s="631"/>
      <c r="S339" s="631"/>
    </row>
    <row r="340" spans="1:19" ht="15" customHeight="1" outlineLevel="1">
      <c r="A340" s="626">
        <f t="shared" si="49"/>
        <v>13</v>
      </c>
      <c r="B340" s="625" t="s">
        <v>746</v>
      </c>
      <c r="C340" s="626" t="s">
        <v>204</v>
      </c>
      <c r="D340" s="624">
        <f t="shared" si="47"/>
        <v>132000</v>
      </c>
      <c r="E340" s="626"/>
      <c r="F340" s="631"/>
      <c r="G340" s="631"/>
      <c r="H340" s="631"/>
      <c r="I340" s="623">
        <v>120000</v>
      </c>
      <c r="J340" s="623">
        <f t="shared" si="48"/>
        <v>132000</v>
      </c>
      <c r="K340" s="631"/>
      <c r="L340" s="631"/>
      <c r="M340" s="631"/>
      <c r="N340" s="631"/>
      <c r="O340" s="631"/>
      <c r="P340" s="631"/>
      <c r="Q340" s="631"/>
      <c r="R340" s="631"/>
      <c r="S340" s="631"/>
    </row>
    <row r="341" spans="1:19" ht="15" customHeight="1" outlineLevel="1">
      <c r="A341" s="626">
        <f t="shared" si="49"/>
        <v>14</v>
      </c>
      <c r="B341" s="625" t="s">
        <v>747</v>
      </c>
      <c r="C341" s="626" t="s">
        <v>65</v>
      </c>
      <c r="D341" s="624">
        <f t="shared" si="47"/>
        <v>286000</v>
      </c>
      <c r="E341" s="626" t="s">
        <v>2129</v>
      </c>
      <c r="F341" s="631"/>
      <c r="G341" s="631"/>
      <c r="H341" s="631"/>
      <c r="I341" s="623">
        <v>260000</v>
      </c>
      <c r="J341" s="623">
        <f t="shared" si="48"/>
        <v>286000</v>
      </c>
      <c r="K341" s="631"/>
      <c r="L341" s="631"/>
      <c r="M341" s="631"/>
      <c r="N341" s="631"/>
      <c r="O341" s="631"/>
      <c r="P341" s="631"/>
      <c r="Q341" s="631"/>
      <c r="R341" s="631"/>
      <c r="S341" s="631"/>
    </row>
    <row r="342" spans="1:19" ht="15" customHeight="1" outlineLevel="1">
      <c r="A342" s="626">
        <f t="shared" si="49"/>
        <v>15</v>
      </c>
      <c r="B342" s="625" t="s">
        <v>748</v>
      </c>
      <c r="C342" s="626" t="s">
        <v>65</v>
      </c>
      <c r="D342" s="624">
        <f t="shared" si="47"/>
        <v>220000.00000000003</v>
      </c>
      <c r="E342" s="626"/>
      <c r="F342" s="631"/>
      <c r="G342" s="631"/>
      <c r="H342" s="631"/>
      <c r="I342" s="623">
        <v>200000</v>
      </c>
      <c r="J342" s="623">
        <f t="shared" si="48"/>
        <v>220000.00000000003</v>
      </c>
      <c r="K342" s="631"/>
      <c r="L342" s="631"/>
      <c r="M342" s="631"/>
      <c r="N342" s="631"/>
      <c r="O342" s="631"/>
      <c r="P342" s="631"/>
      <c r="Q342" s="631"/>
      <c r="R342" s="631"/>
      <c r="S342" s="631"/>
    </row>
    <row r="343" spans="1:19" ht="15" customHeight="1" outlineLevel="1">
      <c r="A343" s="626">
        <f t="shared" si="49"/>
        <v>16</v>
      </c>
      <c r="B343" s="625" t="s">
        <v>749</v>
      </c>
      <c r="C343" s="626" t="s">
        <v>130</v>
      </c>
      <c r="D343" s="624">
        <f t="shared" si="47"/>
        <v>456187.60000000003</v>
      </c>
      <c r="E343" s="626" t="s">
        <v>4279</v>
      </c>
      <c r="F343" s="631"/>
      <c r="G343" s="631"/>
      <c r="H343" s="631"/>
      <c r="I343" s="623">
        <v>414716</v>
      </c>
      <c r="J343" s="623">
        <f t="shared" si="48"/>
        <v>456187.60000000003</v>
      </c>
      <c r="K343" s="631"/>
      <c r="L343" s="631"/>
      <c r="M343" s="631"/>
      <c r="N343" s="631"/>
      <c r="O343" s="631"/>
      <c r="P343" s="631"/>
      <c r="Q343" s="631"/>
      <c r="R343" s="631"/>
      <c r="S343" s="631"/>
    </row>
    <row r="344" spans="1:19" ht="15" customHeight="1" outlineLevel="1">
      <c r="A344" s="626">
        <f t="shared" si="49"/>
        <v>17</v>
      </c>
      <c r="B344" s="625" t="s">
        <v>750</v>
      </c>
      <c r="C344" s="626" t="s">
        <v>130</v>
      </c>
      <c r="D344" s="624">
        <f t="shared" si="47"/>
        <v>284650.30000000005</v>
      </c>
      <c r="E344" s="626" t="s">
        <v>4279</v>
      </c>
      <c r="F344" s="631"/>
      <c r="G344" s="631"/>
      <c r="H344" s="631"/>
      <c r="I344" s="623">
        <v>258773</v>
      </c>
      <c r="J344" s="623">
        <f t="shared" si="48"/>
        <v>284650.30000000005</v>
      </c>
      <c r="K344" s="631"/>
      <c r="L344" s="631"/>
      <c r="M344" s="631"/>
      <c r="N344" s="631"/>
      <c r="O344" s="631"/>
      <c r="P344" s="631"/>
      <c r="Q344" s="631"/>
      <c r="R344" s="631"/>
      <c r="S344" s="631"/>
    </row>
    <row r="345" spans="1:19" ht="15" customHeight="1" outlineLevel="1">
      <c r="A345" s="626">
        <f t="shared" si="49"/>
        <v>18</v>
      </c>
      <c r="B345" s="625" t="s">
        <v>751</v>
      </c>
      <c r="C345" s="626" t="s">
        <v>130</v>
      </c>
      <c r="D345" s="624">
        <f t="shared" si="47"/>
        <v>704803</v>
      </c>
      <c r="E345" s="626" t="s">
        <v>4279</v>
      </c>
      <c r="F345" s="631"/>
      <c r="G345" s="631"/>
      <c r="H345" s="631"/>
      <c r="I345" s="623">
        <v>640730</v>
      </c>
      <c r="J345" s="623">
        <f t="shared" si="48"/>
        <v>704803</v>
      </c>
      <c r="K345" s="631"/>
      <c r="L345" s="631"/>
      <c r="M345" s="631"/>
      <c r="N345" s="631"/>
      <c r="O345" s="631"/>
      <c r="P345" s="631"/>
      <c r="Q345" s="631"/>
      <c r="R345" s="631"/>
      <c r="S345" s="631"/>
    </row>
    <row r="346" spans="1:19" ht="15" customHeight="1" outlineLevel="1">
      <c r="A346" s="626">
        <f t="shared" si="49"/>
        <v>19</v>
      </c>
      <c r="B346" s="625" t="s">
        <v>1439</v>
      </c>
      <c r="C346" s="626" t="s">
        <v>130</v>
      </c>
      <c r="D346" s="624">
        <f t="shared" si="47"/>
        <v>733263.3</v>
      </c>
      <c r="E346" s="626" t="s">
        <v>4279</v>
      </c>
      <c r="F346" s="631"/>
      <c r="G346" s="631"/>
      <c r="H346" s="631"/>
      <c r="I346" s="623">
        <v>666603</v>
      </c>
      <c r="J346" s="623">
        <f t="shared" si="48"/>
        <v>733263.3</v>
      </c>
      <c r="K346" s="631"/>
      <c r="L346" s="631"/>
      <c r="M346" s="631"/>
      <c r="N346" s="631"/>
      <c r="O346" s="631"/>
      <c r="P346" s="631"/>
      <c r="Q346" s="631"/>
      <c r="R346" s="631"/>
      <c r="S346" s="631"/>
    </row>
    <row r="347" spans="1:19" ht="15" customHeight="1" outlineLevel="1">
      <c r="A347" s="626">
        <f t="shared" si="49"/>
        <v>20</v>
      </c>
      <c r="B347" s="625" t="s">
        <v>752</v>
      </c>
      <c r="C347" s="626" t="s">
        <v>65</v>
      </c>
      <c r="D347" s="624">
        <f t="shared" si="47"/>
        <v>66000</v>
      </c>
      <c r="E347" s="626"/>
      <c r="F347" s="631"/>
      <c r="G347" s="631"/>
      <c r="H347" s="631"/>
      <c r="I347" s="623">
        <v>60000</v>
      </c>
      <c r="J347" s="623">
        <f t="shared" si="48"/>
        <v>66000</v>
      </c>
      <c r="K347" s="631"/>
      <c r="L347" s="631"/>
      <c r="M347" s="631"/>
      <c r="N347" s="631"/>
      <c r="O347" s="631"/>
      <c r="P347" s="631"/>
      <c r="Q347" s="631"/>
      <c r="R347" s="631"/>
      <c r="S347" s="631"/>
    </row>
    <row r="348" spans="1:19" ht="15" customHeight="1" outlineLevel="1">
      <c r="A348" s="626">
        <f t="shared" si="49"/>
        <v>21</v>
      </c>
      <c r="B348" s="625" t="s">
        <v>753</v>
      </c>
      <c r="C348" s="626" t="s">
        <v>130</v>
      </c>
      <c r="D348" s="624">
        <f t="shared" si="47"/>
        <v>46200.000000000007</v>
      </c>
      <c r="E348" s="626" t="s">
        <v>2128</v>
      </c>
      <c r="F348" s="631"/>
      <c r="G348" s="631"/>
      <c r="H348" s="631"/>
      <c r="I348" s="623">
        <v>42000</v>
      </c>
      <c r="J348" s="623">
        <f t="shared" si="48"/>
        <v>46200.000000000007</v>
      </c>
      <c r="K348" s="631"/>
      <c r="L348" s="631"/>
      <c r="M348" s="631"/>
      <c r="N348" s="631"/>
      <c r="O348" s="631"/>
      <c r="P348" s="631"/>
      <c r="Q348" s="631"/>
      <c r="R348" s="631"/>
      <c r="S348" s="631"/>
    </row>
    <row r="349" spans="1:19" ht="15" customHeight="1" outlineLevel="1">
      <c r="A349" s="626">
        <f t="shared" si="49"/>
        <v>22</v>
      </c>
      <c r="B349" s="625" t="s">
        <v>754</v>
      </c>
      <c r="C349" s="626" t="s">
        <v>72</v>
      </c>
      <c r="D349" s="624">
        <f t="shared" si="47"/>
        <v>17820</v>
      </c>
      <c r="E349" s="626"/>
      <c r="F349" s="631"/>
      <c r="G349" s="631"/>
      <c r="H349" s="631"/>
      <c r="I349" s="623">
        <v>16200</v>
      </c>
      <c r="J349" s="623">
        <f t="shared" si="48"/>
        <v>17820</v>
      </c>
      <c r="K349" s="631"/>
      <c r="L349" s="631"/>
      <c r="M349" s="631"/>
      <c r="N349" s="631"/>
      <c r="O349" s="631"/>
      <c r="P349" s="631"/>
      <c r="Q349" s="631"/>
      <c r="R349" s="631"/>
      <c r="S349" s="631"/>
    </row>
    <row r="350" spans="1:19" ht="15" customHeight="1" outlineLevel="1">
      <c r="A350" s="626">
        <f t="shared" si="49"/>
        <v>23</v>
      </c>
      <c r="B350" s="625" t="s">
        <v>755</v>
      </c>
      <c r="C350" s="626" t="s">
        <v>72</v>
      </c>
      <c r="D350" s="624">
        <f t="shared" si="47"/>
        <v>240625.00000000003</v>
      </c>
      <c r="E350" s="626" t="s">
        <v>756</v>
      </c>
      <c r="F350" s="631"/>
      <c r="G350" s="631"/>
      <c r="H350" s="631"/>
      <c r="I350" s="623">
        <v>218750</v>
      </c>
      <c r="J350" s="623">
        <f t="shared" si="48"/>
        <v>240625.00000000003</v>
      </c>
      <c r="K350" s="631"/>
      <c r="L350" s="631"/>
      <c r="M350" s="631"/>
      <c r="N350" s="631"/>
      <c r="O350" s="631"/>
      <c r="P350" s="631"/>
      <c r="Q350" s="631"/>
      <c r="R350" s="631"/>
      <c r="S350" s="631"/>
    </row>
    <row r="351" spans="1:19" ht="15" customHeight="1" outlineLevel="1">
      <c r="A351" s="626">
        <f t="shared" si="49"/>
        <v>24</v>
      </c>
      <c r="B351" s="625" t="s">
        <v>757</v>
      </c>
      <c r="C351" s="626" t="s">
        <v>72</v>
      </c>
      <c r="D351" s="624">
        <f t="shared" si="47"/>
        <v>16575.339</v>
      </c>
      <c r="E351" s="626"/>
      <c r="F351" s="631"/>
      <c r="G351" s="631"/>
      <c r="H351" s="631"/>
      <c r="I351" s="623">
        <v>15068.49</v>
      </c>
      <c r="J351" s="623">
        <f t="shared" si="48"/>
        <v>16575.339</v>
      </c>
      <c r="K351" s="631"/>
      <c r="L351" s="631"/>
      <c r="M351" s="631"/>
      <c r="N351" s="631"/>
      <c r="O351" s="631"/>
      <c r="P351" s="631"/>
      <c r="Q351" s="631"/>
      <c r="R351" s="631"/>
      <c r="S351" s="631"/>
    </row>
    <row r="352" spans="1:19" ht="15" customHeight="1" outlineLevel="1">
      <c r="A352" s="626">
        <f t="shared" si="49"/>
        <v>25</v>
      </c>
      <c r="B352" s="625" t="s">
        <v>758</v>
      </c>
      <c r="C352" s="626" t="s">
        <v>72</v>
      </c>
      <c r="D352" s="624">
        <f t="shared" si="47"/>
        <v>55000.000000000007</v>
      </c>
      <c r="E352" s="626"/>
      <c r="F352" s="631"/>
      <c r="G352" s="631"/>
      <c r="H352" s="631"/>
      <c r="I352" s="623">
        <v>50000</v>
      </c>
      <c r="J352" s="623">
        <f t="shared" si="48"/>
        <v>55000.000000000007</v>
      </c>
      <c r="K352" s="631"/>
      <c r="L352" s="631"/>
      <c r="M352" s="631"/>
      <c r="N352" s="631"/>
      <c r="O352" s="631"/>
      <c r="P352" s="631"/>
      <c r="Q352" s="631"/>
      <c r="R352" s="631"/>
      <c r="S352" s="631"/>
    </row>
    <row r="353" spans="1:19" ht="15" customHeight="1" outlineLevel="1">
      <c r="A353" s="626">
        <f t="shared" si="49"/>
        <v>26</v>
      </c>
      <c r="B353" s="625" t="s">
        <v>759</v>
      </c>
      <c r="C353" s="626" t="s">
        <v>65</v>
      </c>
      <c r="D353" s="624">
        <f t="shared" si="47"/>
        <v>330000</v>
      </c>
      <c r="E353" s="626"/>
      <c r="F353" s="631"/>
      <c r="G353" s="631"/>
      <c r="H353" s="631"/>
      <c r="I353" s="623">
        <v>300000</v>
      </c>
      <c r="J353" s="623">
        <f t="shared" si="48"/>
        <v>330000</v>
      </c>
      <c r="K353" s="631"/>
      <c r="L353" s="631"/>
      <c r="M353" s="631"/>
      <c r="N353" s="631"/>
      <c r="O353" s="631"/>
      <c r="P353" s="631"/>
      <c r="Q353" s="631"/>
      <c r="R353" s="631"/>
      <c r="S353" s="631"/>
    </row>
    <row r="354" spans="1:19" ht="15" customHeight="1" outlineLevel="1">
      <c r="A354" s="626">
        <f t="shared" si="49"/>
        <v>27</v>
      </c>
      <c r="B354" s="625" t="s">
        <v>4278</v>
      </c>
      <c r="C354" s="626" t="s">
        <v>72</v>
      </c>
      <c r="D354" s="624">
        <f t="shared" si="47"/>
        <v>145200</v>
      </c>
      <c r="E354" s="626" t="s">
        <v>1702</v>
      </c>
      <c r="F354" s="631"/>
      <c r="G354" s="631"/>
      <c r="H354" s="631"/>
      <c r="I354" s="623">
        <v>132000</v>
      </c>
      <c r="J354" s="623">
        <f t="shared" si="48"/>
        <v>145200</v>
      </c>
      <c r="K354" s="631"/>
      <c r="L354" s="631"/>
      <c r="M354" s="631"/>
      <c r="N354" s="631"/>
      <c r="O354" s="631"/>
      <c r="P354" s="631"/>
      <c r="Q354" s="631"/>
      <c r="R354" s="631"/>
      <c r="S354" s="631"/>
    </row>
    <row r="355" spans="1:19" ht="15" customHeight="1" outlineLevel="1">
      <c r="A355" s="626">
        <f t="shared" si="49"/>
        <v>28</v>
      </c>
      <c r="B355" s="625" t="s">
        <v>840</v>
      </c>
      <c r="C355" s="626" t="s">
        <v>65</v>
      </c>
      <c r="D355" s="624">
        <f t="shared" si="47"/>
        <v>1105500</v>
      </c>
      <c r="E355" s="626" t="s">
        <v>1702</v>
      </c>
      <c r="F355" s="631"/>
      <c r="G355" s="631"/>
      <c r="H355" s="631"/>
      <c r="I355" s="623">
        <v>1005000</v>
      </c>
      <c r="J355" s="623">
        <f t="shared" si="48"/>
        <v>1105500</v>
      </c>
      <c r="K355" s="631"/>
      <c r="L355" s="631"/>
      <c r="M355" s="631"/>
      <c r="N355" s="631"/>
      <c r="O355" s="631"/>
      <c r="P355" s="631"/>
      <c r="Q355" s="631"/>
      <c r="R355" s="631"/>
      <c r="S355" s="631"/>
    </row>
    <row r="356" spans="1:19" ht="15" customHeight="1" outlineLevel="1">
      <c r="A356" s="626">
        <f t="shared" si="49"/>
        <v>29</v>
      </c>
      <c r="B356" s="625" t="s">
        <v>1240</v>
      </c>
      <c r="C356" s="626" t="s">
        <v>72</v>
      </c>
      <c r="D356" s="624">
        <f t="shared" si="47"/>
        <v>481250.00000000006</v>
      </c>
      <c r="E356" s="626" t="s">
        <v>1039</v>
      </c>
      <c r="F356" s="631"/>
      <c r="G356" s="631"/>
      <c r="H356" s="631"/>
      <c r="I356" s="623">
        <v>437500</v>
      </c>
      <c r="J356" s="623">
        <f t="shared" si="48"/>
        <v>481250.00000000006</v>
      </c>
      <c r="K356" s="631"/>
      <c r="L356" s="631"/>
      <c r="M356" s="631"/>
      <c r="N356" s="631"/>
      <c r="O356" s="631"/>
      <c r="P356" s="631"/>
      <c r="Q356" s="631"/>
      <c r="R356" s="631"/>
      <c r="S356" s="631"/>
    </row>
    <row r="357" spans="1:19" ht="15" customHeight="1" outlineLevel="1">
      <c r="A357" s="626">
        <f t="shared" si="49"/>
        <v>30</v>
      </c>
      <c r="B357" s="625" t="s">
        <v>1034</v>
      </c>
      <c r="C357" s="626" t="s">
        <v>65</v>
      </c>
      <c r="D357" s="624">
        <f t="shared" si="47"/>
        <v>22000</v>
      </c>
      <c r="E357" s="626"/>
      <c r="F357" s="631"/>
      <c r="G357" s="631"/>
      <c r="H357" s="631"/>
      <c r="I357" s="623">
        <v>20000</v>
      </c>
      <c r="J357" s="623">
        <f t="shared" si="48"/>
        <v>22000</v>
      </c>
      <c r="K357" s="631"/>
      <c r="L357" s="631"/>
      <c r="M357" s="631"/>
      <c r="N357" s="631"/>
      <c r="O357" s="631"/>
      <c r="P357" s="631"/>
      <c r="Q357" s="631"/>
      <c r="R357" s="631"/>
      <c r="S357" s="631"/>
    </row>
    <row r="358" spans="1:19" ht="15" customHeight="1" outlineLevel="1">
      <c r="A358" s="626">
        <f t="shared" si="49"/>
        <v>31</v>
      </c>
      <c r="B358" s="625" t="s">
        <v>2130</v>
      </c>
      <c r="C358" s="626" t="s">
        <v>1037</v>
      </c>
      <c r="D358" s="624">
        <f t="shared" si="47"/>
        <v>9900</v>
      </c>
      <c r="E358" s="626"/>
      <c r="F358" s="631"/>
      <c r="G358" s="631"/>
      <c r="H358" s="631"/>
      <c r="I358" s="623">
        <v>9000</v>
      </c>
      <c r="J358" s="623">
        <f t="shared" si="48"/>
        <v>9900</v>
      </c>
      <c r="K358" s="631"/>
      <c r="L358" s="631"/>
      <c r="M358" s="631"/>
      <c r="N358" s="631"/>
      <c r="O358" s="631"/>
      <c r="P358" s="631"/>
      <c r="Q358" s="631"/>
      <c r="R358" s="631"/>
      <c r="S358" s="631"/>
    </row>
    <row r="359" spans="1:19" ht="15" customHeight="1" outlineLevel="1">
      <c r="A359" s="626">
        <f t="shared" si="49"/>
        <v>32</v>
      </c>
      <c r="B359" s="625" t="s">
        <v>1040</v>
      </c>
      <c r="C359" s="626" t="s">
        <v>65</v>
      </c>
      <c r="D359" s="624">
        <f t="shared" si="47"/>
        <v>550000</v>
      </c>
      <c r="E359" s="626"/>
      <c r="F359" s="631"/>
      <c r="G359" s="631"/>
      <c r="H359" s="631"/>
      <c r="I359" s="623">
        <v>500000</v>
      </c>
      <c r="J359" s="623">
        <f t="shared" si="48"/>
        <v>550000</v>
      </c>
      <c r="K359" s="631"/>
      <c r="L359" s="631"/>
      <c r="M359" s="631"/>
      <c r="N359" s="631"/>
      <c r="O359" s="631"/>
      <c r="P359" s="631"/>
      <c r="Q359" s="631"/>
      <c r="R359" s="631"/>
      <c r="S359" s="631"/>
    </row>
    <row r="360" spans="1:19" ht="15" customHeight="1" outlineLevel="1">
      <c r="A360" s="626">
        <f t="shared" si="49"/>
        <v>33</v>
      </c>
      <c r="B360" s="625" t="s">
        <v>1047</v>
      </c>
      <c r="C360" s="626" t="s">
        <v>65</v>
      </c>
      <c r="D360" s="624">
        <f t="shared" si="47"/>
        <v>1155000</v>
      </c>
      <c r="E360" s="626" t="s">
        <v>1042</v>
      </c>
      <c r="F360" s="631"/>
      <c r="G360" s="631"/>
      <c r="H360" s="631"/>
      <c r="I360" s="623">
        <v>1050000</v>
      </c>
      <c r="J360" s="623">
        <f t="shared" si="48"/>
        <v>1155000</v>
      </c>
      <c r="K360" s="631"/>
      <c r="L360" s="631"/>
      <c r="M360" s="631"/>
      <c r="N360" s="631"/>
      <c r="O360" s="631"/>
      <c r="P360" s="631"/>
      <c r="Q360" s="631"/>
      <c r="R360" s="631"/>
      <c r="S360" s="631"/>
    </row>
    <row r="361" spans="1:19" ht="15" customHeight="1" outlineLevel="1">
      <c r="A361" s="626">
        <f t="shared" si="49"/>
        <v>34</v>
      </c>
      <c r="B361" s="625" t="s">
        <v>1043</v>
      </c>
      <c r="C361" s="626" t="s">
        <v>65</v>
      </c>
      <c r="D361" s="624">
        <f t="shared" si="47"/>
        <v>220000.00000000003</v>
      </c>
      <c r="E361" s="626"/>
      <c r="F361" s="631"/>
      <c r="G361" s="631"/>
      <c r="H361" s="631"/>
      <c r="I361" s="623">
        <v>200000</v>
      </c>
      <c r="J361" s="623">
        <f t="shared" si="48"/>
        <v>220000.00000000003</v>
      </c>
      <c r="K361" s="631"/>
      <c r="L361" s="631"/>
      <c r="M361" s="631"/>
      <c r="N361" s="631"/>
      <c r="O361" s="631"/>
      <c r="P361" s="631"/>
      <c r="Q361" s="631"/>
      <c r="R361" s="631"/>
      <c r="S361" s="631"/>
    </row>
    <row r="362" spans="1:19" ht="15" customHeight="1" outlineLevel="1">
      <c r="A362" s="626">
        <f t="shared" si="49"/>
        <v>35</v>
      </c>
      <c r="B362" s="625" t="s">
        <v>1011</v>
      </c>
      <c r="C362" s="626" t="s">
        <v>65</v>
      </c>
      <c r="D362" s="624">
        <f t="shared" si="47"/>
        <v>308264</v>
      </c>
      <c r="E362" s="626"/>
      <c r="F362" s="631"/>
      <c r="G362" s="631"/>
      <c r="H362" s="631"/>
      <c r="I362" s="623">
        <v>280240</v>
      </c>
      <c r="J362" s="623">
        <f t="shared" si="48"/>
        <v>308264</v>
      </c>
      <c r="K362" s="631"/>
      <c r="L362" s="631"/>
      <c r="M362" s="631"/>
      <c r="N362" s="631"/>
      <c r="O362" s="631"/>
      <c r="P362" s="631"/>
      <c r="Q362" s="631"/>
      <c r="R362" s="631"/>
      <c r="S362" s="631"/>
    </row>
    <row r="363" spans="1:19" ht="15" customHeight="1" outlineLevel="1">
      <c r="A363" s="626">
        <f t="shared" si="49"/>
        <v>36</v>
      </c>
      <c r="B363" s="625" t="s">
        <v>1394</v>
      </c>
      <c r="C363" s="626" t="s">
        <v>98</v>
      </c>
      <c r="D363" s="624">
        <f t="shared" si="47"/>
        <v>52980.4</v>
      </c>
      <c r="E363" s="626" t="s">
        <v>4279</v>
      </c>
      <c r="F363" s="631"/>
      <c r="G363" s="631"/>
      <c r="H363" s="631"/>
      <c r="I363" s="623">
        <v>48164</v>
      </c>
      <c r="J363" s="623">
        <f t="shared" si="48"/>
        <v>52980.4</v>
      </c>
      <c r="K363" s="631"/>
      <c r="L363" s="631"/>
      <c r="M363" s="631"/>
      <c r="N363" s="631"/>
      <c r="O363" s="631"/>
      <c r="P363" s="631"/>
      <c r="Q363" s="631"/>
      <c r="R363" s="631"/>
      <c r="S363" s="631"/>
    </row>
    <row r="364" spans="1:19" ht="15" customHeight="1" outlineLevel="1">
      <c r="A364" s="626">
        <f t="shared" si="49"/>
        <v>37</v>
      </c>
      <c r="B364" s="625" t="s">
        <v>1045</v>
      </c>
      <c r="C364" s="626" t="s">
        <v>65</v>
      </c>
      <c r="D364" s="624">
        <f t="shared" si="47"/>
        <v>8250000.0000000009</v>
      </c>
      <c r="E364" s="626" t="s">
        <v>1046</v>
      </c>
      <c r="F364" s="631"/>
      <c r="G364" s="631"/>
      <c r="H364" s="631"/>
      <c r="I364" s="623">
        <v>7500000</v>
      </c>
      <c r="J364" s="623">
        <f t="shared" si="48"/>
        <v>8250000.0000000009</v>
      </c>
      <c r="K364" s="631"/>
      <c r="L364" s="631"/>
      <c r="M364" s="631"/>
      <c r="N364" s="631"/>
      <c r="O364" s="631"/>
      <c r="P364" s="631"/>
      <c r="Q364" s="631"/>
      <c r="R364" s="631"/>
      <c r="S364" s="631"/>
    </row>
    <row r="365" spans="1:19" ht="15" customHeight="1" outlineLevel="1">
      <c r="A365" s="626">
        <f t="shared" si="49"/>
        <v>38</v>
      </c>
      <c r="B365" s="625" t="s">
        <v>1580</v>
      </c>
      <c r="C365" s="626" t="s">
        <v>65</v>
      </c>
      <c r="D365" s="624">
        <f t="shared" si="47"/>
        <v>11916666.666666668</v>
      </c>
      <c r="E365" s="626"/>
      <c r="F365" s="631"/>
      <c r="G365" s="631"/>
      <c r="H365" s="631"/>
      <c r="I365" s="623">
        <v>10833333.333333334</v>
      </c>
      <c r="J365" s="623">
        <f t="shared" si="48"/>
        <v>11916666.666666668</v>
      </c>
      <c r="K365" s="631"/>
      <c r="L365" s="631"/>
      <c r="M365" s="631"/>
      <c r="N365" s="631"/>
      <c r="O365" s="631"/>
      <c r="P365" s="631"/>
      <c r="Q365" s="631"/>
      <c r="R365" s="631"/>
      <c r="S365" s="631"/>
    </row>
    <row r="366" spans="1:19" ht="15" customHeight="1" outlineLevel="1">
      <c r="A366" s="626">
        <f t="shared" si="49"/>
        <v>39</v>
      </c>
      <c r="B366" s="625" t="s">
        <v>1581</v>
      </c>
      <c r="C366" s="626" t="s">
        <v>65</v>
      </c>
      <c r="D366" s="624">
        <f t="shared" si="47"/>
        <v>302500</v>
      </c>
      <c r="E366" s="626"/>
      <c r="F366" s="631"/>
      <c r="G366" s="631"/>
      <c r="H366" s="631"/>
      <c r="I366" s="623">
        <v>275000</v>
      </c>
      <c r="J366" s="623">
        <f t="shared" si="48"/>
        <v>302500</v>
      </c>
      <c r="K366" s="631"/>
      <c r="L366" s="631"/>
      <c r="M366" s="631"/>
      <c r="N366" s="631"/>
      <c r="O366" s="631"/>
      <c r="P366" s="631"/>
      <c r="Q366" s="631"/>
      <c r="R366" s="631"/>
      <c r="S366" s="631"/>
    </row>
    <row r="367" spans="1:19" ht="15" customHeight="1" outlineLevel="1">
      <c r="A367" s="626">
        <f t="shared" si="49"/>
        <v>40</v>
      </c>
      <c r="B367" s="625" t="s">
        <v>1950</v>
      </c>
      <c r="C367" s="626" t="s">
        <v>65</v>
      </c>
      <c r="D367" s="624">
        <f t="shared" si="47"/>
        <v>275000</v>
      </c>
      <c r="E367" s="626"/>
      <c r="F367" s="631"/>
      <c r="G367" s="631"/>
      <c r="H367" s="631"/>
      <c r="I367" s="623">
        <v>250000</v>
      </c>
      <c r="J367" s="623">
        <f t="shared" si="48"/>
        <v>275000</v>
      </c>
      <c r="K367" s="631"/>
      <c r="L367" s="631"/>
      <c r="M367" s="631"/>
      <c r="N367" s="631"/>
      <c r="O367" s="631"/>
      <c r="P367" s="631"/>
      <c r="Q367" s="631"/>
      <c r="R367" s="631"/>
      <c r="S367" s="631"/>
    </row>
    <row r="368" spans="1:19" ht="15" customHeight="1" outlineLevel="1">
      <c r="A368" s="626">
        <f t="shared" si="49"/>
        <v>41</v>
      </c>
      <c r="B368" s="625" t="s">
        <v>1582</v>
      </c>
      <c r="C368" s="626" t="s">
        <v>65</v>
      </c>
      <c r="D368" s="624">
        <f t="shared" si="47"/>
        <v>97900.000000000015</v>
      </c>
      <c r="E368" s="626"/>
      <c r="F368" s="631"/>
      <c r="G368" s="631"/>
      <c r="H368" s="631"/>
      <c r="I368" s="623">
        <v>89000</v>
      </c>
      <c r="J368" s="623">
        <f t="shared" si="48"/>
        <v>97900.000000000015</v>
      </c>
      <c r="K368" s="631"/>
      <c r="L368" s="631"/>
      <c r="M368" s="631"/>
      <c r="N368" s="631"/>
      <c r="O368" s="631"/>
      <c r="P368" s="631"/>
      <c r="Q368" s="631"/>
      <c r="R368" s="631"/>
      <c r="S368" s="631"/>
    </row>
    <row r="369" spans="1:19" ht="15" customHeight="1" outlineLevel="1">
      <c r="A369" s="626">
        <f t="shared" si="49"/>
        <v>42</v>
      </c>
      <c r="B369" s="625" t="s">
        <v>2078</v>
      </c>
      <c r="C369" s="626" t="s">
        <v>65</v>
      </c>
      <c r="D369" s="624">
        <f t="shared" si="47"/>
        <v>22916.300000000003</v>
      </c>
      <c r="E369" s="626"/>
      <c r="F369" s="631"/>
      <c r="G369" s="631"/>
      <c r="H369" s="631"/>
      <c r="I369" s="623">
        <v>20833</v>
      </c>
      <c r="J369" s="623">
        <f t="shared" si="48"/>
        <v>22916.300000000003</v>
      </c>
      <c r="K369" s="631"/>
      <c r="L369" s="631"/>
      <c r="M369" s="631"/>
      <c r="N369" s="631"/>
      <c r="O369" s="631"/>
      <c r="P369" s="631"/>
      <c r="Q369" s="631"/>
      <c r="R369" s="631"/>
      <c r="S369" s="631"/>
    </row>
    <row r="370" spans="1:19" ht="15" customHeight="1" outlineLevel="1">
      <c r="A370" s="626">
        <f t="shared" si="49"/>
        <v>43</v>
      </c>
      <c r="B370" s="625" t="s">
        <v>713</v>
      </c>
      <c r="C370" s="626" t="s">
        <v>65</v>
      </c>
      <c r="D370" s="624">
        <f t="shared" si="47"/>
        <v>27500.000000000004</v>
      </c>
      <c r="E370" s="626"/>
      <c r="F370" s="631"/>
      <c r="G370" s="631"/>
      <c r="H370" s="631"/>
      <c r="I370" s="623">
        <v>25000</v>
      </c>
      <c r="J370" s="623">
        <f t="shared" si="48"/>
        <v>27500.000000000004</v>
      </c>
      <c r="K370" s="631"/>
      <c r="L370" s="631"/>
      <c r="M370" s="631"/>
      <c r="N370" s="631"/>
      <c r="O370" s="631"/>
      <c r="P370" s="631"/>
      <c r="Q370" s="631"/>
      <c r="R370" s="631"/>
      <c r="S370" s="631"/>
    </row>
    <row r="371" spans="1:19" ht="15" customHeight="1" outlineLevel="1">
      <c r="A371" s="626">
        <f t="shared" si="49"/>
        <v>44</v>
      </c>
      <c r="B371" s="625" t="s">
        <v>2131</v>
      </c>
      <c r="C371" s="626" t="s">
        <v>65</v>
      </c>
      <c r="D371" s="624">
        <f t="shared" si="47"/>
        <v>30800.000000000004</v>
      </c>
      <c r="E371" s="626"/>
      <c r="F371" s="631"/>
      <c r="G371" s="631"/>
      <c r="H371" s="631"/>
      <c r="I371" s="623">
        <v>28000</v>
      </c>
      <c r="J371" s="623">
        <f t="shared" si="48"/>
        <v>30800.000000000004</v>
      </c>
      <c r="K371" s="631"/>
      <c r="L371" s="631"/>
      <c r="M371" s="631"/>
      <c r="N371" s="631"/>
      <c r="O371" s="631"/>
      <c r="P371" s="631"/>
      <c r="Q371" s="631"/>
      <c r="R371" s="631"/>
      <c r="S371" s="631"/>
    </row>
    <row r="372" spans="1:19" ht="15" customHeight="1" outlineLevel="1">
      <c r="A372" s="626">
        <f t="shared" si="49"/>
        <v>45</v>
      </c>
      <c r="B372" s="625" t="s">
        <v>2132</v>
      </c>
      <c r="C372" s="626" t="s">
        <v>65</v>
      </c>
      <c r="D372" s="624">
        <f t="shared" si="47"/>
        <v>165000</v>
      </c>
      <c r="E372" s="626"/>
      <c r="F372" s="631"/>
      <c r="G372" s="631"/>
      <c r="H372" s="631"/>
      <c r="I372" s="623">
        <v>150000</v>
      </c>
      <c r="J372" s="623">
        <f t="shared" si="48"/>
        <v>165000</v>
      </c>
      <c r="K372" s="631"/>
      <c r="L372" s="631"/>
      <c r="M372" s="631"/>
      <c r="N372" s="631"/>
      <c r="O372" s="631"/>
      <c r="P372" s="631"/>
      <c r="Q372" s="631"/>
      <c r="R372" s="631"/>
      <c r="S372" s="631"/>
    </row>
    <row r="373" spans="1:19" ht="15" customHeight="1" outlineLevel="1">
      <c r="A373" s="626">
        <f t="shared" si="49"/>
        <v>46</v>
      </c>
      <c r="B373" s="625" t="s">
        <v>1038</v>
      </c>
      <c r="C373" s="626" t="s">
        <v>65</v>
      </c>
      <c r="D373" s="624">
        <f t="shared" si="47"/>
        <v>132000</v>
      </c>
      <c r="E373" s="626"/>
      <c r="F373" s="631"/>
      <c r="G373" s="631"/>
      <c r="H373" s="631"/>
      <c r="I373" s="623">
        <v>120000</v>
      </c>
      <c r="J373" s="623">
        <f t="shared" si="48"/>
        <v>132000</v>
      </c>
      <c r="K373" s="631"/>
      <c r="L373" s="631"/>
      <c r="M373" s="631"/>
      <c r="N373" s="631"/>
      <c r="O373" s="631"/>
      <c r="P373" s="631"/>
      <c r="Q373" s="631"/>
      <c r="R373" s="631"/>
      <c r="S373" s="631"/>
    </row>
    <row r="374" spans="1:19" ht="15" customHeight="1" outlineLevel="1">
      <c r="A374" s="626">
        <f t="shared" si="49"/>
        <v>47</v>
      </c>
      <c r="B374" s="625" t="s">
        <v>2133</v>
      </c>
      <c r="C374" s="626" t="s">
        <v>65</v>
      </c>
      <c r="D374" s="624">
        <f t="shared" si="47"/>
        <v>165000</v>
      </c>
      <c r="E374" s="626"/>
      <c r="F374" s="631"/>
      <c r="G374" s="631"/>
      <c r="H374" s="631"/>
      <c r="I374" s="623">
        <v>150000</v>
      </c>
      <c r="J374" s="623">
        <f t="shared" si="48"/>
        <v>165000</v>
      </c>
      <c r="K374" s="631"/>
      <c r="L374" s="631"/>
      <c r="M374" s="631"/>
      <c r="N374" s="631"/>
      <c r="O374" s="631"/>
      <c r="P374" s="631"/>
      <c r="Q374" s="631"/>
      <c r="R374" s="631"/>
      <c r="S374" s="631"/>
    </row>
    <row r="375" spans="1:19" ht="15" customHeight="1" outlineLevel="1">
      <c r="A375" s="626">
        <f t="shared" si="49"/>
        <v>48</v>
      </c>
      <c r="B375" s="625" t="s">
        <v>2134</v>
      </c>
      <c r="C375" s="626" t="s">
        <v>65</v>
      </c>
      <c r="D375" s="624">
        <f t="shared" si="47"/>
        <v>132000</v>
      </c>
      <c r="E375" s="626"/>
      <c r="F375" s="631"/>
      <c r="G375" s="631"/>
      <c r="H375" s="631"/>
      <c r="I375" s="623">
        <v>120000</v>
      </c>
      <c r="J375" s="623">
        <f t="shared" si="48"/>
        <v>132000</v>
      </c>
      <c r="K375" s="631"/>
      <c r="L375" s="631"/>
      <c r="M375" s="631"/>
      <c r="N375" s="631"/>
      <c r="O375" s="631"/>
      <c r="P375" s="631"/>
      <c r="Q375" s="631"/>
      <c r="R375" s="631"/>
      <c r="S375" s="631"/>
    </row>
    <row r="376" spans="1:19" ht="15" customHeight="1">
      <c r="A376" s="630" t="s">
        <v>760</v>
      </c>
      <c r="B376" s="629" t="s">
        <v>761</v>
      </c>
      <c r="C376" s="630"/>
      <c r="D376" s="628"/>
      <c r="E376" s="630"/>
      <c r="F376" s="631"/>
      <c r="G376" s="631"/>
      <c r="H376" s="631"/>
      <c r="I376" s="627" t="s">
        <v>503</v>
      </c>
      <c r="J376" s="622">
        <f>100%+$I$6</f>
        <v>1.1000000000000001</v>
      </c>
      <c r="K376" s="631"/>
      <c r="L376" s="631"/>
      <c r="M376" s="631"/>
      <c r="N376" s="631"/>
      <c r="O376" s="631"/>
      <c r="P376" s="631"/>
      <c r="Q376" s="631"/>
      <c r="R376" s="631"/>
      <c r="S376" s="631"/>
    </row>
    <row r="377" spans="1:19" ht="15" customHeight="1" outlineLevel="1">
      <c r="A377" s="626">
        <v>1</v>
      </c>
      <c r="B377" s="625" t="s">
        <v>762</v>
      </c>
      <c r="C377" s="626" t="s">
        <v>65</v>
      </c>
      <c r="D377" s="624">
        <f>J377</f>
        <v>159500</v>
      </c>
      <c r="E377" s="646" t="s">
        <v>763</v>
      </c>
      <c r="F377" s="631"/>
      <c r="G377" s="631"/>
      <c r="H377" s="631"/>
      <c r="I377" s="641">
        <v>145000</v>
      </c>
      <c r="J377" s="623">
        <f>I377*$J$376</f>
        <v>159500</v>
      </c>
      <c r="K377" s="631"/>
      <c r="L377" s="631"/>
      <c r="M377" s="631"/>
      <c r="N377" s="631"/>
      <c r="O377" s="631"/>
      <c r="P377" s="631"/>
      <c r="Q377" s="631"/>
      <c r="R377" s="631"/>
      <c r="S377" s="631"/>
    </row>
    <row r="378" spans="1:19" ht="15" customHeight="1" outlineLevel="1">
      <c r="A378" s="626">
        <f t="shared" ref="A378:A393" si="50">A377+1</f>
        <v>2</v>
      </c>
      <c r="B378" s="625" t="s">
        <v>1457</v>
      </c>
      <c r="C378" s="626" t="s">
        <v>65</v>
      </c>
      <c r="D378" s="624">
        <f t="shared" ref="D378:D382" si="51">J378</f>
        <v>229900.00000000003</v>
      </c>
      <c r="E378" s="647" t="s">
        <v>763</v>
      </c>
      <c r="F378" s="631"/>
      <c r="G378" s="631"/>
      <c r="H378" s="631"/>
      <c r="I378" s="645">
        <v>209000</v>
      </c>
      <c r="J378" s="623">
        <f>I378*$J$376</f>
        <v>229900.00000000003</v>
      </c>
      <c r="K378" s="631"/>
      <c r="L378" s="631"/>
      <c r="M378" s="631"/>
      <c r="N378" s="631"/>
      <c r="O378" s="631"/>
      <c r="P378" s="631"/>
      <c r="Q378" s="631"/>
      <c r="R378" s="631"/>
      <c r="S378" s="631"/>
    </row>
    <row r="379" spans="1:19" ht="15" customHeight="1" outlineLevel="1">
      <c r="A379" s="626">
        <f t="shared" si="50"/>
        <v>3</v>
      </c>
      <c r="B379" s="625" t="s">
        <v>765</v>
      </c>
      <c r="C379" s="626" t="s">
        <v>65</v>
      </c>
      <c r="D379" s="624">
        <f t="shared" si="51"/>
        <v>204600.00000000003</v>
      </c>
      <c r="E379" s="647" t="s">
        <v>763</v>
      </c>
      <c r="F379" s="631"/>
      <c r="G379" s="631"/>
      <c r="H379" s="631"/>
      <c r="I379" s="641">
        <v>186000</v>
      </c>
      <c r="J379" s="623">
        <f t="shared" ref="J379:J394" si="52">I379*$J$376</f>
        <v>204600.00000000003</v>
      </c>
      <c r="K379" s="631"/>
      <c r="L379" s="631"/>
      <c r="M379" s="631"/>
      <c r="N379" s="631"/>
      <c r="O379" s="631"/>
      <c r="P379" s="631"/>
      <c r="Q379" s="631"/>
      <c r="R379" s="631"/>
      <c r="S379" s="631"/>
    </row>
    <row r="380" spans="1:19" ht="15" customHeight="1" outlineLevel="1">
      <c r="A380" s="626">
        <f t="shared" si="50"/>
        <v>4</v>
      </c>
      <c r="B380" s="625" t="s">
        <v>2135</v>
      </c>
      <c r="C380" s="626" t="s">
        <v>65</v>
      </c>
      <c r="D380" s="624">
        <f t="shared" si="51"/>
        <v>524040.00000000006</v>
      </c>
      <c r="E380" s="648" t="s">
        <v>2128</v>
      </c>
      <c r="F380" s="631"/>
      <c r="G380" s="631"/>
      <c r="H380" s="631"/>
      <c r="I380" s="641">
        <f>59550*8</f>
        <v>476400</v>
      </c>
      <c r="J380" s="623">
        <f t="shared" si="52"/>
        <v>524040.00000000006</v>
      </c>
      <c r="K380" s="631"/>
      <c r="L380" s="631"/>
      <c r="M380" s="631"/>
      <c r="N380" s="631"/>
      <c r="O380" s="631"/>
      <c r="P380" s="631"/>
      <c r="Q380" s="631"/>
      <c r="R380" s="631"/>
      <c r="S380" s="631"/>
    </row>
    <row r="381" spans="1:19" ht="15" customHeight="1" outlineLevel="1">
      <c r="A381" s="626">
        <f t="shared" si="50"/>
        <v>5</v>
      </c>
      <c r="B381" s="625" t="s">
        <v>766</v>
      </c>
      <c r="C381" s="626" t="s">
        <v>65</v>
      </c>
      <c r="D381" s="624">
        <f t="shared" si="51"/>
        <v>379500.00000000006</v>
      </c>
      <c r="E381" s="647" t="s">
        <v>767</v>
      </c>
      <c r="F381" s="631"/>
      <c r="G381" s="631"/>
      <c r="H381" s="631"/>
      <c r="I381" s="641">
        <v>345000</v>
      </c>
      <c r="J381" s="623">
        <f t="shared" si="52"/>
        <v>379500.00000000006</v>
      </c>
      <c r="K381" s="631"/>
      <c r="L381" s="631"/>
      <c r="M381" s="631"/>
      <c r="N381" s="631"/>
      <c r="O381" s="631"/>
      <c r="P381" s="631"/>
      <c r="Q381" s="631"/>
      <c r="R381" s="631"/>
      <c r="S381" s="631"/>
    </row>
    <row r="382" spans="1:19" ht="15" customHeight="1" outlineLevel="1">
      <c r="A382" s="626">
        <f t="shared" si="50"/>
        <v>6</v>
      </c>
      <c r="B382" s="625" t="s">
        <v>768</v>
      </c>
      <c r="C382" s="626" t="s">
        <v>65</v>
      </c>
      <c r="D382" s="624">
        <f t="shared" si="51"/>
        <v>891000.00000000012</v>
      </c>
      <c r="E382" s="647" t="s">
        <v>769</v>
      </c>
      <c r="F382" s="631"/>
      <c r="G382" s="631"/>
      <c r="H382" s="631"/>
      <c r="I382" s="641">
        <f>101250*8</f>
        <v>810000</v>
      </c>
      <c r="J382" s="623">
        <f t="shared" si="52"/>
        <v>891000.00000000012</v>
      </c>
      <c r="K382" s="631"/>
      <c r="L382" s="631"/>
      <c r="M382" s="631"/>
      <c r="N382" s="631"/>
      <c r="O382" s="631"/>
      <c r="P382" s="631"/>
      <c r="Q382" s="631"/>
      <c r="R382" s="631"/>
      <c r="S382" s="631"/>
    </row>
    <row r="383" spans="1:19" ht="15" customHeight="1" outlineLevel="1">
      <c r="A383" s="626">
        <f t="shared" si="50"/>
        <v>7</v>
      </c>
      <c r="B383" s="625" t="s">
        <v>770</v>
      </c>
      <c r="C383" s="626" t="s">
        <v>65</v>
      </c>
      <c r="D383" s="624">
        <f>J383</f>
        <v>4287694.4000000004</v>
      </c>
      <c r="E383" s="648" t="s">
        <v>2128</v>
      </c>
      <c r="F383" s="631"/>
      <c r="G383" s="631"/>
      <c r="H383" s="631"/>
      <c r="I383" s="641">
        <f>(417238*8)+(10000*8*7)</f>
        <v>3897904</v>
      </c>
      <c r="J383" s="623">
        <f t="shared" si="52"/>
        <v>4287694.4000000004</v>
      </c>
      <c r="K383" s="631"/>
      <c r="L383" s="631"/>
      <c r="M383" s="631"/>
      <c r="N383" s="631"/>
      <c r="O383" s="631"/>
      <c r="P383" s="631"/>
      <c r="Q383" s="631"/>
      <c r="R383" s="631"/>
      <c r="S383" s="631"/>
    </row>
    <row r="384" spans="1:19" ht="15" customHeight="1" outlineLevel="1">
      <c r="A384" s="626">
        <f t="shared" si="50"/>
        <v>8</v>
      </c>
      <c r="B384" s="625" t="s">
        <v>771</v>
      </c>
      <c r="C384" s="626" t="s">
        <v>2</v>
      </c>
      <c r="D384" s="624">
        <f t="shared" ref="D384:D392" si="53">J383</f>
        <v>4287694.4000000004</v>
      </c>
      <c r="E384" s="649" t="s">
        <v>4279</v>
      </c>
      <c r="F384" s="631"/>
      <c r="G384" s="631"/>
      <c r="H384" s="631"/>
      <c r="I384" s="641">
        <v>13000</v>
      </c>
      <c r="J384" s="623">
        <f t="shared" si="52"/>
        <v>14300.000000000002</v>
      </c>
      <c r="K384" s="631"/>
      <c r="L384" s="631"/>
      <c r="M384" s="631"/>
      <c r="N384" s="631"/>
      <c r="O384" s="631"/>
      <c r="P384" s="631"/>
      <c r="Q384" s="631"/>
      <c r="R384" s="631"/>
      <c r="S384" s="631"/>
    </row>
    <row r="385" spans="1:19" ht="15" customHeight="1" outlineLevel="1">
      <c r="A385" s="626">
        <f t="shared" si="50"/>
        <v>9</v>
      </c>
      <c r="B385" s="625" t="s">
        <v>773</v>
      </c>
      <c r="C385" s="626" t="s">
        <v>2</v>
      </c>
      <c r="D385" s="624">
        <f t="shared" si="53"/>
        <v>14300.000000000002</v>
      </c>
      <c r="E385" s="647" t="s">
        <v>772</v>
      </c>
      <c r="F385" s="631"/>
      <c r="G385" s="631"/>
      <c r="H385" s="631"/>
      <c r="I385" s="641">
        <v>6500</v>
      </c>
      <c r="J385" s="623">
        <f t="shared" si="52"/>
        <v>7150.0000000000009</v>
      </c>
      <c r="K385" s="631"/>
      <c r="L385" s="631"/>
      <c r="M385" s="631"/>
      <c r="N385" s="631"/>
      <c r="O385" s="631"/>
      <c r="P385" s="631"/>
      <c r="Q385" s="631"/>
      <c r="R385" s="631"/>
      <c r="S385" s="631"/>
    </row>
    <row r="386" spans="1:19" ht="15" customHeight="1" outlineLevel="1">
      <c r="A386" s="626">
        <f t="shared" si="50"/>
        <v>10</v>
      </c>
      <c r="B386" s="625" t="s">
        <v>774</v>
      </c>
      <c r="C386" s="626" t="s">
        <v>2</v>
      </c>
      <c r="D386" s="624">
        <f t="shared" si="53"/>
        <v>7150.0000000000009</v>
      </c>
      <c r="E386" s="647" t="s">
        <v>772</v>
      </c>
      <c r="F386" s="631"/>
      <c r="G386" s="631"/>
      <c r="H386" s="631"/>
      <c r="I386" s="641">
        <v>8500</v>
      </c>
      <c r="J386" s="623">
        <f t="shared" si="52"/>
        <v>9350</v>
      </c>
      <c r="K386" s="631"/>
      <c r="L386" s="631"/>
      <c r="M386" s="631"/>
      <c r="N386" s="631"/>
      <c r="O386" s="631"/>
      <c r="P386" s="631"/>
      <c r="Q386" s="631"/>
      <c r="R386" s="631"/>
      <c r="S386" s="631"/>
    </row>
    <row r="387" spans="1:19" ht="15" customHeight="1" outlineLevel="1">
      <c r="A387" s="626">
        <f t="shared" si="50"/>
        <v>11</v>
      </c>
      <c r="B387" s="625" t="s">
        <v>775</v>
      </c>
      <c r="C387" s="626" t="s">
        <v>2</v>
      </c>
      <c r="D387" s="624">
        <f t="shared" si="53"/>
        <v>9350</v>
      </c>
      <c r="E387" s="647" t="s">
        <v>772</v>
      </c>
      <c r="F387" s="631"/>
      <c r="G387" s="631"/>
      <c r="H387" s="631"/>
      <c r="I387" s="641">
        <v>6500</v>
      </c>
      <c r="J387" s="623">
        <f t="shared" si="52"/>
        <v>7150.0000000000009</v>
      </c>
      <c r="K387" s="631"/>
      <c r="L387" s="631"/>
      <c r="M387" s="631"/>
      <c r="N387" s="631"/>
      <c r="O387" s="631"/>
      <c r="P387" s="631"/>
      <c r="Q387" s="631"/>
      <c r="R387" s="631"/>
      <c r="S387" s="631"/>
    </row>
    <row r="388" spans="1:19" ht="15" customHeight="1" outlineLevel="1">
      <c r="A388" s="626">
        <f t="shared" si="50"/>
        <v>12</v>
      </c>
      <c r="B388" s="625" t="s">
        <v>802</v>
      </c>
      <c r="C388" s="626" t="s">
        <v>72</v>
      </c>
      <c r="D388" s="624">
        <f t="shared" si="53"/>
        <v>7150.0000000000009</v>
      </c>
      <c r="E388" s="647" t="s">
        <v>772</v>
      </c>
      <c r="F388" s="631"/>
      <c r="G388" s="631"/>
      <c r="H388" s="631"/>
      <c r="I388" s="641">
        <v>27142</v>
      </c>
      <c r="J388" s="623">
        <f t="shared" si="52"/>
        <v>29856.2</v>
      </c>
      <c r="K388" s="631"/>
      <c r="L388" s="631"/>
      <c r="M388" s="631"/>
      <c r="N388" s="631"/>
      <c r="O388" s="631"/>
      <c r="P388" s="631"/>
      <c r="Q388" s="631"/>
      <c r="R388" s="631"/>
      <c r="S388" s="631"/>
    </row>
    <row r="389" spans="1:19" ht="15" customHeight="1" outlineLevel="1">
      <c r="A389" s="626">
        <f t="shared" si="50"/>
        <v>13</v>
      </c>
      <c r="B389" s="625" t="s">
        <v>1041</v>
      </c>
      <c r="C389" s="626" t="s">
        <v>2</v>
      </c>
      <c r="D389" s="624">
        <f t="shared" si="53"/>
        <v>29856.2</v>
      </c>
      <c r="E389" s="650" t="s">
        <v>809</v>
      </c>
      <c r="F389" s="631"/>
      <c r="G389" s="631"/>
      <c r="H389" s="631"/>
      <c r="I389" s="641">
        <v>63000</v>
      </c>
      <c r="J389" s="623">
        <f t="shared" si="52"/>
        <v>69300</v>
      </c>
      <c r="K389" s="631"/>
      <c r="L389" s="631"/>
      <c r="M389" s="631"/>
      <c r="N389" s="631"/>
      <c r="O389" s="631"/>
      <c r="P389" s="631"/>
      <c r="Q389" s="631"/>
      <c r="R389" s="631"/>
      <c r="S389" s="631"/>
    </row>
    <row r="390" spans="1:19" ht="15" customHeight="1" outlineLevel="1">
      <c r="A390" s="626">
        <f t="shared" si="50"/>
        <v>14</v>
      </c>
      <c r="B390" s="625" t="s">
        <v>1251</v>
      </c>
      <c r="C390" s="626" t="s">
        <v>2</v>
      </c>
      <c r="D390" s="624">
        <f t="shared" si="53"/>
        <v>69300</v>
      </c>
      <c r="E390" s="650" t="s">
        <v>1250</v>
      </c>
      <c r="F390" s="631"/>
      <c r="G390" s="631"/>
      <c r="H390" s="631"/>
      <c r="I390" s="641">
        <v>56700</v>
      </c>
      <c r="J390" s="623">
        <f t="shared" si="52"/>
        <v>62370.000000000007</v>
      </c>
      <c r="K390" s="631"/>
      <c r="L390" s="631"/>
      <c r="M390" s="631"/>
      <c r="N390" s="631"/>
      <c r="O390" s="631"/>
      <c r="P390" s="631"/>
      <c r="Q390" s="631"/>
      <c r="R390" s="631"/>
      <c r="S390" s="631"/>
    </row>
    <row r="391" spans="1:19" ht="15" customHeight="1" outlineLevel="1">
      <c r="A391" s="626">
        <f t="shared" si="50"/>
        <v>15</v>
      </c>
      <c r="B391" s="625" t="s">
        <v>1458</v>
      </c>
      <c r="C391" s="626" t="s">
        <v>2</v>
      </c>
      <c r="D391" s="624">
        <f t="shared" si="53"/>
        <v>62370.000000000007</v>
      </c>
      <c r="E391" s="650" t="s">
        <v>1250</v>
      </c>
      <c r="F391" s="631"/>
      <c r="G391" s="631"/>
      <c r="H391" s="631"/>
      <c r="I391" s="641">
        <v>150000</v>
      </c>
      <c r="J391" s="623">
        <f t="shared" si="52"/>
        <v>165000</v>
      </c>
      <c r="K391" s="631"/>
      <c r="L391" s="631"/>
      <c r="M391" s="631"/>
      <c r="N391" s="631"/>
      <c r="O391" s="631"/>
      <c r="P391" s="631"/>
      <c r="Q391" s="631"/>
      <c r="R391" s="631"/>
      <c r="S391" s="631"/>
    </row>
    <row r="392" spans="1:19" ht="15" customHeight="1" outlineLevel="1">
      <c r="A392" s="626">
        <f t="shared" si="50"/>
        <v>16</v>
      </c>
      <c r="B392" s="625" t="s">
        <v>1460</v>
      </c>
      <c r="C392" s="626" t="s">
        <v>2</v>
      </c>
      <c r="D392" s="624">
        <f t="shared" si="53"/>
        <v>165000</v>
      </c>
      <c r="E392" s="651" t="s">
        <v>1459</v>
      </c>
      <c r="F392" s="631"/>
      <c r="G392" s="631"/>
      <c r="H392" s="631"/>
      <c r="I392" s="641">
        <v>72300</v>
      </c>
      <c r="J392" s="623">
        <f t="shared" si="52"/>
        <v>79530</v>
      </c>
      <c r="K392" s="631"/>
      <c r="L392" s="631"/>
      <c r="M392" s="631"/>
      <c r="N392" s="631"/>
      <c r="O392" s="631"/>
      <c r="P392" s="631"/>
      <c r="Q392" s="631"/>
      <c r="R392" s="631"/>
      <c r="S392" s="631"/>
    </row>
    <row r="393" spans="1:19" s="638" customFormat="1" ht="15" customHeight="1" outlineLevel="1">
      <c r="A393" s="642">
        <f t="shared" si="50"/>
        <v>17</v>
      </c>
      <c r="B393" s="643" t="s">
        <v>2136</v>
      </c>
      <c r="C393" s="644" t="s">
        <v>65</v>
      </c>
      <c r="D393" s="624">
        <f t="shared" ref="D393:D394" si="54">J392</f>
        <v>79530</v>
      </c>
      <c r="E393" s="651" t="s">
        <v>1461</v>
      </c>
      <c r="F393" s="631"/>
      <c r="G393" s="631"/>
      <c r="H393" s="631"/>
      <c r="I393" s="641">
        <v>350000</v>
      </c>
      <c r="J393" s="623">
        <f t="shared" si="52"/>
        <v>385000.00000000006</v>
      </c>
      <c r="K393" s="631"/>
      <c r="L393" s="631"/>
      <c r="M393" s="631"/>
      <c r="N393" s="631"/>
      <c r="O393" s="631"/>
      <c r="P393" s="631"/>
      <c r="Q393" s="631"/>
      <c r="R393" s="631"/>
      <c r="S393" s="631"/>
    </row>
    <row r="394" spans="1:19" ht="15" customHeight="1" outlineLevel="1">
      <c r="A394" s="626" t="s">
        <v>4332</v>
      </c>
      <c r="B394" s="625" t="s">
        <v>1035</v>
      </c>
      <c r="C394" s="626" t="s">
        <v>65</v>
      </c>
      <c r="D394" s="624">
        <f t="shared" si="54"/>
        <v>385000.00000000006</v>
      </c>
      <c r="E394" s="652"/>
      <c r="F394" s="631"/>
      <c r="G394" s="631"/>
      <c r="H394" s="631"/>
      <c r="I394" s="641">
        <v>175000</v>
      </c>
      <c r="J394" s="623">
        <f t="shared" si="52"/>
        <v>192500.00000000003</v>
      </c>
      <c r="K394" s="631"/>
      <c r="L394" s="631"/>
      <c r="M394" s="631"/>
      <c r="N394" s="631"/>
      <c r="O394" s="631"/>
      <c r="P394" s="631"/>
      <c r="Q394" s="631"/>
      <c r="R394" s="631"/>
      <c r="S394" s="631"/>
    </row>
    <row r="395" spans="1:19" ht="15" customHeight="1">
      <c r="A395" s="630" t="s">
        <v>776</v>
      </c>
      <c r="B395" s="629" t="s">
        <v>777</v>
      </c>
      <c r="C395" s="630"/>
      <c r="D395" s="628"/>
      <c r="E395" s="653"/>
      <c r="F395" s="631"/>
      <c r="G395" s="631"/>
      <c r="H395" s="631"/>
      <c r="I395" s="627" t="s">
        <v>4331</v>
      </c>
      <c r="J395" s="622">
        <f>100%+$I$6</f>
        <v>1.1000000000000001</v>
      </c>
      <c r="K395" s="631"/>
      <c r="L395" s="631"/>
      <c r="M395" s="631"/>
      <c r="N395" s="631"/>
      <c r="O395" s="631"/>
      <c r="P395" s="631"/>
      <c r="Q395" s="631"/>
      <c r="R395" s="631"/>
      <c r="S395" s="631"/>
    </row>
    <row r="396" spans="1:19" ht="15" hidden="1" customHeight="1" outlineLevel="1">
      <c r="A396" s="626">
        <v>1</v>
      </c>
      <c r="B396" s="625" t="s">
        <v>778</v>
      </c>
      <c r="C396" s="626" t="s">
        <v>779</v>
      </c>
      <c r="D396" s="624">
        <f>J396</f>
        <v>19965000</v>
      </c>
      <c r="E396" s="626" t="s">
        <v>1943</v>
      </c>
      <c r="F396" s="631"/>
      <c r="G396" s="631"/>
      <c r="H396" s="631"/>
      <c r="I396" s="623">
        <f>1.1*16500000</f>
        <v>18150000</v>
      </c>
      <c r="J396" s="623">
        <f>I396*$J$395</f>
        <v>19965000</v>
      </c>
      <c r="K396" s="631"/>
      <c r="L396" s="631"/>
      <c r="M396" s="631"/>
      <c r="N396" s="631"/>
      <c r="O396" s="631"/>
      <c r="P396" s="631"/>
      <c r="Q396" s="631"/>
      <c r="R396" s="631"/>
      <c r="S396" s="631"/>
    </row>
    <row r="397" spans="1:19" ht="15" hidden="1" customHeight="1" outlineLevel="1">
      <c r="A397" s="626"/>
      <c r="B397" s="625" t="s">
        <v>780</v>
      </c>
      <c r="C397" s="626"/>
      <c r="D397" s="624">
        <f t="shared" ref="D397:D406" si="55">J397</f>
        <v>0</v>
      </c>
      <c r="E397" s="626"/>
      <c r="F397" s="631"/>
      <c r="G397" s="631"/>
      <c r="H397" s="631"/>
      <c r="I397" s="623"/>
      <c r="J397" s="623"/>
      <c r="K397" s="631"/>
      <c r="L397" s="631"/>
      <c r="M397" s="631"/>
      <c r="N397" s="631"/>
      <c r="O397" s="631"/>
      <c r="P397" s="631"/>
      <c r="Q397" s="631"/>
      <c r="R397" s="631"/>
      <c r="S397" s="631"/>
    </row>
    <row r="398" spans="1:19" ht="15" hidden="1" customHeight="1" outlineLevel="1">
      <c r="A398" s="626"/>
      <c r="B398" s="625" t="s">
        <v>781</v>
      </c>
      <c r="C398" s="626"/>
      <c r="D398" s="624">
        <f t="shared" si="55"/>
        <v>3630000.0000000009</v>
      </c>
      <c r="E398" s="626" t="s">
        <v>1943</v>
      </c>
      <c r="F398" s="631"/>
      <c r="G398" s="631"/>
      <c r="H398" s="631"/>
      <c r="I398" s="623">
        <f>1.1*750000*4</f>
        <v>3300000.0000000005</v>
      </c>
      <c r="J398" s="623">
        <f>I398*J395</f>
        <v>3630000.0000000009</v>
      </c>
      <c r="K398" s="631"/>
      <c r="L398" s="631"/>
      <c r="M398" s="631"/>
      <c r="N398" s="631"/>
      <c r="O398" s="631"/>
      <c r="P398" s="631"/>
      <c r="Q398" s="631"/>
      <c r="R398" s="631"/>
      <c r="S398" s="631"/>
    </row>
    <row r="399" spans="1:19" ht="15" hidden="1" customHeight="1" outlineLevel="1">
      <c r="A399" s="626"/>
      <c r="B399" s="625" t="s">
        <v>782</v>
      </c>
      <c r="C399" s="626"/>
      <c r="D399" s="624">
        <f t="shared" si="55"/>
        <v>159500</v>
      </c>
      <c r="E399" s="626"/>
      <c r="F399" s="631"/>
      <c r="G399" s="631"/>
      <c r="H399" s="631"/>
      <c r="I399" s="623">
        <v>145000</v>
      </c>
      <c r="J399" s="623">
        <f>I399*$J$395</f>
        <v>159500</v>
      </c>
      <c r="K399" s="631"/>
      <c r="L399" s="631"/>
      <c r="M399" s="631"/>
      <c r="N399" s="631"/>
      <c r="O399" s="631"/>
      <c r="P399" s="631"/>
      <c r="Q399" s="631"/>
      <c r="R399" s="631"/>
      <c r="S399" s="631"/>
    </row>
    <row r="400" spans="1:19" ht="15" hidden="1" customHeight="1" outlineLevel="1">
      <c r="A400" s="626"/>
      <c r="B400" s="625" t="s">
        <v>783</v>
      </c>
      <c r="C400" s="626"/>
      <c r="D400" s="624">
        <f t="shared" si="55"/>
        <v>0</v>
      </c>
      <c r="E400" s="626"/>
      <c r="F400" s="631"/>
      <c r="G400" s="631"/>
      <c r="H400" s="631"/>
      <c r="I400" s="623"/>
      <c r="J400" s="623">
        <f t="shared" ref="J400" si="56">I400*$J$7</f>
        <v>0</v>
      </c>
      <c r="K400" s="631"/>
      <c r="L400" s="631"/>
      <c r="M400" s="631"/>
      <c r="N400" s="631"/>
      <c r="O400" s="631"/>
      <c r="P400" s="631"/>
      <c r="Q400" s="631"/>
      <c r="R400" s="631"/>
      <c r="S400" s="631"/>
    </row>
    <row r="401" spans="1:19" ht="15" hidden="1" customHeight="1" outlineLevel="1">
      <c r="A401" s="626">
        <v>2</v>
      </c>
      <c r="B401" s="625" t="s">
        <v>784</v>
      </c>
      <c r="C401" s="626" t="s">
        <v>779</v>
      </c>
      <c r="D401" s="624">
        <f t="shared" si="55"/>
        <v>3025000.0000000005</v>
      </c>
      <c r="E401" s="626" t="s">
        <v>1943</v>
      </c>
      <c r="F401" s="631"/>
      <c r="G401" s="631"/>
      <c r="H401" s="631"/>
      <c r="I401" s="623">
        <f>1.1*2500000</f>
        <v>2750000</v>
      </c>
      <c r="J401" s="623">
        <f>I401*$J$395</f>
        <v>3025000.0000000005</v>
      </c>
      <c r="K401" s="631"/>
      <c r="L401" s="631"/>
      <c r="M401" s="631"/>
      <c r="N401" s="631"/>
      <c r="O401" s="631"/>
      <c r="P401" s="631"/>
      <c r="Q401" s="631"/>
      <c r="R401" s="631"/>
      <c r="S401" s="631"/>
    </row>
    <row r="402" spans="1:19" ht="15" hidden="1" customHeight="1" outlineLevel="1">
      <c r="A402" s="626">
        <v>3</v>
      </c>
      <c r="B402" s="625" t="s">
        <v>785</v>
      </c>
      <c r="C402" s="626" t="s">
        <v>455</v>
      </c>
      <c r="D402" s="624">
        <f t="shared" si="55"/>
        <v>550000</v>
      </c>
      <c r="E402" s="626"/>
      <c r="F402" s="631"/>
      <c r="G402" s="631"/>
      <c r="H402" s="631"/>
      <c r="I402" s="623">
        <v>500000</v>
      </c>
      <c r="J402" s="623">
        <f t="shared" ref="J402:J406" si="57">I402*$J$395</f>
        <v>550000</v>
      </c>
      <c r="K402" s="631"/>
      <c r="L402" s="631"/>
      <c r="M402" s="631"/>
      <c r="N402" s="631"/>
      <c r="O402" s="631"/>
      <c r="P402" s="631"/>
      <c r="Q402" s="631"/>
      <c r="R402" s="631"/>
      <c r="S402" s="631"/>
    </row>
    <row r="403" spans="1:19" ht="15" hidden="1" customHeight="1" outlineLevel="1">
      <c r="A403" s="626"/>
      <c r="B403" s="625" t="s">
        <v>786</v>
      </c>
      <c r="C403" s="626"/>
      <c r="D403" s="624">
        <f t="shared" si="55"/>
        <v>0</v>
      </c>
      <c r="E403" s="626"/>
      <c r="F403" s="631"/>
      <c r="G403" s="631"/>
      <c r="H403" s="631"/>
      <c r="I403" s="623"/>
      <c r="J403" s="623">
        <f t="shared" si="57"/>
        <v>0</v>
      </c>
      <c r="K403" s="631"/>
      <c r="L403" s="631"/>
      <c r="M403" s="631"/>
      <c r="N403" s="631"/>
      <c r="O403" s="631"/>
      <c r="P403" s="631"/>
      <c r="Q403" s="631"/>
      <c r="R403" s="631"/>
      <c r="S403" s="631"/>
    </row>
    <row r="404" spans="1:19" ht="15" hidden="1" customHeight="1" outlineLevel="1">
      <c r="A404" s="626"/>
      <c r="B404" s="625" t="s">
        <v>787</v>
      </c>
      <c r="C404" s="626"/>
      <c r="D404" s="624">
        <f t="shared" si="55"/>
        <v>0</v>
      </c>
      <c r="E404" s="626"/>
      <c r="F404" s="631"/>
      <c r="G404" s="631"/>
      <c r="H404" s="631"/>
      <c r="I404" s="623"/>
      <c r="J404" s="623">
        <f t="shared" si="57"/>
        <v>0</v>
      </c>
      <c r="K404" s="631"/>
      <c r="L404" s="631"/>
      <c r="M404" s="631"/>
      <c r="N404" s="631"/>
      <c r="O404" s="631"/>
      <c r="P404" s="631"/>
      <c r="Q404" s="631"/>
      <c r="R404" s="631"/>
      <c r="S404" s="631"/>
    </row>
    <row r="405" spans="1:19" ht="15" hidden="1" customHeight="1" outlineLevel="1">
      <c r="A405" s="626">
        <v>4</v>
      </c>
      <c r="B405" s="625" t="s">
        <v>788</v>
      </c>
      <c r="C405" s="626" t="s">
        <v>779</v>
      </c>
      <c r="D405" s="624">
        <f t="shared" si="55"/>
        <v>249260.00000000006</v>
      </c>
      <c r="E405" s="626"/>
      <c r="F405" s="631"/>
      <c r="G405" s="631"/>
      <c r="H405" s="631"/>
      <c r="I405" s="623">
        <f>1.1*206000</f>
        <v>226600.00000000003</v>
      </c>
      <c r="J405" s="623">
        <f t="shared" si="57"/>
        <v>249260.00000000006</v>
      </c>
      <c r="K405" s="631"/>
      <c r="L405" s="631"/>
      <c r="M405" s="631"/>
      <c r="N405" s="631"/>
      <c r="O405" s="631"/>
      <c r="P405" s="631"/>
      <c r="Q405" s="631"/>
      <c r="R405" s="631"/>
      <c r="S405" s="631"/>
    </row>
    <row r="406" spans="1:19" ht="15" hidden="1" customHeight="1" outlineLevel="1">
      <c r="A406" s="626">
        <v>5</v>
      </c>
      <c r="B406" s="625" t="s">
        <v>1742</v>
      </c>
      <c r="C406" s="626" t="s">
        <v>3</v>
      </c>
      <c r="D406" s="624">
        <f t="shared" si="55"/>
        <v>275000</v>
      </c>
      <c r="E406" s="626" t="s">
        <v>1743</v>
      </c>
      <c r="F406" s="631"/>
      <c r="G406" s="631"/>
      <c r="H406" s="631"/>
      <c r="I406" s="623">
        <v>250000</v>
      </c>
      <c r="J406" s="623">
        <f t="shared" si="57"/>
        <v>275000</v>
      </c>
      <c r="K406" s="631"/>
      <c r="L406" s="631"/>
      <c r="M406" s="631"/>
      <c r="N406" s="631"/>
      <c r="O406" s="631"/>
      <c r="P406" s="631"/>
      <c r="Q406" s="631"/>
      <c r="R406" s="631"/>
      <c r="S406" s="631"/>
    </row>
    <row r="407" spans="1:19" ht="15" customHeight="1" collapsed="1">
      <c r="A407" s="621" t="s">
        <v>789</v>
      </c>
      <c r="B407" s="631" t="s">
        <v>790</v>
      </c>
      <c r="C407" s="621"/>
      <c r="D407" s="620"/>
      <c r="E407" s="631"/>
      <c r="F407" s="631"/>
      <c r="G407" s="631"/>
      <c r="H407" s="631"/>
      <c r="I407" s="631"/>
      <c r="J407" s="631"/>
      <c r="K407" s="631"/>
      <c r="L407" s="631"/>
      <c r="M407" s="631"/>
      <c r="N407" s="631"/>
      <c r="O407" s="631"/>
      <c r="P407" s="631"/>
      <c r="Q407" s="631"/>
      <c r="R407" s="631"/>
      <c r="S407" s="631"/>
    </row>
    <row r="408" spans="1:19" ht="12.75" customHeight="1"/>
    <row r="409" spans="1:19" ht="12.75" customHeight="1"/>
    <row r="410" spans="1:19" ht="12.75" customHeight="1"/>
    <row r="411" spans="1:19" ht="12.75" customHeight="1"/>
    <row r="412" spans="1:19" ht="12.75" customHeight="1"/>
    <row r="413" spans="1:19" ht="12.75" customHeight="1"/>
  </sheetData>
  <protectedRanges>
    <protectedRange sqref="B217:C218 B30:D30 B231:C232 D231:D233 B211:D211 B135:D137 B219:D220 B124:D124 C233:C237 B197:D199 B216:D216 C122 C225 C221 B228:D230 B182:D182 C139:C140 C206 C200:C201 B141:D143 B146:D149 C208:C210 C212:C215 B203:D205 B186:D191" name="Range1_1"/>
    <protectedRange sqref="C289:C291 C43 C256:C257 C264 C67:C68" name="Range1_10_2"/>
    <protectedRange sqref="C287" name="Range1_10_2_1"/>
  </protectedRanges>
  <mergeCells count="12">
    <mergeCell ref="A1:E1"/>
    <mergeCell ref="A2:E2"/>
    <mergeCell ref="A3:E3"/>
    <mergeCell ref="I3:J3"/>
    <mergeCell ref="A5:A6"/>
    <mergeCell ref="B5:B6"/>
    <mergeCell ref="C5:C6"/>
    <mergeCell ref="E5:E6"/>
    <mergeCell ref="I5:J5"/>
    <mergeCell ref="I6:J6"/>
    <mergeCell ref="I1:J1"/>
    <mergeCell ref="I2:J2"/>
  </mergeCells>
  <hyperlinks>
    <hyperlink ref="E291" r:id="rId1" display="http://www.terpalonline.com/terpal-plastik-lembaran/"/>
    <hyperlink ref="E288" r:id="rId2"/>
    <hyperlink ref="E350" r:id="rId3"/>
    <hyperlink ref="E247" r:id="rId4" display="www.karyautamasteel.com"/>
    <hyperlink ref="E229" r:id="rId5"/>
    <hyperlink ref="E236" r:id="rId6"/>
    <hyperlink ref="E235" r:id="rId7"/>
    <hyperlink ref="E234" r:id="rId8"/>
    <hyperlink ref="E233" r:id="rId9"/>
    <hyperlink ref="E232" r:id="rId10"/>
    <hyperlink ref="E231" r:id="rId11"/>
    <hyperlink ref="E230" r:id="rId12"/>
    <hyperlink ref="E203" r:id="rId13"/>
    <hyperlink ref="E228" r:id="rId14"/>
    <hyperlink ref="E190" r:id="rId15"/>
    <hyperlink ref="E189" r:id="rId16"/>
    <hyperlink ref="E187" r:id="rId17"/>
    <hyperlink ref="E188" r:id="rId18"/>
    <hyperlink ref="E124" r:id="rId19" display="www.hargabangunan.xyz"/>
    <hyperlink ref="E135" r:id="rId20"/>
    <hyperlink ref="E182" r:id="rId21"/>
    <hyperlink ref="E217" r:id="rId22"/>
    <hyperlink ref="E254" r:id="rId23" display="www.anekamaju.com/71-seal-tape"/>
    <hyperlink ref="E339" r:id="rId24" display="http://www.jasatirta1.co.id/pengusahaan.php?subaction=showfull&amp;id=1192659214&amp;archive=&amp;start_from=&amp;ucat=6"/>
    <hyperlink ref="E338" r:id="rId25"/>
    <hyperlink ref="E207" r:id="rId26"/>
    <hyperlink ref="E184" r:id="rId27"/>
    <hyperlink ref="E183" r:id="rId28"/>
    <hyperlink ref="E248" r:id="rId29"/>
    <hyperlink ref="E163" r:id="rId30"/>
    <hyperlink ref="E162" r:id="rId31"/>
    <hyperlink ref="E99" r:id="rId32"/>
    <hyperlink ref="E98" r:id="rId33" display="floorhardener.co"/>
    <hyperlink ref="E144" r:id="rId34"/>
    <hyperlink ref="E164" r:id="rId35"/>
    <hyperlink ref="E167" r:id="rId36"/>
    <hyperlink ref="E169" r:id="rId37"/>
    <hyperlink ref="E170" r:id="rId38"/>
    <hyperlink ref="E172" r:id="rId39"/>
    <hyperlink ref="E204" r:id="rId40"/>
    <hyperlink ref="E211" r:id="rId41"/>
    <hyperlink ref="E218" r:id="rId42"/>
    <hyperlink ref="E90" r:id="rId43"/>
    <hyperlink ref="E130" r:id="rId44" display="https://www.toto.co.id/category/toilet"/>
    <hyperlink ref="E240" r:id="rId45"/>
    <hyperlink ref="E239" r:id="rId46"/>
    <hyperlink ref="E86" r:id="rId47" display="http://abadimetalutama.com/kawat-duri/"/>
    <hyperlink ref="E100" r:id="rId48" display="www.anekamaju.com/71-seal-tape"/>
    <hyperlink ref="E281" r:id="rId49"/>
    <hyperlink ref="E141" r:id="rId50"/>
    <hyperlink ref="E97" r:id="rId51"/>
    <hyperlink ref="E134" r:id="rId52"/>
    <hyperlink ref="E168" r:id="rId53"/>
    <hyperlink ref="E241" r:id="rId54"/>
    <hyperlink ref="E238" r:id="rId55"/>
    <hyperlink ref="E246" r:id="rId56"/>
    <hyperlink ref="E173" r:id="rId57"/>
    <hyperlink ref="E47" r:id="rId58"/>
    <hyperlink ref="E48" r:id="rId59"/>
    <hyperlink ref="E42" r:id="rId60"/>
    <hyperlink ref="E382" r:id="rId61"/>
    <hyperlink ref="E379" r:id="rId62"/>
    <hyperlink ref="E377" r:id="rId63"/>
    <hyperlink ref="E378" r:id="rId64"/>
    <hyperlink ref="E392" r:id="rId65"/>
    <hyperlink ref="E393" r:id="rId66"/>
    <hyperlink ref="E381" r:id="rId67"/>
  </hyperlinks>
  <printOptions horizontalCentered="1"/>
  <pageMargins left="0.25" right="0" top="0.75" bottom="0.94" header="0.5" footer="0.2"/>
  <pageSetup paperSize="9" scale="93" orientation="portrait" horizontalDpi="4294967294" r:id="rId68"/>
  <headerFooter alignWithMargins="0">
    <oddFooter>&amp;L&amp;8Date :&amp;"Arial,Italic"&amp;"Arial,Regular"Name of Bidder        :Signature of Bidder  : &amp;R&amp;8&amp;A PAGE &amp;P OF &amp;NGIS 150 kV JATIWARINGIN</oddFooter>
  </headerFooter>
  <rowBreaks count="3" manualBreakCount="3">
    <brk id="87" max="5" man="1"/>
    <brk id="179" max="5" man="1"/>
    <brk id="376" max="5" man="1"/>
  </rowBreaks>
  <drawing r:id="rId69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M62"/>
  <sheetViews>
    <sheetView topLeftCell="A46" zoomScale="70" zoomScaleNormal="70" workbookViewId="0">
      <selection activeCell="F33" sqref="F33"/>
    </sheetView>
  </sheetViews>
  <sheetFormatPr defaultColWidth="9.140625" defaultRowHeight="15"/>
  <cols>
    <col min="1" max="1" width="3.7109375" customWidth="1"/>
    <col min="2" max="2" width="5.28515625" style="635" bestFit="1" customWidth="1"/>
    <col min="3" max="3" width="89" customWidth="1"/>
    <col min="4" max="4" width="10.5703125" bestFit="1" customWidth="1"/>
    <col min="5" max="5" width="12.42578125" customWidth="1"/>
    <col min="6" max="11" width="18.7109375" style="634" customWidth="1"/>
    <col min="12" max="12" width="10.7109375" customWidth="1"/>
    <col min="13" max="13" width="16.7109375" customWidth="1"/>
    <col min="14" max="14" width="17" bestFit="1" customWidth="1"/>
    <col min="15" max="15" width="13.28515625" customWidth="1"/>
    <col min="20" max="20" width="12" bestFit="1" customWidth="1"/>
  </cols>
  <sheetData>
    <row r="1" spans="1:13" ht="16.5" customHeight="1">
      <c r="A1" s="407"/>
      <c r="B1" s="407"/>
      <c r="C1" s="407"/>
      <c r="D1" s="407"/>
      <c r="E1" s="407"/>
      <c r="F1" s="406"/>
      <c r="G1" s="406"/>
      <c r="H1" s="406"/>
      <c r="I1" s="406"/>
      <c r="J1" s="406"/>
      <c r="K1" s="406"/>
      <c r="L1" s="407"/>
      <c r="M1" s="407"/>
    </row>
    <row r="2" spans="1:13" ht="16.5" customHeight="1">
      <c r="A2" s="407"/>
      <c r="B2" s="1225" t="s">
        <v>2144</v>
      </c>
      <c r="C2" s="1226"/>
      <c r="D2" s="1226"/>
      <c r="E2" s="1226"/>
      <c r="F2" s="1226"/>
      <c r="G2" s="1226"/>
      <c r="H2" s="1227"/>
      <c r="I2" s="405"/>
      <c r="J2" s="405"/>
      <c r="K2" s="405"/>
      <c r="L2" s="404"/>
      <c r="M2" s="404"/>
    </row>
    <row r="3" spans="1:13" ht="16.5" customHeight="1">
      <c r="A3" s="407"/>
      <c r="B3" s="1228" t="str">
        <f>Rekapitulasi!B3</f>
        <v>PEMBANGUNAN T/L 150 kV PASAMAN - SIMPANG EMPAT (SECTION 2)</v>
      </c>
      <c r="C3" s="1229"/>
      <c r="D3" s="1229"/>
      <c r="E3" s="1229"/>
      <c r="F3" s="1229"/>
      <c r="G3" s="1229"/>
      <c r="H3" s="1230"/>
      <c r="I3" s="405"/>
      <c r="J3" s="405"/>
      <c r="K3" s="405"/>
      <c r="L3" s="404"/>
      <c r="M3" s="404"/>
    </row>
    <row r="4" spans="1:13" ht="16.5" customHeight="1">
      <c r="A4" s="407"/>
      <c r="B4" s="1228"/>
      <c r="C4" s="1229"/>
      <c r="D4" s="1229"/>
      <c r="E4" s="1229"/>
      <c r="F4" s="1229"/>
      <c r="G4" s="1229"/>
      <c r="H4" s="1230"/>
      <c r="I4" s="403"/>
      <c r="J4" s="403"/>
      <c r="K4" s="403"/>
      <c r="L4" s="404"/>
      <c r="M4" s="404"/>
    </row>
    <row r="5" spans="1:13" ht="16.5" customHeight="1">
      <c r="A5" s="407"/>
      <c r="B5" s="1231"/>
      <c r="C5" s="1232"/>
      <c r="D5" s="1232"/>
      <c r="E5" s="1232"/>
      <c r="F5" s="1232"/>
      <c r="G5" s="1232"/>
      <c r="H5" s="1233"/>
      <c r="I5" s="402"/>
      <c r="J5" s="402"/>
      <c r="K5" s="402"/>
      <c r="L5" s="402"/>
      <c r="M5" s="402"/>
    </row>
    <row r="6" spans="1:13" ht="16.5" customHeight="1">
      <c r="A6" s="407"/>
      <c r="B6" s="1234" t="s">
        <v>4329</v>
      </c>
      <c r="C6" s="1235"/>
      <c r="D6" s="1235"/>
      <c r="E6" s="1235"/>
      <c r="F6" s="1235"/>
      <c r="G6" s="1235"/>
      <c r="H6" s="1236"/>
      <c r="I6" s="401"/>
      <c r="J6" s="401"/>
      <c r="K6" s="401"/>
      <c r="L6" s="401"/>
      <c r="M6" s="401"/>
    </row>
    <row r="7" spans="1:13" ht="16.5" customHeight="1">
      <c r="A7" s="407"/>
      <c r="B7" s="400"/>
      <c r="C7" s="399"/>
      <c r="D7" s="398"/>
      <c r="E7" s="397"/>
      <c r="F7" s="396"/>
      <c r="G7" s="396"/>
      <c r="H7" s="396"/>
      <c r="I7" s="396"/>
      <c r="J7" s="396"/>
      <c r="K7" s="396"/>
      <c r="L7" s="404"/>
      <c r="M7" s="404"/>
    </row>
    <row r="8" spans="1:13" ht="16.5" customHeight="1">
      <c r="A8" s="407"/>
      <c r="B8" s="1237" t="s">
        <v>2145</v>
      </c>
      <c r="C8" s="1237" t="s">
        <v>2146</v>
      </c>
      <c r="D8" s="1237" t="s">
        <v>2087</v>
      </c>
      <c r="E8" s="1237" t="s">
        <v>2080</v>
      </c>
      <c r="F8" s="1240" t="s">
        <v>1785</v>
      </c>
      <c r="G8" s="1241"/>
      <c r="H8" s="395"/>
      <c r="I8" s="395"/>
      <c r="J8" s="395"/>
      <c r="K8" s="395"/>
      <c r="L8" s="404"/>
      <c r="M8" s="404"/>
    </row>
    <row r="9" spans="1:13">
      <c r="A9" s="407"/>
      <c r="B9" s="1238"/>
      <c r="C9" s="1238"/>
      <c r="D9" s="1238"/>
      <c r="E9" s="1238"/>
      <c r="F9" s="394" t="s">
        <v>2147</v>
      </c>
      <c r="G9" s="393" t="s">
        <v>2148</v>
      </c>
      <c r="H9" s="393" t="s">
        <v>2149</v>
      </c>
      <c r="I9" s="393" t="s">
        <v>2150</v>
      </c>
      <c r="J9" s="393" t="s">
        <v>501</v>
      </c>
      <c r="K9" s="393" t="s">
        <v>2151</v>
      </c>
      <c r="L9" s="404"/>
      <c r="M9" s="404"/>
    </row>
    <row r="10" spans="1:13">
      <c r="A10" s="407"/>
      <c r="B10" s="1239"/>
      <c r="C10" s="1239"/>
      <c r="D10" s="1239"/>
      <c r="E10" s="1239"/>
      <c r="F10" s="392" t="s">
        <v>2152</v>
      </c>
      <c r="G10" s="391" t="s">
        <v>2152</v>
      </c>
      <c r="H10" s="391" t="s">
        <v>2152</v>
      </c>
      <c r="I10" s="391" t="s">
        <v>2152</v>
      </c>
      <c r="J10" s="391" t="s">
        <v>2152</v>
      </c>
      <c r="K10" s="391" t="s">
        <v>2152</v>
      </c>
      <c r="L10" s="404"/>
      <c r="M10" s="404"/>
    </row>
    <row r="11" spans="1:13">
      <c r="A11" s="407"/>
      <c r="B11" s="390">
        <v>1</v>
      </c>
      <c r="C11" s="389">
        <v>2</v>
      </c>
      <c r="D11" s="389">
        <v>3</v>
      </c>
      <c r="E11" s="389">
        <v>4</v>
      </c>
      <c r="F11" s="388">
        <v>5</v>
      </c>
      <c r="G11" s="387" t="s">
        <v>2153</v>
      </c>
      <c r="H11" s="387" t="s">
        <v>2154</v>
      </c>
      <c r="I11" s="387" t="s">
        <v>2155</v>
      </c>
      <c r="J11" s="387" t="s">
        <v>2156</v>
      </c>
      <c r="K11" s="387" t="s">
        <v>2157</v>
      </c>
      <c r="L11" s="386"/>
      <c r="M11" s="386"/>
    </row>
    <row r="12" spans="1:13">
      <c r="A12" s="407"/>
      <c r="B12" s="385"/>
      <c r="C12" s="384"/>
      <c r="D12" s="384"/>
      <c r="E12" s="384"/>
      <c r="F12" s="383"/>
      <c r="G12" s="382">
        <v>1.1000000000000001</v>
      </c>
      <c r="H12" s="382">
        <v>0.03</v>
      </c>
      <c r="I12" s="381">
        <v>2.5000000000000001E-3</v>
      </c>
      <c r="J12" s="382">
        <v>0.2</v>
      </c>
      <c r="K12" s="381"/>
      <c r="L12" s="380"/>
      <c r="M12" s="380"/>
    </row>
    <row r="13" spans="1:13">
      <c r="A13" s="407"/>
      <c r="B13" s="379" t="s">
        <v>816</v>
      </c>
      <c r="C13" s="378" t="s">
        <v>2158</v>
      </c>
      <c r="D13" s="384"/>
      <c r="E13" s="384"/>
      <c r="F13" s="383"/>
      <c r="G13" s="377"/>
      <c r="H13" s="377"/>
      <c r="I13" s="377"/>
      <c r="J13" s="377"/>
      <c r="K13" s="377"/>
      <c r="L13" s="380"/>
      <c r="M13" s="380"/>
    </row>
    <row r="14" spans="1:13">
      <c r="A14" s="407"/>
      <c r="B14" s="379"/>
      <c r="C14" s="376"/>
      <c r="D14" s="384"/>
      <c r="E14" s="384"/>
      <c r="F14" s="383"/>
      <c r="G14" s="377"/>
      <c r="H14" s="377"/>
      <c r="I14" s="377"/>
      <c r="J14" s="377"/>
      <c r="K14" s="377"/>
      <c r="L14" s="1243"/>
      <c r="M14" s="1243"/>
    </row>
    <row r="15" spans="1:13">
      <c r="A15" s="407"/>
      <c r="B15" s="379">
        <v>1</v>
      </c>
      <c r="C15" s="376" t="s">
        <v>2159</v>
      </c>
      <c r="D15" s="384"/>
      <c r="E15" s="384"/>
      <c r="F15" s="383"/>
      <c r="G15" s="377"/>
      <c r="H15" s="377"/>
      <c r="I15" s="377"/>
      <c r="J15" s="377"/>
      <c r="K15" s="377"/>
      <c r="L15" s="380"/>
      <c r="M15" s="380"/>
    </row>
    <row r="16" spans="1:13">
      <c r="A16" s="407"/>
      <c r="B16" s="385"/>
      <c r="C16" s="375" t="s">
        <v>2160</v>
      </c>
      <c r="D16" s="374" t="s">
        <v>3</v>
      </c>
      <c r="E16" s="373">
        <v>0</v>
      </c>
      <c r="F16" s="372"/>
      <c r="G16" s="371"/>
      <c r="H16" s="371"/>
      <c r="I16" s="371"/>
      <c r="J16" s="371"/>
      <c r="K16" s="371"/>
      <c r="L16" s="1242"/>
      <c r="M16" s="1242"/>
    </row>
    <row r="17" spans="1:13">
      <c r="A17" s="407"/>
      <c r="B17" s="385"/>
      <c r="C17" s="375" t="s">
        <v>2161</v>
      </c>
      <c r="D17" s="374" t="s">
        <v>3</v>
      </c>
      <c r="E17" s="373">
        <v>13868</v>
      </c>
      <c r="F17" s="370">
        <v>14000</v>
      </c>
      <c r="G17" s="371">
        <f>$G$12*F17</f>
        <v>15400.000000000002</v>
      </c>
      <c r="H17" s="371">
        <f>$H$12*F17</f>
        <v>420</v>
      </c>
      <c r="I17" s="371">
        <f>$I$12*F17</f>
        <v>35</v>
      </c>
      <c r="J17" s="371">
        <f>$J$12*F17</f>
        <v>2800</v>
      </c>
      <c r="K17" s="371">
        <f>G17+H17+I17+J17</f>
        <v>18655</v>
      </c>
      <c r="L17" s="1242"/>
      <c r="M17" s="1242"/>
    </row>
    <row r="18" spans="1:13">
      <c r="A18" s="407"/>
      <c r="B18" s="385"/>
      <c r="C18" s="375" t="s">
        <v>2162</v>
      </c>
      <c r="D18" s="374" t="s">
        <v>3</v>
      </c>
      <c r="E18" s="373">
        <f>E17</f>
        <v>13868</v>
      </c>
      <c r="F18" s="370">
        <v>43000</v>
      </c>
      <c r="G18" s="371">
        <f>$G$12*F18</f>
        <v>47300.000000000007</v>
      </c>
      <c r="H18" s="371">
        <f>$H$12*F18</f>
        <v>1290</v>
      </c>
      <c r="I18" s="369">
        <f>$I$12*F18</f>
        <v>107.5</v>
      </c>
      <c r="J18" s="369">
        <f>$J$12*F18</f>
        <v>8600</v>
      </c>
      <c r="K18" s="369">
        <f>G18+H18+I18+J18</f>
        <v>57297.500000000007</v>
      </c>
      <c r="L18" s="368"/>
      <c r="M18" s="368"/>
    </row>
    <row r="19" spans="1:13">
      <c r="A19" s="367"/>
      <c r="B19" s="366"/>
      <c r="C19" s="1244" t="s">
        <v>2163</v>
      </c>
      <c r="D19" s="1245"/>
      <c r="E19" s="1245"/>
      <c r="F19" s="1245"/>
      <c r="G19" s="365"/>
      <c r="H19" s="365"/>
      <c r="I19" s="365"/>
      <c r="J19" s="365"/>
      <c r="K19" s="365"/>
      <c r="L19" s="380"/>
      <c r="M19" s="380"/>
    </row>
    <row r="20" spans="1:13">
      <c r="A20" s="407"/>
      <c r="B20" s="385"/>
      <c r="C20" s="384"/>
      <c r="D20" s="384"/>
      <c r="E20" s="364"/>
      <c r="F20" s="383"/>
      <c r="G20" s="377"/>
      <c r="H20" s="377"/>
      <c r="I20" s="377"/>
      <c r="J20" s="377"/>
      <c r="K20" s="377"/>
      <c r="L20" s="380"/>
      <c r="M20" s="380"/>
    </row>
    <row r="21" spans="1:13">
      <c r="A21" s="407"/>
      <c r="B21" s="379">
        <v>2</v>
      </c>
      <c r="C21" s="363" t="s">
        <v>2164</v>
      </c>
      <c r="D21" s="384"/>
      <c r="E21" s="364"/>
      <c r="F21" s="383"/>
      <c r="G21" s="377"/>
      <c r="H21" s="377"/>
      <c r="I21" s="377"/>
      <c r="J21" s="377"/>
      <c r="K21" s="377"/>
      <c r="L21" s="380"/>
      <c r="M21" s="380"/>
    </row>
    <row r="22" spans="1:13">
      <c r="A22" s="407"/>
      <c r="B22" s="385" t="s">
        <v>721</v>
      </c>
      <c r="C22" s="362" t="s">
        <v>2165</v>
      </c>
      <c r="D22" s="361" t="s">
        <v>918</v>
      </c>
      <c r="E22" s="360">
        <v>35</v>
      </c>
      <c r="F22" s="1011">
        <v>511096</v>
      </c>
      <c r="G22" s="358">
        <f t="shared" ref="G22:G43" si="0">$G$12*F22</f>
        <v>562205.60000000009</v>
      </c>
      <c r="H22" s="358">
        <f t="shared" ref="H22:H43" si="1">$H$12*F22</f>
        <v>15332.88</v>
      </c>
      <c r="I22" s="369">
        <f t="shared" ref="I22:I43" si="2">$I$12*F22</f>
        <v>1277.74</v>
      </c>
      <c r="J22" s="369">
        <f t="shared" ref="J22:J43" si="3">$J$12*F22</f>
        <v>102219.20000000001</v>
      </c>
      <c r="K22" s="369">
        <f t="shared" ref="K22:K43" si="4">G22+H22+I22+J22</f>
        <v>681035.42000000016</v>
      </c>
      <c r="L22" s="368"/>
      <c r="M22" s="368"/>
    </row>
    <row r="23" spans="1:13">
      <c r="A23" s="407"/>
      <c r="B23" s="385" t="s">
        <v>2166</v>
      </c>
      <c r="C23" s="362" t="s">
        <v>2167</v>
      </c>
      <c r="D23" s="361" t="s">
        <v>918</v>
      </c>
      <c r="E23" s="360">
        <f>E22</f>
        <v>35</v>
      </c>
      <c r="F23" s="1011">
        <v>768926</v>
      </c>
      <c r="G23" s="358">
        <f t="shared" si="0"/>
        <v>845818.60000000009</v>
      </c>
      <c r="H23" s="358">
        <f t="shared" si="1"/>
        <v>23067.78</v>
      </c>
      <c r="I23" s="369">
        <f t="shared" si="2"/>
        <v>1922.3150000000001</v>
      </c>
      <c r="J23" s="369">
        <f t="shared" si="3"/>
        <v>153785.20000000001</v>
      </c>
      <c r="K23" s="369">
        <f t="shared" si="4"/>
        <v>1024593.895</v>
      </c>
      <c r="L23" s="368"/>
      <c r="M23" s="368"/>
    </row>
    <row r="24" spans="1:13">
      <c r="A24" s="407"/>
      <c r="B24" s="385" t="s">
        <v>2168</v>
      </c>
      <c r="C24" s="362" t="s">
        <v>2169</v>
      </c>
      <c r="D24" s="361" t="s">
        <v>918</v>
      </c>
      <c r="E24" s="360">
        <v>13</v>
      </c>
      <c r="F24" s="1011">
        <v>1373693</v>
      </c>
      <c r="G24" s="358">
        <f t="shared" si="0"/>
        <v>1511062.3</v>
      </c>
      <c r="H24" s="358">
        <f t="shared" si="1"/>
        <v>41210.79</v>
      </c>
      <c r="I24" s="369">
        <f t="shared" si="2"/>
        <v>3434.2325000000001</v>
      </c>
      <c r="J24" s="369">
        <f t="shared" si="3"/>
        <v>274738.60000000003</v>
      </c>
      <c r="K24" s="369">
        <f t="shared" si="4"/>
        <v>1830445.9225000001</v>
      </c>
      <c r="L24" s="368"/>
      <c r="M24" s="368"/>
    </row>
    <row r="25" spans="1:13">
      <c r="A25" s="407"/>
      <c r="B25" s="385" t="s">
        <v>2170</v>
      </c>
      <c r="C25" s="362" t="s">
        <v>2171</v>
      </c>
      <c r="D25" s="361" t="s">
        <v>918</v>
      </c>
      <c r="E25" s="360">
        <f>E24</f>
        <v>13</v>
      </c>
      <c r="F25" s="1011">
        <v>1500000</v>
      </c>
      <c r="G25" s="358">
        <f t="shared" si="0"/>
        <v>1650000.0000000002</v>
      </c>
      <c r="H25" s="358">
        <f t="shared" si="1"/>
        <v>45000</v>
      </c>
      <c r="I25" s="369">
        <f t="shared" si="2"/>
        <v>3750</v>
      </c>
      <c r="J25" s="369">
        <f t="shared" si="3"/>
        <v>300000</v>
      </c>
      <c r="K25" s="369">
        <f t="shared" si="4"/>
        <v>1998750.0000000002</v>
      </c>
      <c r="L25" s="368"/>
      <c r="M25" s="368"/>
    </row>
    <row r="26" spans="1:13">
      <c r="A26" s="407"/>
      <c r="B26" s="385" t="s">
        <v>2172</v>
      </c>
      <c r="C26" s="362" t="s">
        <v>2173</v>
      </c>
      <c r="D26" s="357" t="s">
        <v>2084</v>
      </c>
      <c r="E26" s="360">
        <v>1236</v>
      </c>
      <c r="F26" s="359">
        <v>348561.07000000007</v>
      </c>
      <c r="G26" s="358">
        <f t="shared" si="0"/>
        <v>383417.17700000008</v>
      </c>
      <c r="H26" s="358">
        <f t="shared" si="1"/>
        <v>10456.832100000001</v>
      </c>
      <c r="I26" s="358">
        <f t="shared" si="2"/>
        <v>871.40267500000016</v>
      </c>
      <c r="J26" s="358">
        <f t="shared" si="3"/>
        <v>69712.214000000022</v>
      </c>
      <c r="K26" s="358">
        <f t="shared" si="4"/>
        <v>464457.62577500014</v>
      </c>
      <c r="L26" s="1242"/>
      <c r="M26" s="1242"/>
    </row>
    <row r="27" spans="1:13">
      <c r="A27" s="407"/>
      <c r="B27" s="385" t="s">
        <v>2174</v>
      </c>
      <c r="C27" s="362" t="s">
        <v>2175</v>
      </c>
      <c r="D27" s="357" t="s">
        <v>2084</v>
      </c>
      <c r="E27" s="360">
        <v>103</v>
      </c>
      <c r="F27" s="370">
        <v>268123.90000000002</v>
      </c>
      <c r="G27" s="358">
        <f t="shared" si="0"/>
        <v>294936.29000000004</v>
      </c>
      <c r="H27" s="358">
        <f t="shared" si="1"/>
        <v>8043.7170000000006</v>
      </c>
      <c r="I27" s="358">
        <f t="shared" si="2"/>
        <v>670.30975000000012</v>
      </c>
      <c r="J27" s="358">
        <f t="shared" si="3"/>
        <v>53624.780000000006</v>
      </c>
      <c r="K27" s="358">
        <f t="shared" si="4"/>
        <v>357275.09675000008</v>
      </c>
      <c r="L27" s="368"/>
      <c r="M27" s="368"/>
    </row>
    <row r="28" spans="1:13">
      <c r="A28" s="407"/>
      <c r="B28" s="385" t="s">
        <v>2176</v>
      </c>
      <c r="C28" s="362" t="s">
        <v>2177</v>
      </c>
      <c r="D28" s="357" t="s">
        <v>2084</v>
      </c>
      <c r="E28" s="360">
        <f>E27</f>
        <v>103</v>
      </c>
      <c r="F28" s="370">
        <v>326724.2</v>
      </c>
      <c r="G28" s="358">
        <f t="shared" si="0"/>
        <v>359396.62000000005</v>
      </c>
      <c r="H28" s="358">
        <f t="shared" si="1"/>
        <v>9801.7260000000006</v>
      </c>
      <c r="I28" s="369">
        <f t="shared" si="2"/>
        <v>816.81050000000005</v>
      </c>
      <c r="J28" s="369">
        <f t="shared" si="3"/>
        <v>65344.840000000004</v>
      </c>
      <c r="K28" s="369">
        <f t="shared" si="4"/>
        <v>435359.99650000012</v>
      </c>
      <c r="L28" s="368"/>
      <c r="M28" s="368"/>
    </row>
    <row r="29" spans="1:13">
      <c r="A29" s="407"/>
      <c r="B29" s="385" t="s">
        <v>2178</v>
      </c>
      <c r="C29" s="362" t="s">
        <v>2179</v>
      </c>
      <c r="D29" s="357" t="s">
        <v>2084</v>
      </c>
      <c r="E29" s="360">
        <v>85</v>
      </c>
      <c r="F29" s="359">
        <v>675000</v>
      </c>
      <c r="G29" s="358">
        <f t="shared" si="0"/>
        <v>742500.00000000012</v>
      </c>
      <c r="H29" s="358">
        <f t="shared" si="1"/>
        <v>20250</v>
      </c>
      <c r="I29" s="358">
        <f t="shared" si="2"/>
        <v>1687.5</v>
      </c>
      <c r="J29" s="358">
        <f t="shared" si="3"/>
        <v>135000</v>
      </c>
      <c r="K29" s="358">
        <f t="shared" si="4"/>
        <v>899437.50000000012</v>
      </c>
      <c r="L29" s="1246"/>
      <c r="M29" s="1246"/>
    </row>
    <row r="30" spans="1:13">
      <c r="A30" s="407"/>
      <c r="B30" s="385" t="s">
        <v>2180</v>
      </c>
      <c r="C30" s="362" t="s">
        <v>2181</v>
      </c>
      <c r="D30" s="357" t="s">
        <v>2084</v>
      </c>
      <c r="E30" s="360">
        <v>7</v>
      </c>
      <c r="F30" s="359">
        <v>370000</v>
      </c>
      <c r="G30" s="358">
        <f t="shared" si="0"/>
        <v>407000.00000000006</v>
      </c>
      <c r="H30" s="358">
        <f t="shared" si="1"/>
        <v>11100</v>
      </c>
      <c r="I30" s="358">
        <f t="shared" si="2"/>
        <v>925</v>
      </c>
      <c r="J30" s="358">
        <f t="shared" si="3"/>
        <v>74000</v>
      </c>
      <c r="K30" s="358">
        <f t="shared" si="4"/>
        <v>493025.00000000006</v>
      </c>
      <c r="L30" s="1246"/>
      <c r="M30" s="1246"/>
    </row>
    <row r="31" spans="1:13">
      <c r="A31" s="407"/>
      <c r="B31" s="385" t="s">
        <v>2182</v>
      </c>
      <c r="C31" s="362" t="s">
        <v>2183</v>
      </c>
      <c r="D31" s="357" t="s">
        <v>2084</v>
      </c>
      <c r="E31" s="360">
        <v>4</v>
      </c>
      <c r="F31" s="359">
        <v>7760224</v>
      </c>
      <c r="G31" s="358">
        <f t="shared" si="0"/>
        <v>8536246.4000000004</v>
      </c>
      <c r="H31" s="358">
        <f t="shared" si="1"/>
        <v>232806.72</v>
      </c>
      <c r="I31" s="358">
        <f t="shared" si="2"/>
        <v>19400.560000000001</v>
      </c>
      <c r="J31" s="358">
        <f t="shared" si="3"/>
        <v>1552044.8</v>
      </c>
      <c r="K31" s="358">
        <f t="shared" si="4"/>
        <v>10340498.480000002</v>
      </c>
      <c r="L31" s="356"/>
      <c r="M31" s="368"/>
    </row>
    <row r="32" spans="1:13">
      <c r="A32" s="407"/>
      <c r="B32" s="385" t="s">
        <v>2184</v>
      </c>
      <c r="C32" s="362" t="s">
        <v>2185</v>
      </c>
      <c r="D32" s="357" t="s">
        <v>2084</v>
      </c>
      <c r="E32" s="360">
        <v>5</v>
      </c>
      <c r="F32" s="359">
        <v>300000</v>
      </c>
      <c r="G32" s="358">
        <f t="shared" si="0"/>
        <v>330000</v>
      </c>
      <c r="H32" s="358">
        <f t="shared" si="1"/>
        <v>9000</v>
      </c>
      <c r="I32" s="358">
        <f t="shared" si="2"/>
        <v>750</v>
      </c>
      <c r="J32" s="358">
        <f t="shared" si="3"/>
        <v>60000</v>
      </c>
      <c r="K32" s="358">
        <f t="shared" si="4"/>
        <v>399750</v>
      </c>
      <c r="L32" s="355"/>
      <c r="M32" s="368"/>
    </row>
    <row r="33" spans="1:13">
      <c r="A33" s="407"/>
      <c r="B33" s="385" t="s">
        <v>2186</v>
      </c>
      <c r="C33" s="362" t="s">
        <v>2187</v>
      </c>
      <c r="D33" s="357" t="s">
        <v>2084</v>
      </c>
      <c r="E33" s="354">
        <v>168</v>
      </c>
      <c r="F33" s="370">
        <v>248090</v>
      </c>
      <c r="G33" s="358">
        <f t="shared" si="0"/>
        <v>272899</v>
      </c>
      <c r="H33" s="358">
        <f t="shared" si="1"/>
        <v>7442.7</v>
      </c>
      <c r="I33" s="358">
        <f t="shared" si="2"/>
        <v>620.22500000000002</v>
      </c>
      <c r="J33" s="358">
        <f t="shared" si="3"/>
        <v>49618</v>
      </c>
      <c r="K33" s="358">
        <f t="shared" si="4"/>
        <v>330579.92499999999</v>
      </c>
      <c r="L33" s="1242"/>
      <c r="M33" s="1242"/>
    </row>
    <row r="34" spans="1:13">
      <c r="A34" s="407"/>
      <c r="B34" s="385" t="s">
        <v>3</v>
      </c>
      <c r="C34" s="362" t="s">
        <v>2188</v>
      </c>
      <c r="D34" s="384" t="s">
        <v>2084</v>
      </c>
      <c r="E34" s="354">
        <v>1686</v>
      </c>
      <c r="F34" s="353">
        <v>248090</v>
      </c>
      <c r="G34" s="371">
        <f t="shared" si="0"/>
        <v>272899</v>
      </c>
      <c r="H34" s="371">
        <f t="shared" si="1"/>
        <v>7442.7</v>
      </c>
      <c r="I34" s="371">
        <f t="shared" si="2"/>
        <v>620.22500000000002</v>
      </c>
      <c r="J34" s="371">
        <f t="shared" si="3"/>
        <v>49618</v>
      </c>
      <c r="K34" s="371">
        <f t="shared" si="4"/>
        <v>330579.92499999999</v>
      </c>
      <c r="L34" s="1242"/>
      <c r="M34" s="1242"/>
    </row>
    <row r="35" spans="1:13">
      <c r="A35" s="367"/>
      <c r="B35" s="379"/>
      <c r="C35" s="1244" t="s">
        <v>2189</v>
      </c>
      <c r="D35" s="1245"/>
      <c r="E35" s="1245"/>
      <c r="F35" s="1245"/>
      <c r="G35" s="352">
        <f t="shared" si="0"/>
        <v>0</v>
      </c>
      <c r="H35" s="352">
        <f t="shared" si="1"/>
        <v>0</v>
      </c>
      <c r="I35" s="352">
        <f t="shared" si="2"/>
        <v>0</v>
      </c>
      <c r="J35" s="352">
        <f t="shared" si="3"/>
        <v>0</v>
      </c>
      <c r="K35" s="352">
        <f t="shared" si="4"/>
        <v>0</v>
      </c>
      <c r="L35" s="380"/>
      <c r="M35" s="380"/>
    </row>
    <row r="36" spans="1:13">
      <c r="A36" s="407"/>
      <c r="B36" s="385"/>
      <c r="C36" s="384"/>
      <c r="D36" s="384"/>
      <c r="E36" s="384"/>
      <c r="F36" s="383"/>
      <c r="G36" s="371">
        <f t="shared" si="0"/>
        <v>0</v>
      </c>
      <c r="H36" s="371">
        <f t="shared" si="1"/>
        <v>0</v>
      </c>
      <c r="I36" s="371">
        <f t="shared" si="2"/>
        <v>0</v>
      </c>
      <c r="J36" s="371">
        <f t="shared" si="3"/>
        <v>0</v>
      </c>
      <c r="K36" s="371">
        <f t="shared" si="4"/>
        <v>0</v>
      </c>
      <c r="L36" s="380"/>
      <c r="M36" s="380"/>
    </row>
    <row r="37" spans="1:13">
      <c r="A37" s="407"/>
      <c r="B37" s="379">
        <v>3</v>
      </c>
      <c r="C37" s="363" t="s">
        <v>2190</v>
      </c>
      <c r="D37" s="384"/>
      <c r="E37" s="384"/>
      <c r="F37" s="383"/>
      <c r="G37" s="371">
        <f t="shared" si="0"/>
        <v>0</v>
      </c>
      <c r="H37" s="371">
        <f t="shared" si="1"/>
        <v>0</v>
      </c>
      <c r="I37" s="371">
        <f t="shared" si="2"/>
        <v>0</v>
      </c>
      <c r="J37" s="371">
        <f t="shared" si="3"/>
        <v>0</v>
      </c>
      <c r="K37" s="371">
        <f t="shared" si="4"/>
        <v>0</v>
      </c>
      <c r="L37" s="351" t="s">
        <v>2191</v>
      </c>
      <c r="M37" s="350"/>
    </row>
    <row r="38" spans="1:13">
      <c r="A38" s="407"/>
      <c r="B38" s="349" t="s">
        <v>1483</v>
      </c>
      <c r="C38" s="348" t="s">
        <v>2192</v>
      </c>
      <c r="D38" s="347" t="s">
        <v>918</v>
      </c>
      <c r="E38" s="346">
        <v>180</v>
      </c>
      <c r="F38" s="696">
        <v>2287483.7999999998</v>
      </c>
      <c r="G38" s="345">
        <f t="shared" si="0"/>
        <v>2516232.1800000002</v>
      </c>
      <c r="H38" s="345">
        <f t="shared" si="1"/>
        <v>68624.513999999996</v>
      </c>
      <c r="I38" s="345">
        <f t="shared" si="2"/>
        <v>5718.7094999999999</v>
      </c>
      <c r="J38" s="345">
        <f t="shared" si="3"/>
        <v>457496.76</v>
      </c>
      <c r="K38" s="345">
        <f t="shared" si="4"/>
        <v>3048072.1634999998</v>
      </c>
      <c r="L38" s="344">
        <f>E38*12</f>
        <v>2160</v>
      </c>
      <c r="M38" s="343"/>
    </row>
    <row r="39" spans="1:13">
      <c r="A39" s="407"/>
      <c r="B39" s="349" t="s">
        <v>1499</v>
      </c>
      <c r="C39" s="342" t="s">
        <v>2193</v>
      </c>
      <c r="D39" s="347" t="s">
        <v>918</v>
      </c>
      <c r="E39" s="346">
        <v>24</v>
      </c>
      <c r="F39" s="696">
        <v>3267834</v>
      </c>
      <c r="G39" s="345">
        <f t="shared" si="0"/>
        <v>3594617.4000000004</v>
      </c>
      <c r="H39" s="345">
        <f t="shared" si="1"/>
        <v>98035.01999999999</v>
      </c>
      <c r="I39" s="345">
        <f t="shared" si="2"/>
        <v>8169.585</v>
      </c>
      <c r="J39" s="345">
        <f t="shared" si="3"/>
        <v>653566.80000000005</v>
      </c>
      <c r="K39" s="345">
        <f t="shared" si="4"/>
        <v>4354388.8050000006</v>
      </c>
      <c r="L39" s="344">
        <f>E39*24</f>
        <v>576</v>
      </c>
      <c r="M39" s="343"/>
    </row>
    <row r="40" spans="1:13">
      <c r="A40" s="407"/>
      <c r="B40" s="349" t="s">
        <v>1503</v>
      </c>
      <c r="C40" s="348" t="s">
        <v>2194</v>
      </c>
      <c r="D40" s="347" t="s">
        <v>918</v>
      </c>
      <c r="E40" s="346">
        <v>6</v>
      </c>
      <c r="F40" s="696">
        <v>2647282.4</v>
      </c>
      <c r="G40" s="345">
        <f t="shared" si="0"/>
        <v>2912010.64</v>
      </c>
      <c r="H40" s="345">
        <f t="shared" si="1"/>
        <v>79418.471999999994</v>
      </c>
      <c r="I40" s="345">
        <f t="shared" si="2"/>
        <v>6618.2060000000001</v>
      </c>
      <c r="J40" s="345">
        <f t="shared" si="3"/>
        <v>529456.48</v>
      </c>
      <c r="K40" s="345">
        <f t="shared" si="4"/>
        <v>3527503.798</v>
      </c>
      <c r="L40" s="344">
        <f>E40*12</f>
        <v>72</v>
      </c>
      <c r="M40" s="343"/>
    </row>
    <row r="41" spans="1:13">
      <c r="A41" s="407"/>
      <c r="B41" s="349" t="s">
        <v>1529</v>
      </c>
      <c r="C41" s="348" t="s">
        <v>2195</v>
      </c>
      <c r="D41" s="347" t="s">
        <v>918</v>
      </c>
      <c r="E41" s="346">
        <v>162</v>
      </c>
      <c r="F41" s="696">
        <v>3781832</v>
      </c>
      <c r="G41" s="345">
        <f t="shared" si="0"/>
        <v>4160015.2</v>
      </c>
      <c r="H41" s="345">
        <f t="shared" si="1"/>
        <v>113454.95999999999</v>
      </c>
      <c r="I41" s="345">
        <f t="shared" si="2"/>
        <v>9454.58</v>
      </c>
      <c r="J41" s="345">
        <f t="shared" si="3"/>
        <v>756366.4</v>
      </c>
      <c r="K41" s="345">
        <f t="shared" si="4"/>
        <v>5039291.1400000006</v>
      </c>
      <c r="L41" s="344">
        <f>E41*24</f>
        <v>3888</v>
      </c>
      <c r="M41" s="343"/>
    </row>
    <row r="42" spans="1:13">
      <c r="A42" s="407"/>
      <c r="B42" s="349" t="s">
        <v>1508</v>
      </c>
      <c r="C42" s="342" t="s">
        <v>2196</v>
      </c>
      <c r="D42" s="347" t="s">
        <v>918</v>
      </c>
      <c r="E42" s="346">
        <v>6</v>
      </c>
      <c r="F42" s="696">
        <v>3330808</v>
      </c>
      <c r="G42" s="345">
        <f t="shared" si="0"/>
        <v>3663888.8000000003</v>
      </c>
      <c r="H42" s="345">
        <f t="shared" si="1"/>
        <v>99924.239999999991</v>
      </c>
      <c r="I42" s="345">
        <f t="shared" si="2"/>
        <v>8327.02</v>
      </c>
      <c r="J42" s="345">
        <f t="shared" si="3"/>
        <v>666161.60000000009</v>
      </c>
      <c r="K42" s="345">
        <f t="shared" si="4"/>
        <v>4438301.66</v>
      </c>
      <c r="L42" s="344">
        <f>E42*12</f>
        <v>72</v>
      </c>
      <c r="M42" s="343"/>
    </row>
    <row r="43" spans="1:13">
      <c r="A43" s="407"/>
      <c r="B43" s="349" t="s">
        <v>1514</v>
      </c>
      <c r="C43" s="342" t="s">
        <v>2197</v>
      </c>
      <c r="D43" s="347" t="s">
        <v>918</v>
      </c>
      <c r="E43" s="346">
        <v>33</v>
      </c>
      <c r="F43" s="696">
        <v>1380196</v>
      </c>
      <c r="G43" s="345">
        <f t="shared" si="0"/>
        <v>1518215.6</v>
      </c>
      <c r="H43" s="345">
        <f t="shared" si="1"/>
        <v>41405.879999999997</v>
      </c>
      <c r="I43" s="345">
        <f t="shared" si="2"/>
        <v>3450.4900000000002</v>
      </c>
      <c r="J43" s="345">
        <f t="shared" si="3"/>
        <v>276039.2</v>
      </c>
      <c r="K43" s="345">
        <f t="shared" si="4"/>
        <v>1839111.17</v>
      </c>
      <c r="L43" s="344">
        <f>E43*12</f>
        <v>396</v>
      </c>
      <c r="M43" s="343"/>
    </row>
    <row r="44" spans="1:13">
      <c r="A44" s="367"/>
      <c r="B44" s="379"/>
      <c r="C44" s="1244" t="s">
        <v>2198</v>
      </c>
      <c r="D44" s="1245"/>
      <c r="E44" s="1245"/>
      <c r="F44" s="1245"/>
      <c r="G44" s="365"/>
      <c r="H44" s="365"/>
      <c r="I44" s="365"/>
      <c r="J44" s="365"/>
      <c r="K44" s="365"/>
      <c r="L44" s="341">
        <f>SUM(L38:L43)</f>
        <v>7164</v>
      </c>
      <c r="M44" s="380"/>
    </row>
    <row r="45" spans="1:13">
      <c r="A45" s="407"/>
      <c r="B45" s="379">
        <v>4</v>
      </c>
      <c r="C45" s="363" t="s">
        <v>2199</v>
      </c>
      <c r="D45" s="384"/>
      <c r="E45" s="384"/>
      <c r="F45" s="383"/>
      <c r="G45" s="377"/>
      <c r="H45" s="377"/>
      <c r="I45" s="377"/>
      <c r="J45" s="377"/>
      <c r="K45" s="377"/>
      <c r="L45" s="380"/>
      <c r="M45" s="380"/>
    </row>
    <row r="46" spans="1:13">
      <c r="A46" s="407"/>
      <c r="B46" s="385"/>
      <c r="C46" s="363" t="s">
        <v>2200</v>
      </c>
      <c r="D46" s="340" t="s">
        <v>918</v>
      </c>
      <c r="E46" s="339">
        <f>ROUNDUP(0%*L44,0)</f>
        <v>0</v>
      </c>
      <c r="F46" s="697"/>
      <c r="G46" s="338">
        <f t="shared" ref="G46:G47" si="5">$G$12*F46</f>
        <v>0</v>
      </c>
      <c r="H46" s="338">
        <f t="shared" ref="H46:H47" si="6">$H$12*F46</f>
        <v>0</v>
      </c>
      <c r="I46" s="338">
        <f t="shared" ref="I46:I47" si="7">$I$12*F46</f>
        <v>0</v>
      </c>
      <c r="J46" s="338">
        <f t="shared" ref="J46:J47" si="8">$J$12*F46</f>
        <v>0</v>
      </c>
      <c r="K46" s="338">
        <f t="shared" ref="K46:K47" si="9">G46+H46+I46+J46</f>
        <v>0</v>
      </c>
      <c r="L46" s="1242"/>
      <c r="M46" s="1242"/>
    </row>
    <row r="47" spans="1:13">
      <c r="A47" s="407"/>
      <c r="B47" s="385"/>
      <c r="C47" s="363" t="s">
        <v>2201</v>
      </c>
      <c r="D47" s="340" t="s">
        <v>918</v>
      </c>
      <c r="E47" s="339">
        <f>L44/12</f>
        <v>597</v>
      </c>
      <c r="F47" s="370">
        <v>224671.59000000003</v>
      </c>
      <c r="G47" s="338">
        <f t="shared" si="5"/>
        <v>247138.74900000004</v>
      </c>
      <c r="H47" s="338">
        <f t="shared" si="6"/>
        <v>6740.1477000000004</v>
      </c>
      <c r="I47" s="338">
        <f t="shared" si="7"/>
        <v>561.67897500000004</v>
      </c>
      <c r="J47" s="338">
        <f t="shared" si="8"/>
        <v>44934.318000000007</v>
      </c>
      <c r="K47" s="338">
        <f t="shared" si="9"/>
        <v>299374.89367500006</v>
      </c>
      <c r="L47" s="1242"/>
      <c r="M47" s="1242"/>
    </row>
    <row r="48" spans="1:13">
      <c r="A48" s="407"/>
      <c r="B48" s="385"/>
      <c r="C48" s="1244" t="s">
        <v>2202</v>
      </c>
      <c r="D48" s="1245"/>
      <c r="E48" s="1245"/>
      <c r="F48" s="1245"/>
      <c r="G48" s="365"/>
      <c r="H48" s="365"/>
      <c r="I48" s="365"/>
      <c r="J48" s="365"/>
      <c r="K48" s="365"/>
      <c r="L48" s="380"/>
      <c r="M48" s="380"/>
    </row>
    <row r="49" spans="1:13">
      <c r="A49" s="407"/>
      <c r="B49" s="337"/>
      <c r="C49" s="1247" t="s">
        <v>2203</v>
      </c>
      <c r="D49" s="1248"/>
      <c r="E49" s="1248"/>
      <c r="F49" s="1248"/>
      <c r="G49" s="336"/>
      <c r="H49" s="336"/>
      <c r="I49" s="336"/>
      <c r="J49" s="336"/>
      <c r="K49" s="336"/>
      <c r="L49" s="380"/>
      <c r="M49" s="380"/>
    </row>
    <row r="52" spans="1:13">
      <c r="E52" s="1041"/>
      <c r="F52" s="1041"/>
      <c r="G52" s="1041"/>
      <c r="H52" s="1041"/>
    </row>
    <row r="54" spans="1:13">
      <c r="E54" s="1041"/>
      <c r="F54" s="1041"/>
      <c r="G54" s="1041"/>
      <c r="H54" s="1041"/>
    </row>
    <row r="57" spans="1:13">
      <c r="E57" s="1041"/>
      <c r="F57" s="1041"/>
      <c r="G57" s="1041"/>
      <c r="H57" s="1041"/>
    </row>
    <row r="58" spans="1:13">
      <c r="E58" s="1041"/>
      <c r="F58" s="1041"/>
      <c r="G58" s="1041"/>
      <c r="H58" s="1041"/>
    </row>
    <row r="61" spans="1:13">
      <c r="E61" s="1041"/>
      <c r="F61" s="1041"/>
      <c r="G61" s="1041"/>
      <c r="H61" s="1041"/>
    </row>
    <row r="62" spans="1:13">
      <c r="E62" s="1041"/>
      <c r="F62" s="1041"/>
      <c r="G62" s="1041"/>
      <c r="H62" s="1041"/>
    </row>
  </sheetData>
  <mergeCells count="30">
    <mergeCell ref="E58:H58"/>
    <mergeCell ref="E61:H61"/>
    <mergeCell ref="E62:H62"/>
    <mergeCell ref="L47:M47"/>
    <mergeCell ref="C48:F48"/>
    <mergeCell ref="C49:F49"/>
    <mergeCell ref="E52:H52"/>
    <mergeCell ref="E54:H54"/>
    <mergeCell ref="E57:H57"/>
    <mergeCell ref="L46:M46"/>
    <mergeCell ref="L14:M14"/>
    <mergeCell ref="L16:M16"/>
    <mergeCell ref="L17:M17"/>
    <mergeCell ref="C19:F19"/>
    <mergeCell ref="L26:M26"/>
    <mergeCell ref="L29:M29"/>
    <mergeCell ref="L30:M30"/>
    <mergeCell ref="L33:M33"/>
    <mergeCell ref="L34:M34"/>
    <mergeCell ref="C35:F35"/>
    <mergeCell ref="C44:F44"/>
    <mergeCell ref="B2:H2"/>
    <mergeCell ref="B3:H4"/>
    <mergeCell ref="B5:H5"/>
    <mergeCell ref="B6:H6"/>
    <mergeCell ref="B8:B10"/>
    <mergeCell ref="C8:C10"/>
    <mergeCell ref="D8:D10"/>
    <mergeCell ref="E8:E10"/>
    <mergeCell ref="F8:G8"/>
  </mergeCells>
  <printOptions horizontalCentered="1"/>
  <pageMargins left="0.70866141732283472" right="0.70866141732283472" top="0.23622047244094491" bottom="0" header="0.31496062992125984" footer="0.31496062992125984"/>
  <pageSetup paperSize="9" scale="37" fitToHeight="0" orientation="portrait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AA895"/>
  <sheetViews>
    <sheetView topLeftCell="A685" workbookViewId="0"/>
  </sheetViews>
  <sheetFormatPr defaultColWidth="9.140625" defaultRowHeight="15"/>
  <cols>
    <col min="1" max="2" width="3" customWidth="1"/>
    <col min="3" max="3" width="3.7109375" customWidth="1"/>
    <col min="4" max="4" width="1.28515625" customWidth="1"/>
    <col min="5" max="5" width="3" customWidth="1"/>
    <col min="6" max="6" width="51.28515625" bestFit="1" customWidth="1"/>
    <col min="7" max="7" width="9.7109375" customWidth="1"/>
    <col min="8" max="8" width="9.140625" customWidth="1"/>
    <col min="9" max="9" width="3.140625" hidden="1" customWidth="1"/>
    <col min="10" max="10" width="18.28515625" bestFit="1" customWidth="1"/>
    <col min="11" max="11" width="16.7109375" customWidth="1"/>
    <col min="12" max="12" width="11.85546875" hidden="1" customWidth="1"/>
    <col min="13" max="13" width="10.42578125" hidden="1" customWidth="1"/>
    <col min="14" max="14" width="9.28515625" hidden="1" customWidth="1"/>
    <col min="15" max="15" width="10.5703125" hidden="1" customWidth="1"/>
    <col min="16" max="21" width="0" hidden="1" customWidth="1"/>
    <col min="22" max="22" width="12.7109375" bestFit="1" customWidth="1"/>
    <col min="23" max="26" width="8.5703125" customWidth="1"/>
  </cols>
  <sheetData>
    <row r="1" spans="2:11" ht="13.5" customHeight="1">
      <c r="C1" s="1041" t="s">
        <v>1940</v>
      </c>
      <c r="D1" s="1041"/>
      <c r="E1" s="1041"/>
      <c r="F1" s="1041"/>
      <c r="G1" s="1041"/>
      <c r="H1" s="1041"/>
      <c r="I1" s="1041"/>
      <c r="J1" s="1041"/>
      <c r="K1" s="1041"/>
    </row>
    <row r="2" spans="2:11">
      <c r="C2" s="1041" t="s">
        <v>1799</v>
      </c>
      <c r="D2" s="1041"/>
      <c r="E2" s="1041"/>
      <c r="F2" s="1041"/>
      <c r="G2" s="1041"/>
      <c r="H2" s="1041"/>
      <c r="I2" s="1041"/>
      <c r="J2" s="1041"/>
      <c r="K2" s="1041"/>
    </row>
    <row r="3" spans="2:11" ht="12" customHeight="1" thickBot="1"/>
    <row r="4" spans="2:11">
      <c r="B4" s="1041" t="s">
        <v>498</v>
      </c>
      <c r="C4" s="1041"/>
      <c r="D4" s="1041" t="s">
        <v>11</v>
      </c>
      <c r="E4" s="1041"/>
      <c r="F4" s="1041"/>
      <c r="G4" s="1041" t="s">
        <v>12</v>
      </c>
      <c r="H4" s="1041" t="s">
        <v>13</v>
      </c>
      <c r="I4" s="1041"/>
      <c r="J4" t="s">
        <v>7</v>
      </c>
      <c r="K4" s="1041" t="s">
        <v>1800</v>
      </c>
    </row>
    <row r="5" spans="2:11">
      <c r="B5" s="1041"/>
      <c r="C5" s="1041"/>
      <c r="D5" s="1041"/>
      <c r="E5" s="1041"/>
      <c r="F5" s="1041"/>
      <c r="G5" s="1041"/>
      <c r="H5" s="1041"/>
      <c r="I5" s="1041"/>
      <c r="J5" t="s">
        <v>14</v>
      </c>
      <c r="K5" s="1041"/>
    </row>
    <row r="6" spans="2:11">
      <c r="B6" s="1041"/>
      <c r="C6" s="1041"/>
      <c r="D6" s="1041"/>
      <c r="E6" s="1041"/>
      <c r="F6" s="1041"/>
      <c r="G6" s="1041"/>
      <c r="H6" s="1041"/>
      <c r="I6" s="1041"/>
      <c r="J6" t="s">
        <v>16</v>
      </c>
      <c r="K6" s="1041"/>
    </row>
    <row r="7" spans="2:11" ht="15.75" thickBot="1">
      <c r="B7" s="1041"/>
      <c r="C7" s="1041"/>
      <c r="D7" s="1041"/>
      <c r="E7" s="1041"/>
      <c r="F7" s="1041"/>
      <c r="G7" s="1041"/>
      <c r="H7" s="1041"/>
      <c r="I7" s="1041"/>
      <c r="J7" t="s">
        <v>17</v>
      </c>
      <c r="K7" t="s">
        <v>17</v>
      </c>
    </row>
    <row r="8" spans="2:11" ht="15.75" thickBot="1">
      <c r="B8" s="1041" t="s">
        <v>1801</v>
      </c>
      <c r="C8" s="1041"/>
      <c r="D8" s="1041" t="s">
        <v>1802</v>
      </c>
      <c r="E8" s="1041"/>
      <c r="F8" s="1041"/>
      <c r="H8" s="1041" t="s">
        <v>1803</v>
      </c>
      <c r="I8" s="1041"/>
      <c r="J8" t="s">
        <v>1804</v>
      </c>
      <c r="K8" t="s">
        <v>1805</v>
      </c>
    </row>
    <row r="9" spans="2:11" ht="15.75" thickTop="1"/>
    <row r="10" spans="2:11">
      <c r="B10" t="s">
        <v>1806</v>
      </c>
      <c r="C10">
        <v>1</v>
      </c>
      <c r="E10" t="s">
        <v>1807</v>
      </c>
    </row>
    <row r="11" spans="2:11">
      <c r="E11" t="s">
        <v>93</v>
      </c>
    </row>
    <row r="12" spans="2:11">
      <c r="E12" t="s">
        <v>874</v>
      </c>
      <c r="F12" t="s">
        <v>1808</v>
      </c>
      <c r="G12" t="s">
        <v>5</v>
      </c>
      <c r="H12">
        <v>1</v>
      </c>
      <c r="I12" t="s">
        <v>1</v>
      </c>
      <c r="J12">
        <v>289800</v>
      </c>
      <c r="K12">
        <f>H12*J12</f>
        <v>289800</v>
      </c>
    </row>
    <row r="13" spans="2:11">
      <c r="E13" t="s">
        <v>874</v>
      </c>
      <c r="F13" t="s">
        <v>1809</v>
      </c>
      <c r="G13" t="s">
        <v>40</v>
      </c>
      <c r="H13">
        <v>7.6999999999999999E-2</v>
      </c>
      <c r="I13" t="s">
        <v>40</v>
      </c>
      <c r="J13">
        <v>4192708.333333333</v>
      </c>
      <c r="K13">
        <f>H13*J13</f>
        <v>322838.54166666663</v>
      </c>
    </row>
    <row r="14" spans="2:11">
      <c r="E14" t="s">
        <v>874</v>
      </c>
      <c r="F14" t="s">
        <v>1810</v>
      </c>
      <c r="G14" t="s">
        <v>1</v>
      </c>
      <c r="H14">
        <v>2.5</v>
      </c>
      <c r="I14" t="s">
        <v>40</v>
      </c>
      <c r="J14">
        <v>72450</v>
      </c>
      <c r="K14">
        <f>H14*J14</f>
        <v>181125</v>
      </c>
    </row>
    <row r="15" spans="2:11">
      <c r="E15" t="s">
        <v>874</v>
      </c>
      <c r="F15" t="s">
        <v>1811</v>
      </c>
      <c r="G15" t="s">
        <v>1</v>
      </c>
      <c r="H15">
        <v>1.25</v>
      </c>
      <c r="J15">
        <v>0</v>
      </c>
      <c r="K15">
        <f>J15*H15</f>
        <v>0</v>
      </c>
    </row>
    <row r="17" spans="2:11">
      <c r="E17" t="s">
        <v>1812</v>
      </c>
    </row>
    <row r="18" spans="2:11">
      <c r="E18" t="s">
        <v>874</v>
      </c>
      <c r="F18" t="s">
        <v>493</v>
      </c>
      <c r="G18" t="s">
        <v>921</v>
      </c>
      <c r="H18">
        <v>1</v>
      </c>
      <c r="I18" t="s">
        <v>1813</v>
      </c>
      <c r="J18">
        <v>127649.99999999999</v>
      </c>
      <c r="K18">
        <f>H18*J18</f>
        <v>127649.99999999999</v>
      </c>
    </row>
    <row r="19" spans="2:11">
      <c r="E19" t="s">
        <v>874</v>
      </c>
      <c r="F19" t="s">
        <v>725</v>
      </c>
      <c r="G19" t="s">
        <v>921</v>
      </c>
      <c r="H19">
        <v>1</v>
      </c>
      <c r="I19" t="s">
        <v>1813</v>
      </c>
      <c r="J19">
        <v>127649.99999999999</v>
      </c>
      <c r="K19">
        <f>H19*J19</f>
        <v>127649.99999999999</v>
      </c>
    </row>
    <row r="20" spans="2:11">
      <c r="C20" t="s">
        <v>1170</v>
      </c>
      <c r="E20" t="s">
        <v>874</v>
      </c>
      <c r="F20" t="s">
        <v>1814</v>
      </c>
      <c r="G20" t="s">
        <v>921</v>
      </c>
      <c r="H20">
        <v>1.5</v>
      </c>
      <c r="I20" t="s">
        <v>1813</v>
      </c>
      <c r="J20">
        <v>127649.99999999999</v>
      </c>
      <c r="K20">
        <f>H20*J20</f>
        <v>191474.99999999997</v>
      </c>
    </row>
    <row r="21" spans="2:11">
      <c r="E21" t="s">
        <v>874</v>
      </c>
      <c r="F21" t="s">
        <v>1815</v>
      </c>
      <c r="G21" t="s">
        <v>921</v>
      </c>
      <c r="H21">
        <v>0.1</v>
      </c>
      <c r="J21">
        <v>255299.99999999997</v>
      </c>
      <c r="K21">
        <f>J21*H21</f>
        <v>25530</v>
      </c>
    </row>
    <row r="22" spans="2:11">
      <c r="E22" t="s">
        <v>874</v>
      </c>
      <c r="F22" t="s">
        <v>1029</v>
      </c>
      <c r="G22" t="s">
        <v>921</v>
      </c>
      <c r="H22">
        <v>0.1</v>
      </c>
      <c r="I22" t="s">
        <v>1813</v>
      </c>
      <c r="J22">
        <v>169050</v>
      </c>
      <c r="K22">
        <f>J22*H22</f>
        <v>16905</v>
      </c>
    </row>
    <row r="23" spans="2:11">
      <c r="K23">
        <f>SUM(K12:K22)</f>
        <v>1282973.5416666665</v>
      </c>
    </row>
    <row r="24" spans="2:11">
      <c r="B24" t="s">
        <v>1806</v>
      </c>
      <c r="C24">
        <f>C10+1</f>
        <v>2</v>
      </c>
      <c r="E24" t="s">
        <v>1816</v>
      </c>
    </row>
    <row r="25" spans="2:11">
      <c r="E25" t="s">
        <v>93</v>
      </c>
    </row>
    <row r="26" spans="2:11" ht="17.25">
      <c r="E26" t="s">
        <v>874</v>
      </c>
      <c r="F26" t="s">
        <v>1817</v>
      </c>
      <c r="G26" t="s">
        <v>1818</v>
      </c>
      <c r="H26">
        <v>7.0000000000000001E-3</v>
      </c>
      <c r="I26" t="s">
        <v>1</v>
      </c>
      <c r="J26">
        <v>4192708.333333333</v>
      </c>
      <c r="K26">
        <f>H26*J26</f>
        <v>29348.958333333332</v>
      </c>
    </row>
    <row r="27" spans="2:11" ht="17.25">
      <c r="E27" t="s">
        <v>874</v>
      </c>
      <c r="F27" t="s">
        <v>1819</v>
      </c>
      <c r="G27" t="s">
        <v>1818</v>
      </c>
      <c r="H27">
        <v>1.1999999999999999E-3</v>
      </c>
      <c r="I27" t="s">
        <v>40</v>
      </c>
      <c r="J27">
        <v>4192708.333333333</v>
      </c>
      <c r="K27">
        <f>H27*J27</f>
        <v>5031.2499999999991</v>
      </c>
    </row>
    <row r="28" spans="2:11">
      <c r="E28" t="s">
        <v>874</v>
      </c>
      <c r="F28" t="s">
        <v>1820</v>
      </c>
      <c r="G28" t="s">
        <v>1</v>
      </c>
      <c r="H28">
        <v>0.02</v>
      </c>
      <c r="I28" t="s">
        <v>40</v>
      </c>
      <c r="J28">
        <v>0</v>
      </c>
      <c r="K28">
        <f>H28*J28</f>
        <v>0</v>
      </c>
    </row>
    <row r="30" spans="2:11">
      <c r="E30" t="s">
        <v>1812</v>
      </c>
    </row>
    <row r="31" spans="2:11">
      <c r="E31" t="s">
        <v>874</v>
      </c>
      <c r="F31" t="s">
        <v>493</v>
      </c>
      <c r="G31" t="s">
        <v>921</v>
      </c>
      <c r="H31">
        <v>0.1</v>
      </c>
      <c r="I31" t="s">
        <v>1813</v>
      </c>
      <c r="J31">
        <v>127649.99999999999</v>
      </c>
      <c r="K31">
        <f>H31*J31</f>
        <v>12765</v>
      </c>
    </row>
    <row r="32" spans="2:11">
      <c r="E32" t="s">
        <v>874</v>
      </c>
      <c r="F32" t="s">
        <v>725</v>
      </c>
      <c r="G32" t="s">
        <v>921</v>
      </c>
      <c r="H32">
        <v>0.1</v>
      </c>
      <c r="I32" t="s">
        <v>1813</v>
      </c>
      <c r="J32">
        <v>127649.99999999999</v>
      </c>
      <c r="K32">
        <f>H32*J32</f>
        <v>12765</v>
      </c>
    </row>
    <row r="33" spans="2:11">
      <c r="E33" t="s">
        <v>874</v>
      </c>
      <c r="F33" t="s">
        <v>1815</v>
      </c>
      <c r="G33" t="s">
        <v>921</v>
      </c>
      <c r="H33">
        <v>0.01</v>
      </c>
      <c r="J33">
        <v>255299.99999999997</v>
      </c>
      <c r="K33">
        <f>J33*H33</f>
        <v>2552.9999999999995</v>
      </c>
    </row>
    <row r="34" spans="2:11">
      <c r="E34" t="s">
        <v>874</v>
      </c>
      <c r="F34" t="s">
        <v>1029</v>
      </c>
      <c r="G34" t="s">
        <v>921</v>
      </c>
      <c r="H34">
        <v>5.0000000000000001E-3</v>
      </c>
      <c r="I34" t="s">
        <v>1813</v>
      </c>
      <c r="J34">
        <v>169050</v>
      </c>
      <c r="K34">
        <f>J34*H34</f>
        <v>845.25</v>
      </c>
    </row>
    <row r="35" spans="2:11">
      <c r="K35">
        <f>SUM(K26:K34)</f>
        <v>63308.458333333328</v>
      </c>
    </row>
    <row r="36" spans="2:11">
      <c r="B36" t="s">
        <v>1806</v>
      </c>
      <c r="C36">
        <f>C24+1</f>
        <v>3</v>
      </c>
      <c r="E36" t="s">
        <v>1821</v>
      </c>
    </row>
    <row r="37" spans="2:11">
      <c r="E37" t="s">
        <v>93</v>
      </c>
    </row>
    <row r="38" spans="2:11" ht="17.25">
      <c r="E38" t="s">
        <v>874</v>
      </c>
      <c r="F38" t="s">
        <v>1817</v>
      </c>
      <c r="G38" t="s">
        <v>1818</v>
      </c>
      <c r="H38">
        <v>7.0000000000000001E-3</v>
      </c>
      <c r="I38" t="s">
        <v>1</v>
      </c>
      <c r="J38">
        <f>J26</f>
        <v>4192708.333333333</v>
      </c>
      <c r="K38">
        <f>H38*J38</f>
        <v>29348.958333333332</v>
      </c>
    </row>
    <row r="39" spans="2:11" ht="17.25">
      <c r="E39" t="s">
        <v>874</v>
      </c>
      <c r="F39" t="s">
        <v>1819</v>
      </c>
      <c r="G39" t="s">
        <v>1818</v>
      </c>
      <c r="H39">
        <v>1.2E-2</v>
      </c>
      <c r="I39" t="s">
        <v>40</v>
      </c>
      <c r="J39">
        <f>J27</f>
        <v>4192708.333333333</v>
      </c>
      <c r="K39">
        <f>H39*J39</f>
        <v>50312.5</v>
      </c>
    </row>
    <row r="40" spans="2:11">
      <c r="E40" t="s">
        <v>874</v>
      </c>
      <c r="F40" t="s">
        <v>1820</v>
      </c>
      <c r="G40" t="s">
        <v>1</v>
      </c>
      <c r="H40">
        <v>0.02</v>
      </c>
      <c r="I40" t="s">
        <v>40</v>
      </c>
      <c r="J40">
        <f>J28</f>
        <v>0</v>
      </c>
      <c r="K40">
        <f>H40*J40</f>
        <v>0</v>
      </c>
    </row>
    <row r="42" spans="2:11">
      <c r="E42" t="s">
        <v>114</v>
      </c>
    </row>
    <row r="43" spans="2:11">
      <c r="E43" t="s">
        <v>874</v>
      </c>
      <c r="F43" t="s">
        <v>743</v>
      </c>
      <c r="G43" t="s">
        <v>72</v>
      </c>
      <c r="H43">
        <v>0.25</v>
      </c>
      <c r="I43" t="s">
        <v>975</v>
      </c>
      <c r="J43">
        <v>38812.5</v>
      </c>
      <c r="K43">
        <f>H43*J43</f>
        <v>9703.125</v>
      </c>
    </row>
    <row r="45" spans="2:11">
      <c r="E45" t="s">
        <v>1812</v>
      </c>
    </row>
    <row r="46" spans="2:11">
      <c r="E46" t="s">
        <v>874</v>
      </c>
      <c r="F46" t="s">
        <v>493</v>
      </c>
      <c r="G46" t="s">
        <v>921</v>
      </c>
      <c r="H46">
        <v>0.3</v>
      </c>
      <c r="I46" t="s">
        <v>1813</v>
      </c>
      <c r="J46">
        <v>127649.99999999999</v>
      </c>
      <c r="K46">
        <f>H46*J46</f>
        <v>38294.999999999993</v>
      </c>
    </row>
    <row r="47" spans="2:11">
      <c r="E47" t="s">
        <v>874</v>
      </c>
      <c r="F47" t="s">
        <v>725</v>
      </c>
      <c r="G47" t="s">
        <v>921</v>
      </c>
      <c r="H47">
        <v>0.2</v>
      </c>
      <c r="I47" t="s">
        <v>1813</v>
      </c>
      <c r="J47">
        <v>127649.99999999999</v>
      </c>
      <c r="K47">
        <f>H47*J47</f>
        <v>25530</v>
      </c>
    </row>
    <row r="48" spans="2:11">
      <c r="E48" t="s">
        <v>874</v>
      </c>
      <c r="F48" t="s">
        <v>1029</v>
      </c>
      <c r="G48" t="s">
        <v>921</v>
      </c>
      <c r="H48">
        <v>1</v>
      </c>
      <c r="J48">
        <v>169050</v>
      </c>
      <c r="K48">
        <f>H48*J48</f>
        <v>169050</v>
      </c>
    </row>
    <row r="49" spans="2:15">
      <c r="E49" t="s">
        <v>874</v>
      </c>
      <c r="F49" t="s">
        <v>719</v>
      </c>
      <c r="G49" t="s">
        <v>921</v>
      </c>
      <c r="H49">
        <v>1</v>
      </c>
      <c r="J49">
        <v>345000</v>
      </c>
      <c r="K49">
        <f>H49*J49</f>
        <v>345000</v>
      </c>
    </row>
    <row r="50" spans="2:15">
      <c r="K50">
        <f>SUM(K38:K49)</f>
        <v>667239.58333333326</v>
      </c>
    </row>
    <row r="51" spans="2:15">
      <c r="B51" t="s">
        <v>1806</v>
      </c>
      <c r="C51">
        <f>C36+1</f>
        <v>4</v>
      </c>
      <c r="E51" t="s">
        <v>1822</v>
      </c>
    </row>
    <row r="52" spans="2:15">
      <c r="E52" t="s">
        <v>874</v>
      </c>
      <c r="F52" t="s">
        <v>493</v>
      </c>
      <c r="G52" t="s">
        <v>921</v>
      </c>
      <c r="H52">
        <v>1.05</v>
      </c>
      <c r="I52" t="s">
        <v>1813</v>
      </c>
      <c r="J52">
        <v>127649.99999999999</v>
      </c>
      <c r="K52">
        <f>H52*J52</f>
        <v>134032.5</v>
      </c>
      <c r="O52">
        <v>56606</v>
      </c>
    </row>
    <row r="53" spans="2:15">
      <c r="E53" t="s">
        <v>874</v>
      </c>
      <c r="F53" t="s">
        <v>1029</v>
      </c>
      <c r="G53" t="s">
        <v>921</v>
      </c>
      <c r="H53">
        <v>6.7000000000000004E-2</v>
      </c>
      <c r="I53" t="s">
        <v>1813</v>
      </c>
      <c r="J53">
        <v>169050</v>
      </c>
      <c r="K53">
        <f>H53*J53</f>
        <v>11326.35</v>
      </c>
      <c r="O53">
        <v>3036</v>
      </c>
    </row>
    <row r="54" spans="2:15">
      <c r="K54">
        <f>SUM(K52:K53)</f>
        <v>145358.85</v>
      </c>
      <c r="O54">
        <f>SUM(O52:O53)</f>
        <v>59642</v>
      </c>
    </row>
    <row r="55" spans="2:15">
      <c r="B55" t="s">
        <v>1806</v>
      </c>
      <c r="C55">
        <f>C51+1</f>
        <v>5</v>
      </c>
      <c r="E55" t="s">
        <v>1823</v>
      </c>
    </row>
    <row r="56" spans="2:15">
      <c r="E56" t="s">
        <v>874</v>
      </c>
      <c r="F56" t="s">
        <v>493</v>
      </c>
      <c r="G56" t="s">
        <v>921</v>
      </c>
      <c r="H56">
        <v>0.1</v>
      </c>
      <c r="I56" t="s">
        <v>1813</v>
      </c>
      <c r="J56">
        <v>127649.99999999999</v>
      </c>
      <c r="K56">
        <f>H56*J56</f>
        <v>12765</v>
      </c>
      <c r="O56">
        <v>56606</v>
      </c>
    </row>
    <row r="57" spans="2:15">
      <c r="E57" t="s">
        <v>874</v>
      </c>
      <c r="F57" t="s">
        <v>1029</v>
      </c>
      <c r="G57" t="s">
        <v>921</v>
      </c>
      <c r="H57">
        <v>0.05</v>
      </c>
      <c r="I57" t="s">
        <v>1813</v>
      </c>
      <c r="J57">
        <v>169050</v>
      </c>
      <c r="K57">
        <f>H57*J57</f>
        <v>8452.5</v>
      </c>
      <c r="O57">
        <v>3036</v>
      </c>
    </row>
    <row r="58" spans="2:15">
      <c r="K58">
        <f>SUM(K56:K57)</f>
        <v>21217.5</v>
      </c>
      <c r="O58">
        <f>SUM(O56:O57)</f>
        <v>59642</v>
      </c>
    </row>
    <row r="59" spans="2:15">
      <c r="B59" t="s">
        <v>1806</v>
      </c>
      <c r="C59" t="s">
        <v>1824</v>
      </c>
      <c r="E59" t="s">
        <v>1825</v>
      </c>
    </row>
    <row r="60" spans="2:15">
      <c r="E60" t="s">
        <v>1812</v>
      </c>
    </row>
    <row r="61" spans="2:15">
      <c r="E61" t="s">
        <v>874</v>
      </c>
      <c r="F61" t="s">
        <v>493</v>
      </c>
      <c r="G61" t="s">
        <v>921</v>
      </c>
      <c r="H61">
        <v>30</v>
      </c>
      <c r="I61" t="s">
        <v>1813</v>
      </c>
      <c r="J61">
        <v>127649.99999999999</v>
      </c>
      <c r="K61">
        <f>H61*J61</f>
        <v>3829499.9999999995</v>
      </c>
      <c r="O61">
        <v>56606</v>
      </c>
    </row>
    <row r="62" spans="2:15">
      <c r="E62" t="s">
        <v>874</v>
      </c>
      <c r="F62" t="s">
        <v>1029</v>
      </c>
      <c r="G62" t="s">
        <v>921</v>
      </c>
      <c r="H62">
        <v>5</v>
      </c>
      <c r="I62" t="s">
        <v>1813</v>
      </c>
      <c r="J62">
        <v>169050</v>
      </c>
      <c r="K62">
        <f>H62*J62</f>
        <v>845250</v>
      </c>
      <c r="O62">
        <v>3036</v>
      </c>
    </row>
    <row r="63" spans="2:15">
      <c r="E63" t="s">
        <v>114</v>
      </c>
      <c r="K63">
        <f t="shared" ref="K63:K64" si="0">H63*J63</f>
        <v>0</v>
      </c>
    </row>
    <row r="64" spans="2:15">
      <c r="E64" t="s">
        <v>874</v>
      </c>
      <c r="F64" t="s">
        <v>1798</v>
      </c>
      <c r="G64" t="s">
        <v>98</v>
      </c>
      <c r="H64">
        <v>2</v>
      </c>
      <c r="J64">
        <v>267375</v>
      </c>
      <c r="K64">
        <f t="shared" si="0"/>
        <v>534750</v>
      </c>
    </row>
    <row r="66" spans="2:15">
      <c r="K66">
        <f>SUM(K61:K65)</f>
        <v>5209500</v>
      </c>
      <c r="O66">
        <f>SUM(O61:O62)</f>
        <v>59642</v>
      </c>
    </row>
    <row r="67" spans="2:15">
      <c r="B67" t="s">
        <v>1806</v>
      </c>
      <c r="C67">
        <f>C55+1</f>
        <v>6</v>
      </c>
      <c r="E67" t="s">
        <v>1826</v>
      </c>
    </row>
    <row r="68" spans="2:15">
      <c r="E68" t="s">
        <v>874</v>
      </c>
      <c r="F68" t="s">
        <v>493</v>
      </c>
      <c r="G68" t="s">
        <v>921</v>
      </c>
      <c r="H68">
        <v>1</v>
      </c>
      <c r="I68" t="s">
        <v>1813</v>
      </c>
      <c r="J68">
        <v>127649.99999999999</v>
      </c>
      <c r="K68">
        <f>H68*J68</f>
        <v>127649.99999999999</v>
      </c>
      <c r="O68">
        <v>136400</v>
      </c>
    </row>
    <row r="69" spans="2:15">
      <c r="E69" t="s">
        <v>874</v>
      </c>
      <c r="F69" t="s">
        <v>1029</v>
      </c>
      <c r="G69" t="s">
        <v>921</v>
      </c>
      <c r="H69">
        <v>3.2000000000000001E-2</v>
      </c>
      <c r="I69" t="s">
        <v>1813</v>
      </c>
      <c r="J69">
        <v>169050</v>
      </c>
      <c r="K69">
        <f>H69*J69</f>
        <v>5409.6</v>
      </c>
      <c r="O69">
        <v>10120</v>
      </c>
    </row>
    <row r="70" spans="2:15">
      <c r="K70">
        <f>SUM(K68:K69)</f>
        <v>133059.59999999998</v>
      </c>
      <c r="O70">
        <f>SUM(O68:O69)</f>
        <v>146520</v>
      </c>
    </row>
    <row r="71" spans="2:15">
      <c r="B71" t="s">
        <v>1806</v>
      </c>
      <c r="C71">
        <f>C67+1</f>
        <v>7</v>
      </c>
      <c r="E71" t="s">
        <v>1827</v>
      </c>
    </row>
    <row r="72" spans="2:15">
      <c r="E72" t="s">
        <v>874</v>
      </c>
      <c r="F72" t="s">
        <v>493</v>
      </c>
      <c r="G72" t="s">
        <v>921</v>
      </c>
      <c r="H72">
        <v>1.22</v>
      </c>
      <c r="I72" t="s">
        <v>1813</v>
      </c>
      <c r="J72">
        <v>127649.99999999999</v>
      </c>
      <c r="K72">
        <f>H72*J72</f>
        <v>155732.99999999997</v>
      </c>
      <c r="O72">
        <v>136400</v>
      </c>
    </row>
    <row r="73" spans="2:15">
      <c r="E73" t="s">
        <v>874</v>
      </c>
      <c r="F73" t="s">
        <v>1029</v>
      </c>
      <c r="G73" t="s">
        <v>921</v>
      </c>
      <c r="H73">
        <v>0.122</v>
      </c>
      <c r="I73" t="s">
        <v>1813</v>
      </c>
      <c r="J73">
        <v>169050</v>
      </c>
      <c r="K73">
        <f>H73*J73</f>
        <v>20624.099999999999</v>
      </c>
      <c r="O73">
        <v>10120</v>
      </c>
    </row>
    <row r="74" spans="2:15">
      <c r="K74">
        <f>SUM(K72:K73)</f>
        <v>176357.09999999998</v>
      </c>
      <c r="O74">
        <f>SUM(O72:O73)</f>
        <v>146520</v>
      </c>
    </row>
    <row r="75" spans="2:15">
      <c r="B75" t="s">
        <v>1806</v>
      </c>
      <c r="C75">
        <f>C71+1</f>
        <v>8</v>
      </c>
      <c r="E75" t="s">
        <v>1828</v>
      </c>
    </row>
    <row r="76" spans="2:15">
      <c r="E76" t="s">
        <v>874</v>
      </c>
      <c r="F76" t="s">
        <v>493</v>
      </c>
      <c r="G76" t="s">
        <v>921</v>
      </c>
      <c r="H76">
        <v>0.5</v>
      </c>
      <c r="I76" t="s">
        <v>1813</v>
      </c>
      <c r="J76">
        <v>127649.99999999999</v>
      </c>
      <c r="K76">
        <f>H76*J76</f>
        <v>63824.999999999993</v>
      </c>
      <c r="O76">
        <v>22506</v>
      </c>
    </row>
    <row r="77" spans="2:15">
      <c r="E77" t="s">
        <v>874</v>
      </c>
      <c r="F77" t="s">
        <v>1029</v>
      </c>
      <c r="G77" t="s">
        <v>921</v>
      </c>
      <c r="H77">
        <v>0.05</v>
      </c>
      <c r="I77" t="s">
        <v>1813</v>
      </c>
      <c r="J77">
        <v>169050</v>
      </c>
      <c r="K77">
        <f>H77*J77</f>
        <v>8452.5</v>
      </c>
      <c r="O77">
        <v>1012</v>
      </c>
    </row>
    <row r="78" spans="2:15">
      <c r="K78">
        <f>SUM(K76:K77)</f>
        <v>72277.5</v>
      </c>
      <c r="O78">
        <f>SUM(O76:O77)</f>
        <v>23518</v>
      </c>
    </row>
    <row r="79" spans="2:15">
      <c r="B79" t="s">
        <v>1806</v>
      </c>
      <c r="C79">
        <f>C75+1</f>
        <v>9</v>
      </c>
      <c r="E79" t="s">
        <v>1829</v>
      </c>
    </row>
    <row r="80" spans="2:15">
      <c r="E80" t="s">
        <v>93</v>
      </c>
    </row>
    <row r="81" spans="2:15">
      <c r="E81" t="s">
        <v>874</v>
      </c>
      <c r="F81" t="s">
        <v>512</v>
      </c>
      <c r="G81" t="s">
        <v>40</v>
      </c>
      <c r="H81">
        <v>1.2</v>
      </c>
      <c r="I81" t="s">
        <v>40</v>
      </c>
      <c r="J81">
        <v>258749.99999999997</v>
      </c>
      <c r="K81">
        <f>H81*J81</f>
        <v>310499.99999999994</v>
      </c>
      <c r="O81">
        <v>245630</v>
      </c>
    </row>
    <row r="82" spans="2:15" ht="7.5" customHeight="1"/>
    <row r="83" spans="2:15">
      <c r="E83" t="s">
        <v>114</v>
      </c>
    </row>
    <row r="84" spans="2:15">
      <c r="E84" t="s">
        <v>874</v>
      </c>
      <c r="F84" t="s">
        <v>1797</v>
      </c>
      <c r="G84" t="s">
        <v>72</v>
      </c>
      <c r="H84">
        <v>0.1</v>
      </c>
      <c r="J84">
        <v>23287.5</v>
      </c>
      <c r="K84">
        <f>H84*J84</f>
        <v>2328.75</v>
      </c>
      <c r="O84">
        <v>20250</v>
      </c>
    </row>
    <row r="85" spans="2:15" ht="8.25" customHeight="1"/>
    <row r="86" spans="2:15">
      <c r="E86" t="s">
        <v>1812</v>
      </c>
    </row>
    <row r="87" spans="2:15">
      <c r="E87" t="s">
        <v>874</v>
      </c>
      <c r="F87" t="s">
        <v>493</v>
      </c>
      <c r="G87" t="s">
        <v>921</v>
      </c>
      <c r="H87">
        <v>0.5</v>
      </c>
      <c r="I87" t="s">
        <v>1813</v>
      </c>
      <c r="J87">
        <v>127649.99999999999</v>
      </c>
      <c r="K87">
        <f>H87*J87</f>
        <v>63824.999999999993</v>
      </c>
      <c r="O87">
        <v>20460</v>
      </c>
    </row>
    <row r="88" spans="2:15">
      <c r="E88" t="s">
        <v>874</v>
      </c>
      <c r="F88" t="s">
        <v>1029</v>
      </c>
      <c r="G88" t="s">
        <v>921</v>
      </c>
      <c r="H88">
        <v>0.05</v>
      </c>
      <c r="I88" t="s">
        <v>1813</v>
      </c>
      <c r="J88">
        <v>169050</v>
      </c>
      <c r="K88">
        <f>H88*J88</f>
        <v>8452.5</v>
      </c>
      <c r="O88">
        <v>1012</v>
      </c>
    </row>
    <row r="89" spans="2:15">
      <c r="K89">
        <f>SUM(K81:K88)</f>
        <v>385106.24999999994</v>
      </c>
      <c r="O89">
        <f>SUM(O81:O88)</f>
        <v>287352</v>
      </c>
    </row>
    <row r="90" spans="2:15">
      <c r="B90" t="s">
        <v>1806</v>
      </c>
      <c r="C90">
        <f>C79+1</f>
        <v>10</v>
      </c>
      <c r="E90" t="s">
        <v>1830</v>
      </c>
    </row>
    <row r="91" spans="2:15">
      <c r="E91" t="s">
        <v>93</v>
      </c>
    </row>
    <row r="92" spans="2:15">
      <c r="E92" t="s">
        <v>874</v>
      </c>
      <c r="F92" t="s">
        <v>506</v>
      </c>
      <c r="G92" t="s">
        <v>1</v>
      </c>
      <c r="H92">
        <v>230</v>
      </c>
      <c r="I92" t="s">
        <v>1</v>
      </c>
      <c r="J92">
        <v>1570.9</v>
      </c>
      <c r="K92">
        <f>H92*J92</f>
        <v>361307</v>
      </c>
      <c r="O92">
        <v>357500</v>
      </c>
    </row>
    <row r="93" spans="2:15">
      <c r="E93" t="s">
        <v>874</v>
      </c>
      <c r="F93" t="s">
        <v>512</v>
      </c>
      <c r="G93" t="s">
        <v>40</v>
      </c>
      <c r="H93">
        <f>893/1600</f>
        <v>0.55812499999999998</v>
      </c>
      <c r="I93" t="s">
        <v>40</v>
      </c>
      <c r="J93">
        <v>258749.99999999997</v>
      </c>
      <c r="K93">
        <f>H93*J93</f>
        <v>144414.84374999997</v>
      </c>
      <c r="O93">
        <v>111650</v>
      </c>
    </row>
    <row r="94" spans="2:15">
      <c r="E94" t="s">
        <v>874</v>
      </c>
      <c r="F94" t="s">
        <v>1025</v>
      </c>
      <c r="G94" t="s">
        <v>40</v>
      </c>
      <c r="H94">
        <f>1027/1400</f>
        <v>0.73357142857142854</v>
      </c>
      <c r="I94" t="s">
        <v>40</v>
      </c>
      <c r="J94">
        <v>575000</v>
      </c>
      <c r="K94">
        <f>H94*J94</f>
        <v>421803.57142857142</v>
      </c>
      <c r="O94">
        <v>242000</v>
      </c>
    </row>
    <row r="95" spans="2:15">
      <c r="E95" t="s">
        <v>874</v>
      </c>
      <c r="F95" t="s">
        <v>1831</v>
      </c>
      <c r="G95" t="s">
        <v>57</v>
      </c>
      <c r="H95">
        <v>200</v>
      </c>
      <c r="J95">
        <v>30</v>
      </c>
      <c r="K95">
        <f>J95*H95</f>
        <v>6000</v>
      </c>
    </row>
    <row r="97" spans="2:15">
      <c r="E97" t="s">
        <v>1812</v>
      </c>
      <c r="O97">
        <v>83600</v>
      </c>
    </row>
    <row r="98" spans="2:15">
      <c r="E98" t="s">
        <v>874</v>
      </c>
      <c r="F98" t="s">
        <v>723</v>
      </c>
      <c r="G98" t="s">
        <v>921</v>
      </c>
      <c r="H98">
        <v>0.2</v>
      </c>
      <c r="I98" t="s">
        <v>1813</v>
      </c>
      <c r="J98">
        <v>143750</v>
      </c>
      <c r="K98">
        <f>H98*J98</f>
        <v>28750</v>
      </c>
      <c r="O98">
        <v>409200</v>
      </c>
    </row>
    <row r="99" spans="2:15">
      <c r="E99" t="s">
        <v>874</v>
      </c>
      <c r="F99" t="s">
        <v>493</v>
      </c>
      <c r="G99" t="s">
        <v>921</v>
      </c>
      <c r="H99">
        <v>1.2</v>
      </c>
      <c r="I99" t="s">
        <v>1813</v>
      </c>
      <c r="J99">
        <v>127649.99999999999</v>
      </c>
      <c r="K99">
        <f>H99*J99</f>
        <v>153179.99999999997</v>
      </c>
      <c r="O99">
        <v>30360</v>
      </c>
    </row>
    <row r="100" spans="2:15">
      <c r="E100" t="s">
        <v>874</v>
      </c>
      <c r="F100" t="s">
        <v>1056</v>
      </c>
      <c r="G100" t="s">
        <v>921</v>
      </c>
      <c r="H100">
        <v>0.02</v>
      </c>
      <c r="J100">
        <v>255299.99999999997</v>
      </c>
      <c r="K100">
        <f>H100*J100</f>
        <v>5105.9999999999991</v>
      </c>
    </row>
    <row r="101" spans="2:15">
      <c r="E101" t="s">
        <v>874</v>
      </c>
      <c r="F101" t="s">
        <v>1029</v>
      </c>
      <c r="G101" t="s">
        <v>921</v>
      </c>
      <c r="H101">
        <v>0.06</v>
      </c>
      <c r="I101" t="s">
        <v>1813</v>
      </c>
      <c r="J101">
        <v>169050</v>
      </c>
      <c r="K101">
        <f>H101*J101</f>
        <v>10143</v>
      </c>
      <c r="O101">
        <f>SUM(O92:O99)</f>
        <v>1234310</v>
      </c>
    </row>
    <row r="102" spans="2:15">
      <c r="K102">
        <f>SUM(K92:K101)</f>
        <v>1130704.4151785714</v>
      </c>
    </row>
    <row r="103" spans="2:15">
      <c r="B103" t="s">
        <v>1806</v>
      </c>
      <c r="C103">
        <f>C90+1</f>
        <v>11</v>
      </c>
      <c r="E103" t="s">
        <v>1832</v>
      </c>
    </row>
    <row r="104" spans="2:15">
      <c r="E104" t="s">
        <v>93</v>
      </c>
    </row>
    <row r="105" spans="2:15">
      <c r="E105" t="s">
        <v>874</v>
      </c>
      <c r="F105" t="s">
        <v>506</v>
      </c>
      <c r="G105" t="s">
        <v>1</v>
      </c>
      <c r="H105">
        <v>247</v>
      </c>
      <c r="I105" t="s">
        <v>1</v>
      </c>
      <c r="J105">
        <f>J92</f>
        <v>1570.9</v>
      </c>
      <c r="K105">
        <f>H105*J105</f>
        <v>388012.30000000005</v>
      </c>
      <c r="L105">
        <v>247</v>
      </c>
    </row>
    <row r="106" spans="2:15">
      <c r="E106" t="s">
        <v>874</v>
      </c>
      <c r="F106" t="s">
        <v>512</v>
      </c>
      <c r="G106" t="s">
        <v>40</v>
      </c>
      <c r="H106">
        <v>0.621</v>
      </c>
      <c r="I106" t="s">
        <v>40</v>
      </c>
      <c r="J106">
        <v>258749.99999999997</v>
      </c>
      <c r="K106">
        <f>H106*J106</f>
        <v>160683.74999999997</v>
      </c>
      <c r="L106" t="s">
        <v>1833</v>
      </c>
    </row>
    <row r="107" spans="2:15">
      <c r="E107" t="s">
        <v>874</v>
      </c>
      <c r="F107" t="s">
        <v>1025</v>
      </c>
      <c r="G107" t="s">
        <v>40</v>
      </c>
      <c r="H107">
        <v>0.74</v>
      </c>
      <c r="I107" t="s">
        <v>40</v>
      </c>
      <c r="J107">
        <v>575000</v>
      </c>
      <c r="K107">
        <f>H107*J107</f>
        <v>425500</v>
      </c>
      <c r="L107" t="s">
        <v>1834</v>
      </c>
    </row>
    <row r="108" spans="2:15">
      <c r="E108" t="s">
        <v>874</v>
      </c>
      <c r="F108" t="s">
        <v>1831</v>
      </c>
      <c r="G108" t="s">
        <v>57</v>
      </c>
      <c r="H108">
        <v>215</v>
      </c>
      <c r="J108">
        <f>J95</f>
        <v>30</v>
      </c>
      <c r="K108">
        <f>J108*H108</f>
        <v>6450</v>
      </c>
      <c r="L108">
        <v>215</v>
      </c>
    </row>
    <row r="110" spans="2:15">
      <c r="E110" t="s">
        <v>114</v>
      </c>
    </row>
    <row r="111" spans="2:15">
      <c r="E111" t="s">
        <v>874</v>
      </c>
      <c r="F111" t="s">
        <v>1790</v>
      </c>
      <c r="G111" t="s">
        <v>72</v>
      </c>
      <c r="H111">
        <v>0.25</v>
      </c>
      <c r="I111" t="s">
        <v>975</v>
      </c>
      <c r="J111">
        <v>23958.333333333328</v>
      </c>
      <c r="K111">
        <f>H111*J111</f>
        <v>5989.5833333333321</v>
      </c>
      <c r="L111" t="s">
        <v>1835</v>
      </c>
    </row>
    <row r="113" spans="2:13">
      <c r="E113" t="s">
        <v>1812</v>
      </c>
    </row>
    <row r="114" spans="2:13">
      <c r="E114" t="s">
        <v>874</v>
      </c>
      <c r="F114" t="s">
        <v>723</v>
      </c>
      <c r="G114" t="s">
        <v>921</v>
      </c>
      <c r="H114">
        <v>0.189</v>
      </c>
      <c r="I114" t="s">
        <v>1813</v>
      </c>
      <c r="J114">
        <v>143750</v>
      </c>
      <c r="K114">
        <f>H114*J114</f>
        <v>27168.75</v>
      </c>
      <c r="L114" t="s">
        <v>1836</v>
      </c>
    </row>
    <row r="115" spans="2:13">
      <c r="E115" t="s">
        <v>874</v>
      </c>
      <c r="F115" t="s">
        <v>493</v>
      </c>
      <c r="G115" t="s">
        <v>921</v>
      </c>
      <c r="H115">
        <v>1.323</v>
      </c>
      <c r="I115" t="s">
        <v>1813</v>
      </c>
      <c r="J115">
        <v>127649.99999999999</v>
      </c>
      <c r="K115">
        <f>H115*J115</f>
        <v>168880.94999999998</v>
      </c>
      <c r="L115">
        <v>1323</v>
      </c>
    </row>
    <row r="116" spans="2:13">
      <c r="E116" t="s">
        <v>874</v>
      </c>
      <c r="F116" t="s">
        <v>1056</v>
      </c>
      <c r="G116" t="s">
        <v>921</v>
      </c>
      <c r="H116">
        <v>1.9E-2</v>
      </c>
      <c r="J116">
        <v>255299.99999999997</v>
      </c>
      <c r="K116">
        <f>J116*H116</f>
        <v>4850.6999999999989</v>
      </c>
      <c r="L116" t="s">
        <v>1837</v>
      </c>
      <c r="M116">
        <f>J114*1.1</f>
        <v>158125</v>
      </c>
    </row>
    <row r="117" spans="2:13">
      <c r="E117" t="s">
        <v>874</v>
      </c>
      <c r="F117" t="s">
        <v>1029</v>
      </c>
      <c r="G117" t="s">
        <v>921</v>
      </c>
      <c r="H117">
        <v>0.13200000000000001</v>
      </c>
      <c r="I117" t="s">
        <v>1813</v>
      </c>
      <c r="J117">
        <v>169050</v>
      </c>
      <c r="K117">
        <f>J117*H117</f>
        <v>22314.600000000002</v>
      </c>
      <c r="L117" t="s">
        <v>1838</v>
      </c>
    </row>
    <row r="118" spans="2:13">
      <c r="K118">
        <f>SUM(K105:K117)</f>
        <v>1209850.6333333335</v>
      </c>
    </row>
    <row r="119" spans="2:13">
      <c r="B119" t="s">
        <v>1806</v>
      </c>
      <c r="C119">
        <f>C103+1</f>
        <v>12</v>
      </c>
      <c r="E119" t="s">
        <v>1839</v>
      </c>
    </row>
    <row r="120" spans="2:13">
      <c r="E120" t="s">
        <v>93</v>
      </c>
    </row>
    <row r="121" spans="2:13">
      <c r="E121" t="s">
        <v>874</v>
      </c>
      <c r="F121" t="s">
        <v>506</v>
      </c>
      <c r="G121" t="s">
        <v>1</v>
      </c>
      <c r="H121">
        <v>276</v>
      </c>
      <c r="I121" t="s">
        <v>1</v>
      </c>
      <c r="J121">
        <f>J105</f>
        <v>1570.9</v>
      </c>
      <c r="K121">
        <f>H121*J121</f>
        <v>433568.4</v>
      </c>
      <c r="L121">
        <v>276</v>
      </c>
    </row>
    <row r="122" spans="2:13">
      <c r="E122" t="s">
        <v>874</v>
      </c>
      <c r="F122" t="s">
        <v>512</v>
      </c>
      <c r="G122" t="s">
        <v>40</v>
      </c>
      <c r="H122">
        <v>0.51749999999999996</v>
      </c>
      <c r="I122" t="s">
        <v>40</v>
      </c>
      <c r="J122">
        <v>258749.99999999997</v>
      </c>
      <c r="K122">
        <f>H122*J122</f>
        <v>133903.12499999997</v>
      </c>
      <c r="L122">
        <v>828</v>
      </c>
      <c r="M122">
        <f>0.828/1.6</f>
        <v>0.51749999999999996</v>
      </c>
    </row>
    <row r="123" spans="2:13">
      <c r="E123" t="s">
        <v>874</v>
      </c>
      <c r="F123" t="s">
        <v>1025</v>
      </c>
      <c r="G123" t="s">
        <v>40</v>
      </c>
      <c r="H123">
        <v>0.72285699999999997</v>
      </c>
      <c r="I123" t="s">
        <v>40</v>
      </c>
      <c r="J123">
        <v>575000</v>
      </c>
      <c r="K123">
        <f>H123*J123</f>
        <v>415642.77499999997</v>
      </c>
      <c r="L123">
        <v>1012</v>
      </c>
      <c r="M123">
        <f>1.012/1.4</f>
        <v>0.72285714285714286</v>
      </c>
    </row>
    <row r="124" spans="2:13">
      <c r="E124" t="s">
        <v>874</v>
      </c>
      <c r="F124" t="s">
        <v>1831</v>
      </c>
      <c r="G124" t="s">
        <v>57</v>
      </c>
      <c r="H124">
        <v>215</v>
      </c>
      <c r="J124">
        <f>J108</f>
        <v>30</v>
      </c>
      <c r="K124">
        <f>J124*H124</f>
        <v>6450</v>
      </c>
      <c r="L124">
        <v>215</v>
      </c>
    </row>
    <row r="126" spans="2:13">
      <c r="E126" t="s">
        <v>114</v>
      </c>
    </row>
    <row r="127" spans="2:13">
      <c r="E127" t="s">
        <v>874</v>
      </c>
      <c r="F127" t="s">
        <v>1790</v>
      </c>
      <c r="G127" t="s">
        <v>72</v>
      </c>
      <c r="H127">
        <v>0.25</v>
      </c>
      <c r="I127" t="s">
        <v>975</v>
      </c>
      <c r="J127">
        <v>23958.333333333328</v>
      </c>
      <c r="K127">
        <f>H127*J127</f>
        <v>5989.5833333333321</v>
      </c>
      <c r="L127" t="s">
        <v>1835</v>
      </c>
    </row>
    <row r="129" spans="2:13">
      <c r="E129" t="s">
        <v>1812</v>
      </c>
    </row>
    <row r="130" spans="2:13">
      <c r="E130" t="s">
        <v>874</v>
      </c>
      <c r="F130" t="s">
        <v>723</v>
      </c>
      <c r="G130" t="s">
        <v>921</v>
      </c>
      <c r="H130">
        <v>0.189</v>
      </c>
      <c r="I130" t="s">
        <v>1813</v>
      </c>
      <c r="J130">
        <v>143750</v>
      </c>
      <c r="K130">
        <f>H130*J130</f>
        <v>27168.75</v>
      </c>
      <c r="L130" t="s">
        <v>1836</v>
      </c>
    </row>
    <row r="131" spans="2:13">
      <c r="E131" t="s">
        <v>874</v>
      </c>
      <c r="F131" t="s">
        <v>493</v>
      </c>
      <c r="G131" t="s">
        <v>921</v>
      </c>
      <c r="H131">
        <v>1.323</v>
      </c>
      <c r="I131" t="s">
        <v>1813</v>
      </c>
      <c r="J131">
        <v>127649.99999999999</v>
      </c>
      <c r="K131">
        <f>H131*J131</f>
        <v>168880.94999999998</v>
      </c>
      <c r="L131">
        <v>1323</v>
      </c>
    </row>
    <row r="132" spans="2:13">
      <c r="E132" t="s">
        <v>874</v>
      </c>
      <c r="F132" t="s">
        <v>1840</v>
      </c>
      <c r="G132" t="s">
        <v>921</v>
      </c>
      <c r="H132">
        <v>1.9E-2</v>
      </c>
      <c r="J132">
        <v>255299.99999999997</v>
      </c>
      <c r="K132">
        <f>J132*H132</f>
        <v>4850.6999999999989</v>
      </c>
      <c r="L132" t="s">
        <v>1837</v>
      </c>
    </row>
    <row r="133" spans="2:13">
      <c r="E133" t="s">
        <v>874</v>
      </c>
      <c r="F133" t="s">
        <v>1029</v>
      </c>
      <c r="G133" t="s">
        <v>921</v>
      </c>
      <c r="H133">
        <v>0.13200000000000001</v>
      </c>
      <c r="I133" t="s">
        <v>1813</v>
      </c>
      <c r="J133">
        <v>169050</v>
      </c>
      <c r="K133">
        <f>J133*H133</f>
        <v>22314.600000000002</v>
      </c>
      <c r="L133" t="s">
        <v>1838</v>
      </c>
    </row>
    <row r="134" spans="2:13">
      <c r="K134">
        <f>SUM(K121:K133)</f>
        <v>1218768.8833333335</v>
      </c>
    </row>
    <row r="135" spans="2:13">
      <c r="B135" t="s">
        <v>1806</v>
      </c>
      <c r="C135">
        <f>C119+1</f>
        <v>13</v>
      </c>
      <c r="E135" t="s">
        <v>1841</v>
      </c>
    </row>
    <row r="136" spans="2:13">
      <c r="E136" t="s">
        <v>93</v>
      </c>
    </row>
    <row r="137" spans="2:13">
      <c r="E137" t="s">
        <v>874</v>
      </c>
      <c r="F137" t="s">
        <v>506</v>
      </c>
      <c r="G137" t="s">
        <v>1</v>
      </c>
      <c r="H137">
        <v>299</v>
      </c>
      <c r="I137" t="s">
        <v>1</v>
      </c>
      <c r="J137">
        <f>J121</f>
        <v>1570.9</v>
      </c>
      <c r="K137">
        <f>H137*J137</f>
        <v>469699.10000000003</v>
      </c>
      <c r="L137">
        <v>299</v>
      </c>
    </row>
    <row r="138" spans="2:13">
      <c r="E138" t="s">
        <v>874</v>
      </c>
      <c r="F138" t="s">
        <v>512</v>
      </c>
      <c r="G138" t="s">
        <v>40</v>
      </c>
      <c r="H138">
        <v>0.49937500000000001</v>
      </c>
      <c r="I138" t="s">
        <v>40</v>
      </c>
      <c r="J138">
        <v>258749.99999999997</v>
      </c>
      <c r="K138">
        <f>H138*J138</f>
        <v>129213.28124999999</v>
      </c>
      <c r="L138">
        <v>799</v>
      </c>
      <c r="M138">
        <f>0.799/1.6</f>
        <v>0.49937500000000001</v>
      </c>
    </row>
    <row r="139" spans="2:13">
      <c r="E139" t="s">
        <v>874</v>
      </c>
      <c r="F139" t="s">
        <v>1025</v>
      </c>
      <c r="G139" t="s">
        <v>40</v>
      </c>
      <c r="H139">
        <v>0.72642899999999999</v>
      </c>
      <c r="I139" t="s">
        <v>40</v>
      </c>
      <c r="J139">
        <v>575000</v>
      </c>
      <c r="K139">
        <f>H139*J139</f>
        <v>417696.67499999999</v>
      </c>
      <c r="L139">
        <v>1017</v>
      </c>
      <c r="M139">
        <f>1.017/1.4</f>
        <v>0.72642857142857142</v>
      </c>
    </row>
    <row r="140" spans="2:13">
      <c r="E140" t="s">
        <v>874</v>
      </c>
      <c r="F140" t="s">
        <v>1831</v>
      </c>
      <c r="G140" t="s">
        <v>57</v>
      </c>
      <c r="H140">
        <v>215</v>
      </c>
      <c r="J140">
        <f>J124</f>
        <v>30</v>
      </c>
      <c r="K140">
        <f>J140*H140</f>
        <v>6450</v>
      </c>
      <c r="L140">
        <v>215</v>
      </c>
    </row>
    <row r="142" spans="2:13">
      <c r="E142" t="s">
        <v>114</v>
      </c>
    </row>
    <row r="143" spans="2:13">
      <c r="E143" t="s">
        <v>874</v>
      </c>
      <c r="F143" t="s">
        <v>1790</v>
      </c>
      <c r="G143" t="s">
        <v>72</v>
      </c>
      <c r="H143">
        <v>0.25</v>
      </c>
      <c r="I143" t="s">
        <v>975</v>
      </c>
      <c r="J143">
        <v>23958.333333333328</v>
      </c>
      <c r="K143">
        <f>H143*J143</f>
        <v>5989.5833333333321</v>
      </c>
      <c r="L143" t="s">
        <v>1835</v>
      </c>
    </row>
    <row r="145" spans="2:15">
      <c r="E145" t="s">
        <v>1812</v>
      </c>
    </row>
    <row r="146" spans="2:15">
      <c r="E146" t="s">
        <v>874</v>
      </c>
      <c r="F146" t="s">
        <v>723</v>
      </c>
      <c r="G146" t="s">
        <v>921</v>
      </c>
      <c r="H146">
        <v>0.189</v>
      </c>
      <c r="I146" t="s">
        <v>1813</v>
      </c>
      <c r="J146">
        <v>143750</v>
      </c>
      <c r="K146">
        <f>H146*J146</f>
        <v>27168.75</v>
      </c>
      <c r="L146" t="s">
        <v>1836</v>
      </c>
    </row>
    <row r="147" spans="2:15">
      <c r="E147" t="s">
        <v>874</v>
      </c>
      <c r="F147" t="s">
        <v>493</v>
      </c>
      <c r="G147" t="s">
        <v>921</v>
      </c>
      <c r="H147">
        <v>1.323</v>
      </c>
      <c r="I147" t="s">
        <v>1813</v>
      </c>
      <c r="J147">
        <v>127649.99999999999</v>
      </c>
      <c r="K147">
        <f>H147*J147</f>
        <v>168880.94999999998</v>
      </c>
      <c r="L147">
        <v>1323</v>
      </c>
    </row>
    <row r="148" spans="2:15">
      <c r="E148" t="s">
        <v>874</v>
      </c>
      <c r="F148" t="s">
        <v>1840</v>
      </c>
      <c r="G148" t="s">
        <v>921</v>
      </c>
      <c r="H148">
        <v>1.9E-2</v>
      </c>
      <c r="J148">
        <v>255299.99999999997</v>
      </c>
      <c r="K148">
        <f>J148*H148</f>
        <v>4850.6999999999989</v>
      </c>
      <c r="L148" t="s">
        <v>1837</v>
      </c>
    </row>
    <row r="149" spans="2:15">
      <c r="E149" t="s">
        <v>874</v>
      </c>
      <c r="F149" t="s">
        <v>1029</v>
      </c>
      <c r="G149" t="s">
        <v>921</v>
      </c>
      <c r="H149">
        <v>0.13200000000000001</v>
      </c>
      <c r="I149" t="s">
        <v>1813</v>
      </c>
      <c r="J149">
        <v>169050</v>
      </c>
      <c r="K149">
        <f>J149*H149</f>
        <v>22314.600000000002</v>
      </c>
      <c r="L149" t="s">
        <v>1838</v>
      </c>
    </row>
    <row r="150" spans="2:15">
      <c r="K150">
        <f>SUM(K137:K149)</f>
        <v>1252263.6395833334</v>
      </c>
    </row>
    <row r="151" spans="2:15">
      <c r="B151" t="s">
        <v>1806</v>
      </c>
      <c r="C151">
        <f>C135+1</f>
        <v>14</v>
      </c>
      <c r="E151" t="s">
        <v>1842</v>
      </c>
    </row>
    <row r="152" spans="2:15">
      <c r="E152" t="s">
        <v>93</v>
      </c>
      <c r="O152">
        <v>486200</v>
      </c>
    </row>
    <row r="153" spans="2:15">
      <c r="E153" t="s">
        <v>874</v>
      </c>
      <c r="F153" t="s">
        <v>506</v>
      </c>
      <c r="G153" t="s">
        <v>1</v>
      </c>
      <c r="H153">
        <v>326</v>
      </c>
      <c r="I153" t="s">
        <v>1</v>
      </c>
      <c r="J153">
        <f>J137</f>
        <v>1570.9</v>
      </c>
      <c r="K153">
        <f>H153*J153</f>
        <v>512113.4</v>
      </c>
      <c r="L153">
        <v>326</v>
      </c>
      <c r="O153">
        <v>120582</v>
      </c>
    </row>
    <row r="154" spans="2:15">
      <c r="E154" t="s">
        <v>874</v>
      </c>
      <c r="F154" t="s">
        <v>512</v>
      </c>
      <c r="G154" t="s">
        <v>40</v>
      </c>
      <c r="H154">
        <v>0.47499999999999998</v>
      </c>
      <c r="I154" t="s">
        <v>40</v>
      </c>
      <c r="J154">
        <v>258749.99999999997</v>
      </c>
      <c r="K154">
        <f>H154*J154</f>
        <v>122906.24999999999</v>
      </c>
      <c r="L154">
        <v>760</v>
      </c>
      <c r="M154">
        <f>0.76/1.6</f>
        <v>0.47499999999999998</v>
      </c>
      <c r="O154">
        <v>206184</v>
      </c>
    </row>
    <row r="155" spans="2:15">
      <c r="E155" t="s">
        <v>874</v>
      </c>
      <c r="F155" t="s">
        <v>1025</v>
      </c>
      <c r="G155" t="s">
        <v>40</v>
      </c>
      <c r="H155">
        <v>0.73499999999999999</v>
      </c>
      <c r="I155" t="s">
        <v>40</v>
      </c>
      <c r="J155">
        <v>575000</v>
      </c>
      <c r="K155">
        <f>H155*J155</f>
        <v>422625</v>
      </c>
      <c r="L155">
        <v>1029</v>
      </c>
      <c r="M155">
        <f>1.029/1.4</f>
        <v>0.73499999999999999</v>
      </c>
    </row>
    <row r="156" spans="2:15">
      <c r="E156" t="s">
        <v>874</v>
      </c>
      <c r="F156" t="s">
        <v>1831</v>
      </c>
      <c r="G156" t="s">
        <v>57</v>
      </c>
      <c r="H156">
        <v>215</v>
      </c>
      <c r="J156">
        <f>J140</f>
        <v>30</v>
      </c>
      <c r="K156">
        <f>J156*H156</f>
        <v>6450</v>
      </c>
      <c r="L156">
        <v>215</v>
      </c>
    </row>
    <row r="158" spans="2:15">
      <c r="E158" t="s">
        <v>114</v>
      </c>
      <c r="O158">
        <v>24750</v>
      </c>
    </row>
    <row r="159" spans="2:15">
      <c r="E159" t="s">
        <v>874</v>
      </c>
      <c r="F159" t="s">
        <v>1790</v>
      </c>
      <c r="G159" t="s">
        <v>72</v>
      </c>
      <c r="H159">
        <v>0.25</v>
      </c>
      <c r="I159" t="s">
        <v>975</v>
      </c>
      <c r="J159">
        <v>23958.333333333328</v>
      </c>
      <c r="K159">
        <f>H159*J159</f>
        <v>5989.5833333333321</v>
      </c>
      <c r="L159">
        <v>0.25</v>
      </c>
      <c r="O159">
        <v>18000</v>
      </c>
    </row>
    <row r="161" spans="2:15">
      <c r="E161" t="s">
        <v>1812</v>
      </c>
      <c r="O161">
        <v>83600</v>
      </c>
    </row>
    <row r="162" spans="2:15">
      <c r="E162" t="s">
        <v>874</v>
      </c>
      <c r="F162" t="s">
        <v>723</v>
      </c>
      <c r="G162" t="s">
        <v>921</v>
      </c>
      <c r="H162">
        <v>0.189</v>
      </c>
      <c r="I162" t="s">
        <v>1813</v>
      </c>
      <c r="J162">
        <v>143750</v>
      </c>
      <c r="K162">
        <f>H162*J162</f>
        <v>27168.75</v>
      </c>
      <c r="L162" t="s">
        <v>1836</v>
      </c>
      <c r="O162">
        <v>409200</v>
      </c>
    </row>
    <row r="163" spans="2:15">
      <c r="E163" t="s">
        <v>874</v>
      </c>
      <c r="F163" t="s">
        <v>493</v>
      </c>
      <c r="G163" t="s">
        <v>921</v>
      </c>
      <c r="H163">
        <v>1.323</v>
      </c>
      <c r="I163" t="s">
        <v>1813</v>
      </c>
      <c r="J163">
        <v>127649.99999999999</v>
      </c>
      <c r="K163">
        <f>H163*J163</f>
        <v>168880.94999999998</v>
      </c>
      <c r="L163">
        <v>1323</v>
      </c>
      <c r="O163">
        <v>30360</v>
      </c>
    </row>
    <row r="164" spans="2:15">
      <c r="E164" t="s">
        <v>874</v>
      </c>
      <c r="F164" t="s">
        <v>1840</v>
      </c>
      <c r="G164" t="s">
        <v>921</v>
      </c>
      <c r="H164">
        <v>1.9E-2</v>
      </c>
      <c r="J164">
        <v>255299.99999999997</v>
      </c>
      <c r="K164">
        <f>J164*H164</f>
        <v>4850.6999999999989</v>
      </c>
      <c r="L164" t="s">
        <v>1837</v>
      </c>
    </row>
    <row r="165" spans="2:15">
      <c r="E165" t="s">
        <v>874</v>
      </c>
      <c r="F165" t="s">
        <v>1029</v>
      </c>
      <c r="G165" t="s">
        <v>921</v>
      </c>
      <c r="H165">
        <v>0.13200000000000001</v>
      </c>
      <c r="I165" t="s">
        <v>1813</v>
      </c>
      <c r="J165">
        <v>169050</v>
      </c>
      <c r="K165">
        <f>J165*H165</f>
        <v>22314.600000000002</v>
      </c>
      <c r="L165" t="s">
        <v>1838</v>
      </c>
      <c r="O165">
        <f>SUM(O152:O163)</f>
        <v>1378876</v>
      </c>
    </row>
    <row r="166" spans="2:15">
      <c r="K166">
        <f>SUM(K153:K165)</f>
        <v>1293299.2333333332</v>
      </c>
    </row>
    <row r="167" spans="2:15">
      <c r="B167" t="s">
        <v>1806</v>
      </c>
      <c r="C167">
        <f>C151+1</f>
        <v>15</v>
      </c>
      <c r="E167" t="s">
        <v>1843</v>
      </c>
    </row>
    <row r="168" spans="2:15">
      <c r="E168" t="s">
        <v>93</v>
      </c>
    </row>
    <row r="169" spans="2:15">
      <c r="E169" t="s">
        <v>874</v>
      </c>
      <c r="F169" t="s">
        <v>506</v>
      </c>
      <c r="G169" t="s">
        <v>1</v>
      </c>
      <c r="H169">
        <v>352</v>
      </c>
      <c r="I169" t="s">
        <v>1</v>
      </c>
      <c r="J169">
        <f>J153</f>
        <v>1570.9</v>
      </c>
      <c r="K169">
        <f>H169*J169</f>
        <v>552956.80000000005</v>
      </c>
      <c r="L169">
        <v>352</v>
      </c>
    </row>
    <row r="170" spans="2:15">
      <c r="E170" t="s">
        <v>874</v>
      </c>
      <c r="F170" t="s">
        <v>512</v>
      </c>
      <c r="G170" t="s">
        <v>40</v>
      </c>
      <c r="H170">
        <f>0.731/1.6</f>
        <v>0.45687499999999998</v>
      </c>
      <c r="I170" t="s">
        <v>40</v>
      </c>
      <c r="J170">
        <v>258749.99999999997</v>
      </c>
      <c r="K170">
        <f>H170*J170</f>
        <v>118216.40624999999</v>
      </c>
      <c r="L170">
        <v>731</v>
      </c>
    </row>
    <row r="171" spans="2:15">
      <c r="E171" t="s">
        <v>874</v>
      </c>
      <c r="F171" t="s">
        <v>1025</v>
      </c>
      <c r="G171" t="s">
        <v>40</v>
      </c>
      <c r="H171">
        <f>1.031/1.4</f>
        <v>0.73642857142857143</v>
      </c>
      <c r="I171" t="s">
        <v>40</v>
      </c>
      <c r="J171">
        <v>575000</v>
      </c>
      <c r="K171">
        <f>H171*J171</f>
        <v>423446.42857142858</v>
      </c>
      <c r="L171">
        <v>1031</v>
      </c>
    </row>
    <row r="172" spans="2:15">
      <c r="E172" t="s">
        <v>874</v>
      </c>
      <c r="F172" t="s">
        <v>1831</v>
      </c>
      <c r="G172" t="s">
        <v>57</v>
      </c>
      <c r="H172">
        <v>215</v>
      </c>
      <c r="J172">
        <f>J156</f>
        <v>30</v>
      </c>
      <c r="K172">
        <f>J172*H172</f>
        <v>6450</v>
      </c>
      <c r="L172">
        <v>215</v>
      </c>
    </row>
    <row r="174" spans="2:15">
      <c r="E174" t="s">
        <v>114</v>
      </c>
    </row>
    <row r="175" spans="2:15">
      <c r="E175" t="s">
        <v>874</v>
      </c>
      <c r="F175" t="s">
        <v>1790</v>
      </c>
      <c r="G175" t="s">
        <v>72</v>
      </c>
      <c r="H175">
        <v>0.25</v>
      </c>
      <c r="I175" t="s">
        <v>975</v>
      </c>
      <c r="J175">
        <v>23958.333333333328</v>
      </c>
      <c r="K175">
        <f>H175*J175</f>
        <v>5989.5833333333321</v>
      </c>
      <c r="L175" t="s">
        <v>1835</v>
      </c>
    </row>
    <row r="177" spans="2:12">
      <c r="E177" t="s">
        <v>1812</v>
      </c>
    </row>
    <row r="178" spans="2:12">
      <c r="E178" t="s">
        <v>874</v>
      </c>
      <c r="F178" t="s">
        <v>723</v>
      </c>
      <c r="G178" t="s">
        <v>921</v>
      </c>
      <c r="H178">
        <v>0.189</v>
      </c>
      <c r="I178" t="s">
        <v>1813</v>
      </c>
      <c r="J178">
        <v>143750</v>
      </c>
      <c r="K178">
        <f>H178*J178</f>
        <v>27168.75</v>
      </c>
      <c r="L178" t="s">
        <v>1836</v>
      </c>
    </row>
    <row r="179" spans="2:12">
      <c r="E179" t="s">
        <v>874</v>
      </c>
      <c r="F179" t="s">
        <v>493</v>
      </c>
      <c r="G179" t="s">
        <v>921</v>
      </c>
      <c r="H179">
        <v>1.323</v>
      </c>
      <c r="I179" t="s">
        <v>1813</v>
      </c>
      <c r="J179">
        <v>127649.99999999999</v>
      </c>
      <c r="K179">
        <f>H179*J179</f>
        <v>168880.94999999998</v>
      </c>
      <c r="L179">
        <v>1323</v>
      </c>
    </row>
    <row r="180" spans="2:12">
      <c r="E180" t="s">
        <v>874</v>
      </c>
      <c r="F180" t="s">
        <v>1840</v>
      </c>
      <c r="G180" t="s">
        <v>921</v>
      </c>
      <c r="H180">
        <v>1.9E-2</v>
      </c>
      <c r="J180">
        <v>255299.99999999997</v>
      </c>
      <c r="K180">
        <f>H180*J180</f>
        <v>4850.6999999999989</v>
      </c>
      <c r="L180" t="s">
        <v>1837</v>
      </c>
    </row>
    <row r="181" spans="2:12">
      <c r="E181" t="s">
        <v>874</v>
      </c>
      <c r="F181" t="s">
        <v>1029</v>
      </c>
      <c r="G181" t="s">
        <v>921</v>
      </c>
      <c r="H181">
        <v>0.13200000000000001</v>
      </c>
      <c r="I181" t="s">
        <v>1813</v>
      </c>
      <c r="J181">
        <v>169050</v>
      </c>
      <c r="K181">
        <f>H181*J181</f>
        <v>22314.600000000002</v>
      </c>
      <c r="L181" t="s">
        <v>1838</v>
      </c>
    </row>
    <row r="182" spans="2:12">
      <c r="K182">
        <f>SUM(K169:K181)</f>
        <v>1330274.2181547619</v>
      </c>
    </row>
    <row r="183" spans="2:12">
      <c r="B183" t="s">
        <v>1806</v>
      </c>
      <c r="C183">
        <f>C167+1</f>
        <v>16</v>
      </c>
      <c r="E183" t="s">
        <v>1844</v>
      </c>
    </row>
    <row r="184" spans="2:12">
      <c r="E184" t="s">
        <v>93</v>
      </c>
    </row>
    <row r="185" spans="2:12">
      <c r="E185" t="s">
        <v>874</v>
      </c>
      <c r="F185" t="s">
        <v>506</v>
      </c>
      <c r="G185" t="s">
        <v>1</v>
      </c>
      <c r="H185">
        <v>371</v>
      </c>
      <c r="I185" t="s">
        <v>1</v>
      </c>
      <c r="J185">
        <f>J169</f>
        <v>1570.9</v>
      </c>
      <c r="K185">
        <f>H185*J185</f>
        <v>582803.9</v>
      </c>
      <c r="L185">
        <v>371</v>
      </c>
    </row>
    <row r="186" spans="2:12">
      <c r="E186" t="s">
        <v>874</v>
      </c>
      <c r="F186" t="s">
        <v>512</v>
      </c>
      <c r="G186" t="s">
        <v>40</v>
      </c>
      <c r="H186">
        <f>0.698/1.6</f>
        <v>0.43624999999999997</v>
      </c>
      <c r="I186" t="s">
        <v>40</v>
      </c>
      <c r="J186">
        <v>258749.99999999997</v>
      </c>
      <c r="K186">
        <f>H186*J186</f>
        <v>112879.68749999999</v>
      </c>
      <c r="L186">
        <v>698</v>
      </c>
    </row>
    <row r="187" spans="2:12">
      <c r="E187" t="s">
        <v>874</v>
      </c>
      <c r="F187" t="s">
        <v>1025</v>
      </c>
      <c r="G187" t="s">
        <v>40</v>
      </c>
      <c r="H187">
        <f>1.047/1.4</f>
        <v>0.74785714285714289</v>
      </c>
      <c r="I187" t="s">
        <v>40</v>
      </c>
      <c r="J187">
        <v>575000</v>
      </c>
      <c r="K187">
        <f>H187*J187</f>
        <v>430017.85714285716</v>
      </c>
      <c r="L187">
        <v>1047</v>
      </c>
    </row>
    <row r="188" spans="2:12">
      <c r="E188" t="s">
        <v>874</v>
      </c>
      <c r="F188" t="s">
        <v>1831</v>
      </c>
      <c r="G188" t="s">
        <v>57</v>
      </c>
      <c r="H188">
        <v>215</v>
      </c>
      <c r="J188">
        <f>J172</f>
        <v>30</v>
      </c>
      <c r="K188">
        <f>J188*H188</f>
        <v>6450</v>
      </c>
      <c r="L188">
        <v>215</v>
      </c>
    </row>
    <row r="190" spans="2:12">
      <c r="E190" t="s">
        <v>114</v>
      </c>
    </row>
    <row r="191" spans="2:12">
      <c r="E191" t="s">
        <v>874</v>
      </c>
      <c r="F191" t="s">
        <v>1790</v>
      </c>
      <c r="G191" t="s">
        <v>72</v>
      </c>
      <c r="H191">
        <v>0.25</v>
      </c>
      <c r="I191" t="s">
        <v>975</v>
      </c>
      <c r="J191">
        <v>23958.333333333328</v>
      </c>
      <c r="K191">
        <f>H191*J191</f>
        <v>5989.5833333333321</v>
      </c>
      <c r="L191" t="s">
        <v>1835</v>
      </c>
    </row>
    <row r="193" spans="2:12">
      <c r="E193" t="s">
        <v>1812</v>
      </c>
    </row>
    <row r="194" spans="2:12">
      <c r="E194" t="s">
        <v>874</v>
      </c>
      <c r="F194" t="s">
        <v>723</v>
      </c>
      <c r="G194" t="s">
        <v>921</v>
      </c>
      <c r="H194">
        <v>0.189</v>
      </c>
      <c r="I194" t="s">
        <v>1813</v>
      </c>
      <c r="J194">
        <v>143750</v>
      </c>
      <c r="K194">
        <f>H194*J194</f>
        <v>27168.75</v>
      </c>
      <c r="L194" t="s">
        <v>1836</v>
      </c>
    </row>
    <row r="195" spans="2:12">
      <c r="E195" t="s">
        <v>874</v>
      </c>
      <c r="F195" t="s">
        <v>493</v>
      </c>
      <c r="G195" t="s">
        <v>921</v>
      </c>
      <c r="H195">
        <v>1.323</v>
      </c>
      <c r="I195" t="s">
        <v>1813</v>
      </c>
      <c r="J195">
        <v>127649.99999999999</v>
      </c>
      <c r="K195">
        <f>H195*J195</f>
        <v>168880.94999999998</v>
      </c>
      <c r="L195">
        <v>1323</v>
      </c>
    </row>
    <row r="196" spans="2:12">
      <c r="E196" t="s">
        <v>874</v>
      </c>
      <c r="F196" t="s">
        <v>1840</v>
      </c>
      <c r="G196" t="s">
        <v>921</v>
      </c>
      <c r="H196">
        <v>1.9E-2</v>
      </c>
      <c r="J196">
        <v>255299.99999999997</v>
      </c>
      <c r="K196">
        <f>H196*J196</f>
        <v>4850.6999999999989</v>
      </c>
      <c r="L196" t="s">
        <v>1837</v>
      </c>
    </row>
    <row r="197" spans="2:12">
      <c r="E197" t="s">
        <v>874</v>
      </c>
      <c r="F197" t="s">
        <v>1029</v>
      </c>
      <c r="G197" t="s">
        <v>921</v>
      </c>
      <c r="H197">
        <v>0.13200000000000001</v>
      </c>
      <c r="I197" t="s">
        <v>1813</v>
      </c>
      <c r="J197">
        <v>169050</v>
      </c>
      <c r="K197">
        <f>H197*J197</f>
        <v>22314.600000000002</v>
      </c>
      <c r="L197" t="s">
        <v>1838</v>
      </c>
    </row>
    <row r="198" spans="2:12">
      <c r="K198">
        <f>SUM(K185:K197)</f>
        <v>1361356.0279761904</v>
      </c>
    </row>
    <row r="199" spans="2:12">
      <c r="B199" t="s">
        <v>1806</v>
      </c>
      <c r="C199">
        <f>C183+1</f>
        <v>17</v>
      </c>
      <c r="E199" t="s">
        <v>1845</v>
      </c>
    </row>
    <row r="200" spans="2:12">
      <c r="E200" t="s">
        <v>93</v>
      </c>
    </row>
    <row r="201" spans="2:12">
      <c r="E201" t="s">
        <v>874</v>
      </c>
      <c r="F201" t="s">
        <v>506</v>
      </c>
      <c r="G201" t="s">
        <v>1</v>
      </c>
      <c r="H201">
        <v>384</v>
      </c>
      <c r="I201" t="s">
        <v>1</v>
      </c>
      <c r="J201">
        <f>J185</f>
        <v>1570.9</v>
      </c>
      <c r="K201">
        <f>H201*J201</f>
        <v>603225.60000000009</v>
      </c>
      <c r="L201">
        <v>384</v>
      </c>
    </row>
    <row r="202" spans="2:12">
      <c r="E202" t="s">
        <v>874</v>
      </c>
      <c r="F202" t="s">
        <v>512</v>
      </c>
      <c r="G202" t="s">
        <v>40</v>
      </c>
      <c r="H202">
        <f>0.692/1.6</f>
        <v>0.43249999999999994</v>
      </c>
      <c r="I202" t="s">
        <v>40</v>
      </c>
      <c r="J202">
        <v>258749.99999999997</v>
      </c>
      <c r="K202">
        <f>H202*J202</f>
        <v>111909.37499999997</v>
      </c>
      <c r="L202">
        <v>692</v>
      </c>
    </row>
    <row r="203" spans="2:12">
      <c r="E203" t="s">
        <v>874</v>
      </c>
      <c r="F203" t="s">
        <v>1025</v>
      </c>
      <c r="G203" t="s">
        <v>40</v>
      </c>
      <c r="H203">
        <f>1.039/1.4</f>
        <v>0.7421428571428571</v>
      </c>
      <c r="I203" t="s">
        <v>40</v>
      </c>
      <c r="J203">
        <v>575000</v>
      </c>
      <c r="K203">
        <f>H203*J203</f>
        <v>426732.14285714284</v>
      </c>
      <c r="L203">
        <v>1039</v>
      </c>
    </row>
    <row r="204" spans="2:12">
      <c r="E204" t="s">
        <v>874</v>
      </c>
      <c r="F204" t="s">
        <v>1831</v>
      </c>
      <c r="G204" t="s">
        <v>57</v>
      </c>
      <c r="H204">
        <v>215</v>
      </c>
      <c r="J204">
        <f>J188</f>
        <v>30</v>
      </c>
      <c r="K204">
        <f>J204*H204</f>
        <v>6450</v>
      </c>
      <c r="L204">
        <v>215</v>
      </c>
    </row>
    <row r="206" spans="2:12">
      <c r="E206" t="s">
        <v>114</v>
      </c>
    </row>
    <row r="207" spans="2:12">
      <c r="E207" t="s">
        <v>874</v>
      </c>
      <c r="F207" t="s">
        <v>1790</v>
      </c>
      <c r="G207" t="s">
        <v>72</v>
      </c>
      <c r="H207">
        <v>0.25</v>
      </c>
      <c r="I207" t="s">
        <v>975</v>
      </c>
      <c r="J207">
        <v>23958.333333333328</v>
      </c>
      <c r="K207">
        <f>H207*J207</f>
        <v>5989.5833333333321</v>
      </c>
      <c r="L207" t="s">
        <v>1835</v>
      </c>
    </row>
    <row r="209" spans="2:12">
      <c r="E209" t="s">
        <v>1812</v>
      </c>
    </row>
    <row r="210" spans="2:12">
      <c r="E210" t="s">
        <v>874</v>
      </c>
      <c r="F210" t="s">
        <v>723</v>
      </c>
      <c r="G210" t="s">
        <v>921</v>
      </c>
      <c r="H210">
        <v>0.189</v>
      </c>
      <c r="I210" t="s">
        <v>1813</v>
      </c>
      <c r="J210">
        <v>143750</v>
      </c>
      <c r="K210">
        <f>H210*J210</f>
        <v>27168.75</v>
      </c>
      <c r="L210" t="s">
        <v>1836</v>
      </c>
    </row>
    <row r="211" spans="2:12">
      <c r="E211" t="s">
        <v>874</v>
      </c>
      <c r="F211" t="s">
        <v>493</v>
      </c>
      <c r="G211" t="s">
        <v>921</v>
      </c>
      <c r="H211">
        <v>1.323</v>
      </c>
      <c r="I211" t="s">
        <v>1813</v>
      </c>
      <c r="J211">
        <v>127649.99999999999</v>
      </c>
      <c r="K211">
        <f>H211*J211</f>
        <v>168880.94999999998</v>
      </c>
      <c r="L211">
        <v>1323</v>
      </c>
    </row>
    <row r="212" spans="2:12">
      <c r="E212" t="s">
        <v>874</v>
      </c>
      <c r="F212" t="s">
        <v>1840</v>
      </c>
      <c r="G212" t="s">
        <v>921</v>
      </c>
      <c r="H212">
        <v>1.9E-2</v>
      </c>
      <c r="J212">
        <v>255299.99999999997</v>
      </c>
      <c r="K212">
        <f>H212*J212</f>
        <v>4850.6999999999989</v>
      </c>
      <c r="L212" t="s">
        <v>1837</v>
      </c>
    </row>
    <row r="213" spans="2:12">
      <c r="E213" t="s">
        <v>874</v>
      </c>
      <c r="F213" t="s">
        <v>1029</v>
      </c>
      <c r="G213" t="s">
        <v>921</v>
      </c>
      <c r="H213">
        <v>0.13200000000000001</v>
      </c>
      <c r="I213" t="s">
        <v>1813</v>
      </c>
      <c r="J213">
        <v>169050</v>
      </c>
      <c r="K213">
        <f>H213*J213</f>
        <v>22314.600000000002</v>
      </c>
      <c r="L213" t="s">
        <v>1838</v>
      </c>
    </row>
    <row r="214" spans="2:12">
      <c r="K214">
        <f>SUM(K201:K213)</f>
        <v>1377521.7011904761</v>
      </c>
    </row>
    <row r="215" spans="2:12">
      <c r="B215" t="s">
        <v>1806</v>
      </c>
      <c r="C215">
        <f>C199+1</f>
        <v>18</v>
      </c>
      <c r="E215" t="s">
        <v>1846</v>
      </c>
    </row>
    <row r="216" spans="2:12">
      <c r="E216" t="s">
        <v>93</v>
      </c>
    </row>
    <row r="217" spans="2:12">
      <c r="E217" t="s">
        <v>874</v>
      </c>
      <c r="F217" t="s">
        <v>1847</v>
      </c>
      <c r="G217" t="s">
        <v>1</v>
      </c>
      <c r="H217">
        <f>L217</f>
        <v>406</v>
      </c>
      <c r="J217">
        <f>J201</f>
        <v>1570.9</v>
      </c>
      <c r="K217">
        <f>H217*J217</f>
        <v>637785.4</v>
      </c>
      <c r="L217">
        <v>406</v>
      </c>
    </row>
    <row r="218" spans="2:12">
      <c r="E218" t="s">
        <v>874</v>
      </c>
      <c r="F218" t="s">
        <v>512</v>
      </c>
      <c r="G218" t="s">
        <v>40</v>
      </c>
      <c r="H218">
        <f>0.684/1.6</f>
        <v>0.42749999999999999</v>
      </c>
      <c r="J218">
        <v>258749.99999999997</v>
      </c>
      <c r="K218">
        <f>H218*J218</f>
        <v>110615.62499999999</v>
      </c>
      <c r="L218">
        <v>684</v>
      </c>
    </row>
    <row r="219" spans="2:12">
      <c r="E219" t="s">
        <v>874</v>
      </c>
      <c r="F219" t="s">
        <v>1025</v>
      </c>
      <c r="G219" t="s">
        <v>40</v>
      </c>
      <c r="H219">
        <f>1.026/1.4</f>
        <v>0.73285714285714287</v>
      </c>
      <c r="J219">
        <v>575000</v>
      </c>
      <c r="K219">
        <f>H219*J219</f>
        <v>421392.85714285716</v>
      </c>
      <c r="L219">
        <v>1026</v>
      </c>
    </row>
    <row r="220" spans="2:12">
      <c r="E220" t="s">
        <v>874</v>
      </c>
      <c r="F220" t="s">
        <v>1831</v>
      </c>
      <c r="G220" t="s">
        <v>57</v>
      </c>
      <c r="H220">
        <v>215</v>
      </c>
      <c r="J220">
        <f>J204</f>
        <v>30</v>
      </c>
      <c r="K220">
        <f>J220*H220</f>
        <v>6450</v>
      </c>
      <c r="L220">
        <v>215</v>
      </c>
    </row>
    <row r="222" spans="2:12">
      <c r="E222" t="s">
        <v>114</v>
      </c>
    </row>
    <row r="223" spans="2:12">
      <c r="E223" t="s">
        <v>874</v>
      </c>
      <c r="F223" t="s">
        <v>1848</v>
      </c>
      <c r="G223" t="s">
        <v>72</v>
      </c>
      <c r="H223">
        <f>L223</f>
        <v>0.25</v>
      </c>
      <c r="J223">
        <v>23958.333333333328</v>
      </c>
      <c r="K223">
        <f>H223*J223</f>
        <v>5989.5833333333321</v>
      </c>
      <c r="L223">
        <v>0.25</v>
      </c>
    </row>
    <row r="225" spans="2:13">
      <c r="E225" t="s">
        <v>1812</v>
      </c>
    </row>
    <row r="226" spans="2:13">
      <c r="E226" t="s">
        <v>874</v>
      </c>
      <c r="F226" t="s">
        <v>723</v>
      </c>
      <c r="G226" t="s">
        <v>921</v>
      </c>
      <c r="H226">
        <f>L226</f>
        <v>0.189</v>
      </c>
      <c r="J226">
        <v>143750</v>
      </c>
      <c r="K226">
        <f>H226*J226</f>
        <v>27168.75</v>
      </c>
      <c r="L226">
        <v>0.189</v>
      </c>
    </row>
    <row r="227" spans="2:13">
      <c r="E227" t="s">
        <v>874</v>
      </c>
      <c r="F227" t="s">
        <v>493</v>
      </c>
      <c r="G227" t="s">
        <v>921</v>
      </c>
      <c r="H227">
        <f>L227</f>
        <v>1.323</v>
      </c>
      <c r="J227">
        <v>127649.99999999999</v>
      </c>
      <c r="K227">
        <f>H227*J227</f>
        <v>168880.94999999998</v>
      </c>
      <c r="L227">
        <v>1.323</v>
      </c>
    </row>
    <row r="228" spans="2:13">
      <c r="E228" t="s">
        <v>874</v>
      </c>
      <c r="F228" t="s">
        <v>1840</v>
      </c>
      <c r="G228" t="s">
        <v>921</v>
      </c>
      <c r="H228">
        <f>L228</f>
        <v>1.9E-2</v>
      </c>
      <c r="J228">
        <v>255299.99999999997</v>
      </c>
      <c r="K228">
        <f>H228*J228</f>
        <v>4850.6999999999989</v>
      </c>
      <c r="L228">
        <v>1.9E-2</v>
      </c>
    </row>
    <row r="229" spans="2:13">
      <c r="E229" t="s">
        <v>874</v>
      </c>
      <c r="F229" t="s">
        <v>1029</v>
      </c>
      <c r="G229" t="s">
        <v>921</v>
      </c>
      <c r="H229">
        <f>L229</f>
        <v>0.13200000000000001</v>
      </c>
      <c r="J229">
        <v>169050</v>
      </c>
      <c r="K229">
        <f>J229*H229</f>
        <v>22314.600000000002</v>
      </c>
      <c r="L229">
        <v>0.13200000000000001</v>
      </c>
    </row>
    <row r="230" spans="2:13">
      <c r="K230">
        <f>SUM(K217:K229)</f>
        <v>1405448.4654761904</v>
      </c>
    </row>
    <row r="231" spans="2:13">
      <c r="B231" t="s">
        <v>1806</v>
      </c>
      <c r="C231">
        <f>C215+1</f>
        <v>19</v>
      </c>
      <c r="E231" t="s">
        <v>1849</v>
      </c>
    </row>
    <row r="232" spans="2:13">
      <c r="E232" t="s">
        <v>93</v>
      </c>
    </row>
    <row r="233" spans="2:13">
      <c r="E233" t="s">
        <v>874</v>
      </c>
      <c r="F233" t="s">
        <v>1847</v>
      </c>
      <c r="G233" t="s">
        <v>1</v>
      </c>
      <c r="H233">
        <f>L233</f>
        <v>413</v>
      </c>
      <c r="J233">
        <f>J217</f>
        <v>1570.9</v>
      </c>
      <c r="K233">
        <f>H233*J233</f>
        <v>648781.70000000007</v>
      </c>
      <c r="L233">
        <v>413</v>
      </c>
    </row>
    <row r="234" spans="2:13">
      <c r="E234" t="s">
        <v>874</v>
      </c>
      <c r="F234" t="s">
        <v>512</v>
      </c>
      <c r="G234" t="s">
        <v>40</v>
      </c>
      <c r="H234">
        <f>M234</f>
        <v>0.42562500000000003</v>
      </c>
      <c r="J234">
        <v>258749.99999999997</v>
      </c>
      <c r="K234">
        <f>H234*J234</f>
        <v>110130.46875</v>
      </c>
      <c r="L234">
        <v>681</v>
      </c>
      <c r="M234">
        <f>0.681/1.6</f>
        <v>0.42562500000000003</v>
      </c>
    </row>
    <row r="235" spans="2:13">
      <c r="E235" t="s">
        <v>874</v>
      </c>
      <c r="F235" t="s">
        <v>1025</v>
      </c>
      <c r="G235" t="s">
        <v>40</v>
      </c>
      <c r="H235">
        <f>M235</f>
        <v>0.72928571428571431</v>
      </c>
      <c r="J235">
        <v>575000</v>
      </c>
      <c r="K235">
        <f>H235*J235</f>
        <v>419339.28571428574</v>
      </c>
      <c r="L235">
        <v>1021</v>
      </c>
      <c r="M235">
        <f>1.021/1.4</f>
        <v>0.72928571428571431</v>
      </c>
    </row>
    <row r="236" spans="2:13">
      <c r="E236" t="s">
        <v>874</v>
      </c>
      <c r="F236" t="s">
        <v>1831</v>
      </c>
      <c r="G236" t="s">
        <v>57</v>
      </c>
      <c r="H236">
        <v>215</v>
      </c>
      <c r="J236">
        <f>J220</f>
        <v>30</v>
      </c>
      <c r="K236">
        <f>J236*H236</f>
        <v>6450</v>
      </c>
      <c r="L236">
        <v>215</v>
      </c>
    </row>
    <row r="238" spans="2:13">
      <c r="E238" t="s">
        <v>114</v>
      </c>
    </row>
    <row r="239" spans="2:13">
      <c r="E239" t="s">
        <v>874</v>
      </c>
      <c r="F239" t="s">
        <v>1848</v>
      </c>
      <c r="G239" t="s">
        <v>72</v>
      </c>
      <c r="H239">
        <f>L239</f>
        <v>0.25</v>
      </c>
      <c r="J239">
        <v>23958.333333333328</v>
      </c>
      <c r="K239">
        <f>H239*J239</f>
        <v>5989.5833333333321</v>
      </c>
      <c r="L239">
        <v>0.25</v>
      </c>
    </row>
    <row r="241" spans="2:13">
      <c r="E241" t="s">
        <v>1812</v>
      </c>
    </row>
    <row r="242" spans="2:13">
      <c r="E242" t="s">
        <v>874</v>
      </c>
      <c r="F242" t="s">
        <v>723</v>
      </c>
      <c r="G242" t="s">
        <v>921</v>
      </c>
      <c r="H242">
        <f>L242</f>
        <v>0.189</v>
      </c>
      <c r="J242">
        <v>143750</v>
      </c>
      <c r="K242">
        <f>H242*J242</f>
        <v>27168.75</v>
      </c>
      <c r="L242">
        <v>0.189</v>
      </c>
    </row>
    <row r="243" spans="2:13">
      <c r="E243" t="s">
        <v>874</v>
      </c>
      <c r="F243" t="s">
        <v>493</v>
      </c>
      <c r="G243" t="s">
        <v>921</v>
      </c>
      <c r="H243">
        <f>L243</f>
        <v>1.323</v>
      </c>
      <c r="J243">
        <v>127649.99999999999</v>
      </c>
      <c r="K243">
        <f>H243*J243</f>
        <v>168880.94999999998</v>
      </c>
      <c r="L243">
        <v>1.323</v>
      </c>
    </row>
    <row r="244" spans="2:13">
      <c r="E244" t="s">
        <v>874</v>
      </c>
      <c r="F244" t="s">
        <v>1840</v>
      </c>
      <c r="G244" t="s">
        <v>921</v>
      </c>
      <c r="H244">
        <v>1.9E-2</v>
      </c>
      <c r="J244">
        <v>255299.99999999997</v>
      </c>
      <c r="K244">
        <f>J244*H244</f>
        <v>4850.6999999999989</v>
      </c>
      <c r="L244">
        <v>1.9E-2</v>
      </c>
    </row>
    <row r="245" spans="2:13">
      <c r="E245" t="s">
        <v>874</v>
      </c>
      <c r="F245" t="s">
        <v>1029</v>
      </c>
      <c r="G245" t="s">
        <v>921</v>
      </c>
      <c r="H245">
        <f>L245</f>
        <v>0.13200000000000001</v>
      </c>
      <c r="J245">
        <v>169050</v>
      </c>
      <c r="K245">
        <f>J245*H245</f>
        <v>22314.600000000002</v>
      </c>
      <c r="L245">
        <v>0.13200000000000001</v>
      </c>
    </row>
    <row r="246" spans="2:13">
      <c r="K246">
        <f>SUM(K233:K245)</f>
        <v>1413906.0377976191</v>
      </c>
    </row>
    <row r="247" spans="2:13">
      <c r="B247" t="s">
        <v>1806</v>
      </c>
      <c r="C247">
        <f>C231+1</f>
        <v>20</v>
      </c>
      <c r="E247" t="s">
        <v>1850</v>
      </c>
    </row>
    <row r="248" spans="2:13">
      <c r="E248" t="s">
        <v>93</v>
      </c>
    </row>
    <row r="249" spans="2:13">
      <c r="E249" t="s">
        <v>874</v>
      </c>
      <c r="F249" t="s">
        <v>1847</v>
      </c>
      <c r="G249" t="s">
        <v>1</v>
      </c>
      <c r="H249">
        <f>L249</f>
        <v>439</v>
      </c>
      <c r="J249">
        <f>J233</f>
        <v>1570.9</v>
      </c>
      <c r="K249">
        <f>H249*J249</f>
        <v>689625.10000000009</v>
      </c>
      <c r="L249">
        <v>439</v>
      </c>
    </row>
    <row r="250" spans="2:13">
      <c r="E250" t="s">
        <v>874</v>
      </c>
      <c r="F250" t="s">
        <v>512</v>
      </c>
      <c r="G250" t="s">
        <v>40</v>
      </c>
      <c r="H250">
        <f>M250</f>
        <v>0.41875000000000001</v>
      </c>
      <c r="J250">
        <v>258749.99999999997</v>
      </c>
      <c r="K250">
        <f>H250*J250</f>
        <v>108351.56249999999</v>
      </c>
      <c r="L250">
        <v>670</v>
      </c>
      <c r="M250">
        <f>0.67/1.6</f>
        <v>0.41875000000000001</v>
      </c>
    </row>
    <row r="251" spans="2:13">
      <c r="E251" t="s">
        <v>874</v>
      </c>
      <c r="F251" t="s">
        <v>1025</v>
      </c>
      <c r="G251" t="s">
        <v>40</v>
      </c>
      <c r="H251">
        <f>M251</f>
        <v>0.71857142857142864</v>
      </c>
      <c r="J251">
        <v>575000</v>
      </c>
      <c r="K251">
        <f>H251*J251</f>
        <v>413178.57142857148</v>
      </c>
      <c r="L251">
        <v>1006</v>
      </c>
      <c r="M251">
        <f>1.006/1.4</f>
        <v>0.71857142857142864</v>
      </c>
    </row>
    <row r="252" spans="2:13">
      <c r="E252" t="s">
        <v>874</v>
      </c>
      <c r="F252" t="s">
        <v>1831</v>
      </c>
      <c r="G252" t="s">
        <v>57</v>
      </c>
      <c r="H252">
        <v>215</v>
      </c>
      <c r="J252">
        <f>J236</f>
        <v>30</v>
      </c>
      <c r="K252">
        <f>J252*H252</f>
        <v>6450</v>
      </c>
      <c r="L252">
        <v>215</v>
      </c>
    </row>
    <row r="254" spans="2:13">
      <c r="E254" t="s">
        <v>114</v>
      </c>
    </row>
    <row r="255" spans="2:13">
      <c r="E255" t="s">
        <v>874</v>
      </c>
      <c r="F255" t="s">
        <v>1848</v>
      </c>
      <c r="G255" t="s">
        <v>72</v>
      </c>
      <c r="H255">
        <f>L255</f>
        <v>0.25</v>
      </c>
      <c r="J255">
        <v>23958.333333333328</v>
      </c>
      <c r="K255">
        <f>H255*J255</f>
        <v>5989.5833333333321</v>
      </c>
      <c r="L255">
        <v>0.25</v>
      </c>
    </row>
    <row r="257" spans="2:13">
      <c r="E257" t="s">
        <v>1812</v>
      </c>
    </row>
    <row r="258" spans="2:13">
      <c r="E258" t="s">
        <v>874</v>
      </c>
      <c r="F258" t="s">
        <v>723</v>
      </c>
      <c r="G258" t="s">
        <v>921</v>
      </c>
      <c r="H258">
        <f>L258</f>
        <v>0.24</v>
      </c>
      <c r="J258">
        <v>143750</v>
      </c>
      <c r="K258">
        <f>H258*J258</f>
        <v>34500</v>
      </c>
      <c r="L258">
        <v>0.24</v>
      </c>
    </row>
    <row r="259" spans="2:13">
      <c r="E259" t="s">
        <v>874</v>
      </c>
      <c r="F259" t="s">
        <v>493</v>
      </c>
      <c r="G259" t="s">
        <v>921</v>
      </c>
      <c r="H259">
        <f>L259</f>
        <v>1.68</v>
      </c>
      <c r="J259">
        <v>127649.99999999999</v>
      </c>
      <c r="K259">
        <f>H259*J259</f>
        <v>214451.99999999997</v>
      </c>
      <c r="L259">
        <v>1.68</v>
      </c>
    </row>
    <row r="260" spans="2:13">
      <c r="E260" t="s">
        <v>874</v>
      </c>
      <c r="F260" t="s">
        <v>1840</v>
      </c>
      <c r="G260" t="s">
        <v>921</v>
      </c>
      <c r="H260">
        <f>L260</f>
        <v>2.4E-2</v>
      </c>
      <c r="J260">
        <v>255299.99999999997</v>
      </c>
      <c r="K260">
        <f>H260*J260</f>
        <v>6127.2</v>
      </c>
      <c r="L260">
        <v>2.4E-2</v>
      </c>
    </row>
    <row r="261" spans="2:13">
      <c r="E261" t="s">
        <v>874</v>
      </c>
      <c r="F261" t="s">
        <v>1029</v>
      </c>
      <c r="G261" t="s">
        <v>921</v>
      </c>
      <c r="H261">
        <f>L261</f>
        <v>0.16800000000000001</v>
      </c>
      <c r="J261">
        <v>169050</v>
      </c>
      <c r="K261">
        <f>J261*H261</f>
        <v>28400.400000000001</v>
      </c>
      <c r="L261">
        <v>0.16800000000000001</v>
      </c>
    </row>
    <row r="262" spans="2:13">
      <c r="K262">
        <f>SUM(K249:K261)</f>
        <v>1507074.4172619046</v>
      </c>
    </row>
    <row r="263" spans="2:13">
      <c r="B263" t="s">
        <v>1806</v>
      </c>
      <c r="C263">
        <f>C247+1</f>
        <v>21</v>
      </c>
      <c r="E263" t="s">
        <v>1851</v>
      </c>
    </row>
    <row r="264" spans="2:13">
      <c r="E264" t="s">
        <v>93</v>
      </c>
    </row>
    <row r="265" spans="2:13">
      <c r="E265" t="s">
        <v>874</v>
      </c>
      <c r="F265" t="s">
        <v>1847</v>
      </c>
      <c r="G265" t="s">
        <v>1</v>
      </c>
      <c r="H265">
        <f>L265</f>
        <v>448</v>
      </c>
      <c r="J265">
        <f>J249</f>
        <v>1570.9</v>
      </c>
      <c r="K265">
        <f>H265*J265</f>
        <v>703763.20000000007</v>
      </c>
      <c r="L265">
        <v>448</v>
      </c>
    </row>
    <row r="266" spans="2:13">
      <c r="E266" t="s">
        <v>874</v>
      </c>
      <c r="F266" t="s">
        <v>512</v>
      </c>
      <c r="G266" t="s">
        <v>40</v>
      </c>
      <c r="H266">
        <f>M266</f>
        <v>0.416875</v>
      </c>
      <c r="J266">
        <v>258749.99999999997</v>
      </c>
      <c r="K266">
        <f>H266*J266</f>
        <v>107866.40624999999</v>
      </c>
      <c r="L266">
        <v>667</v>
      </c>
      <c r="M266">
        <f>0.667/1.6</f>
        <v>0.416875</v>
      </c>
    </row>
    <row r="267" spans="2:13">
      <c r="E267" t="s">
        <v>874</v>
      </c>
      <c r="F267" t="s">
        <v>1025</v>
      </c>
      <c r="G267" t="s">
        <v>40</v>
      </c>
      <c r="H267">
        <f>M267</f>
        <v>0.7142857142857143</v>
      </c>
      <c r="J267">
        <v>575000</v>
      </c>
      <c r="K267">
        <f>H267*J267</f>
        <v>410714.28571428574</v>
      </c>
      <c r="L267">
        <v>1000</v>
      </c>
      <c r="M267">
        <f>1/1.4</f>
        <v>0.7142857142857143</v>
      </c>
    </row>
    <row r="268" spans="2:13">
      <c r="E268" t="s">
        <v>874</v>
      </c>
      <c r="F268" t="s">
        <v>1831</v>
      </c>
      <c r="G268" t="s">
        <v>57</v>
      </c>
      <c r="H268">
        <v>215</v>
      </c>
      <c r="J268">
        <f>J252</f>
        <v>30</v>
      </c>
      <c r="K268">
        <f>J268*H268</f>
        <v>6450</v>
      </c>
      <c r="L268">
        <v>215</v>
      </c>
    </row>
    <row r="270" spans="2:13">
      <c r="E270" t="s">
        <v>114</v>
      </c>
    </row>
    <row r="271" spans="2:13">
      <c r="E271" t="s">
        <v>874</v>
      </c>
      <c r="F271" t="s">
        <v>1848</v>
      </c>
      <c r="G271" t="s">
        <v>72</v>
      </c>
      <c r="H271">
        <f>L271</f>
        <v>0.25</v>
      </c>
      <c r="J271">
        <v>23958.333333333328</v>
      </c>
      <c r="K271">
        <f>H271*J271</f>
        <v>5989.5833333333321</v>
      </c>
      <c r="L271">
        <v>0.25</v>
      </c>
    </row>
    <row r="273" spans="2:14">
      <c r="E273" t="s">
        <v>1812</v>
      </c>
    </row>
    <row r="274" spans="2:14">
      <c r="E274" t="s">
        <v>874</v>
      </c>
      <c r="F274" t="s">
        <v>723</v>
      </c>
      <c r="G274" t="s">
        <v>921</v>
      </c>
      <c r="H274">
        <f>L274</f>
        <v>0.24</v>
      </c>
      <c r="J274">
        <v>143750</v>
      </c>
      <c r="K274">
        <f>H274*J274</f>
        <v>34500</v>
      </c>
      <c r="L274">
        <v>0.24</v>
      </c>
    </row>
    <row r="275" spans="2:14">
      <c r="E275" t="s">
        <v>874</v>
      </c>
      <c r="F275" t="s">
        <v>493</v>
      </c>
      <c r="G275" t="s">
        <v>921</v>
      </c>
      <c r="H275">
        <f>L275</f>
        <v>1.68</v>
      </c>
      <c r="J275">
        <v>127649.99999999999</v>
      </c>
      <c r="K275">
        <f>H275*J275</f>
        <v>214451.99999999997</v>
      </c>
      <c r="L275">
        <v>1.68</v>
      </c>
    </row>
    <row r="276" spans="2:14">
      <c r="E276" t="s">
        <v>874</v>
      </c>
      <c r="F276" t="s">
        <v>1840</v>
      </c>
      <c r="G276" t="s">
        <v>921</v>
      </c>
      <c r="H276">
        <f>L276</f>
        <v>2.4E-2</v>
      </c>
      <c r="J276">
        <v>255299.99999999997</v>
      </c>
      <c r="K276">
        <f>H276*J276</f>
        <v>6127.2</v>
      </c>
      <c r="L276">
        <v>2.4E-2</v>
      </c>
      <c r="N276">
        <f>J274*1.1</f>
        <v>158125</v>
      </c>
    </row>
    <row r="277" spans="2:14">
      <c r="E277" t="s">
        <v>874</v>
      </c>
      <c r="F277" t="s">
        <v>1029</v>
      </c>
      <c r="G277" t="s">
        <v>921</v>
      </c>
      <c r="H277">
        <f>L277</f>
        <v>0.16800000000000001</v>
      </c>
      <c r="J277">
        <v>169050</v>
      </c>
      <c r="K277">
        <f>J277*H277</f>
        <v>28400.400000000001</v>
      </c>
      <c r="L277">
        <v>0.16800000000000001</v>
      </c>
    </row>
    <row r="278" spans="2:14">
      <c r="K278">
        <f>SUM(K265:K277)</f>
        <v>1518263.075297619</v>
      </c>
    </row>
    <row r="279" spans="2:14">
      <c r="B279" t="s">
        <v>1806</v>
      </c>
      <c r="C279">
        <f>C263+1</f>
        <v>22</v>
      </c>
      <c r="E279" t="s">
        <v>1852</v>
      </c>
    </row>
    <row r="280" spans="2:14">
      <c r="E280" t="s">
        <v>93</v>
      </c>
    </row>
    <row r="281" spans="2:14">
      <c r="E281" t="s">
        <v>874</v>
      </c>
      <c r="F281" t="s">
        <v>1847</v>
      </c>
      <c r="G281" t="s">
        <v>1</v>
      </c>
      <c r="H281">
        <v>588</v>
      </c>
      <c r="J281">
        <f>J265</f>
        <v>1570.9</v>
      </c>
      <c r="K281">
        <f>H281*J281</f>
        <v>923689.20000000007</v>
      </c>
      <c r="L281">
        <v>840840</v>
      </c>
    </row>
    <row r="282" spans="2:14">
      <c r="E282" t="s">
        <v>874</v>
      </c>
      <c r="F282" t="s">
        <v>512</v>
      </c>
      <c r="G282" t="s">
        <v>40</v>
      </c>
      <c r="H282">
        <v>0.504</v>
      </c>
      <c r="J282">
        <v>258749.99999999997</v>
      </c>
      <c r="K282">
        <f>H282*J282</f>
        <v>130409.99999999999</v>
      </c>
      <c r="L282">
        <v>112543</v>
      </c>
    </row>
    <row r="283" spans="2:14">
      <c r="E283" t="s">
        <v>874</v>
      </c>
      <c r="F283" t="s">
        <v>1025</v>
      </c>
      <c r="G283" t="s">
        <v>40</v>
      </c>
      <c r="H283">
        <v>0.66400000000000003</v>
      </c>
      <c r="J283">
        <v>575000</v>
      </c>
      <c r="K283">
        <f>H283*J283</f>
        <v>381800</v>
      </c>
      <c r="L283">
        <v>160688</v>
      </c>
    </row>
    <row r="285" spans="2:14">
      <c r="E285" t="s">
        <v>114</v>
      </c>
    </row>
    <row r="286" spans="2:14">
      <c r="E286" t="s">
        <v>874</v>
      </c>
      <c r="F286" t="s">
        <v>1848</v>
      </c>
      <c r="G286" t="s">
        <v>72</v>
      </c>
      <c r="H286">
        <v>1.2</v>
      </c>
      <c r="J286">
        <v>23958.333333333328</v>
      </c>
      <c r="K286">
        <f>H286*J286</f>
        <v>28749.999999999993</v>
      </c>
      <c r="L286">
        <v>24750</v>
      </c>
    </row>
    <row r="288" spans="2:14">
      <c r="E288" t="s">
        <v>1812</v>
      </c>
    </row>
    <row r="289" spans="2:12">
      <c r="E289" t="s">
        <v>874</v>
      </c>
      <c r="F289" t="s">
        <v>723</v>
      </c>
      <c r="G289" t="s">
        <v>921</v>
      </c>
      <c r="H289">
        <v>1</v>
      </c>
      <c r="J289">
        <v>143750</v>
      </c>
      <c r="K289">
        <f>H289*J289</f>
        <v>143750</v>
      </c>
      <c r="L289">
        <v>83600</v>
      </c>
    </row>
    <row r="290" spans="2:12">
      <c r="E290" t="s">
        <v>874</v>
      </c>
      <c r="F290" t="s">
        <v>493</v>
      </c>
      <c r="G290" t="s">
        <v>921</v>
      </c>
      <c r="H290">
        <v>6</v>
      </c>
      <c r="J290">
        <v>127649.99999999999</v>
      </c>
      <c r="K290">
        <f>H290*J290</f>
        <v>765899.99999999988</v>
      </c>
      <c r="L290">
        <v>409200</v>
      </c>
    </row>
    <row r="291" spans="2:12">
      <c r="E291" t="s">
        <v>874</v>
      </c>
      <c r="F291" t="s">
        <v>1840</v>
      </c>
      <c r="G291" t="s">
        <v>921</v>
      </c>
      <c r="H291">
        <v>2.4E-2</v>
      </c>
      <c r="J291">
        <v>255299.99999999997</v>
      </c>
      <c r="K291">
        <f>J291*H291</f>
        <v>6127.2</v>
      </c>
      <c r="L291">
        <f>L276</f>
        <v>2.4E-2</v>
      </c>
    </row>
    <row r="292" spans="2:12">
      <c r="E292" t="s">
        <v>874</v>
      </c>
      <c r="F292" t="s">
        <v>1029</v>
      </c>
      <c r="G292" t="s">
        <v>921</v>
      </c>
      <c r="H292">
        <v>0.3</v>
      </c>
      <c r="J292">
        <v>169050</v>
      </c>
      <c r="K292">
        <f>J292*H292</f>
        <v>50715</v>
      </c>
      <c r="L292">
        <v>30360</v>
      </c>
    </row>
    <row r="293" spans="2:12">
      <c r="K293">
        <f>SUM(K281:K292)</f>
        <v>2431141.4</v>
      </c>
    </row>
    <row r="294" spans="2:12">
      <c r="B294" t="s">
        <v>1806</v>
      </c>
      <c r="C294" t="s">
        <v>1853</v>
      </c>
      <c r="F294" t="s">
        <v>1225</v>
      </c>
    </row>
    <row r="295" spans="2:12">
      <c r="E295" t="s">
        <v>114</v>
      </c>
    </row>
    <row r="296" spans="2:12">
      <c r="E296" t="s">
        <v>874</v>
      </c>
      <c r="F296" t="s">
        <v>1224</v>
      </c>
      <c r="G296" t="s">
        <v>1222</v>
      </c>
      <c r="H296">
        <v>3</v>
      </c>
      <c r="J296">
        <v>50000</v>
      </c>
      <c r="K296">
        <f t="shared" ref="K296:K301" si="1">H296*J296</f>
        <v>150000</v>
      </c>
    </row>
    <row r="297" spans="2:12">
      <c r="E297" t="s">
        <v>874</v>
      </c>
      <c r="F297" t="s">
        <v>1223</v>
      </c>
      <c r="G297" t="s">
        <v>1222</v>
      </c>
      <c r="H297">
        <v>3</v>
      </c>
      <c r="J297">
        <v>100000</v>
      </c>
      <c r="K297">
        <f t="shared" si="1"/>
        <v>300000</v>
      </c>
    </row>
    <row r="298" spans="2:12">
      <c r="E298" t="s">
        <v>1812</v>
      </c>
      <c r="K298">
        <f t="shared" si="1"/>
        <v>0</v>
      </c>
    </row>
    <row r="299" spans="2:12">
      <c r="E299" t="s">
        <v>874</v>
      </c>
      <c r="F299" t="s">
        <v>493</v>
      </c>
      <c r="G299" t="s">
        <v>921</v>
      </c>
      <c r="H299">
        <f>2/8</f>
        <v>0.25</v>
      </c>
      <c r="J299">
        <v>127649.99999999999</v>
      </c>
      <c r="K299">
        <f t="shared" si="1"/>
        <v>31912.499999999996</v>
      </c>
    </row>
    <row r="300" spans="2:12">
      <c r="E300" t="s">
        <v>874</v>
      </c>
      <c r="F300" t="s">
        <v>996</v>
      </c>
      <c r="G300" t="s">
        <v>921</v>
      </c>
      <c r="H300">
        <f>3/8</f>
        <v>0.375</v>
      </c>
      <c r="J300">
        <v>448499.99999999994</v>
      </c>
      <c r="K300">
        <f t="shared" si="1"/>
        <v>168187.49999999997</v>
      </c>
    </row>
    <row r="301" spans="2:12">
      <c r="E301" t="s">
        <v>1221</v>
      </c>
      <c r="G301" t="s">
        <v>210</v>
      </c>
      <c r="H301">
        <v>1</v>
      </c>
      <c r="J301">
        <v>750000</v>
      </c>
      <c r="K301">
        <f t="shared" si="1"/>
        <v>750000</v>
      </c>
    </row>
    <row r="302" spans="2:12">
      <c r="K302">
        <f>SUM(K296:K301)</f>
        <v>1400100</v>
      </c>
    </row>
    <row r="304" spans="2:12">
      <c r="B304" t="s">
        <v>1806</v>
      </c>
      <c r="C304">
        <f>C279+1</f>
        <v>23</v>
      </c>
      <c r="E304" t="s">
        <v>1854</v>
      </c>
    </row>
    <row r="305" spans="2:12">
      <c r="E305" t="s">
        <v>237</v>
      </c>
    </row>
    <row r="306" spans="2:12">
      <c r="E306" t="s">
        <v>874</v>
      </c>
      <c r="F306" t="s">
        <v>1026</v>
      </c>
      <c r="G306" t="s">
        <v>40</v>
      </c>
      <c r="H306">
        <v>1.2</v>
      </c>
      <c r="I306" t="s">
        <v>40</v>
      </c>
      <c r="J306">
        <v>575000</v>
      </c>
      <c r="K306">
        <f>H306*J306</f>
        <v>690000</v>
      </c>
      <c r="L306">
        <v>1.2</v>
      </c>
    </row>
    <row r="307" spans="2:12">
      <c r="E307" t="s">
        <v>874</v>
      </c>
      <c r="F307" t="s">
        <v>506</v>
      </c>
      <c r="G307" t="s">
        <v>1</v>
      </c>
      <c r="H307">
        <v>202</v>
      </c>
      <c r="I307" t="s">
        <v>1</v>
      </c>
      <c r="J307">
        <f>J281</f>
        <v>1570.9</v>
      </c>
      <c r="K307">
        <f>H307*J307</f>
        <v>317321.80000000005</v>
      </c>
      <c r="L307">
        <v>202</v>
      </c>
    </row>
    <row r="308" spans="2:12">
      <c r="E308" t="s">
        <v>874</v>
      </c>
      <c r="F308" t="s">
        <v>512</v>
      </c>
      <c r="G308" t="s">
        <v>40</v>
      </c>
      <c r="H308">
        <v>0.48499999999999999</v>
      </c>
      <c r="I308" t="s">
        <v>40</v>
      </c>
      <c r="J308">
        <v>258749.99999999997</v>
      </c>
      <c r="K308">
        <f>H308*J308</f>
        <v>125493.74999999999</v>
      </c>
      <c r="L308">
        <v>0.48499999999999999</v>
      </c>
    </row>
    <row r="310" spans="2:12">
      <c r="E310" t="s">
        <v>1812</v>
      </c>
    </row>
    <row r="311" spans="2:12">
      <c r="E311" t="s">
        <v>874</v>
      </c>
      <c r="F311" t="s">
        <v>723</v>
      </c>
      <c r="G311" t="s">
        <v>921</v>
      </c>
      <c r="H311">
        <v>0.75</v>
      </c>
      <c r="I311" t="s">
        <v>1813</v>
      </c>
      <c r="J311">
        <v>143750</v>
      </c>
      <c r="K311">
        <f>H311*J311</f>
        <v>107812.5</v>
      </c>
      <c r="L311">
        <v>0.75</v>
      </c>
    </row>
    <row r="312" spans="2:12">
      <c r="E312" t="s">
        <v>874</v>
      </c>
      <c r="F312" t="s">
        <v>493</v>
      </c>
      <c r="G312" t="s">
        <v>921</v>
      </c>
      <c r="H312">
        <v>1.5</v>
      </c>
      <c r="I312" t="s">
        <v>1813</v>
      </c>
      <c r="J312">
        <v>127649.99999999999</v>
      </c>
      <c r="K312">
        <f>H312*J312</f>
        <v>191474.99999999997</v>
      </c>
      <c r="L312">
        <v>1.5</v>
      </c>
    </row>
    <row r="313" spans="2:12">
      <c r="E313" t="s">
        <v>874</v>
      </c>
      <c r="F313" t="s">
        <v>1840</v>
      </c>
      <c r="G313" t="s">
        <v>921</v>
      </c>
      <c r="H313">
        <v>7.4999999999999997E-2</v>
      </c>
      <c r="J313">
        <v>255299.99999999997</v>
      </c>
      <c r="K313">
        <f>H313*J313</f>
        <v>19147.499999999996</v>
      </c>
      <c r="L313">
        <v>7.4999999999999997E-2</v>
      </c>
    </row>
    <row r="314" spans="2:12">
      <c r="E314" t="s">
        <v>874</v>
      </c>
      <c r="F314" t="s">
        <v>1029</v>
      </c>
      <c r="G314" t="s">
        <v>921</v>
      </c>
      <c r="H314">
        <v>7.4999999999999997E-2</v>
      </c>
      <c r="I314" t="s">
        <v>1813</v>
      </c>
      <c r="J314">
        <v>169050</v>
      </c>
      <c r="K314">
        <f>H314*J314</f>
        <v>12678.75</v>
      </c>
      <c r="L314">
        <v>7.4999999999999997E-2</v>
      </c>
    </row>
    <row r="315" spans="2:12">
      <c r="K315">
        <f>SUM(K306:K314)</f>
        <v>1463929.3</v>
      </c>
    </row>
    <row r="316" spans="2:12">
      <c r="B316" t="s">
        <v>1806</v>
      </c>
      <c r="C316">
        <f>C304+1</f>
        <v>24</v>
      </c>
      <c r="E316" t="s">
        <v>1855</v>
      </c>
    </row>
    <row r="317" spans="2:12">
      <c r="E317" t="s">
        <v>237</v>
      </c>
    </row>
    <row r="318" spans="2:12">
      <c r="E318" t="s">
        <v>874</v>
      </c>
      <c r="F318" t="s">
        <v>1026</v>
      </c>
      <c r="G318" t="s">
        <v>40</v>
      </c>
      <c r="H318">
        <f>2.8/2</f>
        <v>1.4</v>
      </c>
      <c r="I318" t="s">
        <v>40</v>
      </c>
      <c r="J318">
        <v>575000</v>
      </c>
      <c r="K318">
        <f>H318*J318</f>
        <v>805000</v>
      </c>
      <c r="L318">
        <v>4200</v>
      </c>
    </row>
    <row r="319" spans="2:12">
      <c r="E319" t="s">
        <v>874</v>
      </c>
      <c r="F319" t="s">
        <v>1856</v>
      </c>
      <c r="G319" t="s">
        <v>1</v>
      </c>
      <c r="H319">
        <f>22.355/2</f>
        <v>11.1775</v>
      </c>
      <c r="I319" t="s">
        <v>1</v>
      </c>
      <c r="J319">
        <v>0</v>
      </c>
      <c r="K319">
        <f>H319*J319</f>
        <v>0</v>
      </c>
      <c r="L319">
        <v>32296</v>
      </c>
    </row>
    <row r="321" spans="2:13">
      <c r="E321" t="s">
        <v>1812</v>
      </c>
    </row>
    <row r="322" spans="2:13">
      <c r="E322" t="s">
        <v>874</v>
      </c>
      <c r="F322" t="s">
        <v>493</v>
      </c>
      <c r="G322" t="s">
        <v>921</v>
      </c>
      <c r="H322">
        <f>3.36/2</f>
        <v>1.68</v>
      </c>
      <c r="I322" t="s">
        <v>1813</v>
      </c>
      <c r="J322">
        <v>127649.99999999999</v>
      </c>
      <c r="K322">
        <f>J322*H322</f>
        <v>214451.99999999997</v>
      </c>
      <c r="L322">
        <v>4860</v>
      </c>
    </row>
    <row r="323" spans="2:13">
      <c r="E323" t="s">
        <v>874</v>
      </c>
      <c r="F323" t="s">
        <v>1031</v>
      </c>
      <c r="G323" t="s">
        <v>921</v>
      </c>
      <c r="H323">
        <f>1.4/2</f>
        <v>0.7</v>
      </c>
      <c r="I323" t="s">
        <v>1813</v>
      </c>
      <c r="J323">
        <v>143750</v>
      </c>
      <c r="K323">
        <f>J323*H323</f>
        <v>100625</v>
      </c>
      <c r="L323">
        <v>1620</v>
      </c>
    </row>
    <row r="324" spans="2:13">
      <c r="E324" t="s">
        <v>874</v>
      </c>
      <c r="F324" t="s">
        <v>724</v>
      </c>
      <c r="G324" t="s">
        <v>921</v>
      </c>
      <c r="H324">
        <f>1.12/2</f>
        <v>0.56000000000000005</v>
      </c>
      <c r="J324">
        <v>127649.99999999999</v>
      </c>
      <c r="K324">
        <f>J324*H324</f>
        <v>71484</v>
      </c>
      <c r="L324">
        <v>2100</v>
      </c>
    </row>
    <row r="325" spans="2:13">
      <c r="E325" t="s">
        <v>874</v>
      </c>
      <c r="F325" t="s">
        <v>1029</v>
      </c>
      <c r="G325" t="s">
        <v>921</v>
      </c>
      <c r="H325">
        <f>0.476/2</f>
        <v>0.23799999999999999</v>
      </c>
      <c r="I325" t="s">
        <v>1813</v>
      </c>
      <c r="J325">
        <v>169050</v>
      </c>
      <c r="K325">
        <f>J325*H325</f>
        <v>40233.9</v>
      </c>
      <c r="L325" t="s">
        <v>1857</v>
      </c>
    </row>
    <row r="326" spans="2:13">
      <c r="K326">
        <f>SUM(K318:K325)</f>
        <v>1231794.8999999999</v>
      </c>
    </row>
    <row r="327" spans="2:13">
      <c r="B327" t="s">
        <v>1806</v>
      </c>
      <c r="C327">
        <f>C316+1</f>
        <v>25</v>
      </c>
      <c r="E327" t="s">
        <v>1858</v>
      </c>
    </row>
    <row r="328" spans="2:13">
      <c r="E328" t="s">
        <v>93</v>
      </c>
    </row>
    <row r="329" spans="2:13">
      <c r="E329" t="s">
        <v>874</v>
      </c>
      <c r="F329" t="s">
        <v>506</v>
      </c>
      <c r="G329" t="s">
        <v>1</v>
      </c>
      <c r="H329">
        <v>6.24</v>
      </c>
      <c r="I329" t="s">
        <v>1</v>
      </c>
      <c r="J329">
        <f>J307</f>
        <v>1570.9</v>
      </c>
      <c r="K329">
        <f>H329*J329</f>
        <v>9802.4160000000011</v>
      </c>
      <c r="L329">
        <v>6240</v>
      </c>
    </row>
    <row r="330" spans="2:13" ht="17.25">
      <c r="E330" t="s">
        <v>874</v>
      </c>
      <c r="F330" t="s">
        <v>512</v>
      </c>
      <c r="G330" t="s">
        <v>40</v>
      </c>
      <c r="H330">
        <v>2.4E-2</v>
      </c>
      <c r="I330" t="s">
        <v>1818</v>
      </c>
      <c r="J330">
        <v>258749.99999999997</v>
      </c>
      <c r="K330">
        <f>H330*J330</f>
        <v>6209.9999999999991</v>
      </c>
      <c r="L330" t="s">
        <v>1859</v>
      </c>
    </row>
    <row r="332" spans="2:13">
      <c r="E332" t="s">
        <v>1812</v>
      </c>
    </row>
    <row r="333" spans="2:13">
      <c r="E333" t="s">
        <v>874</v>
      </c>
      <c r="F333" t="s">
        <v>723</v>
      </c>
      <c r="G333" t="s">
        <v>921</v>
      </c>
      <c r="H333">
        <v>0.15</v>
      </c>
      <c r="I333" t="s">
        <v>1813</v>
      </c>
      <c r="J333">
        <v>143750</v>
      </c>
      <c r="K333">
        <f>H333*J333</f>
        <v>21562.5</v>
      </c>
      <c r="L333" t="s">
        <v>1860</v>
      </c>
      <c r="M333">
        <f>J333*1.1</f>
        <v>158125</v>
      </c>
    </row>
    <row r="334" spans="2:13">
      <c r="E334" t="s">
        <v>874</v>
      </c>
      <c r="F334" t="s">
        <v>493</v>
      </c>
      <c r="G334" t="s">
        <v>921</v>
      </c>
      <c r="H334">
        <v>0.3</v>
      </c>
      <c r="I334" t="s">
        <v>1813</v>
      </c>
      <c r="J334">
        <v>127649.99999999999</v>
      </c>
      <c r="K334">
        <f>H334*J334</f>
        <v>38294.999999999993</v>
      </c>
      <c r="L334" t="s">
        <v>1861</v>
      </c>
    </row>
    <row r="335" spans="2:13">
      <c r="E335" t="s">
        <v>874</v>
      </c>
      <c r="F335" t="s">
        <v>1840</v>
      </c>
      <c r="G335" t="s">
        <v>921</v>
      </c>
      <c r="H335">
        <v>1.4999999999999999E-2</v>
      </c>
      <c r="J335">
        <v>255299.99999999997</v>
      </c>
      <c r="K335">
        <f>J335*H335</f>
        <v>3829.4999999999995</v>
      </c>
      <c r="L335" t="s">
        <v>1862</v>
      </c>
    </row>
    <row r="336" spans="2:13">
      <c r="E336" t="s">
        <v>874</v>
      </c>
      <c r="F336" t="s">
        <v>1029</v>
      </c>
      <c r="G336" t="s">
        <v>921</v>
      </c>
      <c r="H336">
        <v>1.4999999999999999E-2</v>
      </c>
      <c r="I336" t="s">
        <v>1813</v>
      </c>
      <c r="J336">
        <v>169050</v>
      </c>
      <c r="K336">
        <f>J336*H336</f>
        <v>2535.75</v>
      </c>
      <c r="L336" t="s">
        <v>1862</v>
      </c>
    </row>
    <row r="337" spans="2:12">
      <c r="K337">
        <f>SUM(K329:K336)</f>
        <v>82235.165999999997</v>
      </c>
    </row>
    <row r="338" spans="2:12">
      <c r="B338" t="s">
        <v>1806</v>
      </c>
      <c r="C338">
        <f>C327+1</f>
        <v>26</v>
      </c>
      <c r="E338" t="s">
        <v>1863</v>
      </c>
    </row>
    <row r="339" spans="2:12">
      <c r="E339" t="s">
        <v>93</v>
      </c>
    </row>
    <row r="340" spans="2:12">
      <c r="E340" t="s">
        <v>874</v>
      </c>
      <c r="F340" t="s">
        <v>506</v>
      </c>
      <c r="G340" t="s">
        <v>1</v>
      </c>
      <c r="H340">
        <v>5.1840000000000002</v>
      </c>
      <c r="I340" t="s">
        <v>1</v>
      </c>
      <c r="J340">
        <f>J329</f>
        <v>1570.9</v>
      </c>
      <c r="K340">
        <f>H340*J340</f>
        <v>8143.5456000000004</v>
      </c>
      <c r="L340">
        <v>5184</v>
      </c>
    </row>
    <row r="341" spans="2:12" ht="17.25">
      <c r="E341" t="s">
        <v>874</v>
      </c>
      <c r="F341" t="s">
        <v>512</v>
      </c>
      <c r="G341" t="s">
        <v>40</v>
      </c>
      <c r="H341">
        <v>2.5999999999999999E-2</v>
      </c>
      <c r="I341" t="s">
        <v>1818</v>
      </c>
      <c r="J341">
        <v>258749.99999999997</v>
      </c>
      <c r="K341">
        <f>H341*J341</f>
        <v>6727.4999999999991</v>
      </c>
      <c r="L341" t="s">
        <v>1864</v>
      </c>
    </row>
    <row r="343" spans="2:12">
      <c r="E343" t="s">
        <v>1812</v>
      </c>
    </row>
    <row r="344" spans="2:12">
      <c r="E344" t="s">
        <v>874</v>
      </c>
      <c r="F344" t="s">
        <v>723</v>
      </c>
      <c r="G344" t="s">
        <v>921</v>
      </c>
      <c r="H344">
        <v>7.4999999999999997E-2</v>
      </c>
      <c r="I344" t="s">
        <v>1813</v>
      </c>
      <c r="J344">
        <v>143750</v>
      </c>
      <c r="K344">
        <f>H344*J344</f>
        <v>10781.25</v>
      </c>
      <c r="L344" t="s">
        <v>1865</v>
      </c>
    </row>
    <row r="345" spans="2:12">
      <c r="E345" t="s">
        <v>874</v>
      </c>
      <c r="F345" t="s">
        <v>493</v>
      </c>
      <c r="G345" t="s">
        <v>921</v>
      </c>
      <c r="H345">
        <v>0.3</v>
      </c>
      <c r="I345" t="s">
        <v>1813</v>
      </c>
      <c r="J345">
        <v>127649.99999999999</v>
      </c>
      <c r="K345">
        <f>H345*J345</f>
        <v>38294.999999999993</v>
      </c>
      <c r="L345">
        <v>0.15</v>
      </c>
    </row>
    <row r="346" spans="2:12">
      <c r="E346" t="s">
        <v>874</v>
      </c>
      <c r="F346" t="s">
        <v>1840</v>
      </c>
      <c r="G346" t="s">
        <v>921</v>
      </c>
      <c r="H346">
        <v>8.0000000000000002E-3</v>
      </c>
      <c r="I346" t="s">
        <v>1813</v>
      </c>
      <c r="J346">
        <v>255299.99999999997</v>
      </c>
      <c r="K346">
        <f>H346*J346</f>
        <v>2042.3999999999999</v>
      </c>
      <c r="L346" t="s">
        <v>1866</v>
      </c>
    </row>
    <row r="347" spans="2:12">
      <c r="E347" t="s">
        <v>874</v>
      </c>
      <c r="F347" t="s">
        <v>1029</v>
      </c>
      <c r="G347" t="s">
        <v>921</v>
      </c>
      <c r="H347">
        <v>8.0000000000000002E-3</v>
      </c>
      <c r="I347" t="s">
        <v>1813</v>
      </c>
      <c r="J347">
        <v>169050</v>
      </c>
      <c r="K347">
        <f>H347*J347</f>
        <v>1352.4</v>
      </c>
      <c r="L347" t="s">
        <v>1866</v>
      </c>
    </row>
    <row r="348" spans="2:12">
      <c r="K348">
        <f>SUM(K340:K347)</f>
        <v>67342.095599999986</v>
      </c>
    </row>
    <row r="349" spans="2:12">
      <c r="B349" t="s">
        <v>1806</v>
      </c>
      <c r="C349">
        <f>C338+1</f>
        <v>27</v>
      </c>
      <c r="E349" t="s">
        <v>1867</v>
      </c>
    </row>
    <row r="350" spans="2:12">
      <c r="E350" t="s">
        <v>93</v>
      </c>
    </row>
    <row r="351" spans="2:12">
      <c r="E351" t="s">
        <v>874</v>
      </c>
      <c r="F351" t="s">
        <v>1786</v>
      </c>
      <c r="G351" t="s">
        <v>1</v>
      </c>
      <c r="H351">
        <v>105</v>
      </c>
      <c r="J351">
        <v>10925</v>
      </c>
      <c r="K351">
        <f>H351*J351</f>
        <v>1147125</v>
      </c>
      <c r="L351">
        <v>105</v>
      </c>
    </row>
    <row r="352" spans="2:12">
      <c r="E352" t="s">
        <v>874</v>
      </c>
      <c r="F352" t="s">
        <v>1868</v>
      </c>
      <c r="G352" t="s">
        <v>1</v>
      </c>
      <c r="H352">
        <v>1.5</v>
      </c>
      <c r="J352">
        <v>0</v>
      </c>
      <c r="K352">
        <f>H352*J352</f>
        <v>0</v>
      </c>
      <c r="L352" t="s">
        <v>1869</v>
      </c>
    </row>
    <row r="354" spans="2:13">
      <c r="E354" t="s">
        <v>1812</v>
      </c>
    </row>
    <row r="355" spans="2:13">
      <c r="E355" t="s">
        <v>874</v>
      </c>
      <c r="F355" t="s">
        <v>1113</v>
      </c>
      <c r="G355" t="s">
        <v>921</v>
      </c>
      <c r="H355">
        <v>0.7</v>
      </c>
      <c r="J355">
        <v>127649.99999999999</v>
      </c>
      <c r="K355">
        <f>H355*J355</f>
        <v>89354.999999999985</v>
      </c>
      <c r="L355" t="s">
        <v>1870</v>
      </c>
    </row>
    <row r="356" spans="2:13">
      <c r="E356" t="s">
        <v>874</v>
      </c>
      <c r="F356" t="s">
        <v>493</v>
      </c>
      <c r="G356" t="s">
        <v>921</v>
      </c>
      <c r="H356">
        <v>0.7</v>
      </c>
      <c r="J356">
        <v>127649.99999999999</v>
      </c>
      <c r="K356">
        <f>H356*J356</f>
        <v>89354.999999999985</v>
      </c>
      <c r="L356" t="s">
        <v>1870</v>
      </c>
    </row>
    <row r="357" spans="2:13">
      <c r="E357" t="s">
        <v>874</v>
      </c>
      <c r="F357" t="s">
        <v>1840</v>
      </c>
      <c r="G357" t="s">
        <v>921</v>
      </c>
      <c r="H357">
        <v>7.0000000000000007E-2</v>
      </c>
      <c r="J357">
        <v>255299.99999999997</v>
      </c>
      <c r="K357">
        <f>H357*J357</f>
        <v>17871</v>
      </c>
      <c r="L357" t="s">
        <v>1871</v>
      </c>
    </row>
    <row r="358" spans="2:13">
      <c r="E358" t="s">
        <v>874</v>
      </c>
      <c r="F358" t="s">
        <v>1029</v>
      </c>
      <c r="G358" t="s">
        <v>921</v>
      </c>
      <c r="H358">
        <v>7.0000000000000007E-2</v>
      </c>
      <c r="J358">
        <v>169050</v>
      </c>
      <c r="K358">
        <f>J358*H358</f>
        <v>11833.500000000002</v>
      </c>
      <c r="L358" t="s">
        <v>1871</v>
      </c>
    </row>
    <row r="359" spans="2:13">
      <c r="K359">
        <f>SUM(K351:K358)</f>
        <v>1355539.5</v>
      </c>
      <c r="M359">
        <f>K359/100</f>
        <v>13555.395</v>
      </c>
    </row>
    <row r="360" spans="2:13">
      <c r="B360" t="s">
        <v>1806</v>
      </c>
      <c r="C360">
        <f>C349+1</f>
        <v>28</v>
      </c>
      <c r="E360" t="s">
        <v>1872</v>
      </c>
    </row>
    <row r="361" spans="2:13">
      <c r="E361" t="s">
        <v>93</v>
      </c>
    </row>
    <row r="362" spans="2:13">
      <c r="E362" t="s">
        <v>874</v>
      </c>
      <c r="F362" t="s">
        <v>1873</v>
      </c>
      <c r="G362" t="s">
        <v>1</v>
      </c>
      <c r="H362">
        <v>105</v>
      </c>
      <c r="I362" t="s">
        <v>1</v>
      </c>
      <c r="J362">
        <v>11500</v>
      </c>
      <c r="K362">
        <f>H362*J362</f>
        <v>1207500</v>
      </c>
      <c r="L362">
        <v>105</v>
      </c>
    </row>
    <row r="363" spans="2:13">
      <c r="E363" t="s">
        <v>874</v>
      </c>
      <c r="F363" t="s">
        <v>1868</v>
      </c>
      <c r="G363" t="s">
        <v>1</v>
      </c>
      <c r="H363">
        <v>1.5</v>
      </c>
      <c r="I363" t="s">
        <v>1</v>
      </c>
      <c r="J363">
        <v>0</v>
      </c>
      <c r="K363">
        <f>H363*J363</f>
        <v>0</v>
      </c>
      <c r="L363" t="s">
        <v>1869</v>
      </c>
    </row>
    <row r="365" spans="2:13">
      <c r="E365" t="s">
        <v>1812</v>
      </c>
    </row>
    <row r="366" spans="2:13">
      <c r="E366" t="s">
        <v>874</v>
      </c>
      <c r="F366" t="s">
        <v>1113</v>
      </c>
      <c r="G366" t="s">
        <v>921</v>
      </c>
      <c r="H366">
        <v>0.7</v>
      </c>
      <c r="I366" t="s">
        <v>1813</v>
      </c>
      <c r="J366">
        <v>127649.99999999999</v>
      </c>
      <c r="K366">
        <f>H366*J366</f>
        <v>89354.999999999985</v>
      </c>
      <c r="L366" t="s">
        <v>1870</v>
      </c>
    </row>
    <row r="367" spans="2:13">
      <c r="E367" t="s">
        <v>874</v>
      </c>
      <c r="F367" t="s">
        <v>493</v>
      </c>
      <c r="G367" t="s">
        <v>921</v>
      </c>
      <c r="H367">
        <v>0.7</v>
      </c>
      <c r="I367" t="s">
        <v>1813</v>
      </c>
      <c r="J367">
        <v>127649.99999999999</v>
      </c>
      <c r="K367">
        <f>H367*J367</f>
        <v>89354.999999999985</v>
      </c>
      <c r="L367" t="s">
        <v>1870</v>
      </c>
    </row>
    <row r="368" spans="2:13">
      <c r="E368" t="s">
        <v>874</v>
      </c>
      <c r="F368" t="s">
        <v>1840</v>
      </c>
      <c r="G368" t="s">
        <v>921</v>
      </c>
      <c r="H368">
        <v>7.0000000000000007E-2</v>
      </c>
      <c r="J368">
        <v>255299.99999999997</v>
      </c>
      <c r="K368">
        <f>J368*H368</f>
        <v>17871</v>
      </c>
      <c r="L368" t="s">
        <v>1871</v>
      </c>
    </row>
    <row r="369" spans="2:13">
      <c r="E369" t="s">
        <v>874</v>
      </c>
      <c r="F369" t="s">
        <v>1029</v>
      </c>
      <c r="G369" t="s">
        <v>921</v>
      </c>
      <c r="H369">
        <v>7.0000000000000007E-2</v>
      </c>
      <c r="I369" t="s">
        <v>1813</v>
      </c>
      <c r="J369">
        <v>169050</v>
      </c>
      <c r="K369">
        <f>J369*H369</f>
        <v>11833.500000000002</v>
      </c>
      <c r="L369" t="s">
        <v>1871</v>
      </c>
    </row>
    <row r="370" spans="2:13">
      <c r="K370">
        <f>SUM(K362:K369)</f>
        <v>1415914.5</v>
      </c>
      <c r="M370">
        <f>K370/100</f>
        <v>14159.145</v>
      </c>
    </row>
    <row r="371" spans="2:13">
      <c r="B371" t="s">
        <v>1806</v>
      </c>
      <c r="C371">
        <f>C360+1</f>
        <v>29</v>
      </c>
      <c r="E371" t="s">
        <v>1874</v>
      </c>
    </row>
    <row r="372" spans="2:13">
      <c r="E372" t="s">
        <v>237</v>
      </c>
    </row>
    <row r="373" spans="2:13">
      <c r="E373" t="s">
        <v>874</v>
      </c>
      <c r="F373" t="s">
        <v>1787</v>
      </c>
      <c r="G373" t="s">
        <v>180</v>
      </c>
      <c r="H373">
        <v>0.65</v>
      </c>
      <c r="J373">
        <v>23000000</v>
      </c>
      <c r="K373">
        <f>H373*J373</f>
        <v>14950000</v>
      </c>
    </row>
    <row r="374" spans="2:13">
      <c r="E374" t="s">
        <v>874</v>
      </c>
      <c r="F374" t="s">
        <v>1051</v>
      </c>
      <c r="G374" t="s">
        <v>180</v>
      </c>
      <c r="H374">
        <v>0.35</v>
      </c>
      <c r="I374" t="s">
        <v>180</v>
      </c>
      <c r="J374">
        <v>20125000</v>
      </c>
      <c r="K374">
        <f>H374*J374</f>
        <v>7043750</v>
      </c>
    </row>
    <row r="375" spans="2:13">
      <c r="E375" t="s">
        <v>874</v>
      </c>
      <c r="F375" t="s">
        <v>523</v>
      </c>
      <c r="G375" t="s">
        <v>1</v>
      </c>
      <c r="H375">
        <v>120</v>
      </c>
      <c r="I375" t="s">
        <v>1875</v>
      </c>
      <c r="J375">
        <v>31624.999999999996</v>
      </c>
      <c r="K375">
        <f>H375*J375</f>
        <v>3794999.9999999995</v>
      </c>
    </row>
    <row r="376" spans="2:13">
      <c r="E376" t="s">
        <v>874</v>
      </c>
      <c r="F376" t="s">
        <v>1788</v>
      </c>
      <c r="G376" t="s">
        <v>180</v>
      </c>
      <c r="H376">
        <v>3.5000000000000003E-2</v>
      </c>
      <c r="I376" t="s">
        <v>180</v>
      </c>
      <c r="J376">
        <v>20125000</v>
      </c>
      <c r="K376">
        <f>H376*J376</f>
        <v>704375.00000000012</v>
      </c>
    </row>
    <row r="378" spans="2:13">
      <c r="E378" t="s">
        <v>114</v>
      </c>
      <c r="L378" t="s">
        <v>1876</v>
      </c>
    </row>
    <row r="379" spans="2:13">
      <c r="E379" t="s">
        <v>874</v>
      </c>
      <c r="F379" t="s">
        <v>1791</v>
      </c>
      <c r="G379" t="s">
        <v>72</v>
      </c>
      <c r="H379">
        <v>1</v>
      </c>
      <c r="J379">
        <v>112307.84999999999</v>
      </c>
      <c r="K379">
        <f>H379*J379</f>
        <v>112307.84999999999</v>
      </c>
    </row>
    <row r="380" spans="2:13">
      <c r="E380" t="s">
        <v>874</v>
      </c>
      <c r="F380" t="s">
        <v>802</v>
      </c>
      <c r="G380" t="s">
        <v>72</v>
      </c>
      <c r="H380">
        <v>1</v>
      </c>
      <c r="J380">
        <v>55889.999999999993</v>
      </c>
      <c r="K380">
        <f>H380*J380</f>
        <v>55889.999999999993</v>
      </c>
    </row>
    <row r="382" spans="2:13">
      <c r="E382" t="s">
        <v>1812</v>
      </c>
    </row>
    <row r="383" spans="2:13">
      <c r="E383" t="s">
        <v>874</v>
      </c>
      <c r="F383" t="s">
        <v>1113</v>
      </c>
      <c r="G383" t="s">
        <v>921</v>
      </c>
      <c r="H383">
        <v>15</v>
      </c>
      <c r="I383" t="s">
        <v>1813</v>
      </c>
      <c r="J383">
        <v>127649.99999999999</v>
      </c>
      <c r="K383">
        <f>H383*J383</f>
        <v>1914749.9999999998</v>
      </c>
    </row>
    <row r="384" spans="2:13">
      <c r="E384" t="s">
        <v>874</v>
      </c>
      <c r="F384" t="s">
        <v>493</v>
      </c>
      <c r="G384" t="s">
        <v>921</v>
      </c>
      <c r="H384">
        <v>25</v>
      </c>
      <c r="I384" t="s">
        <v>1813</v>
      </c>
      <c r="J384">
        <v>127649.99999999999</v>
      </c>
      <c r="K384">
        <f>H384*J384</f>
        <v>3191249.9999999995</v>
      </c>
    </row>
    <row r="385" spans="2:11">
      <c r="E385" t="s">
        <v>874</v>
      </c>
      <c r="F385" t="s">
        <v>1877</v>
      </c>
      <c r="G385" t="s">
        <v>921</v>
      </c>
      <c r="H385">
        <v>2</v>
      </c>
      <c r="I385" t="s">
        <v>1813</v>
      </c>
      <c r="J385">
        <v>169050</v>
      </c>
      <c r="K385">
        <f>H385*J385</f>
        <v>338100</v>
      </c>
    </row>
    <row r="386" spans="2:11">
      <c r="K386">
        <f>SUM(K373:K385)</f>
        <v>32105422.850000001</v>
      </c>
    </row>
    <row r="387" spans="2:11">
      <c r="B387" t="s">
        <v>1806</v>
      </c>
      <c r="C387">
        <f>C371+1</f>
        <v>30</v>
      </c>
      <c r="E387" t="s">
        <v>1878</v>
      </c>
    </row>
    <row r="388" spans="2:11">
      <c r="E388" t="s">
        <v>93</v>
      </c>
    </row>
    <row r="389" spans="2:11">
      <c r="E389" t="s">
        <v>874</v>
      </c>
      <c r="F389" t="s">
        <v>1879</v>
      </c>
      <c r="G389" t="s">
        <v>40</v>
      </c>
      <c r="H389">
        <v>2.8000000000000001E-2</v>
      </c>
      <c r="I389" t="s">
        <v>793</v>
      </c>
      <c r="J389">
        <v>4192708.333333333</v>
      </c>
      <c r="K389">
        <f t="shared" ref="K389:K398" si="2">J389*H389</f>
        <v>117395.83333333333</v>
      </c>
    </row>
    <row r="390" spans="2:11">
      <c r="E390" t="s">
        <v>874</v>
      </c>
      <c r="F390" t="s">
        <v>1880</v>
      </c>
      <c r="G390" t="s">
        <v>40</v>
      </c>
      <c r="H390">
        <v>0.122</v>
      </c>
      <c r="I390" t="s">
        <v>40</v>
      </c>
      <c r="J390">
        <v>4192708.333333333</v>
      </c>
      <c r="K390">
        <f t="shared" si="2"/>
        <v>511510.41666666663</v>
      </c>
    </row>
    <row r="391" spans="2:11">
      <c r="E391" t="s">
        <v>874</v>
      </c>
      <c r="F391" t="s">
        <v>1811</v>
      </c>
      <c r="G391" t="s">
        <v>1</v>
      </c>
      <c r="H391">
        <v>0.4</v>
      </c>
      <c r="J391">
        <v>0</v>
      </c>
      <c r="K391">
        <f t="shared" si="2"/>
        <v>0</v>
      </c>
    </row>
    <row r="392" spans="2:11">
      <c r="E392" t="s">
        <v>874</v>
      </c>
      <c r="F392" t="s">
        <v>1881</v>
      </c>
      <c r="G392" t="s">
        <v>77</v>
      </c>
      <c r="H392">
        <v>0.2</v>
      </c>
      <c r="I392" t="s">
        <v>1</v>
      </c>
      <c r="J392">
        <f>4000</f>
        <v>4000</v>
      </c>
      <c r="K392">
        <f t="shared" si="2"/>
        <v>800</v>
      </c>
    </row>
    <row r="393" spans="2:11">
      <c r="K393">
        <f t="shared" si="2"/>
        <v>0</v>
      </c>
    </row>
    <row r="394" spans="2:11">
      <c r="E394" t="s">
        <v>1812</v>
      </c>
      <c r="K394">
        <f t="shared" si="2"/>
        <v>0</v>
      </c>
    </row>
    <row r="395" spans="2:11">
      <c r="E395" t="s">
        <v>874</v>
      </c>
      <c r="F395" t="s">
        <v>725</v>
      </c>
      <c r="G395" t="s">
        <v>921</v>
      </c>
      <c r="H395">
        <v>0.27</v>
      </c>
      <c r="I395" t="s">
        <v>1813</v>
      </c>
      <c r="J395">
        <v>127649.99999999999</v>
      </c>
      <c r="K395">
        <f t="shared" si="2"/>
        <v>34465.5</v>
      </c>
    </row>
    <row r="396" spans="2:11">
      <c r="E396" t="s">
        <v>874</v>
      </c>
      <c r="F396" t="s">
        <v>493</v>
      </c>
      <c r="G396" t="s">
        <v>921</v>
      </c>
      <c r="H396">
        <v>0.54</v>
      </c>
      <c r="I396" t="s">
        <v>1813</v>
      </c>
      <c r="J396">
        <v>127649.99999999999</v>
      </c>
      <c r="K396">
        <f t="shared" si="2"/>
        <v>68931</v>
      </c>
    </row>
    <row r="397" spans="2:11">
      <c r="E397" t="s">
        <v>874</v>
      </c>
      <c r="F397" t="s">
        <v>1840</v>
      </c>
      <c r="G397" t="s">
        <v>921</v>
      </c>
      <c r="H397">
        <v>2.7E-2</v>
      </c>
      <c r="J397">
        <v>143750</v>
      </c>
      <c r="K397">
        <f t="shared" si="2"/>
        <v>3881.25</v>
      </c>
    </row>
    <row r="398" spans="2:11">
      <c r="E398" t="s">
        <v>874</v>
      </c>
      <c r="F398" t="s">
        <v>1029</v>
      </c>
      <c r="G398" t="s">
        <v>921</v>
      </c>
      <c r="H398">
        <v>5.3999999999999999E-2</v>
      </c>
      <c r="I398" t="s">
        <v>1813</v>
      </c>
      <c r="J398">
        <v>169050</v>
      </c>
      <c r="K398">
        <f t="shared" si="2"/>
        <v>9128.7000000000007</v>
      </c>
    </row>
    <row r="399" spans="2:11">
      <c r="K399">
        <f>SUM(K389:K398)</f>
        <v>746112.7</v>
      </c>
    </row>
    <row r="400" spans="2:11">
      <c r="B400" t="s">
        <v>1806</v>
      </c>
      <c r="C400">
        <f>C387+1</f>
        <v>31</v>
      </c>
      <c r="E400" t="s">
        <v>1882</v>
      </c>
    </row>
    <row r="401" spans="2:11">
      <c r="E401" t="s">
        <v>1812</v>
      </c>
    </row>
    <row r="402" spans="2:11">
      <c r="E402" t="s">
        <v>874</v>
      </c>
      <c r="F402" t="s">
        <v>493</v>
      </c>
      <c r="G402" t="s">
        <v>921</v>
      </c>
      <c r="H402">
        <v>0.04</v>
      </c>
      <c r="I402" t="s">
        <v>1813</v>
      </c>
      <c r="J402">
        <v>127649.99999999999</v>
      </c>
      <c r="K402">
        <f>H402*J402</f>
        <v>5105.9999999999991</v>
      </c>
    </row>
    <row r="403" spans="2:11">
      <c r="E403" t="s">
        <v>874</v>
      </c>
      <c r="F403" t="s">
        <v>1029</v>
      </c>
      <c r="G403" t="s">
        <v>921</v>
      </c>
      <c r="H403">
        <v>4.0000000000000001E-3</v>
      </c>
      <c r="I403" t="s">
        <v>1813</v>
      </c>
      <c r="J403">
        <v>169050</v>
      </c>
      <c r="K403">
        <f>H403*J403</f>
        <v>676.2</v>
      </c>
    </row>
    <row r="404" spans="2:11">
      <c r="K404">
        <f>SUM(K401:K403)</f>
        <v>5782.1999999999989</v>
      </c>
    </row>
    <row r="405" spans="2:11">
      <c r="B405" t="s">
        <v>1806</v>
      </c>
      <c r="C405">
        <f>C400+1</f>
        <v>32</v>
      </c>
      <c r="E405" t="s">
        <v>1883</v>
      </c>
    </row>
    <row r="406" spans="2:11">
      <c r="E406" t="s">
        <v>93</v>
      </c>
    </row>
    <row r="407" spans="2:11">
      <c r="E407" t="s">
        <v>874</v>
      </c>
      <c r="F407" t="s">
        <v>1884</v>
      </c>
      <c r="G407" t="s">
        <v>50</v>
      </c>
      <c r="H407">
        <v>1.05</v>
      </c>
      <c r="I407" t="s">
        <v>1885</v>
      </c>
      <c r="J407">
        <v>28991.499999999996</v>
      </c>
      <c r="K407">
        <f>H407*J407</f>
        <v>30441.074999999997</v>
      </c>
    </row>
    <row r="409" spans="2:11">
      <c r="E409" t="s">
        <v>1886</v>
      </c>
    </row>
    <row r="410" spans="2:11">
      <c r="E410" t="s">
        <v>874</v>
      </c>
      <c r="F410" t="s">
        <v>738</v>
      </c>
      <c r="G410" t="s">
        <v>72</v>
      </c>
      <c r="H410">
        <v>0.05</v>
      </c>
      <c r="J410">
        <v>310500</v>
      </c>
      <c r="K410">
        <f>H410*J410</f>
        <v>15525</v>
      </c>
    </row>
    <row r="411" spans="2:11">
      <c r="E411" t="s">
        <v>874</v>
      </c>
      <c r="F411" t="s">
        <v>1795</v>
      </c>
      <c r="G411" t="s">
        <v>72</v>
      </c>
      <c r="H411">
        <v>0.05</v>
      </c>
      <c r="J411">
        <v>28749.999999999996</v>
      </c>
      <c r="K411">
        <f>H411*J411</f>
        <v>1437.5</v>
      </c>
    </row>
    <row r="412" spans="2:11">
      <c r="E412" t="s">
        <v>874</v>
      </c>
      <c r="F412" t="s">
        <v>746</v>
      </c>
      <c r="G412" t="s">
        <v>72</v>
      </c>
      <c r="H412">
        <v>0.25</v>
      </c>
      <c r="J412">
        <v>31624.999999999996</v>
      </c>
      <c r="K412">
        <f>H412*J412</f>
        <v>7906.2499999999991</v>
      </c>
    </row>
    <row r="414" spans="2:11">
      <c r="E414" t="s">
        <v>1812</v>
      </c>
    </row>
    <row r="415" spans="2:11">
      <c r="E415" t="s">
        <v>874</v>
      </c>
      <c r="F415" t="s">
        <v>493</v>
      </c>
      <c r="G415" t="s">
        <v>921</v>
      </c>
      <c r="H415">
        <v>0.4</v>
      </c>
      <c r="I415" t="s">
        <v>1813</v>
      </c>
      <c r="J415">
        <v>127649.99999999999</v>
      </c>
      <c r="K415">
        <f>H415*J415</f>
        <v>51060</v>
      </c>
    </row>
    <row r="416" spans="2:11">
      <c r="E416" t="s">
        <v>874</v>
      </c>
      <c r="F416" t="s">
        <v>1029</v>
      </c>
      <c r="G416" t="s">
        <v>921</v>
      </c>
      <c r="H416">
        <v>0.04</v>
      </c>
      <c r="I416" t="s">
        <v>1813</v>
      </c>
      <c r="J416">
        <v>169050</v>
      </c>
      <c r="K416">
        <f>H416*J416</f>
        <v>6762</v>
      </c>
    </row>
    <row r="417" spans="2:11">
      <c r="E417" t="s">
        <v>874</v>
      </c>
      <c r="F417" t="s">
        <v>1031</v>
      </c>
      <c r="G417" t="s">
        <v>921</v>
      </c>
      <c r="H417">
        <v>0.05</v>
      </c>
      <c r="J417">
        <v>127649.99999999999</v>
      </c>
      <c r="K417">
        <f>H417*J417</f>
        <v>6382.5</v>
      </c>
    </row>
    <row r="418" spans="2:11">
      <c r="K418">
        <f>SUM(K407:K417)</f>
        <v>119514.325</v>
      </c>
    </row>
    <row r="419" spans="2:11">
      <c r="B419" t="s">
        <v>1806</v>
      </c>
      <c r="C419">
        <f>C405+1</f>
        <v>33</v>
      </c>
      <c r="E419" t="s">
        <v>1887</v>
      </c>
    </row>
    <row r="420" spans="2:11">
      <c r="E420" t="s">
        <v>93</v>
      </c>
    </row>
    <row r="421" spans="2:11">
      <c r="E421" t="s">
        <v>874</v>
      </c>
      <c r="F421" t="s">
        <v>1888</v>
      </c>
      <c r="G421" t="s">
        <v>3</v>
      </c>
      <c r="H421">
        <v>1</v>
      </c>
      <c r="J421">
        <v>200000</v>
      </c>
      <c r="K421">
        <f>H421*J421</f>
        <v>200000</v>
      </c>
    </row>
    <row r="422" spans="2:11">
      <c r="E422" t="s">
        <v>874</v>
      </c>
      <c r="F422" t="s">
        <v>1889</v>
      </c>
      <c r="G422" t="s">
        <v>40</v>
      </c>
      <c r="H422">
        <v>0.13</v>
      </c>
      <c r="J422">
        <f>K198</f>
        <v>1361356.0279761904</v>
      </c>
      <c r="K422">
        <f>H422*J422</f>
        <v>176976.28363690476</v>
      </c>
    </row>
    <row r="423" spans="2:11">
      <c r="E423" t="s">
        <v>874</v>
      </c>
      <c r="F423" t="s">
        <v>1890</v>
      </c>
      <c r="G423" t="s">
        <v>1</v>
      </c>
      <c r="H423">
        <v>7.5</v>
      </c>
      <c r="J423">
        <v>11500</v>
      </c>
      <c r="K423">
        <f>H423*J423</f>
        <v>86250</v>
      </c>
    </row>
    <row r="424" spans="2:11">
      <c r="E424" t="s">
        <v>874</v>
      </c>
      <c r="F424" t="s">
        <v>1038</v>
      </c>
      <c r="G424" t="s">
        <v>210</v>
      </c>
      <c r="H424">
        <v>1</v>
      </c>
      <c r="J424">
        <v>43470</v>
      </c>
      <c r="K424">
        <f>H424*J424</f>
        <v>43470</v>
      </c>
    </row>
    <row r="425" spans="2:11">
      <c r="E425" t="s">
        <v>874</v>
      </c>
      <c r="F425" t="s">
        <v>1891</v>
      </c>
      <c r="G425" t="s">
        <v>798</v>
      </c>
      <c r="H425">
        <v>0.5</v>
      </c>
      <c r="J425">
        <v>11500</v>
      </c>
      <c r="K425">
        <f>H425*J425</f>
        <v>5750</v>
      </c>
    </row>
    <row r="427" spans="2:11">
      <c r="E427" t="s">
        <v>114</v>
      </c>
    </row>
    <row r="428" spans="2:11">
      <c r="E428" t="s">
        <v>874</v>
      </c>
      <c r="F428" t="s">
        <v>1792</v>
      </c>
      <c r="G428" t="s">
        <v>72</v>
      </c>
      <c r="H428">
        <v>0.15</v>
      </c>
      <c r="J428">
        <v>310500</v>
      </c>
      <c r="K428">
        <f>H428*J428</f>
        <v>46575</v>
      </c>
    </row>
    <row r="429" spans="2:11">
      <c r="E429" t="s">
        <v>874</v>
      </c>
      <c r="F429" t="s">
        <v>801</v>
      </c>
      <c r="G429" t="s">
        <v>72</v>
      </c>
      <c r="H429">
        <v>0.15</v>
      </c>
      <c r="J429">
        <v>37260</v>
      </c>
      <c r="K429">
        <f>H429*J429</f>
        <v>5589</v>
      </c>
    </row>
    <row r="430" spans="2:11">
      <c r="E430" t="s">
        <v>874</v>
      </c>
      <c r="F430" t="s">
        <v>743</v>
      </c>
      <c r="G430" t="s">
        <v>72</v>
      </c>
      <c r="H430">
        <v>0.15</v>
      </c>
      <c r="J430">
        <v>38812.5</v>
      </c>
      <c r="K430">
        <f>H430*J430</f>
        <v>5821.875</v>
      </c>
    </row>
    <row r="431" spans="2:11">
      <c r="E431" t="s">
        <v>874</v>
      </c>
      <c r="F431" t="s">
        <v>802</v>
      </c>
      <c r="G431" t="s">
        <v>72</v>
      </c>
      <c r="H431">
        <v>0.15</v>
      </c>
      <c r="J431">
        <v>55889.999999999993</v>
      </c>
      <c r="K431">
        <f>H431*J431</f>
        <v>8383.4999999999982</v>
      </c>
    </row>
    <row r="433" spans="2:11">
      <c r="E433" t="s">
        <v>1892</v>
      </c>
    </row>
    <row r="434" spans="2:11">
      <c r="E434" t="s">
        <v>874</v>
      </c>
      <c r="F434" t="s">
        <v>1796</v>
      </c>
      <c r="G434" t="s">
        <v>210</v>
      </c>
      <c r="H434">
        <v>4.0000000000000001E-3</v>
      </c>
      <c r="J434">
        <v>34500000</v>
      </c>
      <c r="K434">
        <f>H434*J434</f>
        <v>138000</v>
      </c>
    </row>
    <row r="436" spans="2:11">
      <c r="E436" t="s">
        <v>1812</v>
      </c>
    </row>
    <row r="437" spans="2:11">
      <c r="E437" t="s">
        <v>874</v>
      </c>
      <c r="F437" t="s">
        <v>493</v>
      </c>
      <c r="G437" t="s">
        <v>921</v>
      </c>
      <c r="H437">
        <v>0.1</v>
      </c>
      <c r="J437">
        <v>127649.99999999999</v>
      </c>
      <c r="K437">
        <f>H437*J437</f>
        <v>12765</v>
      </c>
    </row>
    <row r="438" spans="2:11">
      <c r="E438" t="s">
        <v>874</v>
      </c>
      <c r="F438" t="s">
        <v>1029</v>
      </c>
      <c r="G438" t="s">
        <v>921</v>
      </c>
      <c r="H438">
        <v>0.01</v>
      </c>
      <c r="J438">
        <v>169050</v>
      </c>
      <c r="K438">
        <f>H438*J438</f>
        <v>1690.5</v>
      </c>
    </row>
    <row r="439" spans="2:11">
      <c r="E439" t="s">
        <v>874</v>
      </c>
      <c r="F439" t="s">
        <v>720</v>
      </c>
      <c r="G439" t="s">
        <v>921</v>
      </c>
      <c r="H439">
        <v>0.05</v>
      </c>
      <c r="J439">
        <v>139150</v>
      </c>
      <c r="K439">
        <f>H439*J439</f>
        <v>6957.5</v>
      </c>
    </row>
    <row r="440" spans="2:11">
      <c r="E440" t="s">
        <v>874</v>
      </c>
      <c r="F440" t="s">
        <v>996</v>
      </c>
      <c r="G440" t="s">
        <v>921</v>
      </c>
      <c r="H440">
        <v>2.5000000000000001E-2</v>
      </c>
      <c r="J440">
        <v>448499.99999999994</v>
      </c>
      <c r="K440">
        <f>H440*J440</f>
        <v>11212.5</v>
      </c>
    </row>
    <row r="441" spans="2:11">
      <c r="E441" t="s">
        <v>874</v>
      </c>
      <c r="F441" t="s">
        <v>719</v>
      </c>
      <c r="G441" t="s">
        <v>921</v>
      </c>
      <c r="H441">
        <v>0.01</v>
      </c>
      <c r="J441">
        <v>345000</v>
      </c>
      <c r="K441">
        <f>H441*J441</f>
        <v>3450</v>
      </c>
    </row>
    <row r="442" spans="2:11">
      <c r="K442">
        <f>SUM(K421:K441)</f>
        <v>752891.15863690479</v>
      </c>
    </row>
    <row r="443" spans="2:11">
      <c r="B443" t="s">
        <v>1806</v>
      </c>
      <c r="C443">
        <f>C419+1</f>
        <v>34</v>
      </c>
      <c r="E443" t="s">
        <v>1893</v>
      </c>
    </row>
    <row r="444" spans="2:11">
      <c r="E444" t="s">
        <v>93</v>
      </c>
    </row>
    <row r="445" spans="2:11">
      <c r="E445" t="s">
        <v>874</v>
      </c>
      <c r="F445" t="s">
        <v>1894</v>
      </c>
      <c r="G445" t="s">
        <v>3</v>
      </c>
      <c r="H445">
        <v>1.03</v>
      </c>
      <c r="J445">
        <v>130000</v>
      </c>
      <c r="K445">
        <f>H445*J445</f>
        <v>133900</v>
      </c>
    </row>
    <row r="447" spans="2:11">
      <c r="E447" t="s">
        <v>114</v>
      </c>
    </row>
    <row r="448" spans="2:11">
      <c r="E448" t="s">
        <v>874</v>
      </c>
      <c r="F448" t="s">
        <v>1795</v>
      </c>
      <c r="G448" t="s">
        <v>72</v>
      </c>
      <c r="H448">
        <v>3.1199999999999999E-2</v>
      </c>
      <c r="J448">
        <v>28749.999999999996</v>
      </c>
      <c r="K448">
        <f>H448*J448</f>
        <v>896.99999999999989</v>
      </c>
    </row>
    <row r="449" spans="2:11">
      <c r="E449" t="s">
        <v>874</v>
      </c>
      <c r="F449" t="s">
        <v>1793</v>
      </c>
      <c r="G449" t="s">
        <v>72</v>
      </c>
      <c r="H449">
        <v>3.1199999999999999E-2</v>
      </c>
      <c r="J449">
        <v>35218.75</v>
      </c>
      <c r="K449">
        <f>H449*J449</f>
        <v>1098.825</v>
      </c>
    </row>
    <row r="450" spans="2:11">
      <c r="E450" t="s">
        <v>874</v>
      </c>
      <c r="F450" t="s">
        <v>1794</v>
      </c>
      <c r="G450" t="s">
        <v>72</v>
      </c>
      <c r="H450">
        <v>0.25</v>
      </c>
      <c r="J450">
        <v>55889.999999999993</v>
      </c>
      <c r="K450">
        <f>H450*J450</f>
        <v>13972.499999999998</v>
      </c>
    </row>
    <row r="452" spans="2:11">
      <c r="E452" t="s">
        <v>1812</v>
      </c>
    </row>
    <row r="453" spans="2:11">
      <c r="E453" t="s">
        <v>874</v>
      </c>
      <c r="F453" t="s">
        <v>493</v>
      </c>
      <c r="G453" t="s">
        <v>921</v>
      </c>
      <c r="H453">
        <v>0.25</v>
      </c>
      <c r="J453">
        <v>127649.99999999999</v>
      </c>
      <c r="K453">
        <f>H453*J453</f>
        <v>31912.499999999996</v>
      </c>
    </row>
    <row r="454" spans="2:11">
      <c r="E454" t="s">
        <v>874</v>
      </c>
      <c r="F454" t="str">
        <f>F397</f>
        <v>Worker Chief</v>
      </c>
      <c r="G454" t="s">
        <v>921</v>
      </c>
      <c r="H454">
        <v>3.1199999999999999E-2</v>
      </c>
      <c r="J454">
        <v>255299.99999999997</v>
      </c>
      <c r="K454">
        <f>H454*J454</f>
        <v>7965.3599999999988</v>
      </c>
    </row>
    <row r="455" spans="2:11">
      <c r="E455" t="s">
        <v>874</v>
      </c>
      <c r="F455" t="str">
        <f>F403</f>
        <v>Foreman</v>
      </c>
      <c r="G455" t="s">
        <v>921</v>
      </c>
      <c r="H455">
        <v>2.5000000000000001E-2</v>
      </c>
      <c r="J455">
        <v>169050</v>
      </c>
      <c r="K455">
        <f>H455*J455</f>
        <v>4226.25</v>
      </c>
    </row>
    <row r="456" spans="2:11">
      <c r="K456">
        <f>SUM(K445:K455)</f>
        <v>193972.435</v>
      </c>
    </row>
    <row r="458" spans="2:11">
      <c r="B458" t="s">
        <v>1806</v>
      </c>
      <c r="C458">
        <f>C443+1</f>
        <v>35</v>
      </c>
      <c r="E458" t="s">
        <v>1122</v>
      </c>
    </row>
    <row r="459" spans="2:11">
      <c r="E459" t="s">
        <v>1812</v>
      </c>
    </row>
    <row r="460" spans="2:11">
      <c r="E460" t="s">
        <v>874</v>
      </c>
      <c r="F460" t="s">
        <v>493</v>
      </c>
      <c r="G460" t="s">
        <v>921</v>
      </c>
      <c r="H460">
        <v>6</v>
      </c>
      <c r="I460" t="s">
        <v>1813</v>
      </c>
      <c r="J460">
        <v>127649.99999999999</v>
      </c>
      <c r="K460">
        <f>H460*J460</f>
        <v>765899.99999999988</v>
      </c>
    </row>
    <row r="461" spans="2:11">
      <c r="E461" t="s">
        <v>874</v>
      </c>
      <c r="F461" t="str">
        <f>F455</f>
        <v>Foreman</v>
      </c>
      <c r="G461" t="s">
        <v>921</v>
      </c>
      <c r="H461">
        <v>1</v>
      </c>
      <c r="I461" t="s">
        <v>1813</v>
      </c>
      <c r="J461">
        <v>169050</v>
      </c>
      <c r="K461">
        <f>H461*J461</f>
        <v>169050</v>
      </c>
    </row>
    <row r="463" spans="2:11">
      <c r="K463">
        <f>SUM(K460:K462)</f>
        <v>934949.99999999988</v>
      </c>
    </row>
    <row r="465" spans="2:12" ht="12" customHeight="1">
      <c r="B465" t="s">
        <v>1806</v>
      </c>
      <c r="C465">
        <f>C458+1</f>
        <v>36</v>
      </c>
      <c r="E465" t="s">
        <v>1121</v>
      </c>
    </row>
    <row r="466" spans="2:12">
      <c r="E466" t="s">
        <v>1812</v>
      </c>
    </row>
    <row r="467" spans="2:12">
      <c r="E467" t="s">
        <v>874</v>
      </c>
      <c r="F467" t="s">
        <v>1113</v>
      </c>
      <c r="G467" t="s">
        <v>921</v>
      </c>
      <c r="H467">
        <v>5</v>
      </c>
      <c r="I467" t="s">
        <v>1813</v>
      </c>
      <c r="J467">
        <v>127649.99999999999</v>
      </c>
      <c r="K467">
        <f>H467*J467</f>
        <v>638249.99999999988</v>
      </c>
    </row>
    <row r="468" spans="2:12">
      <c r="E468" t="s">
        <v>874</v>
      </c>
      <c r="F468" t="s">
        <v>493</v>
      </c>
      <c r="G468" t="s">
        <v>921</v>
      </c>
      <c r="H468">
        <v>9</v>
      </c>
      <c r="I468" t="s">
        <v>1813</v>
      </c>
      <c r="J468">
        <v>127649.99999999999</v>
      </c>
      <c r="K468">
        <f>H468*J468</f>
        <v>1148849.9999999998</v>
      </c>
    </row>
    <row r="469" spans="2:12">
      <c r="E469" t="s">
        <v>874</v>
      </c>
      <c r="F469" t="str">
        <f>F461</f>
        <v>Foreman</v>
      </c>
      <c r="G469" t="s">
        <v>921</v>
      </c>
      <c r="H469">
        <v>1</v>
      </c>
      <c r="I469" t="s">
        <v>1813</v>
      </c>
      <c r="J469">
        <v>169050</v>
      </c>
      <c r="K469">
        <f>H469*J469</f>
        <v>169050</v>
      </c>
    </row>
    <row r="470" spans="2:12">
      <c r="E470" t="s">
        <v>874</v>
      </c>
      <c r="F470" t="s">
        <v>996</v>
      </c>
      <c r="G470" t="s">
        <v>921</v>
      </c>
      <c r="H470">
        <v>0.5</v>
      </c>
      <c r="I470" t="s">
        <v>1813</v>
      </c>
      <c r="J470">
        <v>448499.99999999994</v>
      </c>
      <c r="K470">
        <f>H470*J470</f>
        <v>224249.99999999997</v>
      </c>
    </row>
    <row r="471" spans="2:12">
      <c r="L471" t="s">
        <v>1895</v>
      </c>
    </row>
    <row r="472" spans="2:12">
      <c r="E472" t="s">
        <v>114</v>
      </c>
      <c r="L472" t="s">
        <v>236</v>
      </c>
    </row>
    <row r="473" spans="2:12">
      <c r="E473" t="s">
        <v>874</v>
      </c>
      <c r="F473" t="s">
        <v>826</v>
      </c>
      <c r="G473" t="s">
        <v>50</v>
      </c>
      <c r="H473">
        <v>8</v>
      </c>
      <c r="I473" t="s">
        <v>1885</v>
      </c>
      <c r="J473">
        <v>17250</v>
      </c>
      <c r="K473">
        <f>H473*J473</f>
        <v>138000</v>
      </c>
    </row>
    <row r="474" spans="2:12">
      <c r="E474" t="s">
        <v>874</v>
      </c>
      <c r="F474" t="s">
        <v>1034</v>
      </c>
      <c r="G474" t="s">
        <v>98</v>
      </c>
      <c r="H474">
        <v>3</v>
      </c>
      <c r="I474" t="s">
        <v>1896</v>
      </c>
      <c r="J474">
        <v>15333.33333333333</v>
      </c>
      <c r="K474">
        <f>H474*J474</f>
        <v>45999.999999999993</v>
      </c>
    </row>
    <row r="475" spans="2:12">
      <c r="E475" t="s">
        <v>874</v>
      </c>
      <c r="F475" t="s">
        <v>1036</v>
      </c>
      <c r="G475" t="s">
        <v>1037</v>
      </c>
      <c r="H475">
        <v>10</v>
      </c>
      <c r="I475" t="s">
        <v>1037</v>
      </c>
      <c r="J475">
        <v>11923.199999999999</v>
      </c>
      <c r="K475">
        <f>H475*J475</f>
        <v>119231.99999999999</v>
      </c>
    </row>
    <row r="476" spans="2:12">
      <c r="K476">
        <f>SUM(K467:K475)</f>
        <v>2483631.9999999995</v>
      </c>
    </row>
    <row r="477" spans="2:12" ht="12" customHeight="1">
      <c r="B477" t="s">
        <v>1806</v>
      </c>
      <c r="C477">
        <f>C465+1</f>
        <v>37</v>
      </c>
      <c r="E477" t="s">
        <v>1120</v>
      </c>
    </row>
    <row r="478" spans="2:12">
      <c r="E478" t="s">
        <v>1812</v>
      </c>
    </row>
    <row r="479" spans="2:12">
      <c r="E479" t="s">
        <v>874</v>
      </c>
      <c r="F479" t="s">
        <v>1113</v>
      </c>
      <c r="G479" t="s">
        <v>921</v>
      </c>
      <c r="H479">
        <v>4</v>
      </c>
      <c r="I479" t="s">
        <v>1813</v>
      </c>
      <c r="J479">
        <v>127649.99999999999</v>
      </c>
      <c r="K479">
        <f>H479*J479</f>
        <v>510599.99999999994</v>
      </c>
    </row>
    <row r="480" spans="2:12">
      <c r="E480" t="s">
        <v>874</v>
      </c>
      <c r="F480" t="s">
        <v>493</v>
      </c>
      <c r="G480" t="s">
        <v>921</v>
      </c>
      <c r="H480">
        <v>8</v>
      </c>
      <c r="I480" t="s">
        <v>1813</v>
      </c>
      <c r="J480">
        <v>127649.99999999999</v>
      </c>
      <c r="K480">
        <f>H480*J480</f>
        <v>1021199.9999999999</v>
      </c>
    </row>
    <row r="481" spans="2:12">
      <c r="E481" t="s">
        <v>874</v>
      </c>
      <c r="F481" t="str">
        <f>F469</f>
        <v>Foreman</v>
      </c>
      <c r="G481" t="s">
        <v>921</v>
      </c>
      <c r="H481">
        <v>1</v>
      </c>
      <c r="I481" t="s">
        <v>1813</v>
      </c>
      <c r="J481">
        <v>169050</v>
      </c>
      <c r="K481">
        <f>H481*J481</f>
        <v>169050</v>
      </c>
    </row>
    <row r="482" spans="2:12">
      <c r="E482" t="s">
        <v>874</v>
      </c>
      <c r="F482" t="s">
        <v>1019</v>
      </c>
      <c r="G482" t="s">
        <v>921</v>
      </c>
      <c r="H482">
        <v>0.5</v>
      </c>
      <c r="I482" t="s">
        <v>1813</v>
      </c>
      <c r="J482">
        <v>486833.33333333326</v>
      </c>
      <c r="K482">
        <f>H482*J482</f>
        <v>243416.66666666663</v>
      </c>
    </row>
    <row r="484" spans="2:12">
      <c r="E484" t="s">
        <v>114</v>
      </c>
      <c r="L484" t="s">
        <v>236</v>
      </c>
    </row>
    <row r="485" spans="2:12">
      <c r="E485" t="s">
        <v>874</v>
      </c>
      <c r="F485" t="s">
        <v>826</v>
      </c>
      <c r="G485" t="s">
        <v>50</v>
      </c>
      <c r="H485">
        <v>8</v>
      </c>
      <c r="I485" t="s">
        <v>1885</v>
      </c>
      <c r="J485">
        <v>17250</v>
      </c>
      <c r="K485">
        <f>H485*J485</f>
        <v>138000</v>
      </c>
    </row>
    <row r="486" spans="2:12">
      <c r="E486" t="s">
        <v>874</v>
      </c>
      <c r="F486" t="s">
        <v>1034</v>
      </c>
      <c r="G486" t="s">
        <v>98</v>
      </c>
      <c r="H486">
        <v>3</v>
      </c>
      <c r="I486" t="s">
        <v>1896</v>
      </c>
      <c r="J486">
        <v>15333.33333333333</v>
      </c>
      <c r="K486">
        <f>H486*J486</f>
        <v>45999.999999999993</v>
      </c>
    </row>
    <row r="487" spans="2:12">
      <c r="E487" t="s">
        <v>874</v>
      </c>
      <c r="F487" t="s">
        <v>1036</v>
      </c>
      <c r="G487" t="s">
        <v>1037</v>
      </c>
      <c r="H487">
        <v>10</v>
      </c>
      <c r="I487" t="s">
        <v>1037</v>
      </c>
      <c r="J487">
        <v>11923.199999999999</v>
      </c>
      <c r="K487">
        <f>H487*J487</f>
        <v>119231.99999999999</v>
      </c>
    </row>
    <row r="488" spans="2:12">
      <c r="K488">
        <f>SUM(K479:K487)</f>
        <v>2247498.6666666665</v>
      </c>
    </row>
    <row r="489" spans="2:12">
      <c r="B489" t="s">
        <v>1806</v>
      </c>
      <c r="C489" t="s">
        <v>1897</v>
      </c>
      <c r="E489" t="s">
        <v>1898</v>
      </c>
    </row>
    <row r="490" spans="2:12">
      <c r="E490" t="s">
        <v>1812</v>
      </c>
    </row>
    <row r="491" spans="2:12">
      <c r="E491" t="s">
        <v>874</v>
      </c>
      <c r="F491" t="s">
        <v>1030</v>
      </c>
      <c r="G491" t="s">
        <v>921</v>
      </c>
      <c r="H491">
        <f>1/10</f>
        <v>0.1</v>
      </c>
      <c r="I491" t="s">
        <v>1813</v>
      </c>
      <c r="J491">
        <v>139150</v>
      </c>
      <c r="K491">
        <f>H491*J491</f>
        <v>13915</v>
      </c>
    </row>
    <row r="492" spans="2:12">
      <c r="E492" t="s">
        <v>874</v>
      </c>
      <c r="F492" t="s">
        <v>493</v>
      </c>
      <c r="G492" t="s">
        <v>921</v>
      </c>
      <c r="H492">
        <f>5/10</f>
        <v>0.5</v>
      </c>
      <c r="I492" t="s">
        <v>1813</v>
      </c>
      <c r="J492">
        <v>127649.99999999999</v>
      </c>
      <c r="K492">
        <f>H492*J492</f>
        <v>63824.999999999993</v>
      </c>
    </row>
    <row r="493" spans="2:12">
      <c r="E493" t="s">
        <v>874</v>
      </c>
      <c r="F493" t="s">
        <v>1113</v>
      </c>
      <c r="G493" t="s">
        <v>921</v>
      </c>
      <c r="H493">
        <f>1/10</f>
        <v>0.1</v>
      </c>
      <c r="J493">
        <v>127649.99999999999</v>
      </c>
      <c r="K493">
        <f>H493*J493</f>
        <v>12765</v>
      </c>
    </row>
    <row r="494" spans="2:12">
      <c r="E494" t="s">
        <v>874</v>
      </c>
      <c r="F494" t="s">
        <v>1029</v>
      </c>
      <c r="G494" t="s">
        <v>921</v>
      </c>
      <c r="H494">
        <f>1/10</f>
        <v>0.1</v>
      </c>
      <c r="J494">
        <v>169050</v>
      </c>
      <c r="K494">
        <f>H494*J494</f>
        <v>16905</v>
      </c>
    </row>
    <row r="496" spans="2:12">
      <c r="E496" t="s">
        <v>114</v>
      </c>
    </row>
    <row r="497" spans="2:11">
      <c r="E497" t="s">
        <v>874</v>
      </c>
      <c r="F497" t="s">
        <v>1112</v>
      </c>
      <c r="G497" t="s">
        <v>98</v>
      </c>
      <c r="H497">
        <f>(0.2/10)*1</f>
        <v>0.02</v>
      </c>
      <c r="I497" t="s">
        <v>1899</v>
      </c>
      <c r="J497">
        <v>690000</v>
      </c>
      <c r="K497">
        <f>H497*J497</f>
        <v>13800</v>
      </c>
    </row>
    <row r="498" spans="2:11">
      <c r="E498" t="s">
        <v>874</v>
      </c>
      <c r="F498" t="s">
        <v>755</v>
      </c>
      <c r="G498" t="s">
        <v>72</v>
      </c>
      <c r="H498">
        <f>(0.5/10)*2</f>
        <v>0.1</v>
      </c>
      <c r="J498">
        <v>223559.99999999997</v>
      </c>
      <c r="K498">
        <f>H498*J498</f>
        <v>22356</v>
      </c>
    </row>
    <row r="500" spans="2:11">
      <c r="E500" t="s">
        <v>292</v>
      </c>
    </row>
    <row r="501" spans="2:11">
      <c r="E501" t="s">
        <v>874</v>
      </c>
      <c r="F501" t="s">
        <v>517</v>
      </c>
      <c r="G501" t="s">
        <v>798</v>
      </c>
      <c r="H501">
        <f>5</f>
        <v>5</v>
      </c>
      <c r="I501" t="s">
        <v>57</v>
      </c>
      <c r="J501">
        <v>11500</v>
      </c>
      <c r="K501">
        <f>H501*J501</f>
        <v>57500</v>
      </c>
    </row>
    <row r="502" spans="2:11">
      <c r="K502">
        <f>SUM(K491:K501)</f>
        <v>201066</v>
      </c>
    </row>
    <row r="503" spans="2:11">
      <c r="B503" t="s">
        <v>1806</v>
      </c>
      <c r="C503" t="s">
        <v>1900</v>
      </c>
      <c r="E503" t="s">
        <v>1901</v>
      </c>
    </row>
    <row r="504" spans="2:11">
      <c r="E504" t="s">
        <v>1812</v>
      </c>
    </row>
    <row r="505" spans="2:11">
      <c r="E505" t="s">
        <v>874</v>
      </c>
      <c r="F505" t="s">
        <v>1030</v>
      </c>
      <c r="G505" t="s">
        <v>921</v>
      </c>
      <c r="H505">
        <f>1/10</f>
        <v>0.1</v>
      </c>
      <c r="I505" t="s">
        <v>1813</v>
      </c>
      <c r="J505">
        <f>J491</f>
        <v>139150</v>
      </c>
      <c r="K505">
        <f>H505*J505</f>
        <v>13915</v>
      </c>
    </row>
    <row r="506" spans="2:11">
      <c r="E506" t="s">
        <v>874</v>
      </c>
      <c r="F506" t="s">
        <v>493</v>
      </c>
      <c r="G506" t="s">
        <v>921</v>
      </c>
      <c r="H506">
        <f>5/10</f>
        <v>0.5</v>
      </c>
      <c r="I506" t="s">
        <v>1813</v>
      </c>
      <c r="J506">
        <f>J492</f>
        <v>127649.99999999999</v>
      </c>
      <c r="K506">
        <f>H506*J506</f>
        <v>63824.999999999993</v>
      </c>
    </row>
    <row r="507" spans="2:11">
      <c r="E507" t="s">
        <v>874</v>
      </c>
      <c r="F507" t="s">
        <v>1113</v>
      </c>
      <c r="G507" t="s">
        <v>921</v>
      </c>
      <c r="H507">
        <f>1/10</f>
        <v>0.1</v>
      </c>
      <c r="J507">
        <f>J493</f>
        <v>127649.99999999999</v>
      </c>
      <c r="K507">
        <f>H507*J507</f>
        <v>12765</v>
      </c>
    </row>
    <row r="508" spans="2:11">
      <c r="E508" t="s">
        <v>874</v>
      </c>
      <c r="F508" t="s">
        <v>1029</v>
      </c>
      <c r="G508" t="s">
        <v>921</v>
      </c>
      <c r="H508">
        <f>1/10</f>
        <v>0.1</v>
      </c>
      <c r="J508">
        <f>J494</f>
        <v>169050</v>
      </c>
      <c r="K508">
        <f>H508*J508</f>
        <v>16905</v>
      </c>
    </row>
    <row r="510" spans="2:11">
      <c r="E510" t="s">
        <v>114</v>
      </c>
    </row>
    <row r="511" spans="2:11">
      <c r="E511" t="s">
        <v>874</v>
      </c>
      <c r="F511" t="s">
        <v>1112</v>
      </c>
      <c r="G511" t="s">
        <v>98</v>
      </c>
      <c r="H511">
        <f>(0.2/10)*2</f>
        <v>0.04</v>
      </c>
      <c r="I511" t="s">
        <v>1899</v>
      </c>
      <c r="J511">
        <f>J497</f>
        <v>690000</v>
      </c>
      <c r="K511">
        <f>H511*J511</f>
        <v>27600</v>
      </c>
    </row>
    <row r="512" spans="2:11">
      <c r="E512" t="s">
        <v>874</v>
      </c>
      <c r="F512" t="s">
        <v>755</v>
      </c>
      <c r="G512" t="s">
        <v>72</v>
      </c>
      <c r="H512">
        <f>(0.5/10)*2</f>
        <v>0.1</v>
      </c>
      <c r="J512">
        <f>J498</f>
        <v>223559.99999999997</v>
      </c>
      <c r="K512">
        <f>H512*J512</f>
        <v>22356</v>
      </c>
    </row>
    <row r="514" spans="2:11">
      <c r="E514" t="s">
        <v>292</v>
      </c>
    </row>
    <row r="515" spans="2:11">
      <c r="E515" t="s">
        <v>874</v>
      </c>
      <c r="F515" t="s">
        <v>517</v>
      </c>
      <c r="G515" t="s">
        <v>798</v>
      </c>
      <c r="H515">
        <v>10</v>
      </c>
      <c r="I515" t="s">
        <v>57</v>
      </c>
      <c r="J515">
        <f>J501</f>
        <v>11500</v>
      </c>
      <c r="K515">
        <f>H515*J515</f>
        <v>115000</v>
      </c>
    </row>
    <row r="516" spans="2:11">
      <c r="K516">
        <f>SUM(K505:K515)</f>
        <v>272366</v>
      </c>
    </row>
    <row r="517" spans="2:11">
      <c r="B517" t="s">
        <v>1806</v>
      </c>
      <c r="C517" t="s">
        <v>1902</v>
      </c>
      <c r="E517" t="s">
        <v>1903</v>
      </c>
    </row>
    <row r="518" spans="2:11">
      <c r="E518" t="s">
        <v>1812</v>
      </c>
    </row>
    <row r="519" spans="2:11">
      <c r="E519" t="s">
        <v>874</v>
      </c>
      <c r="F519" t="s">
        <v>1030</v>
      </c>
      <c r="G519" t="s">
        <v>921</v>
      </c>
      <c r="H519">
        <f>1/10</f>
        <v>0.1</v>
      </c>
      <c r="I519" t="s">
        <v>1813</v>
      </c>
      <c r="J519">
        <f>J505</f>
        <v>139150</v>
      </c>
      <c r="K519">
        <f>H519*J519</f>
        <v>13915</v>
      </c>
    </row>
    <row r="520" spans="2:11">
      <c r="E520" t="s">
        <v>874</v>
      </c>
      <c r="F520" t="s">
        <v>493</v>
      </c>
      <c r="G520" t="s">
        <v>921</v>
      </c>
      <c r="H520">
        <f>5/10</f>
        <v>0.5</v>
      </c>
      <c r="I520" t="s">
        <v>1813</v>
      </c>
      <c r="J520">
        <f>J506</f>
        <v>127649.99999999999</v>
      </c>
      <c r="K520">
        <f>H520*J520</f>
        <v>63824.999999999993</v>
      </c>
    </row>
    <row r="521" spans="2:11">
      <c r="E521" t="s">
        <v>874</v>
      </c>
      <c r="F521" t="s">
        <v>1113</v>
      </c>
      <c r="G521" t="s">
        <v>921</v>
      </c>
      <c r="H521">
        <f>1/10</f>
        <v>0.1</v>
      </c>
      <c r="J521">
        <f>J507</f>
        <v>127649.99999999999</v>
      </c>
      <c r="K521">
        <f>H521*J521</f>
        <v>12765</v>
      </c>
    </row>
    <row r="522" spans="2:11">
      <c r="E522" t="s">
        <v>874</v>
      </c>
      <c r="F522" t="s">
        <v>1029</v>
      </c>
      <c r="G522" t="s">
        <v>921</v>
      </c>
      <c r="H522">
        <f>1/10</f>
        <v>0.1</v>
      </c>
      <c r="J522">
        <f>J508</f>
        <v>169050</v>
      </c>
      <c r="K522">
        <f>H522*J522</f>
        <v>16905</v>
      </c>
    </row>
    <row r="524" spans="2:11">
      <c r="E524" t="s">
        <v>114</v>
      </c>
    </row>
    <row r="525" spans="2:11">
      <c r="E525" t="s">
        <v>874</v>
      </c>
      <c r="F525" t="s">
        <v>1112</v>
      </c>
      <c r="G525" t="s">
        <v>98</v>
      </c>
      <c r="H525">
        <f>(0.2/10)*3</f>
        <v>0.06</v>
      </c>
      <c r="I525" t="s">
        <v>1899</v>
      </c>
      <c r="J525">
        <f>J511</f>
        <v>690000</v>
      </c>
      <c r="K525">
        <f>H525*J525</f>
        <v>41400</v>
      </c>
    </row>
    <row r="526" spans="2:11">
      <c r="E526" t="s">
        <v>874</v>
      </c>
      <c r="F526" t="s">
        <v>755</v>
      </c>
      <c r="G526" t="s">
        <v>72</v>
      </c>
      <c r="H526">
        <f>(0.5/10)*3</f>
        <v>0.15000000000000002</v>
      </c>
      <c r="J526">
        <f>J512</f>
        <v>223559.99999999997</v>
      </c>
      <c r="K526">
        <f>H526*J526</f>
        <v>33534</v>
      </c>
    </row>
    <row r="528" spans="2:11">
      <c r="E528" t="s">
        <v>292</v>
      </c>
    </row>
    <row r="529" spans="2:11">
      <c r="E529" t="s">
        <v>874</v>
      </c>
      <c r="F529" t="s">
        <v>517</v>
      </c>
      <c r="G529" t="s">
        <v>798</v>
      </c>
      <c r="H529">
        <v>15</v>
      </c>
      <c r="I529" t="s">
        <v>57</v>
      </c>
      <c r="J529">
        <f>J515</f>
        <v>11500</v>
      </c>
      <c r="K529">
        <f>H529*J529</f>
        <v>172500</v>
      </c>
    </row>
    <row r="530" spans="2:11">
      <c r="K530">
        <f>SUM(K519:K529)</f>
        <v>354844</v>
      </c>
    </row>
    <row r="531" spans="2:11">
      <c r="B531" t="s">
        <v>1806</v>
      </c>
      <c r="C531" t="s">
        <v>1904</v>
      </c>
      <c r="E531" t="s">
        <v>1905</v>
      </c>
    </row>
    <row r="532" spans="2:11">
      <c r="E532" t="s">
        <v>1812</v>
      </c>
    </row>
    <row r="533" spans="2:11">
      <c r="E533" t="s">
        <v>874</v>
      </c>
      <c r="F533" t="s">
        <v>1030</v>
      </c>
      <c r="G533" t="s">
        <v>921</v>
      </c>
      <c r="H533">
        <f>1/10</f>
        <v>0.1</v>
      </c>
      <c r="I533" t="s">
        <v>1813</v>
      </c>
      <c r="J533">
        <f>J519</f>
        <v>139150</v>
      </c>
      <c r="K533">
        <f>H533*J533</f>
        <v>13915</v>
      </c>
    </row>
    <row r="534" spans="2:11">
      <c r="E534" t="s">
        <v>874</v>
      </c>
      <c r="F534" t="s">
        <v>493</v>
      </c>
      <c r="G534" t="s">
        <v>921</v>
      </c>
      <c r="H534">
        <f>5/10</f>
        <v>0.5</v>
      </c>
      <c r="I534" t="s">
        <v>1813</v>
      </c>
      <c r="J534">
        <f>J520</f>
        <v>127649.99999999999</v>
      </c>
      <c r="K534">
        <f>H534*J534</f>
        <v>63824.999999999993</v>
      </c>
    </row>
    <row r="535" spans="2:11">
      <c r="E535" t="s">
        <v>874</v>
      </c>
      <c r="F535" t="s">
        <v>1113</v>
      </c>
      <c r="G535" t="s">
        <v>921</v>
      </c>
      <c r="H535">
        <f>1/10</f>
        <v>0.1</v>
      </c>
      <c r="J535">
        <f>J521</f>
        <v>127649.99999999999</v>
      </c>
      <c r="K535">
        <f>H535*J535</f>
        <v>12765</v>
      </c>
    </row>
    <row r="536" spans="2:11">
      <c r="E536" t="s">
        <v>874</v>
      </c>
      <c r="F536" t="s">
        <v>1029</v>
      </c>
      <c r="G536" t="s">
        <v>921</v>
      </c>
      <c r="H536">
        <f>1/10</f>
        <v>0.1</v>
      </c>
      <c r="J536">
        <f>J522</f>
        <v>169050</v>
      </c>
      <c r="K536">
        <f>H536*J536</f>
        <v>16905</v>
      </c>
    </row>
    <row r="538" spans="2:11">
      <c r="E538" t="s">
        <v>114</v>
      </c>
    </row>
    <row r="539" spans="2:11">
      <c r="E539" t="s">
        <v>874</v>
      </c>
      <c r="F539" t="s">
        <v>1112</v>
      </c>
      <c r="G539" t="s">
        <v>98</v>
      </c>
      <c r="H539">
        <f>(0.2/10)*4</f>
        <v>0.08</v>
      </c>
      <c r="I539" t="s">
        <v>1899</v>
      </c>
      <c r="J539">
        <f>J525</f>
        <v>690000</v>
      </c>
      <c r="K539">
        <f>H539*J539</f>
        <v>55200</v>
      </c>
    </row>
    <row r="540" spans="2:11">
      <c r="E540" t="s">
        <v>874</v>
      </c>
      <c r="F540" t="s">
        <v>755</v>
      </c>
      <c r="G540" t="s">
        <v>72</v>
      </c>
      <c r="H540">
        <f>(0.5/10)*4</f>
        <v>0.2</v>
      </c>
      <c r="J540">
        <f>J526</f>
        <v>223559.99999999997</v>
      </c>
      <c r="K540">
        <f>H540*J540</f>
        <v>44712</v>
      </c>
    </row>
    <row r="542" spans="2:11">
      <c r="E542" t="s">
        <v>292</v>
      </c>
    </row>
    <row r="543" spans="2:11">
      <c r="E543" t="s">
        <v>874</v>
      </c>
      <c r="F543" t="s">
        <v>517</v>
      </c>
      <c r="G543" t="s">
        <v>798</v>
      </c>
      <c r="H543">
        <v>20</v>
      </c>
      <c r="I543" t="s">
        <v>57</v>
      </c>
      <c r="J543">
        <f>J529</f>
        <v>11500</v>
      </c>
      <c r="K543">
        <f>H543*J543</f>
        <v>230000</v>
      </c>
    </row>
    <row r="544" spans="2:11">
      <c r="K544">
        <f>SUM(K533:K543)</f>
        <v>437322</v>
      </c>
    </row>
    <row r="545" spans="2:11">
      <c r="B545" t="s">
        <v>1806</v>
      </c>
      <c r="C545" t="s">
        <v>1906</v>
      </c>
      <c r="E545" t="s">
        <v>1907</v>
      </c>
    </row>
    <row r="546" spans="2:11">
      <c r="E546" t="s">
        <v>1812</v>
      </c>
    </row>
    <row r="547" spans="2:11">
      <c r="E547" t="s">
        <v>874</v>
      </c>
      <c r="F547" t="s">
        <v>1030</v>
      </c>
      <c r="G547" t="s">
        <v>921</v>
      </c>
      <c r="H547">
        <f>1/10</f>
        <v>0.1</v>
      </c>
      <c r="I547" t="s">
        <v>1813</v>
      </c>
      <c r="J547">
        <f>J533</f>
        <v>139150</v>
      </c>
      <c r="K547">
        <f>H547*J547</f>
        <v>13915</v>
      </c>
    </row>
    <row r="548" spans="2:11">
      <c r="E548" t="s">
        <v>874</v>
      </c>
      <c r="F548" t="s">
        <v>493</v>
      </c>
      <c r="G548" t="s">
        <v>921</v>
      </c>
      <c r="H548">
        <f>5/10</f>
        <v>0.5</v>
      </c>
      <c r="I548" t="s">
        <v>1813</v>
      </c>
      <c r="J548">
        <f>J534</f>
        <v>127649.99999999999</v>
      </c>
      <c r="K548">
        <f>H548*J548</f>
        <v>63824.999999999993</v>
      </c>
    </row>
    <row r="549" spans="2:11">
      <c r="E549" t="s">
        <v>874</v>
      </c>
      <c r="F549" t="s">
        <v>1113</v>
      </c>
      <c r="G549" t="s">
        <v>921</v>
      </c>
      <c r="H549">
        <f>1/10</f>
        <v>0.1</v>
      </c>
      <c r="J549">
        <f>J535</f>
        <v>127649.99999999999</v>
      </c>
      <c r="K549">
        <f>H549*J549</f>
        <v>12765</v>
      </c>
    </row>
    <row r="550" spans="2:11">
      <c r="E550" t="s">
        <v>874</v>
      </c>
      <c r="F550" t="s">
        <v>1029</v>
      </c>
      <c r="G550" t="s">
        <v>921</v>
      </c>
      <c r="H550">
        <f>1/10</f>
        <v>0.1</v>
      </c>
      <c r="J550">
        <f>J536</f>
        <v>169050</v>
      </c>
      <c r="K550">
        <f>H550*J550</f>
        <v>16905</v>
      </c>
    </row>
    <row r="552" spans="2:11">
      <c r="E552" t="s">
        <v>114</v>
      </c>
    </row>
    <row r="553" spans="2:11">
      <c r="E553" t="s">
        <v>874</v>
      </c>
      <c r="F553" t="s">
        <v>1112</v>
      </c>
      <c r="G553" t="s">
        <v>98</v>
      </c>
      <c r="H553">
        <f>(0.2/10)*5</f>
        <v>0.1</v>
      </c>
      <c r="I553" t="s">
        <v>1899</v>
      </c>
      <c r="J553">
        <f>J539</f>
        <v>690000</v>
      </c>
      <c r="K553">
        <f>H553*J553</f>
        <v>69000</v>
      </c>
    </row>
    <row r="554" spans="2:11">
      <c r="E554" t="s">
        <v>874</v>
      </c>
      <c r="F554" t="s">
        <v>755</v>
      </c>
      <c r="G554" t="s">
        <v>72</v>
      </c>
      <c r="H554">
        <f>(0.5/10)*5</f>
        <v>0.25</v>
      </c>
      <c r="J554">
        <f>J540</f>
        <v>223559.99999999997</v>
      </c>
      <c r="K554">
        <f>H554*J554</f>
        <v>55889.999999999993</v>
      </c>
    </row>
    <row r="556" spans="2:11">
      <c r="E556" t="s">
        <v>292</v>
      </c>
    </row>
    <row r="557" spans="2:11">
      <c r="E557" t="s">
        <v>874</v>
      </c>
      <c r="F557" t="s">
        <v>517</v>
      </c>
      <c r="G557" t="s">
        <v>798</v>
      </c>
      <c r="H557">
        <v>25</v>
      </c>
      <c r="I557" t="s">
        <v>57</v>
      </c>
      <c r="J557">
        <f>J543</f>
        <v>11500</v>
      </c>
      <c r="K557">
        <f>H557*J557</f>
        <v>287500</v>
      </c>
    </row>
    <row r="558" spans="2:11">
      <c r="K558">
        <f>SUM(K547:K557)</f>
        <v>519800</v>
      </c>
    </row>
    <row r="559" spans="2:11">
      <c r="B559" t="s">
        <v>1806</v>
      </c>
      <c r="C559">
        <v>39</v>
      </c>
      <c r="E559" t="s">
        <v>1111</v>
      </c>
    </row>
    <row r="560" spans="2:11">
      <c r="E560" t="s">
        <v>1812</v>
      </c>
    </row>
    <row r="561" spans="2:11">
      <c r="E561" t="s">
        <v>874</v>
      </c>
      <c r="F561" t="s">
        <v>493</v>
      </c>
      <c r="G561" t="s">
        <v>921</v>
      </c>
      <c r="H561">
        <v>1.3</v>
      </c>
      <c r="I561" t="s">
        <v>1813</v>
      </c>
      <c r="J561">
        <v>127649.99999999999</v>
      </c>
      <c r="K561">
        <f>H561*J561</f>
        <v>165945</v>
      </c>
    </row>
    <row r="562" spans="2:11">
      <c r="E562" t="s">
        <v>874</v>
      </c>
      <c r="F562" t="s">
        <v>1029</v>
      </c>
      <c r="G562" t="s">
        <v>921</v>
      </c>
      <c r="H562">
        <v>6.5000000000000002E-2</v>
      </c>
      <c r="J562">
        <v>169050</v>
      </c>
      <c r="K562">
        <f>H562*J562</f>
        <v>10988.25</v>
      </c>
    </row>
    <row r="564" spans="2:11">
      <c r="K564">
        <f>SUM(K561:K563)</f>
        <v>176933.25</v>
      </c>
    </row>
    <row r="565" spans="2:11">
      <c r="B565" t="s">
        <v>1806</v>
      </c>
      <c r="C565">
        <f>C559+1</f>
        <v>40</v>
      </c>
      <c r="E565" t="s">
        <v>1908</v>
      </c>
    </row>
    <row r="566" spans="2:11">
      <c r="E566" t="s">
        <v>1812</v>
      </c>
    </row>
    <row r="567" spans="2:11">
      <c r="E567" t="s">
        <v>874</v>
      </c>
      <c r="F567" t="s">
        <v>1030</v>
      </c>
      <c r="G567" t="s">
        <v>921</v>
      </c>
      <c r="H567">
        <v>1</v>
      </c>
      <c r="I567" t="s">
        <v>1813</v>
      </c>
      <c r="J567">
        <v>139150</v>
      </c>
      <c r="K567">
        <f>J567</f>
        <v>139150</v>
      </c>
    </row>
    <row r="568" spans="2:11">
      <c r="E568" t="s">
        <v>874</v>
      </c>
      <c r="F568" t="s">
        <v>1017</v>
      </c>
      <c r="G568" t="s">
        <v>921</v>
      </c>
      <c r="H568">
        <v>10</v>
      </c>
      <c r="I568" t="s">
        <v>1813</v>
      </c>
      <c r="J568">
        <v>217004.99999999997</v>
      </c>
      <c r="K568">
        <f>J568</f>
        <v>217004.99999999997</v>
      </c>
    </row>
    <row r="569" spans="2:11">
      <c r="E569" t="s">
        <v>874</v>
      </c>
      <c r="F569" t="s">
        <v>1018</v>
      </c>
      <c r="G569" t="s">
        <v>921</v>
      </c>
      <c r="H569">
        <v>1</v>
      </c>
      <c r="J569">
        <v>169050</v>
      </c>
      <c r="K569">
        <f>J569</f>
        <v>169050</v>
      </c>
    </row>
    <row r="571" spans="2:11">
      <c r="E571" t="s">
        <v>114</v>
      </c>
    </row>
    <row r="572" spans="2:11">
      <c r="E572" t="s">
        <v>874</v>
      </c>
      <c r="F572" t="s">
        <v>1112</v>
      </c>
      <c r="G572" t="s">
        <v>98</v>
      </c>
      <c r="H572">
        <v>1</v>
      </c>
      <c r="I572" t="s">
        <v>1899</v>
      </c>
      <c r="J572">
        <v>690000</v>
      </c>
      <c r="K572">
        <f>J572</f>
        <v>690000</v>
      </c>
    </row>
    <row r="573" spans="2:11">
      <c r="E573" t="s">
        <v>874</v>
      </c>
      <c r="F573" t="s">
        <v>755</v>
      </c>
      <c r="G573" t="s">
        <v>72</v>
      </c>
      <c r="H573" t="s">
        <v>1909</v>
      </c>
      <c r="J573">
        <v>223559.99999999997</v>
      </c>
      <c r="K573">
        <f>J573</f>
        <v>223559.99999999997</v>
      </c>
    </row>
    <row r="575" spans="2:11">
      <c r="E575" t="s">
        <v>292</v>
      </c>
    </row>
    <row r="576" spans="2:11">
      <c r="E576" t="s">
        <v>874</v>
      </c>
      <c r="F576" t="s">
        <v>517</v>
      </c>
      <c r="G576" t="s">
        <v>798</v>
      </c>
      <c r="H576">
        <v>25</v>
      </c>
      <c r="I576" t="s">
        <v>57</v>
      </c>
      <c r="J576">
        <v>11500</v>
      </c>
      <c r="K576">
        <f>J576</f>
        <v>11500</v>
      </c>
    </row>
    <row r="577" spans="2:27">
      <c r="K577">
        <f>SUM(K567:K576)</f>
        <v>1450265</v>
      </c>
    </row>
    <row r="578" spans="2:27">
      <c r="B578" t="s">
        <v>1806</v>
      </c>
      <c r="C578">
        <f>C565+1</f>
        <v>41</v>
      </c>
      <c r="E578" t="s">
        <v>1910</v>
      </c>
    </row>
    <row r="579" spans="2:27">
      <c r="E579" t="s">
        <v>1812</v>
      </c>
    </row>
    <row r="580" spans="2:27">
      <c r="E580" t="s">
        <v>874</v>
      </c>
      <c r="F580" t="s">
        <v>1017</v>
      </c>
      <c r="G580" t="s">
        <v>921</v>
      </c>
      <c r="H580">
        <f>AA580</f>
        <v>80</v>
      </c>
      <c r="I580" t="s">
        <v>1813</v>
      </c>
      <c r="J580">
        <v>217004.99999999997</v>
      </c>
      <c r="K580">
        <f>H580*J580</f>
        <v>17360399.999999996</v>
      </c>
      <c r="W580">
        <v>20</v>
      </c>
      <c r="X580" t="s">
        <v>922</v>
      </c>
      <c r="Y580">
        <v>4</v>
      </c>
      <c r="Z580" t="s">
        <v>939</v>
      </c>
      <c r="AA580">
        <f>W580*Y580</f>
        <v>80</v>
      </c>
    </row>
    <row r="581" spans="2:27">
      <c r="E581" t="s">
        <v>874</v>
      </c>
      <c r="F581" t="s">
        <v>1018</v>
      </c>
      <c r="G581" t="s">
        <v>921</v>
      </c>
      <c r="H581">
        <f t="shared" ref="H581:H583" si="3">AA581</f>
        <v>8</v>
      </c>
      <c r="I581" t="s">
        <v>1813</v>
      </c>
      <c r="J581">
        <v>169050</v>
      </c>
      <c r="K581">
        <f>H581*J581</f>
        <v>1352400</v>
      </c>
      <c r="W581">
        <v>2</v>
      </c>
      <c r="X581" t="s">
        <v>922</v>
      </c>
      <c r="Y581">
        <v>4</v>
      </c>
      <c r="Z581" t="s">
        <v>939</v>
      </c>
      <c r="AA581">
        <f t="shared" ref="AA581:AA583" si="4">W581*Y581</f>
        <v>8</v>
      </c>
    </row>
    <row r="582" spans="2:27">
      <c r="E582" t="s">
        <v>874</v>
      </c>
      <c r="F582" t="s">
        <v>996</v>
      </c>
      <c r="G582" t="s">
        <v>921</v>
      </c>
      <c r="H582">
        <f t="shared" si="3"/>
        <v>4</v>
      </c>
      <c r="I582" t="s">
        <v>1813</v>
      </c>
      <c r="J582">
        <v>448499.99999999994</v>
      </c>
      <c r="K582">
        <f>H582*J582</f>
        <v>1793999.9999999998</v>
      </c>
      <c r="W582">
        <v>1</v>
      </c>
      <c r="X582" t="s">
        <v>922</v>
      </c>
      <c r="Y582">
        <v>4</v>
      </c>
      <c r="Z582" t="s">
        <v>939</v>
      </c>
      <c r="AA582">
        <f t="shared" si="4"/>
        <v>4</v>
      </c>
    </row>
    <row r="583" spans="2:27">
      <c r="E583" t="s">
        <v>874</v>
      </c>
      <c r="F583" t="s">
        <v>720</v>
      </c>
      <c r="G583" t="s">
        <v>921</v>
      </c>
      <c r="H583">
        <f t="shared" si="3"/>
        <v>16</v>
      </c>
      <c r="I583" t="s">
        <v>1813</v>
      </c>
      <c r="J583">
        <v>139150</v>
      </c>
      <c r="K583">
        <f>H583*J583</f>
        <v>2226400</v>
      </c>
      <c r="W583">
        <v>4</v>
      </c>
      <c r="X583" t="s">
        <v>922</v>
      </c>
      <c r="Y583">
        <v>4</v>
      </c>
      <c r="Z583" t="s">
        <v>939</v>
      </c>
      <c r="AA583">
        <f t="shared" si="4"/>
        <v>16</v>
      </c>
    </row>
    <row r="584" spans="2:27">
      <c r="E584" t="s">
        <v>874</v>
      </c>
      <c r="F584" t="s">
        <v>1019</v>
      </c>
      <c r="G584" t="s">
        <v>921</v>
      </c>
      <c r="H584">
        <f t="shared" ref="H584" si="5">Y584</f>
        <v>0</v>
      </c>
      <c r="I584" t="s">
        <v>1813</v>
      </c>
      <c r="J584">
        <v>486833.33333333326</v>
      </c>
      <c r="K584">
        <f>H584*J584</f>
        <v>0</v>
      </c>
      <c r="W584">
        <v>0</v>
      </c>
      <c r="X584">
        <v>0</v>
      </c>
      <c r="Y584">
        <f t="shared" ref="Y584" si="6">W584*X584</f>
        <v>0</v>
      </c>
    </row>
    <row r="586" spans="2:27">
      <c r="E586" t="s">
        <v>114</v>
      </c>
    </row>
    <row r="587" spans="2:27">
      <c r="E587" t="s">
        <v>874</v>
      </c>
      <c r="F587" t="s">
        <v>1106</v>
      </c>
      <c r="G587" t="s">
        <v>98</v>
      </c>
      <c r="H587">
        <f t="shared" ref="H587:H589" si="7">AA587</f>
        <v>8</v>
      </c>
      <c r="I587" t="s">
        <v>1899</v>
      </c>
      <c r="J587">
        <v>9200000</v>
      </c>
      <c r="K587">
        <f>H587*J587</f>
        <v>73600000</v>
      </c>
      <c r="W587">
        <v>2</v>
      </c>
      <c r="X587" t="s">
        <v>2</v>
      </c>
      <c r="Y587">
        <v>4</v>
      </c>
      <c r="Z587" t="s">
        <v>939</v>
      </c>
      <c r="AA587">
        <f t="shared" ref="AA587:AA589" si="8">W587*Y587</f>
        <v>8</v>
      </c>
    </row>
    <row r="588" spans="2:27">
      <c r="E588" t="s">
        <v>874</v>
      </c>
      <c r="F588" t="s">
        <v>743</v>
      </c>
      <c r="G588" t="s">
        <v>72</v>
      </c>
      <c r="H588">
        <f t="shared" si="7"/>
        <v>4</v>
      </c>
      <c r="I588" t="s">
        <v>1899</v>
      </c>
      <c r="J588">
        <v>38812.5</v>
      </c>
      <c r="K588">
        <f>H588*J588</f>
        <v>155250</v>
      </c>
      <c r="W588">
        <v>1</v>
      </c>
      <c r="X588" t="s">
        <v>2</v>
      </c>
      <c r="Y588">
        <v>4</v>
      </c>
      <c r="Z588" t="s">
        <v>975</v>
      </c>
      <c r="AA588">
        <f t="shared" si="8"/>
        <v>4</v>
      </c>
    </row>
    <row r="589" spans="2:27">
      <c r="E589" t="s">
        <v>1911</v>
      </c>
      <c r="F589" t="s">
        <v>1105</v>
      </c>
      <c r="G589" t="s">
        <v>98</v>
      </c>
      <c r="H589">
        <f t="shared" si="7"/>
        <v>8</v>
      </c>
      <c r="I589" t="s">
        <v>1899</v>
      </c>
      <c r="J589">
        <v>93150</v>
      </c>
      <c r="K589">
        <f>H589*J589</f>
        <v>745200</v>
      </c>
      <c r="W589">
        <v>2</v>
      </c>
      <c r="X589" t="s">
        <v>2</v>
      </c>
      <c r="Y589">
        <v>4</v>
      </c>
      <c r="Z589" t="s">
        <v>939</v>
      </c>
      <c r="AA589">
        <f t="shared" si="8"/>
        <v>8</v>
      </c>
    </row>
    <row r="591" spans="2:27">
      <c r="E591" t="s">
        <v>292</v>
      </c>
      <c r="M591">
        <f>K594+K783</f>
        <v>98562258.200000003</v>
      </c>
    </row>
    <row r="592" spans="2:27">
      <c r="E592" t="s">
        <v>874</v>
      </c>
      <c r="F592" t="s">
        <v>826</v>
      </c>
      <c r="G592" t="s">
        <v>50</v>
      </c>
      <c r="H592">
        <v>50</v>
      </c>
      <c r="I592" t="s">
        <v>1885</v>
      </c>
      <c r="J592">
        <v>17250</v>
      </c>
      <c r="K592">
        <f>H592*J592</f>
        <v>862500</v>
      </c>
    </row>
    <row r="593" spans="2:27">
      <c r="E593" t="s">
        <v>874</v>
      </c>
      <c r="F593" t="s">
        <v>1104</v>
      </c>
      <c r="G593" t="s">
        <v>1</v>
      </c>
      <c r="H593">
        <v>25</v>
      </c>
      <c r="I593" t="s">
        <v>1</v>
      </c>
      <c r="J593">
        <v>0</v>
      </c>
      <c r="K593">
        <f>H593*J593</f>
        <v>0</v>
      </c>
    </row>
    <row r="594" spans="2:27">
      <c r="K594">
        <f>SUM(K580:K593)</f>
        <v>98096150</v>
      </c>
    </row>
    <row r="595" spans="2:27" ht="15.75" thickBot="1">
      <c r="J595" t="s">
        <v>1912</v>
      </c>
      <c r="K595">
        <f>K594/6</f>
        <v>16349358.333333334</v>
      </c>
    </row>
    <row r="596" spans="2:27" ht="15.75" thickBot="1"/>
    <row r="597" spans="2:27">
      <c r="B597" t="s">
        <v>1806</v>
      </c>
      <c r="C597">
        <f>C578+1</f>
        <v>42</v>
      </c>
      <c r="E597" t="s">
        <v>1107</v>
      </c>
    </row>
    <row r="598" spans="2:27">
      <c r="E598" t="s">
        <v>1812</v>
      </c>
    </row>
    <row r="599" spans="2:27">
      <c r="E599" t="s">
        <v>874</v>
      </c>
      <c r="F599" t="s">
        <v>1017</v>
      </c>
      <c r="G599" t="s">
        <v>921</v>
      </c>
      <c r="H599">
        <f t="shared" ref="H599:H602" si="9">AA599</f>
        <v>20</v>
      </c>
      <c r="I599" t="s">
        <v>1813</v>
      </c>
      <c r="J599">
        <v>217004.99999999997</v>
      </c>
      <c r="K599">
        <f>H599*J599</f>
        <v>4340099.9999999991</v>
      </c>
      <c r="W599">
        <v>5</v>
      </c>
      <c r="X599" t="s">
        <v>922</v>
      </c>
      <c r="Y599">
        <v>4</v>
      </c>
      <c r="Z599" t="s">
        <v>939</v>
      </c>
      <c r="AA599">
        <f t="shared" ref="AA599:AA602" si="10">W599*Y599</f>
        <v>20</v>
      </c>
    </row>
    <row r="600" spans="2:27">
      <c r="E600" t="s">
        <v>874</v>
      </c>
      <c r="F600" t="s">
        <v>1018</v>
      </c>
      <c r="G600" t="s">
        <v>921</v>
      </c>
      <c r="H600">
        <f t="shared" si="9"/>
        <v>4</v>
      </c>
      <c r="I600" t="s">
        <v>1813</v>
      </c>
      <c r="J600">
        <v>169050</v>
      </c>
      <c r="K600">
        <f>H600*J600</f>
        <v>676200</v>
      </c>
      <c r="W600">
        <v>1</v>
      </c>
      <c r="X600" t="s">
        <v>922</v>
      </c>
      <c r="Y600">
        <v>4</v>
      </c>
      <c r="Z600" t="s">
        <v>939</v>
      </c>
      <c r="AA600">
        <f t="shared" si="10"/>
        <v>4</v>
      </c>
    </row>
    <row r="601" spans="2:27">
      <c r="E601" t="s">
        <v>874</v>
      </c>
      <c r="F601" t="s">
        <v>996</v>
      </c>
      <c r="G601" t="s">
        <v>921</v>
      </c>
      <c r="H601">
        <f t="shared" si="9"/>
        <v>2</v>
      </c>
      <c r="I601" t="s">
        <v>1813</v>
      </c>
      <c r="J601">
        <v>448499.99999999994</v>
      </c>
      <c r="K601">
        <f>H601*J601</f>
        <v>896999.99999999988</v>
      </c>
      <c r="W601">
        <v>0.5</v>
      </c>
      <c r="X601" t="s">
        <v>922</v>
      </c>
      <c r="Y601">
        <v>4</v>
      </c>
      <c r="Z601" t="s">
        <v>939</v>
      </c>
      <c r="AA601">
        <f t="shared" si="10"/>
        <v>2</v>
      </c>
    </row>
    <row r="602" spans="2:27">
      <c r="E602" t="s">
        <v>874</v>
      </c>
      <c r="F602" t="s">
        <v>720</v>
      </c>
      <c r="G602" t="s">
        <v>921</v>
      </c>
      <c r="H602">
        <f t="shared" si="9"/>
        <v>8</v>
      </c>
      <c r="I602" t="s">
        <v>1813</v>
      </c>
      <c r="J602">
        <v>139150</v>
      </c>
      <c r="K602">
        <f>H602*J602</f>
        <v>1113200</v>
      </c>
      <c r="W602">
        <v>2</v>
      </c>
      <c r="X602" t="s">
        <v>922</v>
      </c>
      <c r="Y602">
        <v>4</v>
      </c>
      <c r="Z602" t="s">
        <v>939</v>
      </c>
      <c r="AA602">
        <f t="shared" si="10"/>
        <v>8</v>
      </c>
    </row>
    <row r="603" spans="2:27">
      <c r="E603" t="s">
        <v>874</v>
      </c>
      <c r="F603" t="s">
        <v>1019</v>
      </c>
      <c r="G603" t="s">
        <v>921</v>
      </c>
      <c r="H603">
        <v>0</v>
      </c>
      <c r="I603" t="s">
        <v>1813</v>
      </c>
      <c r="J603">
        <v>486833.33333333326</v>
      </c>
      <c r="K603">
        <f>H603*J603</f>
        <v>0</v>
      </c>
      <c r="W603">
        <v>0</v>
      </c>
      <c r="X603">
        <v>0</v>
      </c>
      <c r="Y603">
        <f t="shared" ref="Y603" si="11">W603*X603</f>
        <v>0</v>
      </c>
    </row>
    <row r="605" spans="2:27">
      <c r="E605" t="s">
        <v>114</v>
      </c>
    </row>
    <row r="606" spans="2:27">
      <c r="E606" t="s">
        <v>874</v>
      </c>
      <c r="F606" t="s">
        <v>1106</v>
      </c>
      <c r="G606" t="s">
        <v>98</v>
      </c>
      <c r="H606">
        <f t="shared" ref="H606:H608" si="12">AA606</f>
        <v>1</v>
      </c>
      <c r="I606" t="s">
        <v>1899</v>
      </c>
      <c r="J606">
        <f>J587</f>
        <v>9200000</v>
      </c>
      <c r="K606">
        <f>H606*J606</f>
        <v>9200000</v>
      </c>
      <c r="W606">
        <v>0.25</v>
      </c>
      <c r="X606" t="s">
        <v>2</v>
      </c>
      <c r="Y606">
        <v>4</v>
      </c>
      <c r="Z606" t="s">
        <v>939</v>
      </c>
      <c r="AA606">
        <f t="shared" ref="AA606:AA608" si="13">W606*Y606</f>
        <v>1</v>
      </c>
    </row>
    <row r="607" spans="2:27">
      <c r="E607" t="s">
        <v>874</v>
      </c>
      <c r="F607" t="s">
        <v>743</v>
      </c>
      <c r="G607" t="s">
        <v>72</v>
      </c>
      <c r="H607">
        <f t="shared" si="12"/>
        <v>2</v>
      </c>
      <c r="I607" t="s">
        <v>1899</v>
      </c>
      <c r="J607">
        <v>38812.5</v>
      </c>
      <c r="K607">
        <f>H607*J607</f>
        <v>77625</v>
      </c>
      <c r="W607">
        <v>1</v>
      </c>
      <c r="X607" t="s">
        <v>2</v>
      </c>
      <c r="Y607">
        <v>2</v>
      </c>
      <c r="Z607" t="s">
        <v>975</v>
      </c>
      <c r="AA607">
        <f t="shared" si="13"/>
        <v>2</v>
      </c>
    </row>
    <row r="608" spans="2:27">
      <c r="E608" t="s">
        <v>1911</v>
      </c>
      <c r="F608" t="s">
        <v>1105</v>
      </c>
      <c r="G608" t="s">
        <v>98</v>
      </c>
      <c r="H608">
        <f t="shared" si="12"/>
        <v>4</v>
      </c>
      <c r="I608" t="s">
        <v>1899</v>
      </c>
      <c r="J608">
        <v>93150</v>
      </c>
      <c r="K608">
        <f>H608*J608</f>
        <v>372600</v>
      </c>
      <c r="W608">
        <v>1</v>
      </c>
      <c r="X608" t="s">
        <v>2</v>
      </c>
      <c r="Y608">
        <v>4</v>
      </c>
      <c r="Z608" t="s">
        <v>939</v>
      </c>
      <c r="AA608">
        <f t="shared" si="13"/>
        <v>4</v>
      </c>
    </row>
    <row r="610" spans="2:11">
      <c r="E610" t="s">
        <v>292</v>
      </c>
    </row>
    <row r="611" spans="2:11">
      <c r="E611" t="s">
        <v>874</v>
      </c>
      <c r="F611" t="s">
        <v>826</v>
      </c>
      <c r="G611" t="s">
        <v>50</v>
      </c>
      <c r="H611">
        <v>0</v>
      </c>
      <c r="I611" t="s">
        <v>1885</v>
      </c>
      <c r="J611">
        <v>17250</v>
      </c>
      <c r="K611">
        <f>H611*J611</f>
        <v>0</v>
      </c>
    </row>
    <row r="612" spans="2:11">
      <c r="E612" t="s">
        <v>874</v>
      </c>
      <c r="F612" t="s">
        <v>1104</v>
      </c>
      <c r="G612" t="s">
        <v>1</v>
      </c>
      <c r="H612">
        <v>0</v>
      </c>
      <c r="I612" t="s">
        <v>1</v>
      </c>
      <c r="J612">
        <v>0</v>
      </c>
      <c r="K612">
        <f>H612*J612</f>
        <v>0</v>
      </c>
    </row>
    <row r="613" spans="2:11">
      <c r="K613">
        <f>SUM(K599:K612)</f>
        <v>16676725</v>
      </c>
    </row>
    <row r="615" spans="2:11">
      <c r="B615" t="s">
        <v>1806</v>
      </c>
      <c r="C615">
        <f>C597+1</f>
        <v>43</v>
      </c>
      <c r="E615" t="s">
        <v>1103</v>
      </c>
    </row>
    <row r="616" spans="2:11">
      <c r="E616" t="s">
        <v>1812</v>
      </c>
    </row>
    <row r="617" spans="2:11">
      <c r="E617" t="s">
        <v>874</v>
      </c>
      <c r="F617" t="s">
        <v>1017</v>
      </c>
      <c r="G617" t="s">
        <v>921</v>
      </c>
      <c r="H617">
        <v>20</v>
      </c>
      <c r="J617">
        <v>217004.99999999997</v>
      </c>
      <c r="K617">
        <f>H617*J617</f>
        <v>4340099.9999999991</v>
      </c>
    </row>
    <row r="618" spans="2:11">
      <c r="E618" t="s">
        <v>874</v>
      </c>
      <c r="F618" t="s">
        <v>1018</v>
      </c>
      <c r="G618" t="s">
        <v>921</v>
      </c>
      <c r="H618">
        <v>3</v>
      </c>
      <c r="J618">
        <v>169050</v>
      </c>
      <c r="K618">
        <f>H618*J618</f>
        <v>507150</v>
      </c>
    </row>
    <row r="620" spans="2:11">
      <c r="E620" t="s">
        <v>114</v>
      </c>
    </row>
    <row r="621" spans="2:11">
      <c r="E621" t="s">
        <v>874</v>
      </c>
      <c r="F621" t="s">
        <v>1102</v>
      </c>
      <c r="G621" t="s">
        <v>98</v>
      </c>
      <c r="H621">
        <v>1</v>
      </c>
      <c r="J621">
        <v>250000</v>
      </c>
      <c r="K621">
        <f>H621*J621</f>
        <v>250000</v>
      </c>
    </row>
    <row r="622" spans="2:11">
      <c r="E622" t="s">
        <v>874</v>
      </c>
      <c r="F622" t="s">
        <v>743</v>
      </c>
      <c r="G622" t="s">
        <v>98</v>
      </c>
      <c r="H622">
        <v>1</v>
      </c>
      <c r="J622">
        <v>310500</v>
      </c>
      <c r="K622">
        <f>H622*J622</f>
        <v>310500</v>
      </c>
    </row>
    <row r="623" spans="2:11">
      <c r="K623">
        <f>SUM(K617:K622)</f>
        <v>5407749.9999999991</v>
      </c>
    </row>
    <row r="625" spans="2:11">
      <c r="B625" t="s">
        <v>1806</v>
      </c>
      <c r="C625">
        <f>C615+1</f>
        <v>44</v>
      </c>
      <c r="E625" t="s">
        <v>1913</v>
      </c>
    </row>
    <row r="626" spans="2:11">
      <c r="E626" t="s">
        <v>1914</v>
      </c>
    </row>
    <row r="627" spans="2:11">
      <c r="E627" t="s">
        <v>1812</v>
      </c>
    </row>
    <row r="628" spans="2:11">
      <c r="E628" t="s">
        <v>874</v>
      </c>
      <c r="F628" t="s">
        <v>1017</v>
      </c>
      <c r="G628" t="s">
        <v>921</v>
      </c>
      <c r="H628">
        <v>1</v>
      </c>
      <c r="I628" t="s">
        <v>1813</v>
      </c>
      <c r="J628">
        <v>217004.99999999997</v>
      </c>
      <c r="K628">
        <f>H628*J628</f>
        <v>217004.99999999997</v>
      </c>
    </row>
    <row r="629" spans="2:11">
      <c r="E629" t="s">
        <v>874</v>
      </c>
      <c r="F629" t="s">
        <v>1018</v>
      </c>
      <c r="G629" t="s">
        <v>921</v>
      </c>
      <c r="H629">
        <v>0.1</v>
      </c>
      <c r="I629" t="s">
        <v>1813</v>
      </c>
      <c r="J629">
        <v>169050</v>
      </c>
      <c r="K629">
        <f>H629*J629</f>
        <v>16905</v>
      </c>
    </row>
    <row r="630" spans="2:11">
      <c r="E630" t="s">
        <v>874</v>
      </c>
      <c r="F630" t="s">
        <v>1019</v>
      </c>
      <c r="G630" t="s">
        <v>921</v>
      </c>
      <c r="I630" t="s">
        <v>1813</v>
      </c>
      <c r="J630">
        <v>486833.33333333326</v>
      </c>
      <c r="K630">
        <f>H630*J630</f>
        <v>0</v>
      </c>
    </row>
    <row r="632" spans="2:11">
      <c r="E632" t="s">
        <v>114</v>
      </c>
    </row>
    <row r="633" spans="2:11">
      <c r="E633" t="s">
        <v>874</v>
      </c>
      <c r="F633" t="s">
        <v>1020</v>
      </c>
      <c r="G633" t="s">
        <v>98</v>
      </c>
      <c r="H633">
        <v>0.5</v>
      </c>
      <c r="I633" t="s">
        <v>1899</v>
      </c>
      <c r="J633">
        <v>18630</v>
      </c>
      <c r="K633">
        <f>H633*J633</f>
        <v>9315</v>
      </c>
    </row>
    <row r="634" spans="2:11">
      <c r="K634">
        <f>SUM(K628:K633)</f>
        <v>243224.99999999997</v>
      </c>
    </row>
    <row r="636" spans="2:11">
      <c r="B636" t="s">
        <v>1806</v>
      </c>
      <c r="C636">
        <f>C625+1</f>
        <v>45</v>
      </c>
      <c r="E636" t="s">
        <v>1915</v>
      </c>
    </row>
    <row r="637" spans="2:11">
      <c r="E637" t="s">
        <v>1914</v>
      </c>
    </row>
    <row r="638" spans="2:11">
      <c r="E638" t="s">
        <v>1812</v>
      </c>
    </row>
    <row r="639" spans="2:11">
      <c r="E639" t="s">
        <v>874</v>
      </c>
      <c r="F639" t="s">
        <v>1017</v>
      </c>
      <c r="G639" t="s">
        <v>921</v>
      </c>
      <c r="H639">
        <v>1</v>
      </c>
      <c r="I639" t="s">
        <v>1813</v>
      </c>
      <c r="J639">
        <v>217004.99999999997</v>
      </c>
      <c r="K639">
        <f>H639*J639</f>
        <v>217004.99999999997</v>
      </c>
    </row>
    <row r="640" spans="2:11">
      <c r="E640" t="s">
        <v>874</v>
      </c>
      <c r="F640" t="s">
        <v>1018</v>
      </c>
      <c r="G640" t="s">
        <v>921</v>
      </c>
      <c r="H640">
        <v>0.1</v>
      </c>
      <c r="I640" t="s">
        <v>1813</v>
      </c>
      <c r="J640">
        <v>169050</v>
      </c>
      <c r="K640">
        <f>H640*J640</f>
        <v>16905</v>
      </c>
    </row>
    <row r="641" spans="2:11">
      <c r="E641" t="s">
        <v>874</v>
      </c>
      <c r="F641" t="s">
        <v>1019</v>
      </c>
      <c r="G641" t="s">
        <v>921</v>
      </c>
      <c r="I641" t="s">
        <v>1813</v>
      </c>
      <c r="J641">
        <v>486833.33333333326</v>
      </c>
      <c r="K641">
        <f>H641*J641</f>
        <v>0</v>
      </c>
    </row>
    <row r="643" spans="2:11">
      <c r="E643" t="s">
        <v>114</v>
      </c>
    </row>
    <row r="644" spans="2:11">
      <c r="E644" t="s">
        <v>874</v>
      </c>
      <c r="F644" t="s">
        <v>1020</v>
      </c>
      <c r="G644" t="s">
        <v>98</v>
      </c>
      <c r="H644">
        <v>0.05</v>
      </c>
      <c r="I644" t="s">
        <v>1899</v>
      </c>
      <c r="J644">
        <v>18630</v>
      </c>
      <c r="K644">
        <f>H644*J644</f>
        <v>931.5</v>
      </c>
    </row>
    <row r="645" spans="2:11">
      <c r="K645">
        <f>SUM(K639:K644)</f>
        <v>234841.49999999997</v>
      </c>
    </row>
    <row r="647" spans="2:11">
      <c r="B647" t="s">
        <v>1806</v>
      </c>
      <c r="C647">
        <f>C636+1</f>
        <v>46</v>
      </c>
      <c r="E647" t="s">
        <v>1916</v>
      </c>
    </row>
    <row r="648" spans="2:11">
      <c r="E648" t="s">
        <v>1914</v>
      </c>
    </row>
    <row r="649" spans="2:11">
      <c r="E649" t="s">
        <v>1812</v>
      </c>
    </row>
    <row r="650" spans="2:11">
      <c r="E650" t="s">
        <v>874</v>
      </c>
      <c r="F650" t="s">
        <v>1017</v>
      </c>
      <c r="G650" t="s">
        <v>921</v>
      </c>
      <c r="H650">
        <v>0.5</v>
      </c>
      <c r="I650" t="s">
        <v>1813</v>
      </c>
      <c r="J650">
        <v>217004.99999999997</v>
      </c>
      <c r="K650">
        <f>H650*J650</f>
        <v>108502.49999999999</v>
      </c>
    </row>
    <row r="651" spans="2:11">
      <c r="E651" t="s">
        <v>874</v>
      </c>
      <c r="F651" t="s">
        <v>1018</v>
      </c>
      <c r="G651" t="s">
        <v>921</v>
      </c>
      <c r="H651">
        <v>0.1</v>
      </c>
      <c r="I651" t="s">
        <v>1813</v>
      </c>
      <c r="J651">
        <v>169050</v>
      </c>
      <c r="K651">
        <f>H651*J651</f>
        <v>16905</v>
      </c>
    </row>
    <row r="652" spans="2:11">
      <c r="E652" t="s">
        <v>874</v>
      </c>
      <c r="F652" t="s">
        <v>1019</v>
      </c>
      <c r="G652" t="s">
        <v>921</v>
      </c>
      <c r="I652" t="s">
        <v>1813</v>
      </c>
      <c r="J652">
        <v>486833.33333333326</v>
      </c>
      <c r="K652">
        <f>H652*J652</f>
        <v>0</v>
      </c>
    </row>
    <row r="654" spans="2:11">
      <c r="E654" t="s">
        <v>114</v>
      </c>
    </row>
    <row r="655" spans="2:11">
      <c r="E655" t="s">
        <v>874</v>
      </c>
      <c r="F655" t="s">
        <v>1020</v>
      </c>
      <c r="G655" t="s">
        <v>98</v>
      </c>
      <c r="H655">
        <v>0.5</v>
      </c>
      <c r="I655" t="s">
        <v>1899</v>
      </c>
      <c r="J655">
        <v>18630</v>
      </c>
      <c r="K655">
        <f>H655*J655</f>
        <v>9315</v>
      </c>
    </row>
    <row r="656" spans="2:11">
      <c r="K656">
        <f>SUM(K650:K655)</f>
        <v>134722.5</v>
      </c>
    </row>
    <row r="657" spans="2:11">
      <c r="B657" t="s">
        <v>1806</v>
      </c>
      <c r="C657">
        <f>C647+1</f>
        <v>47</v>
      </c>
      <c r="E657" t="s">
        <v>1917</v>
      </c>
    </row>
    <row r="658" spans="2:11">
      <c r="E658" t="s">
        <v>1914</v>
      </c>
    </row>
    <row r="659" spans="2:11">
      <c r="E659" t="s">
        <v>1812</v>
      </c>
    </row>
    <row r="660" spans="2:11">
      <c r="E660" t="s">
        <v>874</v>
      </c>
      <c r="F660" t="s">
        <v>1017</v>
      </c>
      <c r="G660" t="s">
        <v>921</v>
      </c>
      <c r="H660">
        <v>0.25</v>
      </c>
      <c r="I660" t="s">
        <v>1813</v>
      </c>
      <c r="J660">
        <v>217004.99999999997</v>
      </c>
      <c r="K660">
        <f>H660*J660</f>
        <v>54251.249999999993</v>
      </c>
    </row>
    <row r="661" spans="2:11">
      <c r="E661" t="s">
        <v>874</v>
      </c>
      <c r="F661" t="s">
        <v>1018</v>
      </c>
      <c r="G661" t="s">
        <v>921</v>
      </c>
      <c r="H661">
        <v>0.1</v>
      </c>
      <c r="I661" t="s">
        <v>1813</v>
      </c>
      <c r="J661">
        <v>169050</v>
      </c>
      <c r="K661">
        <f>H661*J661</f>
        <v>16905</v>
      </c>
    </row>
    <row r="662" spans="2:11">
      <c r="E662" t="s">
        <v>874</v>
      </c>
      <c r="F662" t="s">
        <v>1019</v>
      </c>
      <c r="G662" t="s">
        <v>921</v>
      </c>
      <c r="I662" t="s">
        <v>1813</v>
      </c>
      <c r="J662">
        <v>486833.33333333326</v>
      </c>
      <c r="K662">
        <f>H662*J662</f>
        <v>0</v>
      </c>
    </row>
    <row r="664" spans="2:11">
      <c r="E664" t="s">
        <v>114</v>
      </c>
    </row>
    <row r="665" spans="2:11">
      <c r="E665" t="s">
        <v>874</v>
      </c>
      <c r="F665" t="s">
        <v>1020</v>
      </c>
      <c r="G665" t="s">
        <v>98</v>
      </c>
      <c r="H665">
        <v>0.5</v>
      </c>
      <c r="I665" t="s">
        <v>1899</v>
      </c>
      <c r="J665">
        <v>18630</v>
      </c>
      <c r="K665">
        <f>H665*J665</f>
        <v>9315</v>
      </c>
    </row>
    <row r="666" spans="2:11">
      <c r="K666">
        <f>SUM(K660:K665)</f>
        <v>80471.25</v>
      </c>
    </row>
    <row r="667" spans="2:11">
      <c r="B667" t="s">
        <v>1806</v>
      </c>
      <c r="C667">
        <f>C657+1</f>
        <v>48</v>
      </c>
      <c r="E667" t="s">
        <v>1918</v>
      </c>
    </row>
    <row r="668" spans="2:11">
      <c r="E668" t="s">
        <v>1914</v>
      </c>
    </row>
    <row r="669" spans="2:11">
      <c r="E669" t="s">
        <v>1812</v>
      </c>
    </row>
    <row r="670" spans="2:11">
      <c r="E670" t="s">
        <v>874</v>
      </c>
      <c r="F670" t="s">
        <v>1017</v>
      </c>
      <c r="G670" t="s">
        <v>921</v>
      </c>
      <c r="H670">
        <v>1</v>
      </c>
      <c r="I670" t="s">
        <v>1813</v>
      </c>
      <c r="J670">
        <v>217004.99999999997</v>
      </c>
      <c r="K670">
        <f>H670*J670</f>
        <v>217004.99999999997</v>
      </c>
    </row>
    <row r="671" spans="2:11">
      <c r="E671" t="s">
        <v>874</v>
      </c>
      <c r="F671" t="s">
        <v>1018</v>
      </c>
      <c r="G671" t="s">
        <v>921</v>
      </c>
      <c r="H671">
        <v>0.1</v>
      </c>
      <c r="I671" t="s">
        <v>1813</v>
      </c>
      <c r="J671">
        <v>169050</v>
      </c>
      <c r="K671">
        <f>H671*J671</f>
        <v>16905</v>
      </c>
    </row>
    <row r="672" spans="2:11">
      <c r="E672" t="s">
        <v>874</v>
      </c>
      <c r="F672" t="s">
        <v>1019</v>
      </c>
      <c r="G672" t="s">
        <v>921</v>
      </c>
      <c r="I672" t="s">
        <v>1813</v>
      </c>
      <c r="J672">
        <v>486833.33333333326</v>
      </c>
      <c r="K672">
        <f>H672*J672</f>
        <v>0</v>
      </c>
    </row>
    <row r="674" spans="2:11">
      <c r="E674" t="s">
        <v>114</v>
      </c>
    </row>
    <row r="675" spans="2:11">
      <c r="E675" t="s">
        <v>874</v>
      </c>
      <c r="F675" t="s">
        <v>1020</v>
      </c>
      <c r="G675" t="s">
        <v>98</v>
      </c>
      <c r="H675">
        <v>0.5</v>
      </c>
      <c r="I675" t="s">
        <v>1899</v>
      </c>
      <c r="J675">
        <v>18630</v>
      </c>
      <c r="K675">
        <f>H675*J675</f>
        <v>9315</v>
      </c>
    </row>
    <row r="676" spans="2:11">
      <c r="K676">
        <f>SUM(K670:K675)</f>
        <v>243224.99999999997</v>
      </c>
    </row>
    <row r="677" spans="2:11">
      <c r="B677" t="s">
        <v>1806</v>
      </c>
      <c r="C677">
        <f>C667+1</f>
        <v>49</v>
      </c>
      <c r="E677" t="s">
        <v>1098</v>
      </c>
    </row>
    <row r="678" spans="2:11">
      <c r="E678" t="s">
        <v>1812</v>
      </c>
    </row>
    <row r="679" spans="2:11">
      <c r="E679" t="s">
        <v>874</v>
      </c>
      <c r="F679" t="s">
        <v>1017</v>
      </c>
      <c r="G679" t="s">
        <v>921</v>
      </c>
      <c r="H679">
        <v>0.25</v>
      </c>
      <c r="I679" t="s">
        <v>1813</v>
      </c>
      <c r="J679">
        <v>217004.99999999997</v>
      </c>
      <c r="K679">
        <f>H679*J679</f>
        <v>54251.249999999993</v>
      </c>
    </row>
    <row r="680" spans="2:11">
      <c r="E680" t="s">
        <v>874</v>
      </c>
      <c r="F680" t="s">
        <v>1018</v>
      </c>
      <c r="G680" t="s">
        <v>921</v>
      </c>
      <c r="H680">
        <v>0.1</v>
      </c>
      <c r="I680" t="s">
        <v>1813</v>
      </c>
      <c r="J680">
        <v>169050</v>
      </c>
      <c r="K680">
        <f>H680*J680</f>
        <v>16905</v>
      </c>
    </row>
    <row r="681" spans="2:11">
      <c r="E681" t="s">
        <v>874</v>
      </c>
      <c r="F681" t="s">
        <v>1019</v>
      </c>
      <c r="G681" t="s">
        <v>921</v>
      </c>
      <c r="J681">
        <v>486833.33333333326</v>
      </c>
      <c r="K681">
        <f>H681*J681</f>
        <v>0</v>
      </c>
    </row>
    <row r="683" spans="2:11">
      <c r="E683" t="s">
        <v>114</v>
      </c>
    </row>
    <row r="684" spans="2:11">
      <c r="E684" t="s">
        <v>874</v>
      </c>
      <c r="F684" t="s">
        <v>1020</v>
      </c>
      <c r="G684" t="s">
        <v>98</v>
      </c>
      <c r="H684">
        <v>0.5</v>
      </c>
      <c r="I684" t="s">
        <v>1899</v>
      </c>
      <c r="J684">
        <v>18630</v>
      </c>
      <c r="K684">
        <f>H684*J684</f>
        <v>9315</v>
      </c>
    </row>
    <row r="685" spans="2:11">
      <c r="K685">
        <f>SUM(K679:K684)</f>
        <v>80471.25</v>
      </c>
    </row>
    <row r="686" spans="2:11">
      <c r="B686" t="s">
        <v>1806</v>
      </c>
      <c r="C686">
        <f>C677+1</f>
        <v>50</v>
      </c>
      <c r="E686" t="s">
        <v>1097</v>
      </c>
    </row>
    <row r="687" spans="2:11">
      <c r="E687" t="s">
        <v>1812</v>
      </c>
    </row>
    <row r="688" spans="2:11">
      <c r="E688" t="s">
        <v>874</v>
      </c>
      <c r="F688" t="s">
        <v>1017</v>
      </c>
      <c r="G688" t="s">
        <v>921</v>
      </c>
      <c r="H688">
        <v>0.5</v>
      </c>
      <c r="I688" t="s">
        <v>1813</v>
      </c>
      <c r="J688">
        <v>217004.99999999997</v>
      </c>
      <c r="K688">
        <f>H688*J688</f>
        <v>108502.49999999999</v>
      </c>
    </row>
    <row r="689" spans="2:11">
      <c r="E689" t="s">
        <v>874</v>
      </c>
      <c r="F689" t="s">
        <v>1018</v>
      </c>
      <c r="G689" t="s">
        <v>921</v>
      </c>
      <c r="H689">
        <v>0.1</v>
      </c>
      <c r="I689" t="s">
        <v>1813</v>
      </c>
      <c r="J689">
        <v>169050</v>
      </c>
      <c r="K689">
        <f>H689*J689</f>
        <v>16905</v>
      </c>
    </row>
    <row r="690" spans="2:11">
      <c r="E690" t="s">
        <v>874</v>
      </c>
      <c r="F690" t="s">
        <v>1019</v>
      </c>
      <c r="G690" t="s">
        <v>921</v>
      </c>
      <c r="H690">
        <v>0.05</v>
      </c>
      <c r="J690">
        <v>486833.33333333326</v>
      </c>
      <c r="K690">
        <f>H690*J690</f>
        <v>24341.666666666664</v>
      </c>
    </row>
    <row r="692" spans="2:11">
      <c r="E692" t="s">
        <v>114</v>
      </c>
    </row>
    <row r="693" spans="2:11">
      <c r="E693" t="s">
        <v>874</v>
      </c>
      <c r="F693" t="s">
        <v>1020</v>
      </c>
      <c r="G693" t="s">
        <v>98</v>
      </c>
      <c r="H693">
        <v>0.5</v>
      </c>
      <c r="I693" t="s">
        <v>1899</v>
      </c>
      <c r="J693">
        <v>18630</v>
      </c>
      <c r="K693">
        <f>H693*J693</f>
        <v>9315</v>
      </c>
    </row>
    <row r="694" spans="2:11">
      <c r="K694">
        <f>SUM(K688:K693)</f>
        <v>159064.16666666666</v>
      </c>
    </row>
    <row r="695" spans="2:11">
      <c r="B695" t="s">
        <v>1806</v>
      </c>
      <c r="C695">
        <f>C686+1</f>
        <v>51</v>
      </c>
      <c r="E695" t="s">
        <v>1096</v>
      </c>
    </row>
    <row r="696" spans="2:11">
      <c r="E696" t="s">
        <v>1812</v>
      </c>
    </row>
    <row r="697" spans="2:11">
      <c r="E697" t="s">
        <v>874</v>
      </c>
      <c r="F697" t="s">
        <v>1017</v>
      </c>
      <c r="G697" t="s">
        <v>921</v>
      </c>
      <c r="H697">
        <v>0.5</v>
      </c>
      <c r="I697" t="s">
        <v>1813</v>
      </c>
      <c r="J697">
        <v>217004.99999999997</v>
      </c>
      <c r="K697">
        <f>H697*J697</f>
        <v>108502.49999999999</v>
      </c>
    </row>
    <row r="698" spans="2:11">
      <c r="E698" t="s">
        <v>874</v>
      </c>
      <c r="F698" t="s">
        <v>1018</v>
      </c>
      <c r="G698" t="s">
        <v>921</v>
      </c>
      <c r="H698">
        <v>0.1</v>
      </c>
      <c r="I698" t="s">
        <v>1813</v>
      </c>
      <c r="J698">
        <v>169050</v>
      </c>
      <c r="K698">
        <f>H698*J698</f>
        <v>16905</v>
      </c>
    </row>
    <row r="700" spans="2:11">
      <c r="E700" t="s">
        <v>114</v>
      </c>
    </row>
    <row r="701" spans="2:11">
      <c r="E701" t="s">
        <v>874</v>
      </c>
      <c r="F701" t="s">
        <v>1020</v>
      </c>
      <c r="G701" t="s">
        <v>98</v>
      </c>
      <c r="H701">
        <v>0.5</v>
      </c>
      <c r="I701" t="s">
        <v>1899</v>
      </c>
      <c r="J701">
        <v>18630</v>
      </c>
      <c r="K701">
        <f>H701*J701</f>
        <v>9315</v>
      </c>
    </row>
    <row r="702" spans="2:11">
      <c r="K702">
        <f>SUM(K697:K701)</f>
        <v>134722.5</v>
      </c>
    </row>
    <row r="703" spans="2:11">
      <c r="B703" t="s">
        <v>1806</v>
      </c>
      <c r="C703">
        <f>C695+1</f>
        <v>52</v>
      </c>
      <c r="E703" t="s">
        <v>1095</v>
      </c>
    </row>
    <row r="704" spans="2:11">
      <c r="E704" t="s">
        <v>1812</v>
      </c>
    </row>
    <row r="705" spans="2:11">
      <c r="E705" t="s">
        <v>874</v>
      </c>
      <c r="F705" t="s">
        <v>1017</v>
      </c>
      <c r="G705" t="s">
        <v>921</v>
      </c>
      <c r="H705">
        <v>0.3</v>
      </c>
      <c r="I705" t="s">
        <v>1813</v>
      </c>
      <c r="J705">
        <v>217004.99999999997</v>
      </c>
      <c r="K705">
        <f>H705*J705</f>
        <v>65101.499999999985</v>
      </c>
    </row>
    <row r="706" spans="2:11">
      <c r="E706" t="s">
        <v>874</v>
      </c>
      <c r="F706" t="s">
        <v>1018</v>
      </c>
      <c r="G706" t="s">
        <v>921</v>
      </c>
      <c r="H706">
        <v>0.1</v>
      </c>
      <c r="I706" t="s">
        <v>1813</v>
      </c>
      <c r="J706">
        <v>169050</v>
      </c>
      <c r="K706">
        <f>H706*J706</f>
        <v>16905</v>
      </c>
    </row>
    <row r="708" spans="2:11">
      <c r="E708" t="s">
        <v>1919</v>
      </c>
    </row>
    <row r="709" spans="2:11">
      <c r="E709" t="s">
        <v>874</v>
      </c>
      <c r="F709" t="s">
        <v>1020</v>
      </c>
      <c r="G709" t="s">
        <v>98</v>
      </c>
      <c r="H709">
        <v>0.5</v>
      </c>
      <c r="I709" t="s">
        <v>1899</v>
      </c>
      <c r="J709">
        <v>18630</v>
      </c>
      <c r="K709">
        <f>H709*J709</f>
        <v>9315</v>
      </c>
    </row>
    <row r="710" spans="2:11">
      <c r="K710">
        <f>SUM(K705:K709)</f>
        <v>91321.499999999985</v>
      </c>
    </row>
    <row r="711" spans="2:11">
      <c r="B711" t="s">
        <v>1806</v>
      </c>
      <c r="C711">
        <f>C703+1</f>
        <v>53</v>
      </c>
      <c r="E711" t="s">
        <v>1094</v>
      </c>
    </row>
    <row r="712" spans="2:11">
      <c r="E712" t="s">
        <v>1812</v>
      </c>
    </row>
    <row r="713" spans="2:11">
      <c r="E713" t="s">
        <v>874</v>
      </c>
      <c r="F713" t="s">
        <v>1017</v>
      </c>
      <c r="G713" t="s">
        <v>921</v>
      </c>
      <c r="H713">
        <v>0.5</v>
      </c>
      <c r="I713" t="s">
        <v>1813</v>
      </c>
      <c r="J713">
        <v>217004.99999999997</v>
      </c>
      <c r="K713">
        <f>H713*J713</f>
        <v>108502.49999999999</v>
      </c>
    </row>
    <row r="714" spans="2:11">
      <c r="E714" t="s">
        <v>874</v>
      </c>
      <c r="F714" t="s">
        <v>1018</v>
      </c>
      <c r="G714" t="s">
        <v>921</v>
      </c>
      <c r="H714">
        <v>0.2</v>
      </c>
      <c r="I714" t="s">
        <v>1813</v>
      </c>
      <c r="J714">
        <v>169050</v>
      </c>
      <c r="K714">
        <f>H714*J714</f>
        <v>33810</v>
      </c>
    </row>
    <row r="716" spans="2:11">
      <c r="E716" t="s">
        <v>114</v>
      </c>
    </row>
    <row r="717" spans="2:11">
      <c r="E717" t="s">
        <v>874</v>
      </c>
      <c r="F717" t="s">
        <v>1020</v>
      </c>
      <c r="G717" t="s">
        <v>98</v>
      </c>
      <c r="H717">
        <v>0.5</v>
      </c>
      <c r="I717" t="s">
        <v>1899</v>
      </c>
      <c r="J717">
        <v>18630</v>
      </c>
      <c r="K717">
        <f>H717*J717</f>
        <v>9315</v>
      </c>
    </row>
    <row r="718" spans="2:11">
      <c r="K718">
        <f>SUM(K713:K717)</f>
        <v>151627.5</v>
      </c>
    </row>
    <row r="719" spans="2:11">
      <c r="B719" t="s">
        <v>1806</v>
      </c>
      <c r="C719">
        <f>C711+1</f>
        <v>54</v>
      </c>
      <c r="E719" t="s">
        <v>1093</v>
      </c>
    </row>
    <row r="720" spans="2:11">
      <c r="E720" t="s">
        <v>1812</v>
      </c>
    </row>
    <row r="721" spans="2:11">
      <c r="E721" t="s">
        <v>874</v>
      </c>
      <c r="F721" t="s">
        <v>1017</v>
      </c>
      <c r="G721" t="s">
        <v>921</v>
      </c>
      <c r="H721">
        <v>0.25</v>
      </c>
      <c r="I721" t="s">
        <v>1813</v>
      </c>
      <c r="J721">
        <v>217004.99999999997</v>
      </c>
      <c r="K721">
        <f>H721*J721</f>
        <v>54251.249999999993</v>
      </c>
    </row>
    <row r="722" spans="2:11">
      <c r="E722" t="s">
        <v>874</v>
      </c>
      <c r="F722" t="s">
        <v>1018</v>
      </c>
      <c r="G722" t="s">
        <v>921</v>
      </c>
      <c r="H722">
        <v>0.1</v>
      </c>
      <c r="I722" t="s">
        <v>1813</v>
      </c>
      <c r="J722">
        <v>169050</v>
      </c>
      <c r="K722">
        <f>H722*J722</f>
        <v>16905</v>
      </c>
    </row>
    <row r="724" spans="2:11">
      <c r="E724" t="s">
        <v>114</v>
      </c>
    </row>
    <row r="725" spans="2:11">
      <c r="E725" t="s">
        <v>874</v>
      </c>
      <c r="F725" t="s">
        <v>1020</v>
      </c>
      <c r="G725" t="s">
        <v>98</v>
      </c>
      <c r="H725">
        <v>0.5</v>
      </c>
      <c r="I725" t="s">
        <v>1899</v>
      </c>
      <c r="J725">
        <v>18630</v>
      </c>
      <c r="K725">
        <f>H725*J725</f>
        <v>9315</v>
      </c>
    </row>
    <row r="726" spans="2:11">
      <c r="K726">
        <f>SUM(K721:K725)</f>
        <v>80471.25</v>
      </c>
    </row>
    <row r="727" spans="2:11">
      <c r="B727" t="s">
        <v>1806</v>
      </c>
      <c r="C727">
        <f>C719+1</f>
        <v>55</v>
      </c>
      <c r="E727" t="s">
        <v>1092</v>
      </c>
    </row>
    <row r="728" spans="2:11">
      <c r="E728" t="s">
        <v>1812</v>
      </c>
    </row>
    <row r="729" spans="2:11">
      <c r="E729" t="s">
        <v>874</v>
      </c>
      <c r="F729" t="s">
        <v>1017</v>
      </c>
      <c r="G729" t="s">
        <v>921</v>
      </c>
      <c r="H729">
        <v>0.5</v>
      </c>
      <c r="I729" t="s">
        <v>1813</v>
      </c>
      <c r="J729">
        <v>217004.99999999997</v>
      </c>
      <c r="K729">
        <f>H729*J729</f>
        <v>108502.49999999999</v>
      </c>
    </row>
    <row r="730" spans="2:11">
      <c r="E730" t="s">
        <v>874</v>
      </c>
      <c r="F730" t="s">
        <v>1018</v>
      </c>
      <c r="G730" t="s">
        <v>921</v>
      </c>
      <c r="H730">
        <v>0.2</v>
      </c>
      <c r="I730" t="s">
        <v>1813</v>
      </c>
      <c r="J730">
        <v>169050</v>
      </c>
      <c r="K730">
        <f>H730*J730</f>
        <v>33810</v>
      </c>
    </row>
    <row r="732" spans="2:11">
      <c r="E732" t="s">
        <v>114</v>
      </c>
    </row>
    <row r="733" spans="2:11">
      <c r="E733" t="s">
        <v>874</v>
      </c>
      <c r="F733" t="s">
        <v>1020</v>
      </c>
      <c r="G733" t="s">
        <v>98</v>
      </c>
      <c r="H733">
        <v>0.4</v>
      </c>
      <c r="I733" t="s">
        <v>1899</v>
      </c>
      <c r="J733">
        <v>18630</v>
      </c>
      <c r="K733">
        <f>H733*J733</f>
        <v>7452</v>
      </c>
    </row>
    <row r="734" spans="2:11">
      <c r="K734">
        <f>SUM(K729:K733)</f>
        <v>149764.5</v>
      </c>
    </row>
    <row r="735" spans="2:11">
      <c r="B735" t="s">
        <v>1806</v>
      </c>
      <c r="C735">
        <f>C727+1</f>
        <v>56</v>
      </c>
      <c r="E735" t="s">
        <v>1091</v>
      </c>
    </row>
    <row r="736" spans="2:11">
      <c r="E736" t="s">
        <v>1812</v>
      </c>
    </row>
    <row r="737" spans="2:11">
      <c r="E737" t="s">
        <v>874</v>
      </c>
      <c r="F737" t="s">
        <v>1017</v>
      </c>
      <c r="G737" t="s">
        <v>921</v>
      </c>
      <c r="H737">
        <v>0.5</v>
      </c>
      <c r="I737" t="s">
        <v>1813</v>
      </c>
      <c r="J737">
        <v>217004.99999999997</v>
      </c>
      <c r="K737">
        <f>H737*J737</f>
        <v>108502.49999999999</v>
      </c>
    </row>
    <row r="738" spans="2:11">
      <c r="E738" t="s">
        <v>874</v>
      </c>
      <c r="F738" t="s">
        <v>1018</v>
      </c>
      <c r="G738" t="s">
        <v>921</v>
      </c>
      <c r="H738">
        <v>0.2</v>
      </c>
      <c r="I738" t="s">
        <v>1813</v>
      </c>
      <c r="J738">
        <v>169050</v>
      </c>
      <c r="K738">
        <f>H738*J738</f>
        <v>33810</v>
      </c>
    </row>
    <row r="740" spans="2:11">
      <c r="E740" t="s">
        <v>114</v>
      </c>
    </row>
    <row r="741" spans="2:11">
      <c r="E741" t="s">
        <v>874</v>
      </c>
      <c r="F741" t="s">
        <v>1020</v>
      </c>
      <c r="G741" t="s">
        <v>98</v>
      </c>
      <c r="H741">
        <v>0.4</v>
      </c>
      <c r="I741" t="s">
        <v>1899</v>
      </c>
      <c r="J741">
        <v>18630</v>
      </c>
      <c r="K741">
        <f>H741*J741</f>
        <v>7452</v>
      </c>
    </row>
    <row r="742" spans="2:11">
      <c r="K742">
        <f>SUM(K737:K741)</f>
        <v>149764.5</v>
      </c>
    </row>
    <row r="743" spans="2:11">
      <c r="B743" t="s">
        <v>1806</v>
      </c>
      <c r="C743">
        <f>C735+1</f>
        <v>57</v>
      </c>
      <c r="E743" t="s">
        <v>1090</v>
      </c>
    </row>
    <row r="744" spans="2:11">
      <c r="E744" t="s">
        <v>1812</v>
      </c>
    </row>
    <row r="745" spans="2:11">
      <c r="E745" t="s">
        <v>874</v>
      </c>
      <c r="F745" t="s">
        <v>1017</v>
      </c>
      <c r="G745" t="s">
        <v>921</v>
      </c>
      <c r="H745">
        <v>0.5</v>
      </c>
      <c r="I745" t="s">
        <v>1813</v>
      </c>
      <c r="J745">
        <v>217004.99999999997</v>
      </c>
      <c r="K745">
        <f>H745*J745</f>
        <v>108502.49999999999</v>
      </c>
    </row>
    <row r="746" spans="2:11">
      <c r="E746" t="s">
        <v>874</v>
      </c>
      <c r="F746" t="s">
        <v>1018</v>
      </c>
      <c r="G746" t="s">
        <v>921</v>
      </c>
      <c r="H746">
        <v>0.2</v>
      </c>
      <c r="I746" t="s">
        <v>1813</v>
      </c>
      <c r="J746">
        <v>169050</v>
      </c>
      <c r="K746">
        <f>H746*J746</f>
        <v>33810</v>
      </c>
    </row>
    <row r="748" spans="2:11">
      <c r="E748" t="s">
        <v>114</v>
      </c>
    </row>
    <row r="749" spans="2:11">
      <c r="E749" t="s">
        <v>874</v>
      </c>
      <c r="F749" t="s">
        <v>1020</v>
      </c>
      <c r="G749" t="s">
        <v>98</v>
      </c>
      <c r="H749">
        <v>0.4</v>
      </c>
      <c r="I749" t="s">
        <v>1899</v>
      </c>
      <c r="J749">
        <v>18630</v>
      </c>
      <c r="K749">
        <f>H749*J749</f>
        <v>7452</v>
      </c>
    </row>
    <row r="750" spans="2:11">
      <c r="K750">
        <f>SUM(K745:K749)</f>
        <v>149764.5</v>
      </c>
    </row>
    <row r="751" spans="2:11">
      <c r="B751" t="s">
        <v>1806</v>
      </c>
      <c r="C751">
        <f>C743+1</f>
        <v>58</v>
      </c>
      <c r="E751" t="s">
        <v>1920</v>
      </c>
    </row>
    <row r="752" spans="2:11">
      <c r="E752" t="s">
        <v>114</v>
      </c>
    </row>
    <row r="753" spans="2:12">
      <c r="E753" t="s">
        <v>874</v>
      </c>
      <c r="F753" t="s">
        <v>747</v>
      </c>
      <c r="G753" t="s">
        <v>98</v>
      </c>
      <c r="H753">
        <v>0.16</v>
      </c>
      <c r="J753">
        <v>18630</v>
      </c>
      <c r="K753">
        <f>H753*J753</f>
        <v>2980.8</v>
      </c>
      <c r="L753" t="s">
        <v>1921</v>
      </c>
    </row>
    <row r="754" spans="2:12">
      <c r="E754" t="s">
        <v>874</v>
      </c>
      <c r="F754" t="s">
        <v>764</v>
      </c>
      <c r="G754" t="s">
        <v>226</v>
      </c>
      <c r="H754">
        <v>0.05</v>
      </c>
      <c r="J754">
        <v>35218.75</v>
      </c>
      <c r="K754">
        <f>H754*J754</f>
        <v>1760.9375</v>
      </c>
      <c r="L754" t="s">
        <v>1922</v>
      </c>
    </row>
    <row r="755" spans="2:12">
      <c r="E755" t="s">
        <v>874</v>
      </c>
      <c r="F755" t="s">
        <v>1089</v>
      </c>
      <c r="G755" t="s">
        <v>226</v>
      </c>
      <c r="H755">
        <v>0.1</v>
      </c>
      <c r="J755">
        <v>267375</v>
      </c>
      <c r="K755">
        <f>H755*J755</f>
        <v>26737.5</v>
      </c>
    </row>
    <row r="757" spans="2:12">
      <c r="E757" t="s">
        <v>1812</v>
      </c>
    </row>
    <row r="758" spans="2:12">
      <c r="E758" t="s">
        <v>874</v>
      </c>
      <c r="F758" t="s">
        <v>493</v>
      </c>
      <c r="G758" t="s">
        <v>921</v>
      </c>
      <c r="H758">
        <v>13.334</v>
      </c>
      <c r="J758">
        <v>127649.99999999999</v>
      </c>
      <c r="K758">
        <f>H758*J758</f>
        <v>1702085.0999999999</v>
      </c>
    </row>
    <row r="759" spans="2:12">
      <c r="E759" t="s">
        <v>874</v>
      </c>
      <c r="F759" t="s">
        <v>1029</v>
      </c>
      <c r="G759" t="s">
        <v>921</v>
      </c>
      <c r="H759">
        <v>0.66600000000000004</v>
      </c>
      <c r="J759">
        <v>169050</v>
      </c>
      <c r="K759">
        <f>H759*J759</f>
        <v>112587.3</v>
      </c>
    </row>
    <row r="760" spans="2:12">
      <c r="K760">
        <f>SUM(K752:K759)</f>
        <v>1846151.6375</v>
      </c>
    </row>
    <row r="761" spans="2:12">
      <c r="B761" t="s">
        <v>1806</v>
      </c>
      <c r="C761">
        <f>C751+1</f>
        <v>59</v>
      </c>
      <c r="E761" t="s">
        <v>1088</v>
      </c>
    </row>
    <row r="762" spans="2:12">
      <c r="E762" t="s">
        <v>93</v>
      </c>
    </row>
    <row r="763" spans="2:12">
      <c r="E763" t="s">
        <v>874</v>
      </c>
      <c r="F763" t="s">
        <v>1059</v>
      </c>
      <c r="G763" t="s">
        <v>77</v>
      </c>
      <c r="H763">
        <v>72.599999999999994</v>
      </c>
      <c r="J763">
        <v>11500</v>
      </c>
      <c r="K763">
        <f>H763*J763</f>
        <v>834899.99999999988</v>
      </c>
    </row>
    <row r="764" spans="2:12">
      <c r="E764" t="s">
        <v>874</v>
      </c>
      <c r="F764" t="s">
        <v>1058</v>
      </c>
      <c r="G764" t="s">
        <v>77</v>
      </c>
      <c r="H764">
        <v>0.3</v>
      </c>
      <c r="J764">
        <v>69000</v>
      </c>
      <c r="K764">
        <f>H764*J764</f>
        <v>20700</v>
      </c>
    </row>
    <row r="766" spans="2:12">
      <c r="E766" t="s">
        <v>114</v>
      </c>
    </row>
    <row r="767" spans="2:12">
      <c r="E767" t="s">
        <v>874</v>
      </c>
      <c r="F767" t="s">
        <v>1087</v>
      </c>
      <c r="G767" t="s">
        <v>939</v>
      </c>
      <c r="H767">
        <v>1</v>
      </c>
      <c r="J767">
        <v>130333.33333333333</v>
      </c>
      <c r="K767">
        <f>H767*J767</f>
        <v>130333.33333333333</v>
      </c>
    </row>
    <row r="769" spans="2:23">
      <c r="E769" t="s">
        <v>1812</v>
      </c>
    </row>
    <row r="770" spans="2:23">
      <c r="E770" t="s">
        <v>874</v>
      </c>
      <c r="F770" t="s">
        <v>493</v>
      </c>
      <c r="G770" t="s">
        <v>921</v>
      </c>
      <c r="H770">
        <v>4</v>
      </c>
      <c r="J770">
        <v>127649.99999999999</v>
      </c>
      <c r="K770">
        <f>H770*J770</f>
        <v>510599.99999999994</v>
      </c>
    </row>
    <row r="771" spans="2:23">
      <c r="E771" t="s">
        <v>874</v>
      </c>
      <c r="F771" t="s">
        <v>1029</v>
      </c>
      <c r="G771" t="s">
        <v>921</v>
      </c>
      <c r="H771">
        <v>0.1</v>
      </c>
      <c r="J771">
        <v>169050</v>
      </c>
      <c r="K771">
        <f>H771*J771</f>
        <v>16905</v>
      </c>
    </row>
    <row r="772" spans="2:23">
      <c r="K772">
        <f>SUM(K763:K771)</f>
        <v>1513438.3333333333</v>
      </c>
    </row>
    <row r="773" spans="2:23">
      <c r="B773" t="s">
        <v>1806</v>
      </c>
      <c r="C773">
        <f>C761+1</f>
        <v>60</v>
      </c>
      <c r="E773" t="s">
        <v>1923</v>
      </c>
    </row>
    <row r="774" spans="2:23">
      <c r="E774" t="s">
        <v>93</v>
      </c>
    </row>
    <row r="775" spans="2:23">
      <c r="E775" t="s">
        <v>874</v>
      </c>
      <c r="F775" t="s">
        <v>826</v>
      </c>
      <c r="G775" t="s">
        <v>582</v>
      </c>
      <c r="H775">
        <v>1.25</v>
      </c>
      <c r="J775">
        <v>17250</v>
      </c>
      <c r="K775">
        <f>H775*J775</f>
        <v>21562.5</v>
      </c>
    </row>
    <row r="776" spans="2:23">
      <c r="E776" t="s">
        <v>874</v>
      </c>
      <c r="F776" t="s">
        <v>1086</v>
      </c>
      <c r="G776" t="s">
        <v>40</v>
      </c>
      <c r="H776">
        <v>0.186</v>
      </c>
      <c r="J776">
        <f>11200</f>
        <v>11200</v>
      </c>
      <c r="K776">
        <f>H776*J776</f>
        <v>2083.1999999999998</v>
      </c>
    </row>
    <row r="778" spans="2:23">
      <c r="E778" t="s">
        <v>1812</v>
      </c>
    </row>
    <row r="779" spans="2:23">
      <c r="E779" t="s">
        <v>874</v>
      </c>
      <c r="F779" t="s">
        <v>493</v>
      </c>
      <c r="G779" t="s">
        <v>921</v>
      </c>
      <c r="H779">
        <v>1</v>
      </c>
      <c r="J779">
        <v>127649.99999999999</v>
      </c>
      <c r="K779">
        <f>H779*J779</f>
        <v>127649.99999999999</v>
      </c>
    </row>
    <row r="780" spans="2:23">
      <c r="E780" t="s">
        <v>874</v>
      </c>
      <c r="F780" t="s">
        <v>725</v>
      </c>
      <c r="G780" t="s">
        <v>921</v>
      </c>
      <c r="H780">
        <v>2</v>
      </c>
      <c r="J780">
        <v>127649.99999999999</v>
      </c>
      <c r="K780">
        <f>H780*J780</f>
        <v>255299.99999999997</v>
      </c>
    </row>
    <row r="781" spans="2:23">
      <c r="E781" t="s">
        <v>874</v>
      </c>
      <c r="F781" t="s">
        <v>1056</v>
      </c>
      <c r="G781" t="s">
        <v>921</v>
      </c>
      <c r="H781">
        <v>0.2</v>
      </c>
      <c r="J781">
        <v>255299.99999999997</v>
      </c>
      <c r="K781">
        <f>H781*J781</f>
        <v>51060</v>
      </c>
    </row>
    <row r="782" spans="2:23">
      <c r="E782" t="s">
        <v>874</v>
      </c>
      <c r="F782" t="s">
        <v>1029</v>
      </c>
      <c r="G782" t="s">
        <v>921</v>
      </c>
      <c r="H782">
        <v>0.05</v>
      </c>
      <c r="J782">
        <v>169050</v>
      </c>
      <c r="K782">
        <f>H782*J782</f>
        <v>8452.5</v>
      </c>
    </row>
    <row r="783" spans="2:23">
      <c r="K783">
        <f>SUM(K774:K782)</f>
        <v>466108.19999999995</v>
      </c>
      <c r="V783">
        <f>130*(K775+K776)</f>
        <v>3073941</v>
      </c>
      <c r="W783">
        <f>SUM(K779:K782)+V783</f>
        <v>3516403.5</v>
      </c>
    </row>
    <row r="784" spans="2:23">
      <c r="B784" t="s">
        <v>1806</v>
      </c>
      <c r="C784">
        <f>C773+1</f>
        <v>61</v>
      </c>
      <c r="E784" t="s">
        <v>1924</v>
      </c>
    </row>
    <row r="785" spans="2:11">
      <c r="E785" t="s">
        <v>93</v>
      </c>
    </row>
    <row r="786" spans="2:11">
      <c r="E786" t="s">
        <v>874</v>
      </c>
      <c r="F786" t="s">
        <v>1060</v>
      </c>
      <c r="G786" t="s">
        <v>1</v>
      </c>
      <c r="H786">
        <v>0.4</v>
      </c>
      <c r="J786">
        <f>25000</f>
        <v>25000</v>
      </c>
      <c r="K786">
        <f>H786*J786</f>
        <v>10000</v>
      </c>
    </row>
    <row r="787" spans="2:11">
      <c r="E787" t="s">
        <v>874</v>
      </c>
      <c r="F787" t="s">
        <v>1059</v>
      </c>
      <c r="G787" t="s">
        <v>77</v>
      </c>
      <c r="H787">
        <v>0.3</v>
      </c>
      <c r="J787">
        <v>11500</v>
      </c>
      <c r="K787">
        <f>H787*J787</f>
        <v>3450</v>
      </c>
    </row>
    <row r="788" spans="2:11">
      <c r="E788" t="s">
        <v>874</v>
      </c>
      <c r="F788" t="s">
        <v>1058</v>
      </c>
      <c r="G788" t="s">
        <v>77</v>
      </c>
      <c r="H788">
        <v>0.04</v>
      </c>
      <c r="J788">
        <v>69000</v>
      </c>
      <c r="K788">
        <f>H788*J788</f>
        <v>2760</v>
      </c>
    </row>
    <row r="790" spans="2:11">
      <c r="E790" t="s">
        <v>114</v>
      </c>
    </row>
    <row r="791" spans="2:11">
      <c r="E791" t="s">
        <v>874</v>
      </c>
      <c r="F791" t="s">
        <v>768</v>
      </c>
      <c r="G791" t="s">
        <v>72</v>
      </c>
      <c r="H791">
        <v>0.17</v>
      </c>
      <c r="J791">
        <v>31214.449999999997</v>
      </c>
      <c r="K791">
        <f>H791*J791</f>
        <v>5306.4565000000002</v>
      </c>
    </row>
    <row r="793" spans="2:11">
      <c r="E793" t="s">
        <v>1812</v>
      </c>
    </row>
    <row r="794" spans="2:11">
      <c r="E794" t="s">
        <v>874</v>
      </c>
      <c r="F794" t="s">
        <v>493</v>
      </c>
      <c r="G794" t="s">
        <v>921</v>
      </c>
      <c r="H794">
        <v>0.04</v>
      </c>
      <c r="J794">
        <v>127649.99999999999</v>
      </c>
      <c r="K794">
        <f>H794*J794</f>
        <v>5105.9999999999991</v>
      </c>
    </row>
    <row r="795" spans="2:11">
      <c r="E795" t="s">
        <v>874</v>
      </c>
      <c r="F795" t="s">
        <v>1061</v>
      </c>
      <c r="G795" t="s">
        <v>921</v>
      </c>
      <c r="H795">
        <v>0.02</v>
      </c>
      <c r="J795">
        <v>133400</v>
      </c>
      <c r="K795">
        <f>H795*J795</f>
        <v>2668</v>
      </c>
    </row>
    <row r="796" spans="2:11">
      <c r="E796" t="s">
        <v>874</v>
      </c>
      <c r="F796" t="s">
        <v>1056</v>
      </c>
      <c r="G796" t="s">
        <v>921</v>
      </c>
      <c r="H796">
        <v>2E-3</v>
      </c>
      <c r="J796">
        <v>255299.99999999997</v>
      </c>
      <c r="K796">
        <f>H796*J796</f>
        <v>510.59999999999997</v>
      </c>
    </row>
    <row r="797" spans="2:11">
      <c r="E797" t="s">
        <v>874</v>
      </c>
      <c r="F797" t="s">
        <v>1029</v>
      </c>
      <c r="G797" t="s">
        <v>921</v>
      </c>
      <c r="H797">
        <v>2E-3</v>
      </c>
      <c r="J797">
        <v>169050</v>
      </c>
      <c r="K797">
        <f>H797*J797</f>
        <v>338.1</v>
      </c>
    </row>
    <row r="798" spans="2:11">
      <c r="K798">
        <f>SUM(K786:K797)</f>
        <v>30139.156499999997</v>
      </c>
    </row>
    <row r="799" spans="2:11">
      <c r="B799" t="s">
        <v>1806</v>
      </c>
      <c r="C799">
        <f>C784+1</f>
        <v>62</v>
      </c>
      <c r="E799" t="s">
        <v>1057</v>
      </c>
    </row>
    <row r="800" spans="2:11">
      <c r="E800" t="s">
        <v>93</v>
      </c>
    </row>
    <row r="801" spans="2:16">
      <c r="E801" t="s">
        <v>874</v>
      </c>
      <c r="F801" t="s">
        <v>1055</v>
      </c>
      <c r="G801" t="s">
        <v>582</v>
      </c>
      <c r="H801">
        <v>1.25</v>
      </c>
      <c r="J801">
        <f>'[55]Hg.Sat '!E33</f>
        <v>52500</v>
      </c>
      <c r="K801">
        <f>H801*J801</f>
        <v>65625</v>
      </c>
    </row>
    <row r="802" spans="2:16">
      <c r="E802" t="s">
        <v>874</v>
      </c>
      <c r="F802" t="s">
        <v>1054</v>
      </c>
      <c r="G802" t="s">
        <v>40</v>
      </c>
      <c r="H802">
        <v>0.186</v>
      </c>
      <c r="J802">
        <f>J801*10%</f>
        <v>5250</v>
      </c>
      <c r="K802">
        <f>H802*J802</f>
        <v>976.5</v>
      </c>
    </row>
    <row r="804" spans="2:16">
      <c r="E804" t="s">
        <v>1812</v>
      </c>
    </row>
    <row r="805" spans="2:16">
      <c r="E805" t="s">
        <v>874</v>
      </c>
      <c r="F805" t="s">
        <v>493</v>
      </c>
      <c r="G805" t="s">
        <v>921</v>
      </c>
      <c r="H805">
        <v>1</v>
      </c>
      <c r="J805">
        <v>127649.99999999999</v>
      </c>
      <c r="K805">
        <f>H805*J805</f>
        <v>127649.99999999999</v>
      </c>
    </row>
    <row r="806" spans="2:16">
      <c r="E806" t="s">
        <v>874</v>
      </c>
      <c r="F806" t="s">
        <v>1056</v>
      </c>
      <c r="G806" t="s">
        <v>921</v>
      </c>
      <c r="H806">
        <v>0.2</v>
      </c>
      <c r="J806">
        <v>255299.99999999997</v>
      </c>
      <c r="K806">
        <f>H806*J806</f>
        <v>51060</v>
      </c>
    </row>
    <row r="807" spans="2:16">
      <c r="E807" t="s">
        <v>874</v>
      </c>
      <c r="F807" t="s">
        <v>1029</v>
      </c>
      <c r="G807" t="s">
        <v>921</v>
      </c>
      <c r="H807">
        <v>0.05</v>
      </c>
      <c r="J807">
        <v>169050</v>
      </c>
      <c r="K807">
        <f>H807*J807</f>
        <v>8452.5</v>
      </c>
    </row>
    <row r="808" spans="2:16">
      <c r="K808">
        <f>SUM(K800:K807)</f>
        <v>253764</v>
      </c>
    </row>
    <row r="809" spans="2:16">
      <c r="B809" t="s">
        <v>1806</v>
      </c>
      <c r="C809">
        <f>C799+1</f>
        <v>63</v>
      </c>
      <c r="E809" t="s">
        <v>1925</v>
      </c>
    </row>
    <row r="810" spans="2:16">
      <c r="E810" t="s">
        <v>93</v>
      </c>
    </row>
    <row r="811" spans="2:16">
      <c r="E811" t="s">
        <v>874</v>
      </c>
      <c r="F811" t="s">
        <v>1085</v>
      </c>
      <c r="G811" t="s">
        <v>74</v>
      </c>
      <c r="H811">
        <v>1.25</v>
      </c>
      <c r="J811">
        <f>P811</f>
        <v>36212.378533333329</v>
      </c>
      <c r="K811">
        <f>H811*J811</f>
        <v>45265.473166666663</v>
      </c>
      <c r="N811">
        <f>(0.1*0.1*1)+(0.3*0.3*0.2)</f>
        <v>2.8000000000000001E-2</v>
      </c>
      <c r="O811">
        <f>K166</f>
        <v>1293299.2333333332</v>
      </c>
      <c r="P811">
        <f>N811*O811</f>
        <v>36212.378533333329</v>
      </c>
    </row>
    <row r="812" spans="2:16">
      <c r="E812" t="s">
        <v>874</v>
      </c>
      <c r="F812" t="s">
        <v>1084</v>
      </c>
      <c r="G812" t="s">
        <v>1</v>
      </c>
      <c r="H812">
        <v>0.186</v>
      </c>
      <c r="J812">
        <f>'[55]Hg.Sat '!E43</f>
        <v>58800</v>
      </c>
      <c r="K812">
        <f>H812*J812</f>
        <v>10936.8</v>
      </c>
    </row>
    <row r="814" spans="2:16">
      <c r="E814" t="s">
        <v>1812</v>
      </c>
    </row>
    <row r="815" spans="2:16">
      <c r="E815" t="s">
        <v>874</v>
      </c>
      <c r="F815" t="s">
        <v>493</v>
      </c>
      <c r="G815" t="s">
        <v>921</v>
      </c>
      <c r="H815">
        <v>1</v>
      </c>
      <c r="J815">
        <v>127649.99999999999</v>
      </c>
      <c r="K815">
        <f>H815*J815</f>
        <v>127649.99999999999</v>
      </c>
    </row>
    <row r="816" spans="2:16">
      <c r="E816" t="s">
        <v>874</v>
      </c>
      <c r="F816" t="s">
        <v>1029</v>
      </c>
      <c r="G816" t="s">
        <v>921</v>
      </c>
      <c r="H816">
        <v>0.1</v>
      </c>
      <c r="J816">
        <v>169050</v>
      </c>
      <c r="K816">
        <f>H816*J816</f>
        <v>16905</v>
      </c>
    </row>
    <row r="817" spans="2:16">
      <c r="K817">
        <f>SUM(K810:K816)</f>
        <v>200757.27316666665</v>
      </c>
    </row>
    <row r="818" spans="2:16">
      <c r="B818" t="s">
        <v>1806</v>
      </c>
      <c r="C818">
        <f>C809+1</f>
        <v>64</v>
      </c>
      <c r="E818" t="s">
        <v>1926</v>
      </c>
    </row>
    <row r="819" spans="2:16">
      <c r="E819" t="s">
        <v>93</v>
      </c>
    </row>
    <row r="820" spans="2:16">
      <c r="E820" t="s">
        <v>874</v>
      </c>
      <c r="F820" t="s">
        <v>1402</v>
      </c>
      <c r="G820" t="s">
        <v>4</v>
      </c>
      <c r="H820">
        <f>2/8</f>
        <v>0.25</v>
      </c>
      <c r="J820">
        <f>'[55]Hg.Sat '!E29</f>
        <v>132000</v>
      </c>
      <c r="K820">
        <f>H820*J820</f>
        <v>33000</v>
      </c>
      <c r="N820">
        <f>(0.1*0.1*1)+(0.3*0.3*0.2)</f>
        <v>2.8000000000000001E-2</v>
      </c>
      <c r="O820">
        <f>K175</f>
        <v>5989.5833333333321</v>
      </c>
      <c r="P820">
        <f>N820*O820</f>
        <v>167.70833333333331</v>
      </c>
    </row>
    <row r="821" spans="2:16">
      <c r="E821" t="s">
        <v>874</v>
      </c>
      <c r="F821" t="s">
        <v>1403</v>
      </c>
      <c r="G821" t="s">
        <v>1</v>
      </c>
      <c r="H821">
        <v>0.1</v>
      </c>
      <c r="J821">
        <f>'[55]Hg.Sat '!E44</f>
        <v>53000</v>
      </c>
      <c r="K821">
        <f>H821*J821</f>
        <v>5300</v>
      </c>
    </row>
    <row r="823" spans="2:16">
      <c r="E823" t="s">
        <v>1812</v>
      </c>
    </row>
    <row r="824" spans="2:16">
      <c r="E824" t="s">
        <v>874</v>
      </c>
      <c r="F824" t="s">
        <v>493</v>
      </c>
      <c r="G824" t="s">
        <v>921</v>
      </c>
      <c r="H824">
        <v>1</v>
      </c>
      <c r="J824">
        <v>127649.99999999999</v>
      </c>
      <c r="K824">
        <f>H824*J824</f>
        <v>127649.99999999999</v>
      </c>
    </row>
    <row r="825" spans="2:16">
      <c r="E825" t="s">
        <v>874</v>
      </c>
      <c r="F825" t="s">
        <v>1029</v>
      </c>
      <c r="G825" t="s">
        <v>921</v>
      </c>
      <c r="H825">
        <v>0.1</v>
      </c>
      <c r="J825">
        <v>169050</v>
      </c>
      <c r="K825">
        <f>H825*J825</f>
        <v>16905</v>
      </c>
    </row>
    <row r="826" spans="2:16">
      <c r="K826">
        <f>SUM(K819:K825)</f>
        <v>182855</v>
      </c>
    </row>
    <row r="827" spans="2:16">
      <c r="B827" t="s">
        <v>1806</v>
      </c>
      <c r="C827">
        <f>C818+1</f>
        <v>65</v>
      </c>
      <c r="E827" t="s">
        <v>1927</v>
      </c>
    </row>
    <row r="828" spans="2:16">
      <c r="E828" t="s">
        <v>93</v>
      </c>
    </row>
    <row r="829" spans="2:16">
      <c r="E829" t="s">
        <v>874</v>
      </c>
      <c r="F829" t="s">
        <v>1928</v>
      </c>
      <c r="G829" t="s">
        <v>141</v>
      </c>
      <c r="H829">
        <v>1.2</v>
      </c>
      <c r="J829">
        <v>300000</v>
      </c>
      <c r="K829">
        <f>H829*J829</f>
        <v>360000</v>
      </c>
    </row>
    <row r="830" spans="2:16">
      <c r="E830" t="s">
        <v>874</v>
      </c>
      <c r="F830" t="s">
        <v>1929</v>
      </c>
      <c r="G830" t="s">
        <v>582</v>
      </c>
      <c r="H830">
        <v>0.05</v>
      </c>
      <c r="J830">
        <v>150000</v>
      </c>
      <c r="K830">
        <f>H830*J830</f>
        <v>7500</v>
      </c>
    </row>
    <row r="831" spans="2:16">
      <c r="E831" t="s">
        <v>874</v>
      </c>
      <c r="F831" t="s">
        <v>1930</v>
      </c>
      <c r="G831" t="s">
        <v>582</v>
      </c>
      <c r="H831">
        <v>0.01</v>
      </c>
      <c r="J831">
        <v>150000</v>
      </c>
      <c r="K831">
        <f>H831*J831</f>
        <v>1500</v>
      </c>
    </row>
    <row r="833" spans="2:11">
      <c r="E833" t="s">
        <v>1812</v>
      </c>
    </row>
    <row r="834" spans="2:11">
      <c r="E834" t="s">
        <v>874</v>
      </c>
      <c r="F834" t="s">
        <v>1789</v>
      </c>
      <c r="G834" t="s">
        <v>921</v>
      </c>
      <c r="H834">
        <f>2*20*3</f>
        <v>120</v>
      </c>
      <c r="J834">
        <f>10000000/20</f>
        <v>500000</v>
      </c>
      <c r="K834">
        <f>H834*J834</f>
        <v>60000000</v>
      </c>
    </row>
    <row r="835" spans="2:11">
      <c r="E835" t="s">
        <v>874</v>
      </c>
      <c r="F835" t="s">
        <v>996</v>
      </c>
      <c r="G835" t="s">
        <v>921</v>
      </c>
      <c r="H835">
        <f>20*3</f>
        <v>60</v>
      </c>
      <c r="J835">
        <f>20000000/20</f>
        <v>1000000</v>
      </c>
      <c r="K835">
        <f>H835*J835</f>
        <v>60000000</v>
      </c>
    </row>
    <row r="836" spans="2:11">
      <c r="K836">
        <f>SUM(K828:K835)</f>
        <v>120369000</v>
      </c>
    </row>
    <row r="837" spans="2:11">
      <c r="B837" t="s">
        <v>1806</v>
      </c>
      <c r="C837">
        <v>66</v>
      </c>
      <c r="E837" t="s">
        <v>1931</v>
      </c>
    </row>
    <row r="838" spans="2:11">
      <c r="E838" t="s">
        <v>1812</v>
      </c>
    </row>
    <row r="839" spans="2:11">
      <c r="E839" t="s">
        <v>874</v>
      </c>
      <c r="F839" t="s">
        <v>1789</v>
      </c>
      <c r="G839" t="s">
        <v>921</v>
      </c>
      <c r="H839">
        <f>2*20*2</f>
        <v>80</v>
      </c>
      <c r="J839">
        <v>287500</v>
      </c>
      <c r="K839">
        <f>H839*J839</f>
        <v>23000000</v>
      </c>
    </row>
    <row r="840" spans="2:11">
      <c r="E840" t="s">
        <v>874</v>
      </c>
      <c r="F840" t="s">
        <v>996</v>
      </c>
      <c r="G840" t="s">
        <v>921</v>
      </c>
      <c r="H840">
        <f>20*2</f>
        <v>40</v>
      </c>
      <c r="J840">
        <v>448499.99999999994</v>
      </c>
      <c r="K840">
        <f>H840*J840</f>
        <v>17939999.999999996</v>
      </c>
    </row>
    <row r="841" spans="2:11">
      <c r="K841">
        <f>SUM(K838:K840)</f>
        <v>40940000</v>
      </c>
    </row>
    <row r="842" spans="2:11">
      <c r="B842" t="s">
        <v>1806</v>
      </c>
      <c r="C842">
        <v>67</v>
      </c>
      <c r="E842" t="s">
        <v>1053</v>
      </c>
    </row>
    <row r="843" spans="2:11">
      <c r="E843" t="s">
        <v>93</v>
      </c>
    </row>
    <row r="844" spans="2:11">
      <c r="E844" t="s">
        <v>874</v>
      </c>
      <c r="F844" t="s">
        <v>1051</v>
      </c>
      <c r="G844" t="s">
        <v>1</v>
      </c>
      <c r="H844">
        <f>3.77*1.5</f>
        <v>5.6550000000000002</v>
      </c>
      <c r="J844">
        <f>J374/1000</f>
        <v>20125</v>
      </c>
      <c r="K844">
        <f>H844*J844</f>
        <v>113806.875</v>
      </c>
    </row>
    <row r="845" spans="2:11">
      <c r="E845" t="s">
        <v>874</v>
      </c>
      <c r="F845" t="s">
        <v>1050</v>
      </c>
      <c r="G845" t="s">
        <v>3</v>
      </c>
      <c r="H845">
        <v>3</v>
      </c>
      <c r="J845">
        <v>18000</v>
      </c>
      <c r="K845">
        <f>H845*J845</f>
        <v>54000</v>
      </c>
    </row>
    <row r="846" spans="2:11">
      <c r="E846" t="s">
        <v>874</v>
      </c>
      <c r="F846" t="s">
        <v>1049</v>
      </c>
      <c r="G846" t="s">
        <v>141</v>
      </c>
      <c r="H846">
        <v>2</v>
      </c>
      <c r="J846">
        <v>15000</v>
      </c>
      <c r="K846">
        <f>H846*J846</f>
        <v>30000</v>
      </c>
    </row>
    <row r="848" spans="2:11">
      <c r="E848" t="s">
        <v>1812</v>
      </c>
    </row>
    <row r="849" spans="2:11">
      <c r="E849" t="s">
        <v>874</v>
      </c>
      <c r="F849" t="s">
        <v>493</v>
      </c>
      <c r="G849" t="s">
        <v>921</v>
      </c>
      <c r="H849">
        <v>1</v>
      </c>
      <c r="J849">
        <v>127649.99999999999</v>
      </c>
      <c r="K849">
        <f>H849*J849</f>
        <v>127649.99999999999</v>
      </c>
    </row>
    <row r="850" spans="2:11">
      <c r="E850" t="s">
        <v>874</v>
      </c>
      <c r="F850" t="s">
        <v>1029</v>
      </c>
      <c r="G850" t="s">
        <v>921</v>
      </c>
      <c r="H850">
        <v>0.1</v>
      </c>
      <c r="J850">
        <v>169050</v>
      </c>
      <c r="K850">
        <f>H850*J850</f>
        <v>16905</v>
      </c>
    </row>
    <row r="851" spans="2:11">
      <c r="K851">
        <f>SUM(K844:K850)</f>
        <v>342361.875</v>
      </c>
    </row>
    <row r="852" spans="2:11">
      <c r="B852" t="s">
        <v>1806</v>
      </c>
      <c r="C852">
        <v>68</v>
      </c>
      <c r="E852" t="s">
        <v>1932</v>
      </c>
    </row>
    <row r="853" spans="2:11">
      <c r="E853" t="s">
        <v>93</v>
      </c>
    </row>
    <row r="854" spans="2:11">
      <c r="E854" t="s">
        <v>874</v>
      </c>
      <c r="F854" t="s">
        <v>1051</v>
      </c>
      <c r="G854" t="s">
        <v>1</v>
      </c>
      <c r="H854">
        <f>3.77</f>
        <v>3.77</v>
      </c>
      <c r="J854">
        <f>J844</f>
        <v>20125</v>
      </c>
      <c r="K854">
        <f>H854*J854</f>
        <v>75871.25</v>
      </c>
    </row>
    <row r="855" spans="2:11">
      <c r="E855" t="s">
        <v>874</v>
      </c>
      <c r="F855" t="s">
        <v>1050</v>
      </c>
      <c r="G855" t="s">
        <v>3</v>
      </c>
      <c r="H855">
        <v>30</v>
      </c>
      <c r="J855">
        <f>J845</f>
        <v>18000</v>
      </c>
      <c r="K855">
        <f>H855*J855</f>
        <v>540000</v>
      </c>
    </row>
    <row r="856" spans="2:11">
      <c r="E856" t="s">
        <v>874</v>
      </c>
      <c r="F856" t="s">
        <v>1049</v>
      </c>
      <c r="G856" t="s">
        <v>141</v>
      </c>
      <c r="H856">
        <v>8</v>
      </c>
      <c r="J856">
        <f>J846</f>
        <v>15000</v>
      </c>
      <c r="K856">
        <f>H856*J856</f>
        <v>120000</v>
      </c>
    </row>
    <row r="858" spans="2:11">
      <c r="E858" t="s">
        <v>1812</v>
      </c>
    </row>
    <row r="859" spans="2:11">
      <c r="E859" t="s">
        <v>874</v>
      </c>
      <c r="F859" t="s">
        <v>493</v>
      </c>
      <c r="G859" t="s">
        <v>921</v>
      </c>
      <c r="H859">
        <f>1+((H52+H76)*4.05)</f>
        <v>7.2774999999999999</v>
      </c>
      <c r="J859">
        <v>127649.99999999999</v>
      </c>
      <c r="K859">
        <f>H859*J859</f>
        <v>928972.87499999988</v>
      </c>
    </row>
    <row r="860" spans="2:11">
      <c r="E860" t="s">
        <v>874</v>
      </c>
      <c r="F860" t="s">
        <v>1029</v>
      </c>
      <c r="G860" t="s">
        <v>921</v>
      </c>
      <c r="H860">
        <f>0.1+((H53+H77)*4.05)</f>
        <v>0.57384999999999997</v>
      </c>
      <c r="J860">
        <v>169050</v>
      </c>
      <c r="K860">
        <f>H860*J860</f>
        <v>97009.342499999999</v>
      </c>
    </row>
    <row r="861" spans="2:11">
      <c r="K861">
        <f>SUM(K853:K860)</f>
        <v>1761853.4675</v>
      </c>
    </row>
    <row r="862" spans="2:11">
      <c r="B862" t="s">
        <v>1806</v>
      </c>
      <c r="C862">
        <v>68</v>
      </c>
      <c r="E862" t="s">
        <v>1933</v>
      </c>
    </row>
    <row r="863" spans="2:11">
      <c r="E863" t="s">
        <v>93</v>
      </c>
    </row>
    <row r="864" spans="2:11">
      <c r="E864" t="s">
        <v>874</v>
      </c>
      <c r="F864" t="s">
        <v>1051</v>
      </c>
      <c r="G864" t="s">
        <v>1</v>
      </c>
      <c r="H864">
        <f>3.77</f>
        <v>3.77</v>
      </c>
      <c r="J864">
        <f>J854</f>
        <v>20125</v>
      </c>
      <c r="K864">
        <f>H864*J864</f>
        <v>75871.25</v>
      </c>
    </row>
    <row r="865" spans="2:11">
      <c r="E865" t="s">
        <v>874</v>
      </c>
      <c r="F865" t="s">
        <v>1050</v>
      </c>
      <c r="G865" t="s">
        <v>3</v>
      </c>
      <c r="H865">
        <v>30</v>
      </c>
      <c r="J865">
        <f>J855</f>
        <v>18000</v>
      </c>
      <c r="K865">
        <f>H865*J865</f>
        <v>540000</v>
      </c>
    </row>
    <row r="866" spans="2:11">
      <c r="E866" t="s">
        <v>874</v>
      </c>
      <c r="F866" t="s">
        <v>1049</v>
      </c>
      <c r="G866" t="s">
        <v>141</v>
      </c>
      <c r="H866">
        <v>8</v>
      </c>
      <c r="J866">
        <f>J856</f>
        <v>15000</v>
      </c>
      <c r="K866">
        <f>H866*J866</f>
        <v>120000</v>
      </c>
    </row>
    <row r="868" spans="2:11">
      <c r="E868" t="s">
        <v>1812</v>
      </c>
    </row>
    <row r="869" spans="2:11">
      <c r="E869" t="s">
        <v>874</v>
      </c>
      <c r="F869" t="s">
        <v>493</v>
      </c>
      <c r="G869" t="s">
        <v>921</v>
      </c>
      <c r="H869">
        <f>1+((H52+H76)*9)</f>
        <v>14.950000000000001</v>
      </c>
      <c r="J869">
        <v>127649.99999999999</v>
      </c>
      <c r="K869">
        <f>H869*J869</f>
        <v>1908367.5</v>
      </c>
    </row>
    <row r="870" spans="2:11">
      <c r="E870" t="s">
        <v>874</v>
      </c>
      <c r="F870" t="s">
        <v>1029</v>
      </c>
      <c r="G870" t="s">
        <v>921</v>
      </c>
      <c r="H870">
        <f>0.1+((H53+H77)*9)</f>
        <v>1.1530000000000002</v>
      </c>
      <c r="J870">
        <v>169050</v>
      </c>
      <c r="K870">
        <f>H870*J870</f>
        <v>194914.65000000005</v>
      </c>
    </row>
    <row r="871" spans="2:11">
      <c r="K871">
        <f>SUM(K863:K870)</f>
        <v>2839153.4</v>
      </c>
    </row>
    <row r="872" spans="2:11">
      <c r="B872" t="s">
        <v>1806</v>
      </c>
      <c r="C872">
        <v>69</v>
      </c>
      <c r="E872" t="s">
        <v>1934</v>
      </c>
    </row>
    <row r="873" spans="2:11">
      <c r="E873" t="s">
        <v>93</v>
      </c>
    </row>
    <row r="874" spans="2:11">
      <c r="E874" t="s">
        <v>874</v>
      </c>
      <c r="F874" t="s">
        <v>1051</v>
      </c>
      <c r="G874" t="s">
        <v>1</v>
      </c>
      <c r="H874">
        <f>3.77*2</f>
        <v>7.54</v>
      </c>
      <c r="J874">
        <f>J864</f>
        <v>20125</v>
      </c>
      <c r="K874">
        <f>H874*J874</f>
        <v>151742.5</v>
      </c>
    </row>
    <row r="875" spans="2:11">
      <c r="E875" t="s">
        <v>874</v>
      </c>
      <c r="F875" t="s">
        <v>1050</v>
      </c>
      <c r="G875" t="s">
        <v>3</v>
      </c>
      <c r="H875">
        <v>30</v>
      </c>
      <c r="J875">
        <f>J865</f>
        <v>18000</v>
      </c>
      <c r="K875">
        <f>H875*J875</f>
        <v>540000</v>
      </c>
    </row>
    <row r="876" spans="2:11">
      <c r="E876" t="s">
        <v>874</v>
      </c>
      <c r="F876" t="s">
        <v>1049</v>
      </c>
      <c r="G876" t="s">
        <v>141</v>
      </c>
      <c r="H876">
        <v>8</v>
      </c>
      <c r="J876">
        <f>J866</f>
        <v>15000</v>
      </c>
      <c r="K876">
        <f>H876*J876</f>
        <v>120000</v>
      </c>
    </row>
    <row r="878" spans="2:11">
      <c r="E878" t="s">
        <v>1812</v>
      </c>
    </row>
    <row r="879" spans="2:11">
      <c r="E879" t="s">
        <v>874</v>
      </c>
      <c r="F879" t="s">
        <v>493</v>
      </c>
      <c r="G879" t="s">
        <v>921</v>
      </c>
      <c r="H879">
        <f>1+((H52+H76)*4.05)</f>
        <v>7.2774999999999999</v>
      </c>
      <c r="J879">
        <v>127649.99999999999</v>
      </c>
      <c r="K879">
        <f>H879*J879</f>
        <v>928972.87499999988</v>
      </c>
    </row>
    <row r="880" spans="2:11">
      <c r="E880" t="s">
        <v>874</v>
      </c>
      <c r="F880" t="s">
        <v>1029</v>
      </c>
      <c r="G880" t="s">
        <v>921</v>
      </c>
      <c r="H880">
        <f>0.1+((H53+H77)*4.05)</f>
        <v>0.57384999999999997</v>
      </c>
      <c r="J880">
        <v>169050</v>
      </c>
      <c r="K880">
        <f>H880*J880</f>
        <v>97009.342499999999</v>
      </c>
    </row>
    <row r="881" spans="2:11">
      <c r="K881">
        <f>SUM(K873:K880)</f>
        <v>1837724.7175</v>
      </c>
    </row>
    <row r="882" spans="2:11">
      <c r="B882" t="s">
        <v>1806</v>
      </c>
      <c r="C882">
        <v>70</v>
      </c>
      <c r="E882" t="s">
        <v>395</v>
      </c>
    </row>
    <row r="883" spans="2:11">
      <c r="E883" t="s">
        <v>93</v>
      </c>
    </row>
    <row r="884" spans="2:11">
      <c r="F884" t="s">
        <v>1935</v>
      </c>
      <c r="G884" t="s">
        <v>3</v>
      </c>
      <c r="H884">
        <v>1</v>
      </c>
      <c r="J884">
        <f>'[55]Hg.Sat '!E49/2.4</f>
        <v>319770</v>
      </c>
      <c r="K884">
        <f>H884*J884</f>
        <v>319770</v>
      </c>
    </row>
    <row r="885" spans="2:11">
      <c r="F885" t="s">
        <v>1936</v>
      </c>
      <c r="G885" t="s">
        <v>3</v>
      </c>
      <c r="H885">
        <v>2.5</v>
      </c>
      <c r="J885">
        <f>'[55]Hg.Sat '!E50/6</f>
        <v>147216.66666666666</v>
      </c>
      <c r="K885">
        <f>H885*J885</f>
        <v>368041.66666666663</v>
      </c>
    </row>
    <row r="886" spans="2:11" ht="16.5">
      <c r="F886" t="s">
        <v>1937</v>
      </c>
      <c r="G886" t="s">
        <v>40</v>
      </c>
      <c r="H886">
        <f>0.3*0.3*0.5</f>
        <v>4.4999999999999998E-2</v>
      </c>
      <c r="J886">
        <f>K166+K370</f>
        <v>2709213.7333333334</v>
      </c>
      <c r="K886">
        <f>H886*J886</f>
        <v>121914.618</v>
      </c>
    </row>
    <row r="887" spans="2:11" ht="16.5">
      <c r="F887" t="s">
        <v>1938</v>
      </c>
    </row>
    <row r="888" spans="2:11">
      <c r="F888" t="s">
        <v>1939</v>
      </c>
      <c r="G888" t="s">
        <v>40</v>
      </c>
      <c r="H888">
        <f>0.2*0.3*1</f>
        <v>0.06</v>
      </c>
      <c r="J888">
        <f>K166+K370</f>
        <v>2709213.7333333334</v>
      </c>
      <c r="K888">
        <f>H888*J888</f>
        <v>162552.82399999999</v>
      </c>
    </row>
    <row r="889" spans="2:11" ht="16.5">
      <c r="F889" t="s">
        <v>1938</v>
      </c>
    </row>
    <row r="891" spans="2:11">
      <c r="E891" t="s">
        <v>78</v>
      </c>
    </row>
    <row r="892" spans="2:11">
      <c r="F892" t="s">
        <v>400</v>
      </c>
      <c r="G892" t="s">
        <v>40</v>
      </c>
      <c r="H892">
        <v>2.25</v>
      </c>
      <c r="J892">
        <f>K54</f>
        <v>145358.85</v>
      </c>
      <c r="K892">
        <f>H892*J892</f>
        <v>327057.41250000003</v>
      </c>
    </row>
    <row r="893" spans="2:11">
      <c r="F893" t="s">
        <v>401</v>
      </c>
      <c r="G893" t="s">
        <v>40</v>
      </c>
      <c r="H893">
        <v>1.5</v>
      </c>
      <c r="J893">
        <f>K78</f>
        <v>72277.5</v>
      </c>
      <c r="K893">
        <f>H893*J893</f>
        <v>108416.25</v>
      </c>
    </row>
    <row r="894" spans="2:11">
      <c r="F894" t="s">
        <v>402</v>
      </c>
      <c r="G894" t="s">
        <v>210</v>
      </c>
      <c r="H894">
        <v>1</v>
      </c>
      <c r="J894">
        <f>J884*0.1</f>
        <v>31977</v>
      </c>
      <c r="K894">
        <f>H894*J894</f>
        <v>31977</v>
      </c>
    </row>
    <row r="895" spans="2:11">
      <c r="K895">
        <f>SUM(K884:K894)</f>
        <v>1439729.7711666666</v>
      </c>
    </row>
  </sheetData>
  <mergeCells count="10">
    <mergeCell ref="B8:C8"/>
    <mergeCell ref="D8:F8"/>
    <mergeCell ref="H8:I8"/>
    <mergeCell ref="C1:K1"/>
    <mergeCell ref="C2:K2"/>
    <mergeCell ref="B4:C7"/>
    <mergeCell ref="D4:F7"/>
    <mergeCell ref="G4:G7"/>
    <mergeCell ref="H4:I7"/>
    <mergeCell ref="K4:K6"/>
  </mergeCells>
  <printOptions horizontalCentered="1"/>
  <pageMargins left="0.59055118110236227" right="0" top="0.51181102362204722" bottom="1.1811023622047245" header="0.51181102362204722" footer="0.39370078740157483"/>
  <pageSetup paperSize="9" scale="70" orientation="portrait" horizontalDpi="300" verticalDpi="300" r:id="rId1"/>
  <headerFooter alignWithMargins="0">
    <oddFooter>&amp;C &amp;P dari 6</oddFooter>
  </headerFooter>
  <rowBreaks count="6" manualBreakCount="6">
    <brk id="213" min="2" max="10" man="1"/>
    <brk id="337" min="2" max="10" man="1"/>
    <brk id="442" min="2" max="10" man="1"/>
    <brk id="456" min="2" max="10" man="1"/>
    <brk id="623" min="2" max="10" man="1"/>
    <brk id="694" min="2" max="10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1:R37"/>
  <sheetViews>
    <sheetView workbookViewId="0">
      <selection activeCell="G22" sqref="G22"/>
    </sheetView>
  </sheetViews>
  <sheetFormatPr defaultRowHeight="15"/>
  <cols>
    <col min="1" max="1" width="4.5703125" customWidth="1"/>
    <col min="2" max="2" width="5.140625" customWidth="1"/>
    <col min="3" max="3" width="15.42578125" customWidth="1"/>
    <col min="4" max="4" width="19.42578125" customWidth="1"/>
    <col min="5" max="5" width="18.5703125" customWidth="1"/>
    <col min="14" max="14" width="13.5703125" customWidth="1"/>
    <col min="15" max="16" width="11.7109375" customWidth="1"/>
  </cols>
  <sheetData>
    <row r="1" spans="2:18">
      <c r="B1" s="1041" t="s">
        <v>1353</v>
      </c>
      <c r="C1" s="1041"/>
      <c r="D1" s="1041"/>
      <c r="E1" s="1041"/>
      <c r="F1" s="1041"/>
      <c r="G1" s="1041"/>
      <c r="H1" s="1041"/>
      <c r="I1" s="1041"/>
      <c r="J1" s="1041"/>
      <c r="K1" s="1041"/>
    </row>
    <row r="2" spans="2:18" ht="15.75" thickBot="1">
      <c r="B2" s="1041" t="s">
        <v>1354</v>
      </c>
      <c r="C2" s="1041"/>
      <c r="D2" s="1041"/>
      <c r="E2" s="1041"/>
      <c r="F2" s="1041"/>
      <c r="G2" s="1041"/>
      <c r="H2" s="1041"/>
      <c r="I2" s="1041"/>
      <c r="J2" s="1041"/>
      <c r="K2" s="1041"/>
    </row>
    <row r="3" spans="2:18" ht="16.5" thickTop="1" thickBot="1">
      <c r="B3" t="s">
        <v>815</v>
      </c>
      <c r="C3" t="s">
        <v>93</v>
      </c>
      <c r="D3" t="s">
        <v>1355</v>
      </c>
      <c r="E3" t="s">
        <v>673</v>
      </c>
    </row>
    <row r="4" spans="2:18" ht="15.75" thickTop="1">
      <c r="B4">
        <v>1</v>
      </c>
      <c r="C4" t="s">
        <v>1356</v>
      </c>
      <c r="D4">
        <f>ROUNDUP(O5/40,0)</f>
        <v>22</v>
      </c>
      <c r="E4" t="s">
        <v>294</v>
      </c>
      <c r="H4" t="s">
        <v>1357</v>
      </c>
      <c r="I4">
        <v>10000</v>
      </c>
      <c r="L4" s="1041" t="s">
        <v>1393</v>
      </c>
      <c r="M4" s="1041"/>
      <c r="N4" t="s">
        <v>1388</v>
      </c>
      <c r="O4" t="s">
        <v>1389</v>
      </c>
      <c r="P4" t="s">
        <v>1390</v>
      </c>
      <c r="Q4" t="s">
        <v>1391</v>
      </c>
      <c r="R4" t="s">
        <v>1392</v>
      </c>
    </row>
    <row r="5" spans="2:18">
      <c r="B5">
        <v>2</v>
      </c>
      <c r="C5" t="s">
        <v>1025</v>
      </c>
      <c r="D5">
        <f>ROUNDUP(P5/40,0)</f>
        <v>25</v>
      </c>
      <c r="E5" t="s">
        <v>294</v>
      </c>
      <c r="H5" t="s">
        <v>1358</v>
      </c>
      <c r="I5">
        <v>15000</v>
      </c>
      <c r="L5" t="s">
        <v>1366</v>
      </c>
      <c r="M5" t="s">
        <v>1377</v>
      </c>
      <c r="N5">
        <v>247</v>
      </c>
      <c r="O5">
        <v>869</v>
      </c>
      <c r="P5">
        <v>999</v>
      </c>
      <c r="Q5">
        <v>215</v>
      </c>
      <c r="R5">
        <f>Q5/N5</f>
        <v>0.87044534412955465</v>
      </c>
    </row>
    <row r="6" spans="2:18">
      <c r="B6">
        <v>3</v>
      </c>
      <c r="C6" t="s">
        <v>1359</v>
      </c>
      <c r="D6">
        <f>ROUNDUP(N5/50,0)</f>
        <v>5</v>
      </c>
      <c r="E6" t="s">
        <v>1360</v>
      </c>
      <c r="L6" t="s">
        <v>1367</v>
      </c>
      <c r="M6" t="s">
        <v>1378</v>
      </c>
      <c r="N6">
        <v>276</v>
      </c>
      <c r="O6">
        <v>828</v>
      </c>
      <c r="P6">
        <v>1012</v>
      </c>
      <c r="Q6">
        <v>215</v>
      </c>
      <c r="R6">
        <f t="shared" ref="R6:R15" si="0">Q6/N6</f>
        <v>0.77898550724637683</v>
      </c>
    </row>
    <row r="7" spans="2:18">
      <c r="C7" t="s">
        <v>824</v>
      </c>
      <c r="D7">
        <f>SUM(D4:D6)</f>
        <v>52</v>
      </c>
      <c r="E7" t="s">
        <v>1361</v>
      </c>
      <c r="L7" t="s">
        <v>1368</v>
      </c>
      <c r="M7" t="s">
        <v>1379</v>
      </c>
      <c r="N7">
        <v>299</v>
      </c>
      <c r="O7">
        <v>799</v>
      </c>
      <c r="P7">
        <v>1017</v>
      </c>
      <c r="Q7">
        <v>215</v>
      </c>
      <c r="R7">
        <f t="shared" si="0"/>
        <v>0.71906354515050164</v>
      </c>
    </row>
    <row r="8" spans="2:18" ht="15.75" thickBot="1">
      <c r="L8" t="s">
        <v>1369</v>
      </c>
      <c r="M8" t="s">
        <v>1380</v>
      </c>
      <c r="N8">
        <v>326</v>
      </c>
      <c r="O8">
        <v>760</v>
      </c>
      <c r="P8">
        <v>1029</v>
      </c>
      <c r="Q8">
        <v>215</v>
      </c>
      <c r="R8">
        <f t="shared" si="0"/>
        <v>0.6595092024539877</v>
      </c>
    </row>
    <row r="9" spans="2:18" ht="15.75" thickBot="1">
      <c r="C9" t="s">
        <v>1362</v>
      </c>
      <c r="D9">
        <v>5000</v>
      </c>
      <c r="L9" t="s">
        <v>1370</v>
      </c>
      <c r="M9" t="s">
        <v>1381</v>
      </c>
      <c r="N9">
        <v>352</v>
      </c>
      <c r="O9">
        <v>731</v>
      </c>
      <c r="P9">
        <v>1031</v>
      </c>
      <c r="Q9">
        <v>215</v>
      </c>
      <c r="R9">
        <f t="shared" si="0"/>
        <v>0.61079545454545459</v>
      </c>
    </row>
    <row r="10" spans="2:18" ht="15.75" thickBot="1">
      <c r="C10" t="s">
        <v>1363</v>
      </c>
      <c r="D10">
        <f>D7*D9</f>
        <v>260000</v>
      </c>
      <c r="L10" t="s">
        <v>1371</v>
      </c>
      <c r="M10" t="s">
        <v>1382</v>
      </c>
      <c r="N10">
        <v>371</v>
      </c>
      <c r="O10">
        <v>698</v>
      </c>
      <c r="P10">
        <v>1047</v>
      </c>
      <c r="Q10">
        <v>215</v>
      </c>
      <c r="R10">
        <f t="shared" si="0"/>
        <v>0.57951482479784366</v>
      </c>
    </row>
    <row r="11" spans="2:18" ht="15.75" thickBot="1">
      <c r="D11">
        <v>0</v>
      </c>
      <c r="L11" t="s">
        <v>1372</v>
      </c>
      <c r="M11" t="s">
        <v>1383</v>
      </c>
      <c r="N11">
        <v>384</v>
      </c>
      <c r="O11">
        <v>692</v>
      </c>
      <c r="P11">
        <v>1039</v>
      </c>
      <c r="Q11">
        <v>215</v>
      </c>
      <c r="R11">
        <f t="shared" si="0"/>
        <v>0.55989583333333337</v>
      </c>
    </row>
    <row r="12" spans="2:18" ht="15.75" thickTop="1">
      <c r="L12" t="s">
        <v>1373</v>
      </c>
      <c r="M12" t="s">
        <v>1384</v>
      </c>
      <c r="N12">
        <v>406</v>
      </c>
      <c r="O12">
        <v>684</v>
      </c>
      <c r="P12">
        <v>1026</v>
      </c>
      <c r="Q12">
        <v>215</v>
      </c>
      <c r="R12">
        <f t="shared" si="0"/>
        <v>0.52955665024630538</v>
      </c>
    </row>
    <row r="13" spans="2:18">
      <c r="L13" t="s">
        <v>1374</v>
      </c>
      <c r="M13" t="s">
        <v>1385</v>
      </c>
      <c r="N13">
        <v>413</v>
      </c>
      <c r="O13">
        <v>681</v>
      </c>
      <c r="P13">
        <v>1021</v>
      </c>
      <c r="Q13">
        <v>215</v>
      </c>
      <c r="R13">
        <f t="shared" si="0"/>
        <v>0.52058111380145278</v>
      </c>
    </row>
    <row r="14" spans="2:18">
      <c r="B14" s="1041" t="s">
        <v>1364</v>
      </c>
      <c r="C14" s="1041"/>
      <c r="D14" s="1041"/>
      <c r="E14" s="1041"/>
      <c r="F14" s="1041"/>
      <c r="G14" s="1041"/>
      <c r="H14" s="1041"/>
      <c r="I14" s="1041"/>
      <c r="J14" s="1041"/>
      <c r="K14" s="1041"/>
      <c r="L14" t="s">
        <v>1375</v>
      </c>
      <c r="M14" t="s">
        <v>1386</v>
      </c>
      <c r="N14">
        <v>439</v>
      </c>
      <c r="O14">
        <v>670</v>
      </c>
      <c r="P14">
        <v>1006</v>
      </c>
      <c r="Q14">
        <v>215</v>
      </c>
      <c r="R14">
        <f t="shared" si="0"/>
        <v>0.48974943052391801</v>
      </c>
    </row>
    <row r="15" spans="2:18" ht="15.75" thickBot="1">
      <c r="B15" s="1041" t="s">
        <v>1354</v>
      </c>
      <c r="C15" s="1041"/>
      <c r="D15" s="1041"/>
      <c r="E15" s="1041"/>
      <c r="F15" s="1041"/>
      <c r="G15" s="1041"/>
      <c r="H15" s="1041"/>
      <c r="I15" s="1041"/>
      <c r="J15" s="1041"/>
      <c r="K15" s="1041"/>
      <c r="L15" t="s">
        <v>1376</v>
      </c>
      <c r="M15" t="s">
        <v>1387</v>
      </c>
      <c r="N15">
        <v>448</v>
      </c>
      <c r="O15">
        <v>667</v>
      </c>
      <c r="P15">
        <v>1000</v>
      </c>
      <c r="Q15">
        <v>215</v>
      </c>
      <c r="R15">
        <f t="shared" si="0"/>
        <v>0.4799107142857143</v>
      </c>
    </row>
    <row r="16" spans="2:18" ht="16.5" thickTop="1" thickBot="1">
      <c r="B16" t="s">
        <v>815</v>
      </c>
      <c r="C16" t="s">
        <v>93</v>
      </c>
      <c r="D16" t="s">
        <v>1355</v>
      </c>
      <c r="E16" t="s">
        <v>673</v>
      </c>
    </row>
    <row r="17" spans="2:11" ht="15.75" thickTop="1">
      <c r="B17">
        <v>1</v>
      </c>
      <c r="C17" t="s">
        <v>1356</v>
      </c>
      <c r="D17">
        <f>ROUNDUP(O10/40,0)</f>
        <v>18</v>
      </c>
      <c r="E17" t="s">
        <v>294</v>
      </c>
      <c r="H17" t="s">
        <v>1357</v>
      </c>
      <c r="I17">
        <v>10000</v>
      </c>
    </row>
    <row r="18" spans="2:11">
      <c r="B18">
        <v>2</v>
      </c>
      <c r="C18" t="s">
        <v>1025</v>
      </c>
      <c r="D18">
        <f>ROUNDUP(P10/40,0)</f>
        <v>27</v>
      </c>
      <c r="E18" t="s">
        <v>294</v>
      </c>
      <c r="H18" t="s">
        <v>1358</v>
      </c>
      <c r="I18">
        <v>15000</v>
      </c>
    </row>
    <row r="19" spans="2:11">
      <c r="B19">
        <v>3</v>
      </c>
      <c r="C19" t="s">
        <v>1359</v>
      </c>
      <c r="D19">
        <f>ROUNDUP(N10/50,0)</f>
        <v>8</v>
      </c>
      <c r="E19" t="s">
        <v>1360</v>
      </c>
    </row>
    <row r="20" spans="2:11">
      <c r="C20" t="s">
        <v>824</v>
      </c>
      <c r="D20">
        <f>SUM(D17:D19)</f>
        <v>53</v>
      </c>
      <c r="E20" t="s">
        <v>1361</v>
      </c>
    </row>
    <row r="21" spans="2:11" ht="15.75" thickBot="1"/>
    <row r="22" spans="2:11" ht="15.75" thickBot="1">
      <c r="C22" t="s">
        <v>1362</v>
      </c>
      <c r="D22">
        <v>15000</v>
      </c>
      <c r="G22">
        <f>D22/40</f>
        <v>375</v>
      </c>
    </row>
    <row r="23" spans="2:11" ht="15.75" thickBot="1">
      <c r="C23" t="s">
        <v>1363</v>
      </c>
      <c r="D23">
        <f>D20*D22</f>
        <v>795000</v>
      </c>
    </row>
    <row r="24" spans="2:11" ht="15.75" thickBot="1">
      <c r="D24">
        <v>0</v>
      </c>
    </row>
    <row r="25" spans="2:11" ht="15.75" thickTop="1"/>
    <row r="26" spans="2:11">
      <c r="B26" s="1041" t="s">
        <v>1365</v>
      </c>
      <c r="C26" s="1041"/>
      <c r="D26" s="1041"/>
      <c r="E26" s="1041"/>
      <c r="F26" s="1041"/>
      <c r="G26" s="1041"/>
      <c r="H26" s="1041"/>
      <c r="I26" s="1041"/>
      <c r="J26" s="1041"/>
      <c r="K26" s="1041"/>
    </row>
    <row r="27" spans="2:11" ht="15.75" thickBot="1">
      <c r="B27" s="1041" t="s">
        <v>1354</v>
      </c>
      <c r="C27" s="1041"/>
      <c r="D27" s="1041"/>
      <c r="E27" s="1041"/>
      <c r="F27" s="1041"/>
      <c r="G27" s="1041"/>
      <c r="H27" s="1041"/>
      <c r="I27" s="1041"/>
      <c r="J27" s="1041"/>
      <c r="K27" s="1041"/>
    </row>
    <row r="28" spans="2:11" ht="16.5" thickTop="1" thickBot="1">
      <c r="B28" t="s">
        <v>815</v>
      </c>
      <c r="C28" t="s">
        <v>93</v>
      </c>
      <c r="D28" t="s">
        <v>1355</v>
      </c>
      <c r="E28" t="s">
        <v>673</v>
      </c>
    </row>
    <row r="29" spans="2:11" ht="15.75" thickTop="1">
      <c r="B29">
        <v>1</v>
      </c>
      <c r="C29" t="s">
        <v>1356</v>
      </c>
      <c r="D29">
        <f>ROUNDUP(O13/40,0)</f>
        <v>18</v>
      </c>
      <c r="E29" t="s">
        <v>294</v>
      </c>
    </row>
    <row r="30" spans="2:11">
      <c r="B30">
        <v>2</v>
      </c>
      <c r="C30" t="s">
        <v>1025</v>
      </c>
      <c r="D30">
        <f>ROUNDUP(P13/40,0)</f>
        <v>26</v>
      </c>
      <c r="E30" t="s">
        <v>294</v>
      </c>
    </row>
    <row r="31" spans="2:11">
      <c r="B31">
        <v>3</v>
      </c>
      <c r="C31" t="s">
        <v>1359</v>
      </c>
      <c r="D31">
        <f>ROUNDUP(N13/50,0)</f>
        <v>9</v>
      </c>
      <c r="E31" t="s">
        <v>1360</v>
      </c>
    </row>
    <row r="32" spans="2:11">
      <c r="C32" t="s">
        <v>824</v>
      </c>
      <c r="D32">
        <f>SUM(D29:D31)</f>
        <v>53</v>
      </c>
      <c r="E32" t="s">
        <v>1361</v>
      </c>
    </row>
    <row r="33" spans="3:4" ht="15.75" thickBot="1"/>
    <row r="34" spans="3:4" ht="15.75" thickBot="1">
      <c r="C34" t="s">
        <v>1362</v>
      </c>
      <c r="D34">
        <f>D22</f>
        <v>15000</v>
      </c>
    </row>
    <row r="35" spans="3:4" ht="15.75" thickBot="1">
      <c r="C35" t="s">
        <v>1363</v>
      </c>
      <c r="D35">
        <f>D32*D34</f>
        <v>795000</v>
      </c>
    </row>
    <row r="36" spans="3:4" ht="15.75" thickBot="1">
      <c r="D36">
        <v>0</v>
      </c>
    </row>
    <row r="37" spans="3:4" ht="15.75" thickTop="1"/>
  </sheetData>
  <mergeCells count="7">
    <mergeCell ref="B26:K26"/>
    <mergeCell ref="B27:K27"/>
    <mergeCell ref="L4:M4"/>
    <mergeCell ref="B1:K1"/>
    <mergeCell ref="B2:K2"/>
    <mergeCell ref="B14:K14"/>
    <mergeCell ref="B15:K1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3:AG25"/>
  <sheetViews>
    <sheetView workbookViewId="0"/>
  </sheetViews>
  <sheetFormatPr defaultColWidth="9.140625" defaultRowHeight="15"/>
  <cols>
    <col min="3" max="3" width="24.5703125" customWidth="1"/>
    <col min="12" max="12" width="24.5703125" customWidth="1"/>
    <col min="20" max="20" width="24.5703125" customWidth="1"/>
    <col min="28" max="28" width="24.5703125" customWidth="1"/>
  </cols>
  <sheetData>
    <row r="3" spans="2:33">
      <c r="C3" t="e">
        <f>RIGHT(C4&amp;C5,12)</f>
        <v>#REF!</v>
      </c>
      <c r="L3" t="e">
        <f>RIGHT(L4&amp;L5,12)</f>
        <v>#REF!</v>
      </c>
      <c r="T3" t="e">
        <f>RIGHT(T4&amp;T5,12)</f>
        <v>#REF!</v>
      </c>
      <c r="AB3" t="e">
        <f>RIGHT(AB4&amp;AB5,12)</f>
        <v>#REF!</v>
      </c>
    </row>
    <row r="4" spans="2:33">
      <c r="C4" t="s">
        <v>842</v>
      </c>
      <c r="L4" t="s">
        <v>842</v>
      </c>
      <c r="T4" t="s">
        <v>842</v>
      </c>
      <c r="AB4" t="s">
        <v>842</v>
      </c>
    </row>
    <row r="5" spans="2:33">
      <c r="C5" t="e">
        <f>FIXED(C6,0,TRUE)</f>
        <v>#REF!</v>
      </c>
      <c r="L5" t="e">
        <f>FIXED(L6,0,TRUE)</f>
        <v>#REF!</v>
      </c>
      <c r="T5" t="e">
        <f>FIXED(T6,0,TRUE)</f>
        <v>#REF!</v>
      </c>
      <c r="AB5" t="e">
        <f>FIXED(AB6,0,TRUE)</f>
        <v>#REF!</v>
      </c>
    </row>
    <row r="6" spans="2:33">
      <c r="B6" t="s">
        <v>843</v>
      </c>
      <c r="C6" t="e">
        <f>#REF!</f>
        <v>#REF!</v>
      </c>
      <c r="K6" t="s">
        <v>843</v>
      </c>
      <c r="L6" t="e">
        <f>#REF!</f>
        <v>#REF!</v>
      </c>
      <c r="S6" t="s">
        <v>843</v>
      </c>
      <c r="T6" t="e">
        <f>#REF!</f>
        <v>#REF!</v>
      </c>
      <c r="AA6" t="s">
        <v>843</v>
      </c>
      <c r="AB6" t="e">
        <v>#REF!</v>
      </c>
    </row>
    <row r="7" spans="2:33">
      <c r="E7" t="s">
        <v>844</v>
      </c>
      <c r="N7" t="s">
        <v>844</v>
      </c>
      <c r="V7" t="s">
        <v>844</v>
      </c>
    </row>
    <row r="8" spans="2:33">
      <c r="C8" t="e">
        <f>MID(C3,1,3)</f>
        <v>#REF!</v>
      </c>
      <c r="D8" t="e">
        <f>VALUE(LEFT(C8,1))</f>
        <v>#REF!</v>
      </c>
      <c r="E8" t="e">
        <f>IF(D8=1,"Seratus ",IF(D8=0,"",VLOOKUP(D8,G8:H16,2)&amp;" Ratus "))</f>
        <v>#REF!</v>
      </c>
      <c r="G8">
        <v>1</v>
      </c>
      <c r="H8" t="s">
        <v>845</v>
      </c>
      <c r="L8" t="e">
        <f>MID(L3,1,3)</f>
        <v>#REF!</v>
      </c>
      <c r="M8" t="e">
        <f>VALUE(LEFT(L8,1))</f>
        <v>#REF!</v>
      </c>
      <c r="N8" t="e">
        <f>IF(M8=1,"Seratus ",IF(M8=0,"",VLOOKUP(M8,P8:Q16,2)&amp;" Ratus "))</f>
        <v>#REF!</v>
      </c>
      <c r="P8">
        <v>1</v>
      </c>
      <c r="Q8" t="s">
        <v>845</v>
      </c>
      <c r="T8" t="e">
        <f>MID(T3,1,3)</f>
        <v>#REF!</v>
      </c>
      <c r="U8" t="e">
        <f>VALUE(LEFT(T8,1))</f>
        <v>#REF!</v>
      </c>
      <c r="V8" t="e">
        <f>IF(U8=1,"Seratus ",IF(U8=0,"",VLOOKUP(U8,X8:Y16,2)&amp;" Ratus "))</f>
        <v>#REF!</v>
      </c>
      <c r="X8">
        <v>1</v>
      </c>
      <c r="Y8" t="s">
        <v>845</v>
      </c>
      <c r="AB8" t="e">
        <f>MID(AB3,1,3)</f>
        <v>#REF!</v>
      </c>
      <c r="AC8" t="e">
        <f>VALUE(LEFT(AB8,1))</f>
        <v>#REF!</v>
      </c>
      <c r="AD8" t="e">
        <f>IF(AC8=1,"Seratus ",IF(AC8=0,"",VLOOKUP(AC8,AF8:AG16,2)&amp;" Ratus "))</f>
        <v>#REF!</v>
      </c>
      <c r="AF8">
        <v>1</v>
      </c>
      <c r="AG8" t="s">
        <v>845</v>
      </c>
    </row>
    <row r="9" spans="2:33">
      <c r="D9" t="e">
        <f>VALUE(MID(C8,2,1))</f>
        <v>#REF!</v>
      </c>
      <c r="E9" t="e">
        <f>IF(AND(D9=1,D10=0)," Sepuluh",IF(AND(D9=1,D10=1)," Sebelas",IF(AND(D9=1,D10&gt;1),VLOOKUP(D10,G8:H16,2)&amp;" Belas",IF(AND(D9&gt;1,D10&gt;=0),VLOOKUP(D9,G8:H16,2)&amp;" Puluh ",""))))</f>
        <v>#REF!</v>
      </c>
      <c r="G9">
        <v>2</v>
      </c>
      <c r="H9" t="s">
        <v>846</v>
      </c>
      <c r="M9" t="e">
        <f>VALUE(MID(L8,2,1))</f>
        <v>#REF!</v>
      </c>
      <c r="N9" t="e">
        <f>IF(AND(M9=1,M10=0)," Sepuluh",IF(AND(M9=1,M10=1)," Sebelas",IF(AND(M9=1,M10&gt;1),VLOOKUP(M10,P8:Q16,2)&amp;" Belas",IF(AND(M9&gt;1,M10&gt;=0),VLOOKUP(M9,P8:Q16,2)&amp;" Puluh ",""))))</f>
        <v>#REF!</v>
      </c>
      <c r="P9">
        <v>2</v>
      </c>
      <c r="Q9" t="s">
        <v>846</v>
      </c>
      <c r="U9" t="e">
        <f>VALUE(MID(T8,2,1))</f>
        <v>#REF!</v>
      </c>
      <c r="V9" t="e">
        <f>IF(AND(U9=1,U10=0)," Sepuluh",IF(AND(U9=1,U10=1)," Sebelas",IF(AND(U9=1,U10&gt;1),VLOOKUP(U10,X8:Y16,2)&amp;" Belas",IF(AND(U9&gt;1,U10&gt;=0),VLOOKUP(U9,X8:Y16,2)&amp;" Puluh ",""))))</f>
        <v>#REF!</v>
      </c>
      <c r="X9">
        <v>2</v>
      </c>
      <c r="Y9" t="s">
        <v>846</v>
      </c>
      <c r="AC9" t="e">
        <f>VALUE(MID(AB8,2,1))</f>
        <v>#REF!</v>
      </c>
      <c r="AD9" t="e">
        <f>IF(AND(AC9=1,AC10=0)," Sepuluh",IF(AND(AC9=1,AC10=1)," Sebelas",IF(AND(AC9=1,AC10&gt;1),VLOOKUP(AC10,AF8:AG16,2)&amp;" Belas",IF(AND(AC9&gt;1,AC10&gt;=0),VLOOKUP(AC9,AF8:AG16,2)&amp;" Puluh ",""))))</f>
        <v>#REF!</v>
      </c>
      <c r="AF9">
        <v>2</v>
      </c>
      <c r="AG9" t="s">
        <v>846</v>
      </c>
    </row>
    <row r="10" spans="2:33">
      <c r="D10" t="e">
        <f>VALUE(RIGHT(C8,1))</f>
        <v>#REF!</v>
      </c>
      <c r="E10" t="e">
        <f>IF(AND(D10&gt;0,D9&gt;1),VLOOKUP(D10,G8:H16,2),IF(AND(AND(D8&gt;=0,D9=0),D10&gt;0),VLOOKUP(D10,G8:H16,2),""))</f>
        <v>#REF!</v>
      </c>
      <c r="F10" t="e">
        <f>IF(AND(AND(D8&lt;1,D9&lt;1),D10&lt;1),""," Milyar ")</f>
        <v>#REF!</v>
      </c>
      <c r="G10">
        <v>3</v>
      </c>
      <c r="H10" t="s">
        <v>847</v>
      </c>
      <c r="M10" t="e">
        <f>VALUE(RIGHT(L8,1))</f>
        <v>#REF!</v>
      </c>
      <c r="N10" t="e">
        <f>IF(AND(M10&gt;0,M9&gt;1),VLOOKUP(M10,P8:Q16,2),IF(AND(AND(M8&gt;=0,M9=0),M10&gt;0),VLOOKUP(M10,P8:Q16,2),""))</f>
        <v>#REF!</v>
      </c>
      <c r="O10" t="e">
        <f>IF(AND(AND(M8&lt;1,M9&lt;1),M10&lt;1),""," Milyar ")</f>
        <v>#REF!</v>
      </c>
      <c r="P10">
        <v>3</v>
      </c>
      <c r="Q10" t="s">
        <v>847</v>
      </c>
      <c r="U10" t="e">
        <f>VALUE(RIGHT(T8,1))</f>
        <v>#REF!</v>
      </c>
      <c r="V10" t="e">
        <f>IF(AND(U10&gt;0,U9&gt;1),VLOOKUP(U10,X8:Y16,2),IF(AND(AND(U8&gt;=0,U9=0),U10&gt;0),VLOOKUP(U10,X8:Y16,2),""))</f>
        <v>#REF!</v>
      </c>
      <c r="W10" t="e">
        <f>IF(AND(AND(U8&lt;1,U9&lt;1),U10&lt;1),""," Milyar ")</f>
        <v>#REF!</v>
      </c>
      <c r="X10">
        <v>3</v>
      </c>
      <c r="Y10" t="s">
        <v>847</v>
      </c>
      <c r="AC10" t="e">
        <f>VALUE(RIGHT(AB8,1))</f>
        <v>#REF!</v>
      </c>
      <c r="AD10" t="e">
        <f>IF(AND(AC10&gt;0,AC9&gt;1),VLOOKUP(AC10,AF8:AG16,2),IF(AND(AND(AC8&gt;=0,AC9=0),AC10&gt;0),VLOOKUP(AC10,AF8:AG16,2),""))</f>
        <v>#REF!</v>
      </c>
      <c r="AE10" t="e">
        <f>IF(AND(AND(AC8&lt;1,AC9&lt;1),AC10&lt;1),""," Milyar ")</f>
        <v>#REF!</v>
      </c>
      <c r="AF10">
        <v>3</v>
      </c>
      <c r="AG10" t="s">
        <v>847</v>
      </c>
    </row>
    <row r="11" spans="2:33">
      <c r="C11" t="e">
        <f>MID(C3,4,3)</f>
        <v>#REF!</v>
      </c>
      <c r="D11" t="e">
        <f>VALUE(LEFT(C11,1))</f>
        <v>#REF!</v>
      </c>
      <c r="E11" t="e">
        <f>IF(D11=1,"Seratus ",IF(D11=0,"",VLOOKUP(D11,G8:H16,2)&amp;" Ratus "))</f>
        <v>#REF!</v>
      </c>
      <c r="G11">
        <v>4</v>
      </c>
      <c r="H11" t="s">
        <v>848</v>
      </c>
      <c r="L11" t="e">
        <f>MID(L3,4,3)</f>
        <v>#REF!</v>
      </c>
      <c r="M11" t="e">
        <f>VALUE(LEFT(L11,1))</f>
        <v>#REF!</v>
      </c>
      <c r="N11" t="e">
        <f>IF(M11=1,"Seratus ",IF(M11=0,"",VLOOKUP(M11,P8:Q16,2)&amp;" Ratus "))</f>
        <v>#REF!</v>
      </c>
      <c r="P11">
        <v>4</v>
      </c>
      <c r="Q11" t="s">
        <v>848</v>
      </c>
      <c r="T11" t="e">
        <f>MID(T3,4,3)</f>
        <v>#REF!</v>
      </c>
      <c r="U11" t="e">
        <f>VALUE(LEFT(T11,1))</f>
        <v>#REF!</v>
      </c>
      <c r="V11" t="e">
        <f>IF(U11=1,"Seratus ",IF(U11=0,"",VLOOKUP(U11,X8:Y16,2)&amp;" Ratus "))</f>
        <v>#REF!</v>
      </c>
      <c r="X11">
        <v>4</v>
      </c>
      <c r="Y11" t="s">
        <v>848</v>
      </c>
      <c r="AB11" t="e">
        <f>MID(AB3,4,3)</f>
        <v>#REF!</v>
      </c>
      <c r="AC11" t="e">
        <f>VALUE(LEFT(AB11,1))</f>
        <v>#REF!</v>
      </c>
      <c r="AD11" t="e">
        <f>IF(AC11=1,"Seratus ",IF(AC11=0,"",VLOOKUP(AC11,AF8:AG16,2)&amp;" Ratus "))</f>
        <v>#REF!</v>
      </c>
      <c r="AF11">
        <v>4</v>
      </c>
      <c r="AG11" t="s">
        <v>848</v>
      </c>
    </row>
    <row r="12" spans="2:33">
      <c r="D12" t="e">
        <f>VALUE(MID(C11,2,1))</f>
        <v>#REF!</v>
      </c>
      <c r="E12" t="e">
        <f>IF(AND(D12=1,D13=0),"Sepuluh",IF(AND(D12=1,D13=1)," Sebelas",IF(AND(D12=1,D13&gt;1),VLOOKUP(D13,G8:H16,2)&amp;" Belas",IF(AND(D12&gt;1,D13&gt;=0),VLOOKUP(D12,G8:H16,2)&amp;" Puluh ",""))))</f>
        <v>#REF!</v>
      </c>
      <c r="G12">
        <v>5</v>
      </c>
      <c r="H12" t="s">
        <v>849</v>
      </c>
      <c r="M12" t="e">
        <f>VALUE(MID(L11,2,1))</f>
        <v>#REF!</v>
      </c>
      <c r="N12" t="e">
        <f>IF(AND(M12=1,M13=0),"Sepuluh",IF(AND(M12=1,M13=1)," Sebelas",IF(AND(M12=1,M13&gt;1),VLOOKUP(M13,P8:Q16,2)&amp;" Belas",IF(AND(M12&gt;1,M13&gt;=0),VLOOKUP(M12,P8:Q16,2)&amp;" Puluh ",""))))</f>
        <v>#REF!</v>
      </c>
      <c r="P12">
        <v>5</v>
      </c>
      <c r="Q12" t="s">
        <v>849</v>
      </c>
      <c r="U12" t="e">
        <f>VALUE(MID(T11,2,1))</f>
        <v>#REF!</v>
      </c>
      <c r="V12" t="e">
        <f>IF(AND(U12=1,U13=0),"Sepuluh",IF(AND(U12=1,U13=1)," Sebelas",IF(AND(U12=1,U13&gt;1),VLOOKUP(U13,X8:Y16,2)&amp;" Belas",IF(AND(U12&gt;1,U13&gt;=0),VLOOKUP(U12,X8:Y16,2)&amp;" Puluh ",""))))</f>
        <v>#REF!</v>
      </c>
      <c r="X12">
        <v>5</v>
      </c>
      <c r="Y12" t="s">
        <v>849</v>
      </c>
      <c r="AC12" t="e">
        <f>VALUE(MID(AB11,2,1))</f>
        <v>#REF!</v>
      </c>
      <c r="AD12" t="e">
        <f>IF(AND(AC12=1,AC13=0),"Sepuluh",IF(AND(AC12=1,AC13=1)," Sebelas",IF(AND(AC12=1,AC13&gt;1),VLOOKUP(AC13,AF8:AG16,2)&amp;" Belas",IF(AND(AC12&gt;1,AC13&gt;=0),VLOOKUP(AC12,AF8:AG16,2)&amp;" Puluh ",""))))</f>
        <v>#REF!</v>
      </c>
      <c r="AF12">
        <v>5</v>
      </c>
      <c r="AG12" t="s">
        <v>849</v>
      </c>
    </row>
    <row r="13" spans="2:33">
      <c r="D13" t="e">
        <f>VALUE(RIGHT(C11,1))</f>
        <v>#REF!</v>
      </c>
      <c r="E13" t="e">
        <f>IF(AND(D13&gt;0,D12&gt;1),VLOOKUP(D13,G8:H16,2),IF(AND(AND(D11&gt;=0,D12=0),D13&gt;0),VLOOKUP(D13,G8:H16,2),""))</f>
        <v>#REF!</v>
      </c>
      <c r="F13" t="e">
        <f>IF(AND(AND(D11&lt;1,D12&lt;1),D13&lt;1),""," Juta ")</f>
        <v>#REF!</v>
      </c>
      <c r="G13">
        <v>6</v>
      </c>
      <c r="H13" t="s">
        <v>850</v>
      </c>
      <c r="M13" t="e">
        <f>VALUE(RIGHT(L11,1))</f>
        <v>#REF!</v>
      </c>
      <c r="N13" t="e">
        <f>IF(AND(M13&gt;0,M12&gt;1),VLOOKUP(M13,P8:Q16,2),IF(AND(AND(M11&gt;=0,M12=0),M13&gt;0),VLOOKUP(M13,P8:Q16,2),""))</f>
        <v>#REF!</v>
      </c>
      <c r="O13" t="e">
        <f>IF(AND(AND(M11&lt;1,M12&lt;1),M13&lt;1),""," Juta ")</f>
        <v>#REF!</v>
      </c>
      <c r="P13">
        <v>6</v>
      </c>
      <c r="Q13" t="s">
        <v>850</v>
      </c>
      <c r="U13" t="e">
        <f>VALUE(RIGHT(T11,1))</f>
        <v>#REF!</v>
      </c>
      <c r="V13" t="e">
        <f>IF(AND(U13&gt;0,U12&gt;1),VLOOKUP(U13,X8:Y16,2),IF(AND(AND(U11&gt;=0,U12=0),U13&gt;0),VLOOKUP(U13,X8:Y16,2),""))</f>
        <v>#REF!</v>
      </c>
      <c r="W13" t="e">
        <f>IF(AND(AND(U11&lt;1,U12&lt;1),U13&lt;1),""," Juta ")</f>
        <v>#REF!</v>
      </c>
      <c r="X13">
        <v>6</v>
      </c>
      <c r="Y13" t="s">
        <v>850</v>
      </c>
      <c r="AC13" t="e">
        <f>VALUE(RIGHT(AB11,1))</f>
        <v>#REF!</v>
      </c>
      <c r="AD13" t="e">
        <f>IF(AND(AC13&gt;0,AC12&gt;1),VLOOKUP(AC13,AF8:AG16,2),IF(AND(AND(AC11&gt;=0,AC12=0),AC13&gt;0),VLOOKUP(AC13,AF8:AG16,2),""))</f>
        <v>#REF!</v>
      </c>
      <c r="AE13" t="e">
        <f>IF(AND(AND(AC11&lt;1,AC12&lt;1),AC13&lt;1),""," Juta ")</f>
        <v>#REF!</v>
      </c>
      <c r="AF13">
        <v>6</v>
      </c>
      <c r="AG13" t="s">
        <v>850</v>
      </c>
    </row>
    <row r="14" spans="2:33">
      <c r="C14" t="e">
        <f>MID(C3,7,3)</f>
        <v>#REF!</v>
      </c>
      <c r="D14" t="e">
        <f>VALUE(LEFT(C14,1))</f>
        <v>#REF!</v>
      </c>
      <c r="E14" t="e">
        <f>IF(D14=1,"Seratus ",IF(D14=0,"",VLOOKUP(D14,G8:H16,2)&amp;" Ratus "))</f>
        <v>#REF!</v>
      </c>
      <c r="G14">
        <v>7</v>
      </c>
      <c r="H14" t="s">
        <v>851</v>
      </c>
      <c r="L14" t="e">
        <f>MID(L3,7,3)</f>
        <v>#REF!</v>
      </c>
      <c r="M14" t="e">
        <f>VALUE(LEFT(L14,1))</f>
        <v>#REF!</v>
      </c>
      <c r="N14" t="e">
        <f>IF(M14=1,"Seratus ",IF(M14=0,"",VLOOKUP(M14,P8:Q16,2)&amp;" Ratus "))</f>
        <v>#REF!</v>
      </c>
      <c r="P14">
        <v>7</v>
      </c>
      <c r="Q14" t="s">
        <v>851</v>
      </c>
      <c r="T14" t="e">
        <f>MID(T3,7,3)</f>
        <v>#REF!</v>
      </c>
      <c r="U14" t="e">
        <f>VALUE(LEFT(T14,1))</f>
        <v>#REF!</v>
      </c>
      <c r="V14" t="e">
        <f>IF(U14=1,"Seratus ",IF(U14=0,"",VLOOKUP(U14,X8:Y16,2)&amp;" Ratus "))</f>
        <v>#REF!</v>
      </c>
      <c r="X14">
        <v>7</v>
      </c>
      <c r="Y14" t="s">
        <v>851</v>
      </c>
      <c r="AB14" t="e">
        <f>MID(AB3,7,3)</f>
        <v>#REF!</v>
      </c>
      <c r="AC14" t="e">
        <f>VALUE(LEFT(AB14,1))</f>
        <v>#REF!</v>
      </c>
      <c r="AD14" t="e">
        <f>IF(AC14=1,"Seratus ",IF(AC14=0,"",VLOOKUP(AC14,AF8:AG16,2)&amp;" Ratus "))</f>
        <v>#REF!</v>
      </c>
      <c r="AF14">
        <v>7</v>
      </c>
      <c r="AG14" t="s">
        <v>851</v>
      </c>
    </row>
    <row r="15" spans="2:33">
      <c r="D15" t="e">
        <f>VALUE(MID(C14,2,1))</f>
        <v>#REF!</v>
      </c>
      <c r="E15" t="e">
        <f>IF(AND(D15=1,D16=0)," Sepuluh",IF(AND(D15=1,D16=1)," Sebelas",IF(AND(D15=1,D16&gt;1),VLOOKUP(D16,G8:H16,2)&amp;" Belas",IF(AND(D15&gt;1,D16&gt;=0),VLOOKUP(D15,G8:H16,2)&amp;" Puluh ",""))))</f>
        <v>#REF!</v>
      </c>
      <c r="G15">
        <v>8</v>
      </c>
      <c r="H15" t="s">
        <v>852</v>
      </c>
      <c r="M15" t="e">
        <f>VALUE(MID(L14,2,1))</f>
        <v>#REF!</v>
      </c>
      <c r="N15" t="e">
        <f>IF(AND(M15=1,M16=0)," Sepuluh",IF(AND(M15=1,M16=1)," Sebelas",IF(AND(M15=1,M16&gt;1),VLOOKUP(M16,P8:Q16,2)&amp;" Belas",IF(AND(M15&gt;1,M16&gt;=0),VLOOKUP(M15,P8:Q16,2)&amp;" Puluh ",""))))</f>
        <v>#REF!</v>
      </c>
      <c r="P15">
        <v>8</v>
      </c>
      <c r="Q15" t="s">
        <v>852</v>
      </c>
      <c r="U15" t="e">
        <f>VALUE(MID(T14,2,1))</f>
        <v>#REF!</v>
      </c>
      <c r="V15" t="e">
        <f>IF(AND(U15=1,U16=0)," Sepuluh",IF(AND(U15=1,U16=1)," Sebelas",IF(AND(U15=1,U16&gt;1),VLOOKUP(U16,X8:Y16,2)&amp;" Belas",IF(AND(U15&gt;1,U16&gt;=0),VLOOKUP(U15,X8:Y16,2)&amp;" Puluh ",""))))</f>
        <v>#REF!</v>
      </c>
      <c r="X15">
        <v>8</v>
      </c>
      <c r="Y15" t="s">
        <v>852</v>
      </c>
      <c r="AC15" t="e">
        <f>VALUE(MID(AB14,2,1))</f>
        <v>#REF!</v>
      </c>
      <c r="AD15" t="e">
        <f>IF(AND(AC15=1,AC16=0)," Sepuluh",IF(AND(AC15=1,AC16=1)," Sebelas",IF(AND(AC15=1,AC16&gt;1),VLOOKUP(AC16,AF8:AG16,2)&amp;" Belas",IF(AND(AC15&gt;1,AC16&gt;=0),VLOOKUP(AC15,AF8:AG16,2)&amp;" Puluh ",""))))</f>
        <v>#REF!</v>
      </c>
      <c r="AF15">
        <v>8</v>
      </c>
      <c r="AG15" t="s">
        <v>852</v>
      </c>
    </row>
    <row r="16" spans="2:33">
      <c r="D16" t="e">
        <f>VALUE(RIGHT(C14,1))</f>
        <v>#REF!</v>
      </c>
      <c r="E16" t="e">
        <f>IF(AND(D16&gt;0,D15&gt;1),VLOOKUP(D16,G8:H16,2)&amp;" ",IF(AND(AND(D14&gt;0,D15=0),D16&gt;=1),VLOOKUP(D16,G8:H16,2),IF(AND(AND(D14=0,D15=0),D16=1),"Se",IF(AND(AND(D14=0,D15=0),D16&gt;0),VLOOKUP(D16,G8:H17,2),""))))</f>
        <v>#REF!</v>
      </c>
      <c r="F16" t="e">
        <f>IF(AND(AND(D14&lt;1,D15&lt;1),D16&lt;1),"","Ribu ")</f>
        <v>#REF!</v>
      </c>
      <c r="G16">
        <v>9</v>
      </c>
      <c r="H16" t="s">
        <v>853</v>
      </c>
      <c r="M16" t="e">
        <f>VALUE(RIGHT(L14,1))</f>
        <v>#REF!</v>
      </c>
      <c r="N16" t="e">
        <f>IF(AND(M16&gt;0,M15&gt;1),VLOOKUP(M16,P8:Q16,2)&amp;" ",IF(AND(AND(M14&gt;0,M15=0),M16&gt;=1),VLOOKUP(M16,P8:Q16,2),IF(AND(AND(M14=0,M15=0),M16=1),"Se",IF(AND(AND(M14=0,M15=0),M16&gt;0),VLOOKUP(M16,P8:Q17,2),""))))</f>
        <v>#REF!</v>
      </c>
      <c r="O16" t="e">
        <f>IF(AND(AND(M14&lt;1,M15&lt;1),M16&lt;1),"","Ribu ")</f>
        <v>#REF!</v>
      </c>
      <c r="P16">
        <v>9</v>
      </c>
      <c r="Q16" t="s">
        <v>853</v>
      </c>
      <c r="U16" t="e">
        <f>VALUE(RIGHT(T14,1))</f>
        <v>#REF!</v>
      </c>
      <c r="V16" t="e">
        <f>IF(AND(U16&gt;0,U15&gt;1),VLOOKUP(U16,X8:Y16,2)&amp;" ",IF(AND(AND(U14&gt;0,U15=0),U16&gt;=1),VLOOKUP(U16,X8:Y16,2),IF(AND(AND(U14=0,U15=0),U16=1),"Se",IF(AND(AND(U14=0,U15=0),U16&gt;0),VLOOKUP(U16,X8:Y17,2),""))))</f>
        <v>#REF!</v>
      </c>
      <c r="W16" t="e">
        <f>IF(AND(AND(U14&lt;1,U15&lt;1),U16&lt;1),"","Ribu ")</f>
        <v>#REF!</v>
      </c>
      <c r="X16">
        <v>9</v>
      </c>
      <c r="Y16" t="s">
        <v>853</v>
      </c>
      <c r="AC16" t="e">
        <f>VALUE(RIGHT(AB14,1))</f>
        <v>#REF!</v>
      </c>
      <c r="AD16" t="e">
        <f>IF(AND(AC16&gt;0,AC15&gt;1),VLOOKUP(AC16,AF8:AG16,2)&amp;" ",IF(AND(AND(AC14&gt;0,AC15=0),AC16&gt;=1),VLOOKUP(AC16,AF8:AG16,2),IF(AND(AND(AC14=0,AC15=0),AC16=1),"Se",IF(AND(AND(AC14=0,AC15=0),AC16&gt;0),VLOOKUP(AC16,AF8:AG17,2),""))))</f>
        <v>#REF!</v>
      </c>
      <c r="AE16" t="e">
        <f>IF(AND(AND(AC14&lt;1,AC15&lt;1),AC16&lt;1),"","Ribu ")</f>
        <v>#REF!</v>
      </c>
      <c r="AF16">
        <v>9</v>
      </c>
      <c r="AG16" t="s">
        <v>853</v>
      </c>
    </row>
    <row r="17" spans="3:33">
      <c r="C17" t="e">
        <f>MID(C3,10,3)</f>
        <v>#REF!</v>
      </c>
      <c r="D17" t="e">
        <f>VALUE(LEFT(C17,1))</f>
        <v>#REF!</v>
      </c>
      <c r="E17" t="e">
        <f>IF(D17=1," Seratus",IF(D17=0,"",VLOOKUP(D17,G8:H16,2)&amp;" Ratus "))</f>
        <v>#REF!</v>
      </c>
      <c r="H17" t="s">
        <v>236</v>
      </c>
      <c r="L17" t="e">
        <f>MID(L3,10,3)</f>
        <v>#REF!</v>
      </c>
      <c r="M17" t="e">
        <f>VALUE(LEFT(L17,1))</f>
        <v>#REF!</v>
      </c>
      <c r="N17" t="e">
        <f>IF(M17=1," Seratus",IF(M17=0,"",VLOOKUP(M17,P8:Q16,2)&amp;" Ratus "))</f>
        <v>#REF!</v>
      </c>
      <c r="Q17" t="s">
        <v>236</v>
      </c>
      <c r="T17" t="e">
        <f>MID(T3,10,3)</f>
        <v>#REF!</v>
      </c>
      <c r="U17" t="e">
        <f>VALUE(LEFT(T17,1))</f>
        <v>#REF!</v>
      </c>
      <c r="V17" t="e">
        <f>IF(U17=1," Seratus",IF(U17=0,"",VLOOKUP(U17,X8:Y16,2)&amp;" Ratus "))</f>
        <v>#REF!</v>
      </c>
      <c r="Y17" t="s">
        <v>236</v>
      </c>
      <c r="AB17" t="e">
        <f>MID(AB3,10,3)</f>
        <v>#REF!</v>
      </c>
      <c r="AC17" t="e">
        <f>VALUE(LEFT(AB17,1))</f>
        <v>#REF!</v>
      </c>
      <c r="AD17" t="e">
        <f>IF(AC17=1," Seratus",IF(AC17=0,"",VLOOKUP(AC17,AF8:AG16,2)&amp;" Ratus "))</f>
        <v>#REF!</v>
      </c>
      <c r="AG17" t="s">
        <v>236</v>
      </c>
    </row>
    <row r="18" spans="3:33">
      <c r="D18" t="e">
        <f>VALUE(MID(C17,2,1))</f>
        <v>#REF!</v>
      </c>
      <c r="E18" t="e">
        <f>IF(AND(D18=1,D19=0)," Sepuluh",IF(AND(D18=1,D19=1)," Sebelas",IF(AND(D18=1,D19&gt;1),VLOOKUP(D19,G8:H16,2)&amp;" Belas",IF(AND(D18&gt;1,D19&gt;=0),VLOOKUP(D18,G8:H16,2)&amp;" Puluh ",""))))</f>
        <v>#REF!</v>
      </c>
      <c r="M18" t="e">
        <f>VALUE(MID(L17,2,1))</f>
        <v>#REF!</v>
      </c>
      <c r="N18" t="e">
        <f>IF(AND(M18=1,M19=0)," Sepuluh",IF(AND(M18=1,M19=1)," Sebelas",IF(AND(M18=1,M19&gt;1),VLOOKUP(M19,P8:Q16,2)&amp;" Belas",IF(AND(M18&gt;1,M19&gt;=0),VLOOKUP(M18,P8:Q16,2)&amp;" Puluh ",""))))</f>
        <v>#REF!</v>
      </c>
      <c r="U18" t="e">
        <f>VALUE(MID(T17,2,1))</f>
        <v>#REF!</v>
      </c>
      <c r="V18" t="e">
        <f>IF(AND(U18=1,U19=0)," Sepuluh",IF(AND(U18=1,U19=1)," Sebelas",IF(AND(U18=1,U19&gt;1),VLOOKUP(U19,X8:Y16,2)&amp;" Belas",IF(AND(U18&gt;1,U19&gt;=0),VLOOKUP(U18,X8:Y16,2)&amp;" Puluh ",""))))</f>
        <v>#REF!</v>
      </c>
      <c r="AC18" t="e">
        <f>VALUE(MID(AB17,2,1))</f>
        <v>#REF!</v>
      </c>
      <c r="AD18" t="e">
        <f>IF(AND(AC18=1,AC19=0)," Sepuluh",IF(AND(AC18=1,AC19=1)," Sebelas",IF(AND(AC18=1,AC19&gt;1),VLOOKUP(AC19,AF8:AG16,2)&amp;" Belas",IF(AND(AC18&gt;1,AC19&gt;=0),VLOOKUP(AC18,AF8:AG16,2)&amp;" Puluh ",""))))</f>
        <v>#REF!</v>
      </c>
    </row>
    <row r="19" spans="3:33">
      <c r="D19" t="e">
        <f>VALUE(RIGHT(C17,1))</f>
        <v>#REF!</v>
      </c>
      <c r="E19" t="e">
        <f>IF(AND(D19&gt;0,D18&gt;1),VLOOKUP(D19,G8:H16,2),IF(AND(AND(D17&gt;=0,D18=0),D19&gt;0),VLOOKUP(D19,G8:H16,2),""))</f>
        <v>#REF!</v>
      </c>
      <c r="M19" t="e">
        <f>VALUE(RIGHT(L17,1))</f>
        <v>#REF!</v>
      </c>
      <c r="N19" t="e">
        <f>IF(AND(M19&gt;0,M18&gt;1),VLOOKUP(M19,P8:Q16,2),IF(AND(AND(M17&gt;=0,M18=0),M19&gt;0),VLOOKUP(M19,P8:Q16,2),""))</f>
        <v>#REF!</v>
      </c>
      <c r="U19" t="e">
        <f>VALUE(RIGHT(T17,1))</f>
        <v>#REF!</v>
      </c>
      <c r="V19" t="e">
        <f>IF(AND(U19&gt;0,U18&gt;1),VLOOKUP(U19,X8:Y16,2),IF(AND(AND(U17&gt;=0,U18=0),U19&gt;0),VLOOKUP(U19,X8:Y16,2),""))</f>
        <v>#REF!</v>
      </c>
      <c r="AC19" t="e">
        <f>VALUE(RIGHT(AB17,1))</f>
        <v>#REF!</v>
      </c>
      <c r="AD19" t="e">
        <f>IF(AND(AC19&gt;0,AC18&gt;1),VLOOKUP(AC19,AF8:AG16,2),IF(AND(AND(AC17&gt;=0,AC18=0),AC19&gt;0),VLOOKUP(AC19,AF8:AG16,2),""))</f>
        <v>#REF!</v>
      </c>
    </row>
    <row r="21" spans="3:33">
      <c r="C21" t="e">
        <f>E7&amp;E8&amp;E9&amp;E10&amp;F10&amp;E11&amp;E12&amp;E13&amp;F13&amp;E14&amp;E15&amp;E16&amp;F16&amp;E17&amp;E18&amp;E19&amp;" Rupiah."</f>
        <v>#REF!</v>
      </c>
      <c r="L21" t="e">
        <f>N7&amp;N8&amp;N9&amp;N10&amp;O10&amp;N11&amp;N12&amp;N13&amp;O13&amp;N14&amp;N15&amp;N16&amp;O16&amp;N17&amp;N18&amp;N19&amp;"Rupiah."</f>
        <v>#REF!</v>
      </c>
      <c r="T21" t="e">
        <f>V7&amp;V8&amp;V9&amp;V10&amp;W10&amp;V11&amp;V12&amp;V13&amp;W13&amp;V14&amp;V15&amp;V16&amp;W16&amp;V17&amp;V18&amp;V19&amp;"Rupiah."</f>
        <v>#REF!</v>
      </c>
      <c r="AB21" t="e">
        <f>AD8&amp;AD9&amp;AD10&amp;AE10&amp;AD11&amp;AD12&amp;AD13&amp;AE13&amp;AD14&amp;AD15&amp;AD16&amp;AE16&amp;AD17&amp;AD18&amp;AD19&amp;"Rupiah."</f>
        <v>#REF!</v>
      </c>
    </row>
    <row r="25" spans="3:33">
      <c r="C25" t="e">
        <f>C6</f>
        <v>#REF!</v>
      </c>
      <c r="L25" t="e">
        <f>L6</f>
        <v>#REF!</v>
      </c>
      <c r="T25" t="e">
        <f>T6</f>
        <v>#REF!</v>
      </c>
      <c r="AB25" t="e">
        <f>AB6</f>
        <v>#REF!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0"/>
  </sheetPr>
  <dimension ref="B1:P93"/>
  <sheetViews>
    <sheetView workbookViewId="0">
      <selection activeCell="H21" sqref="H21"/>
    </sheetView>
  </sheetViews>
  <sheetFormatPr defaultRowHeight="15"/>
  <cols>
    <col min="2" max="3" width="3.5703125" customWidth="1"/>
    <col min="4" max="4" width="4.28515625" customWidth="1"/>
    <col min="5" max="5" width="3.85546875" customWidth="1"/>
    <col min="6" max="6" width="37.7109375" customWidth="1"/>
    <col min="9" max="11" width="15.28515625" customWidth="1"/>
    <col min="14" max="14" width="12.28515625" customWidth="1"/>
  </cols>
  <sheetData>
    <row r="1" spans="2:16" ht="23.25" customHeight="1">
      <c r="B1" s="1041"/>
      <c r="C1" s="1041"/>
      <c r="D1" t="s">
        <v>1481</v>
      </c>
    </row>
    <row r="2" spans="2:16" ht="23.25" customHeight="1">
      <c r="B2" s="1041">
        <v>1</v>
      </c>
      <c r="C2" s="1041"/>
      <c r="D2" t="s">
        <v>1482</v>
      </c>
    </row>
    <row r="3" spans="2:16" ht="23.25" customHeight="1">
      <c r="C3" t="s">
        <v>1483</v>
      </c>
      <c r="D3" t="s">
        <v>1484</v>
      </c>
      <c r="K3">
        <f>SUM(K4:K5)</f>
        <v>4808400</v>
      </c>
      <c r="M3" t="s">
        <v>1485</v>
      </c>
      <c r="N3">
        <f>1439.44</f>
        <v>1439.44</v>
      </c>
      <c r="O3" t="s">
        <v>1</v>
      </c>
    </row>
    <row r="4" spans="2:16" ht="22.5" customHeight="1">
      <c r="D4">
        <v>1</v>
      </c>
      <c r="E4" t="s">
        <v>1486</v>
      </c>
      <c r="G4" t="s">
        <v>1</v>
      </c>
      <c r="H4">
        <v>2995</v>
      </c>
      <c r="J4">
        <f>H4*I4</f>
        <v>0</v>
      </c>
      <c r="K4">
        <f>J4</f>
        <v>0</v>
      </c>
      <c r="M4" t="s">
        <v>1487</v>
      </c>
      <c r="N4">
        <f>N5-N3</f>
        <v>292.26</v>
      </c>
      <c r="O4" t="s">
        <v>1</v>
      </c>
    </row>
    <row r="5" spans="2:16" ht="22.5" customHeight="1">
      <c r="D5">
        <v>2</v>
      </c>
      <c r="E5" t="s">
        <v>1488</v>
      </c>
      <c r="G5" t="s">
        <v>1</v>
      </c>
      <c r="J5">
        <f>SUM(J6:J11)</f>
        <v>4808400</v>
      </c>
      <c r="K5">
        <f>J5</f>
        <v>4808400</v>
      </c>
      <c r="M5" t="s">
        <v>1489</v>
      </c>
      <c r="N5">
        <f>1731.7</f>
        <v>1731.7</v>
      </c>
      <c r="O5" t="s">
        <v>1</v>
      </c>
      <c r="P5" t="e">
        <f>K5/K4</f>
        <v>#DIV/0!</v>
      </c>
    </row>
    <row r="6" spans="2:16" ht="15.95" customHeight="1">
      <c r="E6" t="s">
        <v>874</v>
      </c>
      <c r="F6" t="s">
        <v>495</v>
      </c>
      <c r="G6" t="s">
        <v>1490</v>
      </c>
      <c r="H6">
        <v>1</v>
      </c>
      <c r="I6">
        <v>120000</v>
      </c>
      <c r="J6">
        <f t="shared" ref="J6:J11" si="0">I6*H6</f>
        <v>120000</v>
      </c>
      <c r="M6" t="s">
        <v>1491</v>
      </c>
      <c r="N6">
        <f>1168.6</f>
        <v>1168.5999999999999</v>
      </c>
      <c r="O6" t="s">
        <v>1</v>
      </c>
    </row>
    <row r="7" spans="2:16" ht="15.95" customHeight="1">
      <c r="E7" t="s">
        <v>874</v>
      </c>
      <c r="F7" t="s">
        <v>923</v>
      </c>
      <c r="G7" t="s">
        <v>1490</v>
      </c>
      <c r="H7">
        <v>7</v>
      </c>
      <c r="I7">
        <v>110000</v>
      </c>
      <c r="J7">
        <f t="shared" si="0"/>
        <v>770000</v>
      </c>
      <c r="M7" t="s">
        <v>1492</v>
      </c>
      <c r="N7">
        <f>SUM(N5:N6)</f>
        <v>2900.3</v>
      </c>
      <c r="O7" t="s">
        <v>1</v>
      </c>
    </row>
    <row r="8" spans="2:16" ht="15.95" customHeight="1">
      <c r="E8" t="s">
        <v>874</v>
      </c>
      <c r="F8" t="s">
        <v>1493</v>
      </c>
      <c r="G8" t="s">
        <v>1490</v>
      </c>
      <c r="H8">
        <v>7</v>
      </c>
      <c r="I8">
        <v>100000</v>
      </c>
      <c r="J8">
        <f t="shared" si="0"/>
        <v>700000</v>
      </c>
      <c r="M8" t="s">
        <v>1494</v>
      </c>
      <c r="N8">
        <f>184.45</f>
        <v>184.45</v>
      </c>
      <c r="O8" t="s">
        <v>1</v>
      </c>
    </row>
    <row r="9" spans="2:16" ht="15.95" customHeight="1">
      <c r="E9" t="s">
        <v>874</v>
      </c>
      <c r="F9" t="s">
        <v>1495</v>
      </c>
      <c r="G9" t="s">
        <v>1490</v>
      </c>
      <c r="H9">
        <v>4</v>
      </c>
      <c r="I9">
        <v>500000</v>
      </c>
      <c r="J9">
        <f t="shared" si="0"/>
        <v>2000000</v>
      </c>
      <c r="M9" t="s">
        <v>1496</v>
      </c>
      <c r="N9">
        <f>SUM(N7:N8)</f>
        <v>3084.75</v>
      </c>
      <c r="O9" t="s">
        <v>1</v>
      </c>
    </row>
    <row r="10" spans="2:16" ht="15.95" customHeight="1">
      <c r="E10" t="s">
        <v>874</v>
      </c>
      <c r="F10" t="s">
        <v>1497</v>
      </c>
      <c r="G10" t="s">
        <v>975</v>
      </c>
      <c r="H10">
        <v>8</v>
      </c>
      <c r="I10">
        <v>139800</v>
      </c>
      <c r="J10">
        <f t="shared" si="0"/>
        <v>1118400</v>
      </c>
    </row>
    <row r="11" spans="2:16" ht="15.95" customHeight="1">
      <c r="E11" t="s">
        <v>874</v>
      </c>
      <c r="F11" t="s">
        <v>1498</v>
      </c>
      <c r="G11" t="s">
        <v>474</v>
      </c>
      <c r="H11">
        <v>1</v>
      </c>
      <c r="I11">
        <v>100000</v>
      </c>
      <c r="J11">
        <f t="shared" si="0"/>
        <v>100000</v>
      </c>
      <c r="N11">
        <f>(1168.6+184.45)</f>
        <v>1353.05</v>
      </c>
    </row>
    <row r="12" spans="2:16" ht="15.95" customHeight="1"/>
    <row r="13" spans="2:16" ht="23.25" customHeight="1">
      <c r="C13" t="s">
        <v>1499</v>
      </c>
      <c r="D13" t="s">
        <v>1500</v>
      </c>
      <c r="K13">
        <f>SUM(K14:K15)</f>
        <v>4598400</v>
      </c>
    </row>
    <row r="14" spans="2:16" ht="22.5" customHeight="1">
      <c r="D14">
        <v>1</v>
      </c>
      <c r="E14" t="s">
        <v>1501</v>
      </c>
      <c r="G14" t="s">
        <v>1</v>
      </c>
      <c r="H14">
        <v>2883</v>
      </c>
      <c r="J14">
        <f>H14*I14</f>
        <v>0</v>
      </c>
      <c r="K14">
        <f>J14</f>
        <v>0</v>
      </c>
      <c r="M14" t="s">
        <v>1489</v>
      </c>
      <c r="N14">
        <f>1731.7</f>
        <v>1731.7</v>
      </c>
      <c r="O14" t="s">
        <v>1</v>
      </c>
    </row>
    <row r="15" spans="2:16" ht="22.5" customHeight="1">
      <c r="D15">
        <v>2</v>
      </c>
      <c r="E15" t="s">
        <v>1502</v>
      </c>
      <c r="G15" t="s">
        <v>1</v>
      </c>
      <c r="J15">
        <f>SUM(J16:J21)</f>
        <v>4598400</v>
      </c>
      <c r="K15">
        <f>J15</f>
        <v>4598400</v>
      </c>
      <c r="M15" t="s">
        <v>1491</v>
      </c>
      <c r="N15">
        <f>1168.6</f>
        <v>1168.5999999999999</v>
      </c>
      <c r="O15" t="s">
        <v>1</v>
      </c>
      <c r="P15" t="e">
        <f>K15/K14</f>
        <v>#DIV/0!</v>
      </c>
    </row>
    <row r="16" spans="2:16" ht="15.95" customHeight="1">
      <c r="E16" t="s">
        <v>874</v>
      </c>
      <c r="F16" t="s">
        <v>495</v>
      </c>
      <c r="G16" t="s">
        <v>1490</v>
      </c>
      <c r="H16">
        <v>1</v>
      </c>
      <c r="I16">
        <v>120000</v>
      </c>
      <c r="J16">
        <f t="shared" ref="J16:J21" si="1">I16*H16</f>
        <v>120000</v>
      </c>
      <c r="M16" t="s">
        <v>1492</v>
      </c>
      <c r="N16">
        <f>SUM(N14:N15)</f>
        <v>2900.3</v>
      </c>
      <c r="O16" t="s">
        <v>1</v>
      </c>
    </row>
    <row r="17" spans="3:16" ht="15.95" customHeight="1">
      <c r="E17" t="s">
        <v>874</v>
      </c>
      <c r="F17" t="s">
        <v>923</v>
      </c>
      <c r="G17" t="s">
        <v>1490</v>
      </c>
      <c r="H17">
        <v>6</v>
      </c>
      <c r="I17">
        <v>110000</v>
      </c>
      <c r="J17">
        <f t="shared" si="1"/>
        <v>660000</v>
      </c>
    </row>
    <row r="18" spans="3:16" ht="15.95" customHeight="1">
      <c r="E18" t="s">
        <v>874</v>
      </c>
      <c r="F18" t="s">
        <v>1493</v>
      </c>
      <c r="G18" t="s">
        <v>1490</v>
      </c>
      <c r="H18">
        <v>6</v>
      </c>
      <c r="I18">
        <v>100000</v>
      </c>
      <c r="J18">
        <f t="shared" si="1"/>
        <v>600000</v>
      </c>
    </row>
    <row r="19" spans="3:16" ht="15.95" customHeight="1">
      <c r="E19" t="s">
        <v>874</v>
      </c>
      <c r="F19" t="s">
        <v>1495</v>
      </c>
      <c r="G19" t="s">
        <v>1490</v>
      </c>
      <c r="H19">
        <v>4</v>
      </c>
      <c r="I19">
        <v>500000</v>
      </c>
      <c r="J19">
        <f t="shared" si="1"/>
        <v>2000000</v>
      </c>
    </row>
    <row r="20" spans="3:16" ht="15.95" customHeight="1">
      <c r="E20" t="s">
        <v>874</v>
      </c>
      <c r="F20" t="s">
        <v>1497</v>
      </c>
      <c r="G20" t="s">
        <v>975</v>
      </c>
      <c r="H20">
        <v>8</v>
      </c>
      <c r="I20">
        <v>139800</v>
      </c>
      <c r="J20">
        <f t="shared" si="1"/>
        <v>1118400</v>
      </c>
    </row>
    <row r="21" spans="3:16" ht="15.95" customHeight="1">
      <c r="E21" t="s">
        <v>874</v>
      </c>
      <c r="F21" t="s">
        <v>1498</v>
      </c>
      <c r="G21" t="s">
        <v>474</v>
      </c>
      <c r="H21">
        <v>1</v>
      </c>
      <c r="I21">
        <v>100000</v>
      </c>
      <c r="J21">
        <f t="shared" si="1"/>
        <v>100000</v>
      </c>
    </row>
    <row r="22" spans="3:16" ht="15.95" customHeight="1"/>
    <row r="23" spans="3:16" ht="23.25" customHeight="1">
      <c r="C23" t="s">
        <v>1503</v>
      </c>
      <c r="D23" t="s">
        <v>1504</v>
      </c>
      <c r="K23">
        <f>SUM(K24:K25)</f>
        <v>3178400</v>
      </c>
      <c r="M23" t="s">
        <v>1485</v>
      </c>
      <c r="N23">
        <f>1439.44</f>
        <v>1439.44</v>
      </c>
      <c r="O23" t="s">
        <v>1</v>
      </c>
    </row>
    <row r="24" spans="3:16" ht="22.5" customHeight="1">
      <c r="D24">
        <v>1</v>
      </c>
      <c r="E24" t="s">
        <v>1505</v>
      </c>
      <c r="G24" t="s">
        <v>1</v>
      </c>
      <c r="H24">
        <v>1442</v>
      </c>
      <c r="J24">
        <f>H24*I24</f>
        <v>0</v>
      </c>
      <c r="K24">
        <f>J24</f>
        <v>0</v>
      </c>
      <c r="M24" t="s">
        <v>1487</v>
      </c>
      <c r="N24">
        <f>N25-N23</f>
        <v>292.26</v>
      </c>
      <c r="O24" t="s">
        <v>1</v>
      </c>
    </row>
    <row r="25" spans="3:16" ht="22.5" customHeight="1">
      <c r="D25">
        <v>2</v>
      </c>
      <c r="E25" t="s">
        <v>1506</v>
      </c>
      <c r="G25" t="s">
        <v>1</v>
      </c>
      <c r="J25">
        <f>SUM(J26:J31)</f>
        <v>3178400</v>
      </c>
      <c r="K25">
        <f>J25</f>
        <v>3178400</v>
      </c>
      <c r="M25" t="s">
        <v>1489</v>
      </c>
      <c r="N25">
        <f>1731.7</f>
        <v>1731.7</v>
      </c>
      <c r="O25" t="s">
        <v>1</v>
      </c>
      <c r="P25" t="e">
        <f>K25/K24</f>
        <v>#DIV/0!</v>
      </c>
    </row>
    <row r="26" spans="3:16" ht="15.95" customHeight="1">
      <c r="E26" t="s">
        <v>874</v>
      </c>
      <c r="F26" t="s">
        <v>495</v>
      </c>
      <c r="G26" t="s">
        <v>1490</v>
      </c>
      <c r="H26">
        <v>1</v>
      </c>
      <c r="I26">
        <v>120000</v>
      </c>
      <c r="J26">
        <f t="shared" ref="J26:J31" si="2">I26*H26</f>
        <v>120000</v>
      </c>
      <c r="M26" t="s">
        <v>1494</v>
      </c>
      <c r="N26">
        <f>184.45</f>
        <v>184.45</v>
      </c>
      <c r="O26" t="s">
        <v>1</v>
      </c>
    </row>
    <row r="27" spans="3:16" ht="15.95" customHeight="1">
      <c r="E27" t="s">
        <v>874</v>
      </c>
      <c r="F27" t="s">
        <v>923</v>
      </c>
      <c r="G27" t="s">
        <v>1490</v>
      </c>
      <c r="H27">
        <v>4</v>
      </c>
      <c r="I27">
        <v>110000</v>
      </c>
      <c r="J27">
        <f t="shared" si="2"/>
        <v>440000</v>
      </c>
      <c r="M27" t="s">
        <v>1507</v>
      </c>
      <c r="N27">
        <f>N25+N26</f>
        <v>1916.15</v>
      </c>
      <c r="O27" t="s">
        <v>1</v>
      </c>
    </row>
    <row r="28" spans="3:16" ht="15.95" customHeight="1">
      <c r="E28" t="s">
        <v>874</v>
      </c>
      <c r="F28" t="s">
        <v>1493</v>
      </c>
      <c r="G28" t="s">
        <v>1490</v>
      </c>
      <c r="H28">
        <v>4</v>
      </c>
      <c r="I28">
        <v>100000</v>
      </c>
      <c r="J28">
        <f t="shared" si="2"/>
        <v>400000</v>
      </c>
    </row>
    <row r="29" spans="3:16" ht="15.95" customHeight="1">
      <c r="E29" t="s">
        <v>874</v>
      </c>
      <c r="F29" t="s">
        <v>1495</v>
      </c>
      <c r="G29" t="s">
        <v>1490</v>
      </c>
      <c r="H29">
        <v>2</v>
      </c>
      <c r="I29">
        <v>500000</v>
      </c>
      <c r="J29">
        <f t="shared" si="2"/>
        <v>1000000</v>
      </c>
    </row>
    <row r="30" spans="3:16" ht="15.95" customHeight="1">
      <c r="E30" t="s">
        <v>874</v>
      </c>
      <c r="F30" t="s">
        <v>1497</v>
      </c>
      <c r="G30" t="s">
        <v>975</v>
      </c>
      <c r="H30">
        <v>8</v>
      </c>
      <c r="I30">
        <v>139800</v>
      </c>
      <c r="J30">
        <f t="shared" si="2"/>
        <v>1118400</v>
      </c>
    </row>
    <row r="31" spans="3:16" ht="15.95" customHeight="1">
      <c r="E31" t="s">
        <v>874</v>
      </c>
      <c r="F31" t="s">
        <v>1498</v>
      </c>
      <c r="G31" t="s">
        <v>474</v>
      </c>
      <c r="H31">
        <v>1</v>
      </c>
      <c r="I31">
        <v>100000</v>
      </c>
      <c r="J31">
        <f t="shared" si="2"/>
        <v>100000</v>
      </c>
    </row>
    <row r="32" spans="3:16" ht="15.95" customHeight="1"/>
    <row r="33" spans="3:16" ht="23.25" customHeight="1">
      <c r="C33" t="s">
        <v>1508</v>
      </c>
      <c r="D33" t="s">
        <v>1509</v>
      </c>
      <c r="K33">
        <f>SUM(K34:K35)</f>
        <v>5018400</v>
      </c>
    </row>
    <row r="34" spans="3:16" ht="22.5" customHeight="1">
      <c r="D34">
        <v>1</v>
      </c>
      <c r="E34" t="s">
        <v>1510</v>
      </c>
      <c r="G34" t="s">
        <v>1</v>
      </c>
      <c r="H34">
        <f>2900.3+1168.6</f>
        <v>4068.9</v>
      </c>
      <c r="J34">
        <f>H34*I34</f>
        <v>0</v>
      </c>
      <c r="K34">
        <f>J34*0</f>
        <v>0</v>
      </c>
      <c r="M34" t="s">
        <v>1511</v>
      </c>
      <c r="N34">
        <f>2900.3</f>
        <v>2900.3</v>
      </c>
      <c r="O34" t="s">
        <v>1</v>
      </c>
    </row>
    <row r="35" spans="3:16" ht="22.5" customHeight="1">
      <c r="D35">
        <v>2</v>
      </c>
      <c r="E35" t="s">
        <v>1512</v>
      </c>
      <c r="G35" t="s">
        <v>1</v>
      </c>
      <c r="J35">
        <f>SUM(J36:J41)</f>
        <v>5018400</v>
      </c>
      <c r="K35">
        <f>J35</f>
        <v>5018400</v>
      </c>
      <c r="M35" t="s">
        <v>1491</v>
      </c>
      <c r="N35">
        <f>1168.6</f>
        <v>1168.5999999999999</v>
      </c>
      <c r="O35" t="s">
        <v>1</v>
      </c>
      <c r="P35" t="e">
        <f>K35/K34</f>
        <v>#DIV/0!</v>
      </c>
    </row>
    <row r="36" spans="3:16" ht="15.95" customHeight="1">
      <c r="E36" t="s">
        <v>874</v>
      </c>
      <c r="F36" t="s">
        <v>495</v>
      </c>
      <c r="G36" t="s">
        <v>1490</v>
      </c>
      <c r="H36">
        <v>1</v>
      </c>
      <c r="I36">
        <v>120000</v>
      </c>
      <c r="J36">
        <f t="shared" ref="J36:J41" si="3">I36*H36</f>
        <v>120000</v>
      </c>
      <c r="M36" t="s">
        <v>1513</v>
      </c>
      <c r="N36">
        <f>SUM(N34:N35)</f>
        <v>4068.9</v>
      </c>
      <c r="O36" t="s">
        <v>1</v>
      </c>
    </row>
    <row r="37" spans="3:16" ht="15.95" customHeight="1">
      <c r="E37" t="s">
        <v>874</v>
      </c>
      <c r="F37" t="s">
        <v>923</v>
      </c>
      <c r="G37" t="s">
        <v>1490</v>
      </c>
      <c r="H37">
        <v>8</v>
      </c>
      <c r="I37">
        <v>110000</v>
      </c>
      <c r="J37">
        <f t="shared" si="3"/>
        <v>880000</v>
      </c>
    </row>
    <row r="38" spans="3:16" ht="15.95" customHeight="1">
      <c r="E38" t="s">
        <v>874</v>
      </c>
      <c r="F38" t="s">
        <v>1493</v>
      </c>
      <c r="G38" t="s">
        <v>1490</v>
      </c>
      <c r="H38">
        <v>8</v>
      </c>
      <c r="I38">
        <v>100000</v>
      </c>
      <c r="J38">
        <f t="shared" si="3"/>
        <v>800000</v>
      </c>
    </row>
    <row r="39" spans="3:16" ht="15.95" customHeight="1">
      <c r="E39" t="s">
        <v>874</v>
      </c>
      <c r="F39" t="s">
        <v>1495</v>
      </c>
      <c r="G39" t="s">
        <v>1490</v>
      </c>
      <c r="H39">
        <v>4</v>
      </c>
      <c r="I39">
        <v>500000</v>
      </c>
      <c r="J39">
        <f t="shared" si="3"/>
        <v>2000000</v>
      </c>
    </row>
    <row r="40" spans="3:16" ht="15.95" customHeight="1">
      <c r="E40" t="s">
        <v>874</v>
      </c>
      <c r="F40" t="s">
        <v>1497</v>
      </c>
      <c r="G40" t="s">
        <v>975</v>
      </c>
      <c r="H40">
        <v>8</v>
      </c>
      <c r="I40">
        <v>139800</v>
      </c>
      <c r="J40">
        <f t="shared" si="3"/>
        <v>1118400</v>
      </c>
    </row>
    <row r="41" spans="3:16" ht="15.95" customHeight="1">
      <c r="E41" t="s">
        <v>874</v>
      </c>
      <c r="F41" t="s">
        <v>1498</v>
      </c>
      <c r="G41" t="s">
        <v>474</v>
      </c>
      <c r="H41">
        <v>1</v>
      </c>
      <c r="I41">
        <v>100000</v>
      </c>
      <c r="J41">
        <f t="shared" si="3"/>
        <v>100000</v>
      </c>
    </row>
    <row r="42" spans="3:16" ht="15.95" customHeight="1"/>
    <row r="43" spans="3:16" ht="23.25" customHeight="1">
      <c r="C43" t="s">
        <v>1514</v>
      </c>
      <c r="D43" t="s">
        <v>1515</v>
      </c>
      <c r="K43">
        <f>SUM(K44:K45)</f>
        <v>6438400</v>
      </c>
    </row>
    <row r="44" spans="3:16" ht="22.5" customHeight="1">
      <c r="D44">
        <v>1</v>
      </c>
      <c r="E44" t="s">
        <v>1516</v>
      </c>
      <c r="G44" t="s">
        <v>1</v>
      </c>
      <c r="H44">
        <f>4068.9+184.45</f>
        <v>4253.3500000000004</v>
      </c>
      <c r="J44">
        <f>H44*I44</f>
        <v>0</v>
      </c>
      <c r="K44">
        <f>J44*0</f>
        <v>0</v>
      </c>
      <c r="M44" t="s">
        <v>1511</v>
      </c>
      <c r="N44">
        <f>2900.3</f>
        <v>2900.3</v>
      </c>
      <c r="O44" t="s">
        <v>1</v>
      </c>
    </row>
    <row r="45" spans="3:16" ht="22.5" customHeight="1">
      <c r="D45">
        <v>2</v>
      </c>
      <c r="E45" t="s">
        <v>1517</v>
      </c>
      <c r="G45" t="s">
        <v>1</v>
      </c>
      <c r="J45">
        <f>SUM(J46:J51)</f>
        <v>6438400</v>
      </c>
      <c r="K45">
        <f>J45</f>
        <v>6438400</v>
      </c>
      <c r="M45" t="s">
        <v>1491</v>
      </c>
      <c r="N45">
        <f>1168.6</f>
        <v>1168.5999999999999</v>
      </c>
      <c r="O45" t="s">
        <v>1</v>
      </c>
      <c r="P45" t="e">
        <f>K45/K44</f>
        <v>#DIV/0!</v>
      </c>
    </row>
    <row r="46" spans="3:16" ht="15.95" customHeight="1">
      <c r="E46" t="s">
        <v>874</v>
      </c>
      <c r="F46" t="s">
        <v>495</v>
      </c>
      <c r="G46" t="s">
        <v>1490</v>
      </c>
      <c r="H46">
        <v>1</v>
      </c>
      <c r="I46">
        <v>120000</v>
      </c>
      <c r="J46">
        <f t="shared" ref="J46:J51" si="4">I46*H46</f>
        <v>120000</v>
      </c>
      <c r="M46" t="s">
        <v>1513</v>
      </c>
      <c r="N46">
        <f>SUM(N44:N45)</f>
        <v>4068.9</v>
      </c>
      <c r="O46" t="s">
        <v>1</v>
      </c>
    </row>
    <row r="47" spans="3:16" ht="15.95" customHeight="1">
      <c r="E47" t="s">
        <v>874</v>
      </c>
      <c r="F47" t="s">
        <v>923</v>
      </c>
      <c r="G47" t="s">
        <v>1490</v>
      </c>
      <c r="H47">
        <v>10</v>
      </c>
      <c r="I47">
        <v>110000</v>
      </c>
      <c r="J47">
        <f t="shared" si="4"/>
        <v>1100000</v>
      </c>
      <c r="M47" t="s">
        <v>1494</v>
      </c>
      <c r="N47">
        <f>184.45</f>
        <v>184.45</v>
      </c>
      <c r="O47" t="s">
        <v>1</v>
      </c>
    </row>
    <row r="48" spans="3:16" ht="15.95" customHeight="1">
      <c r="E48" t="s">
        <v>874</v>
      </c>
      <c r="F48" t="s">
        <v>1493</v>
      </c>
      <c r="G48" t="s">
        <v>1490</v>
      </c>
      <c r="H48">
        <v>10</v>
      </c>
      <c r="I48">
        <v>100000</v>
      </c>
      <c r="J48">
        <f t="shared" si="4"/>
        <v>1000000</v>
      </c>
      <c r="M48" t="s">
        <v>1518</v>
      </c>
      <c r="N48">
        <f>N46+N47</f>
        <v>4253.3500000000004</v>
      </c>
      <c r="O48" t="s">
        <v>1</v>
      </c>
    </row>
    <row r="49" spans="2:16" ht="15.95" customHeight="1">
      <c r="E49" t="s">
        <v>874</v>
      </c>
      <c r="F49" t="s">
        <v>1495</v>
      </c>
      <c r="G49" t="s">
        <v>1490</v>
      </c>
      <c r="H49">
        <v>6</v>
      </c>
      <c r="I49">
        <v>500000</v>
      </c>
      <c r="J49">
        <f t="shared" si="4"/>
        <v>3000000</v>
      </c>
    </row>
    <row r="50" spans="2:16" ht="15.95" customHeight="1">
      <c r="E50" t="s">
        <v>874</v>
      </c>
      <c r="F50" t="s">
        <v>1497</v>
      </c>
      <c r="G50" t="s">
        <v>975</v>
      </c>
      <c r="H50">
        <v>8</v>
      </c>
      <c r="I50">
        <v>139800</v>
      </c>
      <c r="J50">
        <f t="shared" si="4"/>
        <v>1118400</v>
      </c>
    </row>
    <row r="51" spans="2:16" ht="15.95" customHeight="1">
      <c r="E51" t="s">
        <v>874</v>
      </c>
      <c r="F51" t="s">
        <v>1498</v>
      </c>
      <c r="G51" t="s">
        <v>474</v>
      </c>
      <c r="H51">
        <v>1</v>
      </c>
      <c r="I51">
        <v>100000</v>
      </c>
      <c r="J51">
        <f t="shared" si="4"/>
        <v>100000</v>
      </c>
    </row>
    <row r="52" spans="2:16" ht="15.95" customHeight="1"/>
    <row r="53" spans="2:16" ht="23.25" customHeight="1">
      <c r="B53" s="1041">
        <v>2</v>
      </c>
      <c r="C53" s="1041"/>
      <c r="D53" t="s">
        <v>1519</v>
      </c>
    </row>
    <row r="54" spans="2:16" ht="23.25" customHeight="1">
      <c r="C54" t="s">
        <v>1483</v>
      </c>
      <c r="D54" t="s">
        <v>1520</v>
      </c>
      <c r="K54">
        <f>SUM(K55:K56)</f>
        <v>3598400</v>
      </c>
    </row>
    <row r="55" spans="2:16" ht="22.5" customHeight="1">
      <c r="D55">
        <v>1</v>
      </c>
      <c r="E55" t="s">
        <v>1521</v>
      </c>
      <c r="G55" t="s">
        <v>1</v>
      </c>
      <c r="H55">
        <v>1552</v>
      </c>
      <c r="J55">
        <f>H55*I55</f>
        <v>0</v>
      </c>
      <c r="K55">
        <f>J55</f>
        <v>0</v>
      </c>
      <c r="M55" t="s">
        <v>1487</v>
      </c>
      <c r="N55">
        <f>N56-N54</f>
        <v>1731.7</v>
      </c>
      <c r="O55" t="s">
        <v>1</v>
      </c>
    </row>
    <row r="56" spans="2:16" ht="22.5" customHeight="1">
      <c r="D56">
        <v>2</v>
      </c>
      <c r="E56" t="s">
        <v>1522</v>
      </c>
      <c r="G56" t="s">
        <v>1</v>
      </c>
      <c r="J56">
        <f>SUM(J57:J62)</f>
        <v>3598400</v>
      </c>
      <c r="K56">
        <f>J56</f>
        <v>3598400</v>
      </c>
      <c r="M56" t="s">
        <v>1489</v>
      </c>
      <c r="N56">
        <f>1731.7</f>
        <v>1731.7</v>
      </c>
      <c r="O56" t="s">
        <v>1</v>
      </c>
      <c r="P56" t="e">
        <f>K56/K55</f>
        <v>#DIV/0!</v>
      </c>
    </row>
    <row r="57" spans="2:16" ht="15.95" customHeight="1">
      <c r="E57" t="s">
        <v>874</v>
      </c>
      <c r="F57" t="s">
        <v>495</v>
      </c>
      <c r="G57" t="s">
        <v>1490</v>
      </c>
      <c r="H57">
        <v>1</v>
      </c>
      <c r="I57">
        <v>120000</v>
      </c>
      <c r="J57">
        <f t="shared" ref="J57:J62" si="5">I57*H57</f>
        <v>120000</v>
      </c>
    </row>
    <row r="58" spans="2:16" ht="15.95" customHeight="1">
      <c r="E58" t="s">
        <v>874</v>
      </c>
      <c r="F58" t="s">
        <v>923</v>
      </c>
      <c r="G58" t="s">
        <v>1490</v>
      </c>
      <c r="H58">
        <v>6</v>
      </c>
      <c r="I58">
        <v>110000</v>
      </c>
      <c r="J58">
        <f t="shared" si="5"/>
        <v>660000</v>
      </c>
    </row>
    <row r="59" spans="2:16" ht="15.95" customHeight="1">
      <c r="E59" t="s">
        <v>874</v>
      </c>
      <c r="F59" t="s">
        <v>1493</v>
      </c>
      <c r="G59" t="s">
        <v>1490</v>
      </c>
      <c r="H59">
        <v>6</v>
      </c>
      <c r="I59">
        <v>100000</v>
      </c>
      <c r="J59">
        <f t="shared" si="5"/>
        <v>600000</v>
      </c>
    </row>
    <row r="60" spans="2:16" ht="15.95" customHeight="1">
      <c r="E60" t="s">
        <v>874</v>
      </c>
      <c r="F60" t="s">
        <v>1495</v>
      </c>
      <c r="G60" t="s">
        <v>1490</v>
      </c>
      <c r="H60">
        <v>2</v>
      </c>
      <c r="I60">
        <v>500000</v>
      </c>
      <c r="J60">
        <f t="shared" si="5"/>
        <v>1000000</v>
      </c>
    </row>
    <row r="61" spans="2:16" ht="15.95" customHeight="1">
      <c r="E61" t="s">
        <v>874</v>
      </c>
      <c r="F61" t="s">
        <v>1497</v>
      </c>
      <c r="G61" t="s">
        <v>975</v>
      </c>
      <c r="H61">
        <v>8</v>
      </c>
      <c r="I61">
        <v>139800</v>
      </c>
      <c r="J61">
        <f t="shared" si="5"/>
        <v>1118400</v>
      </c>
    </row>
    <row r="62" spans="2:16" ht="15.95" customHeight="1">
      <c r="E62" t="s">
        <v>874</v>
      </c>
      <c r="F62" t="s">
        <v>1498</v>
      </c>
      <c r="G62" t="s">
        <v>474</v>
      </c>
      <c r="H62">
        <v>1</v>
      </c>
      <c r="I62">
        <v>100000</v>
      </c>
      <c r="J62">
        <f t="shared" si="5"/>
        <v>100000</v>
      </c>
    </row>
    <row r="63" spans="2:16" ht="15.95" customHeight="1"/>
    <row r="64" spans="2:16" ht="23.25" customHeight="1">
      <c r="C64" t="s">
        <v>1499</v>
      </c>
      <c r="D64" t="s">
        <v>1523</v>
      </c>
      <c r="K64">
        <f>SUM(K65:K66)</f>
        <v>3598400</v>
      </c>
    </row>
    <row r="65" spans="3:16" ht="22.5" customHeight="1">
      <c r="D65">
        <v>1</v>
      </c>
      <c r="E65" t="s">
        <v>1524</v>
      </c>
      <c r="G65" t="s">
        <v>1</v>
      </c>
      <c r="H65">
        <f>H55/14*12</f>
        <v>1330.2857142857142</v>
      </c>
      <c r="J65">
        <f>H65*I65</f>
        <v>0</v>
      </c>
      <c r="K65">
        <f>J65</f>
        <v>0</v>
      </c>
      <c r="M65" t="s">
        <v>1487</v>
      </c>
      <c r="N65">
        <f>N66-N64</f>
        <v>1731.7</v>
      </c>
      <c r="O65" t="s">
        <v>1</v>
      </c>
    </row>
    <row r="66" spans="3:16" ht="22.5" customHeight="1">
      <c r="D66">
        <v>2</v>
      </c>
      <c r="E66" t="s">
        <v>1525</v>
      </c>
      <c r="G66" t="s">
        <v>1</v>
      </c>
      <c r="J66">
        <f>SUM(J67:J72)</f>
        <v>3598400</v>
      </c>
      <c r="K66">
        <f>J66</f>
        <v>3598400</v>
      </c>
      <c r="M66" t="s">
        <v>1489</v>
      </c>
      <c r="N66">
        <f>1731.7</f>
        <v>1731.7</v>
      </c>
      <c r="O66" t="s">
        <v>1</v>
      </c>
      <c r="P66" t="e">
        <f>K66/K65</f>
        <v>#DIV/0!</v>
      </c>
    </row>
    <row r="67" spans="3:16" ht="15.95" customHeight="1">
      <c r="E67" t="s">
        <v>874</v>
      </c>
      <c r="F67" t="s">
        <v>495</v>
      </c>
      <c r="G67" t="s">
        <v>1490</v>
      </c>
      <c r="H67">
        <v>1</v>
      </c>
      <c r="I67">
        <v>120000</v>
      </c>
      <c r="J67">
        <f t="shared" ref="J67:J72" si="6">I67*H67</f>
        <v>120000</v>
      </c>
    </row>
    <row r="68" spans="3:16" ht="15.95" customHeight="1">
      <c r="E68" t="s">
        <v>874</v>
      </c>
      <c r="F68" t="s">
        <v>923</v>
      </c>
      <c r="G68" t="s">
        <v>1490</v>
      </c>
      <c r="H68">
        <v>6</v>
      </c>
      <c r="I68">
        <v>110000</v>
      </c>
      <c r="J68">
        <f t="shared" si="6"/>
        <v>660000</v>
      </c>
    </row>
    <row r="69" spans="3:16" ht="15.95" customHeight="1">
      <c r="E69" t="s">
        <v>874</v>
      </c>
      <c r="F69" t="s">
        <v>1493</v>
      </c>
      <c r="G69" t="s">
        <v>1490</v>
      </c>
      <c r="H69">
        <v>6</v>
      </c>
      <c r="I69">
        <v>100000</v>
      </c>
      <c r="J69">
        <f t="shared" si="6"/>
        <v>600000</v>
      </c>
    </row>
    <row r="70" spans="3:16" ht="15.95" customHeight="1">
      <c r="E70" t="s">
        <v>874</v>
      </c>
      <c r="F70" t="s">
        <v>1495</v>
      </c>
      <c r="G70" t="s">
        <v>1490</v>
      </c>
      <c r="H70">
        <v>2</v>
      </c>
      <c r="I70">
        <v>500000</v>
      </c>
      <c r="J70">
        <f t="shared" si="6"/>
        <v>1000000</v>
      </c>
    </row>
    <row r="71" spans="3:16" ht="15.95" customHeight="1">
      <c r="E71" t="s">
        <v>874</v>
      </c>
      <c r="F71" t="s">
        <v>1497</v>
      </c>
      <c r="G71" t="s">
        <v>975</v>
      </c>
      <c r="H71">
        <v>8</v>
      </c>
      <c r="I71">
        <v>139800</v>
      </c>
      <c r="J71">
        <f t="shared" si="6"/>
        <v>1118400</v>
      </c>
    </row>
    <row r="72" spans="3:16" ht="15.95" customHeight="1">
      <c r="E72" t="s">
        <v>874</v>
      </c>
      <c r="F72" t="s">
        <v>1498</v>
      </c>
      <c r="G72" t="s">
        <v>474</v>
      </c>
      <c r="H72">
        <v>1</v>
      </c>
      <c r="I72">
        <v>100000</v>
      </c>
      <c r="J72">
        <f t="shared" si="6"/>
        <v>100000</v>
      </c>
    </row>
    <row r="73" spans="3:16" ht="15.95" customHeight="1"/>
    <row r="74" spans="3:16" ht="23.25" customHeight="1">
      <c r="C74" t="s">
        <v>1503</v>
      </c>
      <c r="D74" t="s">
        <v>1526</v>
      </c>
      <c r="K74">
        <f>SUM(K75:K76)</f>
        <v>3388400</v>
      </c>
    </row>
    <row r="75" spans="3:16" ht="22.5" customHeight="1">
      <c r="D75">
        <v>1</v>
      </c>
      <c r="E75" t="s">
        <v>1527</v>
      </c>
      <c r="G75" t="s">
        <v>1</v>
      </c>
      <c r="H75">
        <f>H55</f>
        <v>1552</v>
      </c>
      <c r="J75">
        <f>H75*I75</f>
        <v>0</v>
      </c>
      <c r="K75">
        <f>J75*0</f>
        <v>0</v>
      </c>
    </row>
    <row r="76" spans="3:16" ht="22.5" customHeight="1">
      <c r="D76">
        <v>2</v>
      </c>
      <c r="E76" t="s">
        <v>1528</v>
      </c>
      <c r="G76" t="s">
        <v>1</v>
      </c>
      <c r="J76">
        <f>SUM(J77:J82)</f>
        <v>3388400</v>
      </c>
      <c r="K76">
        <f>J76</f>
        <v>3388400</v>
      </c>
      <c r="P76" t="e">
        <f>K76/K75</f>
        <v>#DIV/0!</v>
      </c>
    </row>
    <row r="77" spans="3:16" ht="15.95" customHeight="1">
      <c r="E77" t="s">
        <v>874</v>
      </c>
      <c r="F77" t="s">
        <v>495</v>
      </c>
      <c r="G77" t="s">
        <v>1490</v>
      </c>
      <c r="H77">
        <v>1</v>
      </c>
      <c r="I77">
        <v>120000</v>
      </c>
      <c r="J77">
        <f t="shared" ref="J77:J82" si="7">I77*H77</f>
        <v>120000</v>
      </c>
    </row>
    <row r="78" spans="3:16" ht="15.95" customHeight="1">
      <c r="E78" t="s">
        <v>874</v>
      </c>
      <c r="F78" t="s">
        <v>923</v>
      </c>
      <c r="G78" t="s">
        <v>1490</v>
      </c>
      <c r="H78">
        <v>5</v>
      </c>
      <c r="I78">
        <v>110000</v>
      </c>
      <c r="J78">
        <f t="shared" si="7"/>
        <v>550000</v>
      </c>
    </row>
    <row r="79" spans="3:16" ht="15.95" customHeight="1">
      <c r="E79" t="s">
        <v>874</v>
      </c>
      <c r="F79" t="s">
        <v>1493</v>
      </c>
      <c r="G79" t="s">
        <v>1490</v>
      </c>
      <c r="H79">
        <v>5</v>
      </c>
      <c r="I79">
        <v>100000</v>
      </c>
      <c r="J79">
        <f t="shared" si="7"/>
        <v>500000</v>
      </c>
    </row>
    <row r="80" spans="3:16" ht="15.95" customHeight="1">
      <c r="E80" t="s">
        <v>874</v>
      </c>
      <c r="F80" t="s">
        <v>1495</v>
      </c>
      <c r="G80" t="s">
        <v>1490</v>
      </c>
      <c r="H80">
        <v>2</v>
      </c>
      <c r="I80">
        <v>500000</v>
      </c>
      <c r="J80">
        <f t="shared" si="7"/>
        <v>1000000</v>
      </c>
    </row>
    <row r="81" spans="3:16" ht="15.95" customHeight="1">
      <c r="E81" t="s">
        <v>874</v>
      </c>
      <c r="F81" t="s">
        <v>1497</v>
      </c>
      <c r="G81" t="s">
        <v>975</v>
      </c>
      <c r="H81">
        <v>8</v>
      </c>
      <c r="I81">
        <v>139800</v>
      </c>
      <c r="J81">
        <f t="shared" si="7"/>
        <v>1118400</v>
      </c>
    </row>
    <row r="82" spans="3:16" ht="15.95" customHeight="1">
      <c r="E82" t="s">
        <v>874</v>
      </c>
      <c r="F82" t="s">
        <v>1498</v>
      </c>
      <c r="G82" t="s">
        <v>474</v>
      </c>
      <c r="H82">
        <v>1</v>
      </c>
      <c r="I82">
        <v>100000</v>
      </c>
      <c r="J82">
        <f t="shared" si="7"/>
        <v>100000</v>
      </c>
    </row>
    <row r="83" spans="3:16" ht="15.95" customHeight="1"/>
    <row r="84" spans="3:16" ht="23.25" customHeight="1">
      <c r="C84" t="s">
        <v>1529</v>
      </c>
      <c r="D84" t="s">
        <v>1530</v>
      </c>
      <c r="K84">
        <f>SUM(K85:K86)</f>
        <v>3178400</v>
      </c>
    </row>
    <row r="85" spans="3:16" ht="22.5" customHeight="1">
      <c r="D85">
        <v>1</v>
      </c>
      <c r="E85" t="s">
        <v>1531</v>
      </c>
      <c r="G85" t="s">
        <v>1</v>
      </c>
      <c r="H85">
        <f>H65</f>
        <v>1330.2857142857142</v>
      </c>
      <c r="J85">
        <f>H85*I85</f>
        <v>0</v>
      </c>
      <c r="K85">
        <f>J85</f>
        <v>0</v>
      </c>
      <c r="M85" t="s">
        <v>1487</v>
      </c>
      <c r="N85">
        <f>N86-N84</f>
        <v>1731.7</v>
      </c>
      <c r="O85" t="s">
        <v>1</v>
      </c>
    </row>
    <row r="86" spans="3:16" ht="22.5" customHeight="1">
      <c r="D86">
        <v>2</v>
      </c>
      <c r="E86" t="s">
        <v>1532</v>
      </c>
      <c r="G86" t="s">
        <v>1</v>
      </c>
      <c r="J86">
        <f>SUM(J87:J92)</f>
        <v>3178400</v>
      </c>
      <c r="K86">
        <f>J86</f>
        <v>3178400</v>
      </c>
      <c r="M86" t="s">
        <v>1489</v>
      </c>
      <c r="N86">
        <f>1731.7</f>
        <v>1731.7</v>
      </c>
      <c r="O86" t="s">
        <v>1</v>
      </c>
      <c r="P86" t="e">
        <f>K86/K85</f>
        <v>#DIV/0!</v>
      </c>
    </row>
    <row r="87" spans="3:16" ht="15.95" customHeight="1">
      <c r="E87" t="s">
        <v>874</v>
      </c>
      <c r="F87" t="s">
        <v>495</v>
      </c>
      <c r="G87" t="s">
        <v>1490</v>
      </c>
      <c r="H87">
        <v>1</v>
      </c>
      <c r="I87">
        <v>120000</v>
      </c>
      <c r="J87">
        <f t="shared" ref="J87:J92" si="8">I87*H87</f>
        <v>120000</v>
      </c>
    </row>
    <row r="88" spans="3:16" ht="15.95" customHeight="1">
      <c r="E88" t="s">
        <v>874</v>
      </c>
      <c r="F88" t="s">
        <v>923</v>
      </c>
      <c r="G88" t="s">
        <v>1490</v>
      </c>
      <c r="H88">
        <v>4</v>
      </c>
      <c r="I88">
        <v>110000</v>
      </c>
      <c r="J88">
        <f t="shared" si="8"/>
        <v>440000</v>
      </c>
    </row>
    <row r="89" spans="3:16" ht="15.95" customHeight="1">
      <c r="E89" t="s">
        <v>874</v>
      </c>
      <c r="F89" t="s">
        <v>1493</v>
      </c>
      <c r="G89" t="s">
        <v>1490</v>
      </c>
      <c r="H89">
        <v>4</v>
      </c>
      <c r="I89">
        <v>100000</v>
      </c>
      <c r="J89">
        <f t="shared" si="8"/>
        <v>400000</v>
      </c>
    </row>
    <row r="90" spans="3:16" ht="15.95" customHeight="1">
      <c r="E90" t="s">
        <v>874</v>
      </c>
      <c r="F90" t="s">
        <v>1495</v>
      </c>
      <c r="G90" t="s">
        <v>1490</v>
      </c>
      <c r="H90">
        <v>2</v>
      </c>
      <c r="I90">
        <v>500000</v>
      </c>
      <c r="J90">
        <f t="shared" si="8"/>
        <v>1000000</v>
      </c>
    </row>
    <row r="91" spans="3:16" ht="15.95" customHeight="1">
      <c r="E91" t="s">
        <v>874</v>
      </c>
      <c r="F91" t="s">
        <v>1497</v>
      </c>
      <c r="G91" t="s">
        <v>975</v>
      </c>
      <c r="H91">
        <v>8</v>
      </c>
      <c r="I91">
        <v>139800</v>
      </c>
      <c r="J91">
        <f t="shared" si="8"/>
        <v>1118400</v>
      </c>
    </row>
    <row r="92" spans="3:16" ht="15.95" customHeight="1">
      <c r="E92" t="s">
        <v>874</v>
      </c>
      <c r="F92" t="s">
        <v>1498</v>
      </c>
      <c r="G92" t="s">
        <v>474</v>
      </c>
      <c r="H92">
        <v>1</v>
      </c>
      <c r="I92">
        <v>100000</v>
      </c>
      <c r="J92">
        <f t="shared" si="8"/>
        <v>100000</v>
      </c>
    </row>
    <row r="93" spans="3:16" ht="15.6" customHeight="1"/>
  </sheetData>
  <mergeCells count="3">
    <mergeCell ref="B1:C1"/>
    <mergeCell ref="B2:C2"/>
    <mergeCell ref="B53:C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638</vt:i4>
      </vt:variant>
    </vt:vector>
  </HeadingPairs>
  <TitlesOfParts>
    <vt:vector size="656" baseType="lpstr">
      <vt:lpstr>Rekapitulasi</vt:lpstr>
      <vt:lpstr>Pengadaan Tower</vt:lpstr>
      <vt:lpstr>EM Pengadaan &amp; Pemasangan</vt:lpstr>
      <vt:lpstr>Tower Erection</vt:lpstr>
      <vt:lpstr>Harga Satuan Erection</vt:lpstr>
      <vt:lpstr>Langsir Material</vt:lpstr>
      <vt:lpstr>C1. Rekap Pondasi 4 Pile</vt:lpstr>
      <vt:lpstr>Pondasi 4 Pile</vt:lpstr>
      <vt:lpstr>C2. Rekap Pondasi 6 Pile</vt:lpstr>
      <vt:lpstr>Pondasi 6 Pile</vt:lpstr>
      <vt:lpstr>C3. Provisional Sum</vt:lpstr>
      <vt:lpstr>AHS</vt:lpstr>
      <vt:lpstr>UNIT PRICE</vt:lpstr>
      <vt:lpstr>PENGADAAN</vt:lpstr>
      <vt:lpstr>A.H.S.PEK 2 </vt:lpstr>
      <vt:lpstr>1</vt:lpstr>
      <vt:lpstr>2</vt:lpstr>
      <vt:lpstr>Sheet1</vt:lpstr>
      <vt:lpstr>ac_3.4_PK</vt:lpstr>
      <vt:lpstr>ac_split_1_PK</vt:lpstr>
      <vt:lpstr>ac_split_2_PK</vt:lpstr>
      <vt:lpstr>Ahs_1_jam_sewa_buldozer</vt:lpstr>
      <vt:lpstr>ahs_1_lot_install_anti_petir_20kv_room</vt:lpstr>
      <vt:lpstr>ahs_1_titik_instalasi_listrik</vt:lpstr>
      <vt:lpstr>ahs_1_ton_steel_structure_dismantling</vt:lpstr>
      <vt:lpstr>ahs_1_ton_steel_structures_for_tower_gantry</vt:lpstr>
      <vt:lpstr>ahs_1kg_profil_complete_connector_steel_painting</vt:lpstr>
      <vt:lpstr>ahs_1kg_wind_bracing.and.tie.rod_complete_connector_steel_painting</vt:lpstr>
      <vt:lpstr>ahs_1unit_bak_penampung_air_cap_12_m3</vt:lpstr>
      <vt:lpstr>ahs_1unit_controlbox_brick_60x60x65</vt:lpstr>
      <vt:lpstr>ahs_acian</vt:lpstr>
      <vt:lpstr>ahs_alumunium_framework_and_aquistic_for_plafond</vt:lpstr>
      <vt:lpstr>ahs_back_filling</vt:lpstr>
      <vt:lpstr>ahs_bataco_1pc.2ps</vt:lpstr>
      <vt:lpstr>ahs_bataco_1pc.3ps</vt:lpstr>
      <vt:lpstr>ahs_bath_basin_fiber</vt:lpstr>
      <vt:lpstr>ahs_besi_polos_kg</vt:lpstr>
      <vt:lpstr>ahs_besi_ulir_kg</vt:lpstr>
      <vt:lpstr>ahs_boredpile_m</vt:lpstr>
      <vt:lpstr>ahs_bouwplank</vt:lpstr>
      <vt:lpstr>ahs_cable_tray_tipe_1</vt:lpstr>
      <vt:lpstr>ahs_cable_tray_tipe_2</vt:lpstr>
      <vt:lpstr>ahs_cable_trench_400.400</vt:lpstr>
      <vt:lpstr>ahs_cable_trench_600.600</vt:lpstr>
      <vt:lpstr>ahs_cable_trench_tipe_1_800.800_for_room_150kV</vt:lpstr>
      <vt:lpstr>ahs_cable_trench_tipe_2_500.500_for_room_150kV</vt:lpstr>
      <vt:lpstr>ahs_cable_trench_type_1_1000.1000</vt:lpstr>
      <vt:lpstr>ahs_cable_trench_type_2_800.800</vt:lpstr>
      <vt:lpstr>ahs_cable_trench_type_3_500.500</vt:lpstr>
      <vt:lpstr>ahs_cable_trench_type_4_500.350</vt:lpstr>
      <vt:lpstr>ahs_ceilling_frame_steel_40.40.2</vt:lpstr>
      <vt:lpstr>ahs_ceilling_gypsum_1200.2400.9</vt:lpstr>
      <vt:lpstr>ahs_ceramic_floor_20.20</vt:lpstr>
      <vt:lpstr>ahs_ceramic_floor_30.30</vt:lpstr>
      <vt:lpstr>ahs_ceramic_floor_60.60</vt:lpstr>
      <vt:lpstr>ahs_ceramic_plint_10.60_m</vt:lpstr>
      <vt:lpstr>ahs_closed_coupled_w_eco_washer</vt:lpstr>
      <vt:lpstr>ahs_compacted_sand_layer_m3</vt:lpstr>
      <vt:lpstr>ahs_compacted_soil_m3</vt:lpstr>
      <vt:lpstr>ahs_cut_and_fill_include_compaction</vt:lpstr>
      <vt:lpstr>ahs_deeepwell_inc_submersible_water_pump_cap.150ltr.m_and_accessories_unit</vt:lpstr>
      <vt:lpstr>ahs_demolishing_Brick_wall_manual_m3</vt:lpstr>
      <vt:lpstr>ahs_demolishing_concrete_disposal_outside_area_project</vt:lpstr>
      <vt:lpstr>ahs_demolishing_concrete_w_heavy_equipment</vt:lpstr>
      <vt:lpstr>ahs_demolishing_concrete_w_jack_hammer</vt:lpstr>
      <vt:lpstr>ahs_demolishing_formwork</vt:lpstr>
      <vt:lpstr>ahs_demolishing_red_brick_w_jack_hammer</vt:lpstr>
      <vt:lpstr>ahs_demolishing_Reinforced_concrete_manual</vt:lpstr>
      <vt:lpstr>ahs_demolishing_stone_masonry_w_jack_hammer</vt:lpstr>
      <vt:lpstr>ahs_dewatering_w_pump_cap.30.m3</vt:lpstr>
      <vt:lpstr>ahs_dismantling_materials_and_accessories_tower_ton</vt:lpstr>
      <vt:lpstr>ahs_erection_tower_ton</vt:lpstr>
      <vt:lpstr>ahs_excavation_3m_semi_mekanis</vt:lpstr>
      <vt:lpstr>ahs_excavation_manual_1m</vt:lpstr>
      <vt:lpstr>ahs_excavation_manual_2m</vt:lpstr>
      <vt:lpstr>ahs_excavation_manual_3m</vt:lpstr>
      <vt:lpstr>ahs_excavation_mud_manual_1m</vt:lpstr>
      <vt:lpstr>ahs_excavation_rock_manual_1m</vt:lpstr>
      <vt:lpstr>ahs_excavation_soft_rock_manual_1m</vt:lpstr>
      <vt:lpstr>ahs_excavation_w_heavy_equipment</vt:lpstr>
      <vt:lpstr>ahs_excavation_w_heavy_equipment_4m</vt:lpstr>
      <vt:lpstr>ahs_fence_BRC_1.50m_per_m</vt:lpstr>
      <vt:lpstr>ahs_fence_BRC_1.90m_per_m</vt:lpstr>
      <vt:lpstr>ahs_fence_brickwall_H.2.9m_w_barbed_wire_0.6m</vt:lpstr>
      <vt:lpstr>ahs_fence_from_concrete_height_2m</vt:lpstr>
      <vt:lpstr>ahs_fence_galvanized_wire_mesh_2.0m</vt:lpstr>
      <vt:lpstr>ahs_fence_security_2m_height</vt:lpstr>
      <vt:lpstr>ahs_flintkote_m2</vt:lpstr>
      <vt:lpstr>ahs_floor_hardener</vt:lpstr>
      <vt:lpstr>ahs_formwork_beam</vt:lpstr>
      <vt:lpstr>ahs_formwork_Column</vt:lpstr>
      <vt:lpstr>ahs_formwork_foundation_multiplex</vt:lpstr>
      <vt:lpstr>ahs_formwork_foundation_wooden_plank</vt:lpstr>
      <vt:lpstr>ahs_formwork_multiplex12.18mm</vt:lpstr>
      <vt:lpstr>ahs_formwork_slab</vt:lpstr>
      <vt:lpstr>ahs_formwork_sloof</vt:lpstr>
      <vt:lpstr>ahs_formwork_stair</vt:lpstr>
      <vt:lpstr>ahs_formwork_supporting_beam</vt:lpstr>
      <vt:lpstr>ahs_Gabion_erection_tipeB_m3</vt:lpstr>
      <vt:lpstr>ahs_glass_door_tipe_P1</vt:lpstr>
      <vt:lpstr>ahs_glass_door_tipe_P2</vt:lpstr>
      <vt:lpstr>ahs_glass_door_tipe_P3</vt:lpstr>
      <vt:lpstr>ahs_glass_door_tipe_P4</vt:lpstr>
      <vt:lpstr>ahs_glass_window_tipe_boven</vt:lpstr>
      <vt:lpstr>ahs_glass_window_tipe_J1</vt:lpstr>
      <vt:lpstr>ahs_glass_window_tipe_J2</vt:lpstr>
      <vt:lpstr>ahs_glass_window_tipe_J3</vt:lpstr>
      <vt:lpstr>ahs_glass_window_tipe_V1_boven_fix_glass</vt:lpstr>
      <vt:lpstr>ahs_glass_window_tipe_V2_2_alumunium_louver</vt:lpstr>
      <vt:lpstr>ahs_glazed_ceramic_20.25</vt:lpstr>
      <vt:lpstr>ahs_glazed_plint_10.40</vt:lpstr>
      <vt:lpstr>ahs_granite_30.30</vt:lpstr>
      <vt:lpstr>ahs_granite_30.60</vt:lpstr>
      <vt:lpstr>ahs_granite_60.60</vt:lpstr>
      <vt:lpstr>ahs_granite_plint_10.30</vt:lpstr>
      <vt:lpstr>ahs_granite_plint_tiles_10.60</vt:lpstr>
      <vt:lpstr>ahs_granite_wall_tiles_40.40</vt:lpstr>
      <vt:lpstr>ahs_gravel_m2</vt:lpstr>
      <vt:lpstr>ahs_gravel_m3</vt:lpstr>
      <vt:lpstr>ahs_half_brick_1.2</vt:lpstr>
      <vt:lpstr>ahs_half_brick_1.4</vt:lpstr>
      <vt:lpstr>ahs_import_filling_w_compacted_soil_from_outside_project</vt:lpstr>
      <vt:lpstr>ahs_import_filling_w_humous_soil</vt:lpstr>
      <vt:lpstr>ahs_import_filling_w_sand</vt:lpstr>
      <vt:lpstr>ahs_instal_anti_climbing_per_tower</vt:lpstr>
      <vt:lpstr>ahs_instal_tension_insulator.set_hardware_inc.clamp_armor.rod</vt:lpstr>
      <vt:lpstr>ahs_installation_pvc_2in_tower</vt:lpstr>
      <vt:lpstr>ahs_installation_pvc_4in_tower</vt:lpstr>
      <vt:lpstr>ahs_kerb_10.20.60</vt:lpstr>
      <vt:lpstr>ahs_kerb_25.30.50</vt:lpstr>
      <vt:lpstr>ahs_komisioning_sistem_pentanahan_per_tower</vt:lpstr>
      <vt:lpstr>ahs_landscaping_m2</vt:lpstr>
      <vt:lpstr>ahs_lavatory_basin</vt:lpstr>
      <vt:lpstr>ahs_List_plafon_gypsum</vt:lpstr>
      <vt:lpstr>ahs_listplank_GRC</vt:lpstr>
      <vt:lpstr>ahs_mild_steel_framework_for_roofing</vt:lpstr>
      <vt:lpstr>ahs_new_road_m2</vt:lpstr>
      <vt:lpstr>ahs_non_glazed_ceramic_floor_40.40</vt:lpstr>
      <vt:lpstr>ahs_one_brick_1.4</vt:lpstr>
      <vt:lpstr>ahs_open_drainage_brick_30.40</vt:lpstr>
      <vt:lpstr>ahs_open_drainage_storage_stone_masonry_40.70cm_m</vt:lpstr>
      <vt:lpstr>ahs_painting_steel_m2</vt:lpstr>
      <vt:lpstr>ahs_painting_wall_eksterior</vt:lpstr>
      <vt:lpstr>ahs_painting_wall_interior</vt:lpstr>
      <vt:lpstr>ahs_painting_wood_m2</vt:lpstr>
      <vt:lpstr>ahs_patok_beton</vt:lpstr>
      <vt:lpstr>ahs_pemasangan_grounding_100m</vt:lpstr>
      <vt:lpstr>ahs_pemasangan_mercury_Vapour_80W_tiang_2m</vt:lpstr>
      <vt:lpstr>ahs_pemasangan_mercury_Vapour150W</vt:lpstr>
      <vt:lpstr>ahs_pemasangan_mercury_Vapour250W</vt:lpstr>
      <vt:lpstr>ahs_pemasangan_mercury_Vapour250W_and_tiang9m</vt:lpstr>
      <vt:lpstr>ahs_plank_name_project</vt:lpstr>
      <vt:lpstr>ahs_plester_1.2_tebal15mm</vt:lpstr>
      <vt:lpstr>ahs_plester_1.4_tebal15mm</vt:lpstr>
      <vt:lpstr>ahs_pondasi_tiang_besi_2m</vt:lpstr>
      <vt:lpstr>ahs_pondasi_tiang_besi_9m</vt:lpstr>
      <vt:lpstr>ahs_pvc_0.5_in</vt:lpstr>
      <vt:lpstr>ahs_pvc_1.0_in</vt:lpstr>
      <vt:lpstr>ahs_pvc_2_in</vt:lpstr>
      <vt:lpstr>ahs_pvc_3_in</vt:lpstr>
      <vt:lpstr>ahs_pvc_3in_for_roofing_m</vt:lpstr>
      <vt:lpstr>ahs_pvc_4_in</vt:lpstr>
      <vt:lpstr>ahs_raised_floor_m2</vt:lpstr>
      <vt:lpstr>ahs_road_aspal_hotmix_5cm_m2</vt:lpstr>
      <vt:lpstr>ahs_road_base_structure_15cm_m2</vt:lpstr>
      <vt:lpstr>ahs_road_base_structure_15cm_m3</vt:lpstr>
      <vt:lpstr>ahs_road_macadam_surface_course_20cm_m2</vt:lpstr>
      <vt:lpstr>ahs_road_penetration_thickness_5cm_m2</vt:lpstr>
      <vt:lpstr>ahs_road_prepare_compacteed_subgrade_m2</vt:lpstr>
      <vt:lpstr>ahs_road_prepare_compacteed_subgrade_m3</vt:lpstr>
      <vt:lpstr>ahs_road_wearing_surface_hotmix_5cm_m2</vt:lpstr>
      <vt:lpstr>ahs_roofing_klip.lock.HI_TEN_m2</vt:lpstr>
      <vt:lpstr>ahs_roofing_nok_Hi_ten</vt:lpstr>
      <vt:lpstr>ahs_roofing_nok_Onduline_classic</vt:lpstr>
      <vt:lpstr>ahs_roofing_nok_spandek</vt:lpstr>
      <vt:lpstr>ahs_roofing_Onduline_classic_m2</vt:lpstr>
      <vt:lpstr>ahs_roofing_Spandek_m2</vt:lpstr>
      <vt:lpstr>ahs_roster_1pc_3ps</vt:lpstr>
      <vt:lpstr>ahs_sandlayer</vt:lpstr>
      <vt:lpstr>ahs_septic_tank_cap_3_m3</vt:lpstr>
      <vt:lpstr>ahs_setting_stub</vt:lpstr>
      <vt:lpstr>ahs_sink_complete</vt:lpstr>
      <vt:lpstr>ahs_site_clearing_grubbing</vt:lpstr>
      <vt:lpstr>ahs_site_office</vt:lpstr>
      <vt:lpstr>ahs_sliding_gate_BRC_height_1.5m_wide_6.3m</vt:lpstr>
      <vt:lpstr>ahs_soil_disposal_dump_truck_m3</vt:lpstr>
      <vt:lpstr>ahs_soil_disposal_manual</vt:lpstr>
      <vt:lpstr>ahs_sortir_material_tower_ton</vt:lpstr>
      <vt:lpstr>ahs_stepnosing_100.400_m</vt:lpstr>
      <vt:lpstr>ahs_stone_masonry_1.2</vt:lpstr>
      <vt:lpstr>ahs_stone_masonry_1.3</vt:lpstr>
      <vt:lpstr>ahs_stone_masonry_1.4</vt:lpstr>
      <vt:lpstr>ahs_stone_masonry_1.5</vt:lpstr>
      <vt:lpstr>Ahs_stringing_conductor_2cct_1.KMS</vt:lpstr>
      <vt:lpstr>ahs_stringing_earthing_conductor_1KMR</vt:lpstr>
      <vt:lpstr>ahs_stripping_m2</vt:lpstr>
      <vt:lpstr>ahs_sub_soil_drainage</vt:lpstr>
      <vt:lpstr>ahs_survey_area_1_Ha</vt:lpstr>
      <vt:lpstr>ahs_tanah_dihamparkan_dan_dirapikan</vt:lpstr>
      <vt:lpstr>ahs_tanah_humus</vt:lpstr>
      <vt:lpstr>ahs_tanaman_rumput_gajah</vt:lpstr>
      <vt:lpstr>ahs_tes_beton</vt:lpstr>
      <vt:lpstr>ahs_transportasi_material_tower_ton_0.20km</vt:lpstr>
      <vt:lpstr>ahs_transportasi_material_tower_ton_20.40km</vt:lpstr>
      <vt:lpstr>ahs_transportasi_material_tower_ton_40.60km</vt:lpstr>
      <vt:lpstr>ahs_transportasi_material_tower_ton_60.80km</vt:lpstr>
      <vt:lpstr>ahs_transportasi_material_tower_ton_80.100km</vt:lpstr>
      <vt:lpstr>ahs_urinoir</vt:lpstr>
      <vt:lpstr>ahs_wash_basin</vt:lpstr>
      <vt:lpstr>ahs_water_suply_GIP_medium_pipe_2in_m</vt:lpstr>
      <vt:lpstr>ahs_water_supply_pvc_pipe_inc_installation</vt:lpstr>
      <vt:lpstr>ahs_water_tank_and_steel_struc_tower_cap_2_m3</vt:lpstr>
      <vt:lpstr>ahs_water_tank_cap_2m3_inc_steel_tower_and_install_pipe</vt:lpstr>
      <vt:lpstr>ahs_waterproffing</vt:lpstr>
      <vt:lpstr>ahs_wooden_driven_pile</vt:lpstr>
      <vt:lpstr>alarm_bell_6in</vt:lpstr>
      <vt:lpstr>alat_bantu_Computer_Printer</vt:lpstr>
      <vt:lpstr>alat_earth_tester_day</vt:lpstr>
      <vt:lpstr>alat_megger_day</vt:lpstr>
      <vt:lpstr>alat_pengujian_baterai</vt:lpstr>
      <vt:lpstr>alat_pengukuran_earthing</vt:lpstr>
      <vt:lpstr>alumunium.foil_m2</vt:lpstr>
      <vt:lpstr>alumunium_plafond_m2</vt:lpstr>
      <vt:lpstr>amplas</vt:lpstr>
      <vt:lpstr>anchor_bolt_24mm</vt:lpstr>
      <vt:lpstr>anchor_bolt_36mm</vt:lpstr>
      <vt:lpstr>asphalt_60.70</vt:lpstr>
      <vt:lpstr>asphalt_worker</vt:lpstr>
      <vt:lpstr>bak_cuci_piring_stainless_steel_2_pool</vt:lpstr>
      <vt:lpstr>balcony_fence</vt:lpstr>
      <vt:lpstr>bambu</vt:lpstr>
      <vt:lpstr>barbed_wire</vt:lpstr>
      <vt:lpstr>bataco</vt:lpstr>
      <vt:lpstr>bath_basin_fiber</vt:lpstr>
      <vt:lpstr>bbm</vt:lpstr>
      <vt:lpstr>Besi_Pelat_kg</vt:lpstr>
      <vt:lpstr>besi_polos</vt:lpstr>
      <vt:lpstr>besi_ulir</vt:lpstr>
      <vt:lpstr>bored_pile_machine_day</vt:lpstr>
      <vt:lpstr>brick_layer</vt:lpstr>
      <vt:lpstr>brick_layer_chief</vt:lpstr>
      <vt:lpstr>buis_beton_dia0.2cm_m</vt:lpstr>
      <vt:lpstr>buis_beton_dia0.6cm</vt:lpstr>
      <vt:lpstr>buis_beton_dia0.8cm</vt:lpstr>
      <vt:lpstr>buldozer</vt:lpstr>
      <vt:lpstr>cable_grounding_bc_50mm_m</vt:lpstr>
      <vt:lpstr>cangkul</vt:lpstr>
      <vt:lpstr>carpenter</vt:lpstr>
      <vt:lpstr>carpenter_chief</vt:lpstr>
      <vt:lpstr>casing</vt:lpstr>
      <vt:lpstr>ceramic_20.20.m2_platinum</vt:lpstr>
      <vt:lpstr>ceramic_30.30.m2</vt:lpstr>
      <vt:lpstr>ceramic_60.60.m2_platinum</vt:lpstr>
      <vt:lpstr>ceramic_non_glazed_40.40_m2</vt:lpstr>
      <vt:lpstr>ceramic_plint_10.60</vt:lpstr>
      <vt:lpstr>chain_block_5ton</vt:lpstr>
      <vt:lpstr>Chromium_plate_soap_dish</vt:lpstr>
      <vt:lpstr>Chromium_plate_toiled_roll_holder</vt:lpstr>
      <vt:lpstr>Chromium_plated_hat_hook</vt:lpstr>
      <vt:lpstr>clamp_kabel_no.4</vt:lpstr>
      <vt:lpstr>clamp_pipa_pvc_3.4</vt:lpstr>
      <vt:lpstr>Class6_AA_6pile_10_m</vt:lpstr>
      <vt:lpstr>Class6_AA_6pile_11_m</vt:lpstr>
      <vt:lpstr>Class6_AA_6pile_12_m</vt:lpstr>
      <vt:lpstr>Class6_AA_6pile_13_m</vt:lpstr>
      <vt:lpstr>Class6_AA_6pile_14_m</vt:lpstr>
      <vt:lpstr>Class6_AA_6pile_15_m</vt:lpstr>
      <vt:lpstr>Class6_AA_6pile_16_m</vt:lpstr>
      <vt:lpstr>Class6_AA_6pile_17_m</vt:lpstr>
      <vt:lpstr>Class6_AA_6pile_18_m</vt:lpstr>
      <vt:lpstr>Class6_AA_6pile_19_m</vt:lpstr>
      <vt:lpstr>Class6_AA_6pile_20_m</vt:lpstr>
      <vt:lpstr>Class6_AA_6pile_6_m</vt:lpstr>
      <vt:lpstr>Class6_AA_6pile_7_m</vt:lpstr>
      <vt:lpstr>Class6_AA_6pile_8_m</vt:lpstr>
      <vt:lpstr>Class6_AA_6pile_9_m</vt:lpstr>
      <vt:lpstr>Class6_BB_6pile_10_m</vt:lpstr>
      <vt:lpstr>Class6_BB_6pile_11_m</vt:lpstr>
      <vt:lpstr>Class6_BB_6pile_12_m</vt:lpstr>
      <vt:lpstr>Class6_BB_6pile_13_m</vt:lpstr>
      <vt:lpstr>Class6_BB_6pile_14_m</vt:lpstr>
      <vt:lpstr>Class6_BB_6pile_15_m</vt:lpstr>
      <vt:lpstr>Class6_BB_6pile_16_m</vt:lpstr>
      <vt:lpstr>Class6_BB_6pile_17_m</vt:lpstr>
      <vt:lpstr>Class6_BB_6pile_18_m</vt:lpstr>
      <vt:lpstr>Class6_BB_6pile_19_m</vt:lpstr>
      <vt:lpstr>Class6_BB_6pile_20_m</vt:lpstr>
      <vt:lpstr>Class6_BB_6pile_6_m</vt:lpstr>
      <vt:lpstr>Class6_BB_6pile_7_m</vt:lpstr>
      <vt:lpstr>Class6_BB_6pile_8_m</vt:lpstr>
      <vt:lpstr>Class6_BB_6pile_9_m</vt:lpstr>
      <vt:lpstr>Class6_CC_6pile_10_m</vt:lpstr>
      <vt:lpstr>Class6_CC_6pile_11_m</vt:lpstr>
      <vt:lpstr>Class6_CC_6pile_12_m</vt:lpstr>
      <vt:lpstr>Class6_CC_6pile_13_m</vt:lpstr>
      <vt:lpstr>Class6_CC_6pile_14_m</vt:lpstr>
      <vt:lpstr>Class6_CC_6pile_15_m</vt:lpstr>
      <vt:lpstr>Class6_CC_6pile_16_m</vt:lpstr>
      <vt:lpstr>Class6_CC_6pile_17_m</vt:lpstr>
      <vt:lpstr>Class6_CC_6pile_18_m</vt:lpstr>
      <vt:lpstr>Class6_CC_6pile_19_m</vt:lpstr>
      <vt:lpstr>Class6_CC_6pile_20_m</vt:lpstr>
      <vt:lpstr>Class6_CC_6pile_6_m</vt:lpstr>
      <vt:lpstr>Class6_CC_6pile_7_m</vt:lpstr>
      <vt:lpstr>Class6_CC_6pile_8_m</vt:lpstr>
      <vt:lpstr>Class6_CC_6pile_9_m</vt:lpstr>
      <vt:lpstr>Class6_DD_6pile_10_m</vt:lpstr>
      <vt:lpstr>Class6_DD_6pile_11_m</vt:lpstr>
      <vt:lpstr>Class6_DD_6pile_12_m</vt:lpstr>
      <vt:lpstr>Class6_DD_6pile_13_m</vt:lpstr>
      <vt:lpstr>Class6_DD_6pile_14_m</vt:lpstr>
      <vt:lpstr>Class6_DD_6pile_15_m</vt:lpstr>
      <vt:lpstr>Class6_DD_6pile_16_m</vt:lpstr>
      <vt:lpstr>Class6_DD_6pile_17_m</vt:lpstr>
      <vt:lpstr>Class6_DD_6pile_18_m</vt:lpstr>
      <vt:lpstr>Class6_DD_6pile_19_m</vt:lpstr>
      <vt:lpstr>Class6_DD_6pile_20_m</vt:lpstr>
      <vt:lpstr>Class6_DD_6pile_6_m</vt:lpstr>
      <vt:lpstr>Class6_DD_6pile_7_m</vt:lpstr>
      <vt:lpstr>Class6_DD_6pile_8_m</vt:lpstr>
      <vt:lpstr>Class6_DD_6pile_9_m</vt:lpstr>
      <vt:lpstr>clear_lamp_celling_60W</vt:lpstr>
      <vt:lpstr>closed_coupled_toto</vt:lpstr>
      <vt:lpstr>Closet_jongkok_setara_INA</vt:lpstr>
      <vt:lpstr>communication_equipment</vt:lpstr>
      <vt:lpstr>concrete_vibrator</vt:lpstr>
      <vt:lpstr>concrete_wire</vt:lpstr>
      <vt:lpstr>Cover_U_1000_LD</vt:lpstr>
      <vt:lpstr>Cover_U_1200_LD</vt:lpstr>
      <vt:lpstr>Cover_U_400_LD</vt:lpstr>
      <vt:lpstr>Cover_U_600_LD</vt:lpstr>
      <vt:lpstr>Cover_U_800_LD</vt:lpstr>
      <vt:lpstr>cross_brace</vt:lpstr>
      <vt:lpstr>crushed_stone</vt:lpstr>
      <vt:lpstr>digger</vt:lpstr>
      <vt:lpstr>dolken_dia10cm_L.4m</vt:lpstr>
      <vt:lpstr>door_closer</vt:lpstr>
      <vt:lpstr>door_glass_frame_alumunium</vt:lpstr>
      <vt:lpstr>door_holder_2_pcs</vt:lpstr>
      <vt:lpstr>door_lock</vt:lpstr>
      <vt:lpstr>double_gate_BRC_h1.9m_l3.3m</vt:lpstr>
      <vt:lpstr>double_saklar</vt:lpstr>
      <vt:lpstr>downlight</vt:lpstr>
      <vt:lpstr>downlight_18watt</vt:lpstr>
      <vt:lpstr>downlight_9W_include_installation</vt:lpstr>
      <vt:lpstr>driven_machine_hour</vt:lpstr>
      <vt:lpstr>driven_pile_20.20</vt:lpstr>
      <vt:lpstr>driven_pile_30.30</vt:lpstr>
      <vt:lpstr>driven_pile_40.40</vt:lpstr>
      <vt:lpstr>driver</vt:lpstr>
      <vt:lpstr>drop_hammer</vt:lpstr>
      <vt:lpstr>dump_truck_5m3</vt:lpstr>
      <vt:lpstr>dust_split</vt:lpstr>
      <vt:lpstr>dyna_bolt_M10</vt:lpstr>
      <vt:lpstr>dyna_bolt_M12</vt:lpstr>
      <vt:lpstr>Elbow_0.5</vt:lpstr>
      <vt:lpstr>Elbow_1</vt:lpstr>
      <vt:lpstr>Elbow_2</vt:lpstr>
      <vt:lpstr>Elbow_3</vt:lpstr>
      <vt:lpstr>elbow_4in</vt:lpstr>
      <vt:lpstr>electrical_technician</vt:lpstr>
      <vt:lpstr>electrician</vt:lpstr>
      <vt:lpstr>emergency_lighting_include_wiring_lamp30W</vt:lpstr>
      <vt:lpstr>emergency_lightning_lamp_40W_complete</vt:lpstr>
      <vt:lpstr>engineer</vt:lpstr>
      <vt:lpstr>engineer_expert</vt:lpstr>
      <vt:lpstr>eskavator_kecil_day</vt:lpstr>
      <vt:lpstr>excavator_0.8m3</vt:lpstr>
      <vt:lpstr>Exhaus_fan_ceiling_40w</vt:lpstr>
      <vt:lpstr>Exhaus_fan_wall_60w</vt:lpstr>
      <vt:lpstr>exhaust_van</vt:lpstr>
      <vt:lpstr>fence_BRC_1.2m_L2.4m_dia_7mm</vt:lpstr>
      <vt:lpstr>fence_BRC_1.5m_L2.4m</vt:lpstr>
      <vt:lpstr>fence_BRC_1.9m_L2.4m</vt:lpstr>
      <vt:lpstr>fire_wood</vt:lpstr>
      <vt:lpstr>fitting_lampu</vt:lpstr>
      <vt:lpstr>fixed_rate_rice_temperature_detector</vt:lpstr>
      <vt:lpstr>flintkote_liter</vt:lpstr>
      <vt:lpstr>floor_hardener</vt:lpstr>
      <vt:lpstr>Foreman</vt:lpstr>
      <vt:lpstr>forklift</vt:lpstr>
      <vt:lpstr>Galvanis_bolts_and_nuts</vt:lpstr>
      <vt:lpstr>Galvanis_steel_angle_HTS</vt:lpstr>
      <vt:lpstr>Galvanis_steel_angle_MS</vt:lpstr>
      <vt:lpstr>galvanis_wiremesh_4mm</vt:lpstr>
      <vt:lpstr>genset_5kVA</vt:lpstr>
      <vt:lpstr>glazed_ceramic_20.25</vt:lpstr>
      <vt:lpstr>granite_floor_300x300</vt:lpstr>
      <vt:lpstr>granite_floor_300x600</vt:lpstr>
      <vt:lpstr>granite_floor_600x600</vt:lpstr>
      <vt:lpstr>granite_plint_tiles_100x300</vt:lpstr>
      <vt:lpstr>granite_plint_tiles_100x400</vt:lpstr>
      <vt:lpstr>granite_wall_400x400</vt:lpstr>
      <vt:lpstr>gravel</vt:lpstr>
      <vt:lpstr>Grendel_for_Door</vt:lpstr>
      <vt:lpstr>grendel_for_door_double_swing</vt:lpstr>
      <vt:lpstr>Grendel_for_WIndow</vt:lpstr>
      <vt:lpstr>grill_oil_pit</vt:lpstr>
      <vt:lpstr>gypsum_board_9mm</vt:lpstr>
      <vt:lpstr>hammer</vt:lpstr>
      <vt:lpstr>hand_bor_machine</vt:lpstr>
      <vt:lpstr>handrail_tangga</vt:lpstr>
      <vt:lpstr>haspel_dia1.2m_tinggi0.9m</vt:lpstr>
      <vt:lpstr>helper_juru_ukur</vt:lpstr>
      <vt:lpstr>helper_operator</vt:lpstr>
      <vt:lpstr>hinge_for_door</vt:lpstr>
      <vt:lpstr>hinge_for_window</vt:lpstr>
      <vt:lpstr>horizontal_frame_scaf</vt:lpstr>
      <vt:lpstr>hot_mix</vt:lpstr>
      <vt:lpstr>ijuk_kg</vt:lpstr>
      <vt:lpstr>installator</vt:lpstr>
      <vt:lpstr>insulation_test_equipment</vt:lpstr>
      <vt:lpstr>jack_base_scafollding</vt:lpstr>
      <vt:lpstr>jack_hammer</vt:lpstr>
      <vt:lpstr>jack_hydrolic</vt:lpstr>
      <vt:lpstr>jet_washer_setara_toto</vt:lpstr>
      <vt:lpstr>juru_ukur</vt:lpstr>
      <vt:lpstr>K_100</vt:lpstr>
      <vt:lpstr>K_100_2</vt:lpstr>
      <vt:lpstr>K_175</vt:lpstr>
      <vt:lpstr>K_225</vt:lpstr>
      <vt:lpstr>K_250</vt:lpstr>
      <vt:lpstr>K_300</vt:lpstr>
      <vt:lpstr>K_350</vt:lpstr>
      <vt:lpstr>K_500</vt:lpstr>
      <vt:lpstr>kabel_NYM_3x2.5</vt:lpstr>
      <vt:lpstr>kaca_bening_m2</vt:lpstr>
      <vt:lpstr>kansteen_10x20x60</vt:lpstr>
      <vt:lpstr>kansteen_25x30x50</vt:lpstr>
      <vt:lpstr>Kap_lampu_jalan_cobra_250W</vt:lpstr>
      <vt:lpstr>Kap_lampu_jalan_setara_philip_son.T.70W</vt:lpstr>
      <vt:lpstr>kawat_anyam</vt:lpstr>
      <vt:lpstr>kitchen_sink_stainless</vt:lpstr>
      <vt:lpstr>knee_0.5</vt:lpstr>
      <vt:lpstr>knee_1</vt:lpstr>
      <vt:lpstr>knee_2in</vt:lpstr>
      <vt:lpstr>knee_3</vt:lpstr>
      <vt:lpstr>knee_4in</vt:lpstr>
      <vt:lpstr>kran_cuci_piring</vt:lpstr>
      <vt:lpstr>kran_ledeng_standar</vt:lpstr>
      <vt:lpstr>kuas_rol</vt:lpstr>
      <vt:lpstr>kunci_tanam_pintu</vt:lpstr>
      <vt:lpstr>kusen_alumunium_m</vt:lpstr>
      <vt:lpstr>kusen_Kayu_Samarinda_m</vt:lpstr>
      <vt:lpstr>lampu_led_10_watt_philips</vt:lpstr>
      <vt:lpstr>lampu_LED_9_watt</vt:lpstr>
      <vt:lpstr>lampu_philip_250W</vt:lpstr>
      <vt:lpstr>lampu_SON.70.W_philip</vt:lpstr>
      <vt:lpstr>lampu_SON_T_150W</vt:lpstr>
      <vt:lpstr>lampu_sorot_250W</vt:lpstr>
      <vt:lpstr>lampu_TL_18_watt</vt:lpstr>
      <vt:lpstr>Langsir_material_bukit_atau_RAwa_0_500m_Kg</vt:lpstr>
      <vt:lpstr>Langsir_material_bukit_atau_RAwa_1000_1500m_Kg</vt:lpstr>
      <vt:lpstr>Langsir_material_bukit_atau_RAwa_500_1000m_Kg</vt:lpstr>
      <vt:lpstr>Langsir_material_datar_0_500m_Kg</vt:lpstr>
      <vt:lpstr>Langsir_material_datar_1000_1500m_Kg</vt:lpstr>
      <vt:lpstr>Langsir_material_datar_500_1000m_Kg</vt:lpstr>
      <vt:lpstr>Langsir_material_datar_dan_Klotok_0_500m_Kg</vt:lpstr>
      <vt:lpstr>Langsir_material_datar_dan_Klotok_1000_1500m_Kg</vt:lpstr>
      <vt:lpstr>Langsir_material_datar_dan_Klotok_500_1000m_Kg</vt:lpstr>
      <vt:lpstr>lansir_k_100</vt:lpstr>
      <vt:lpstr>lansir_k_225</vt:lpstr>
      <vt:lpstr>lansir_k300</vt:lpstr>
      <vt:lpstr>laporan_pengujian</vt:lpstr>
      <vt:lpstr>las_wire</vt:lpstr>
      <vt:lpstr>lavatory_basin_inc_spectacles</vt:lpstr>
      <vt:lpstr>lem_pipa</vt:lpstr>
      <vt:lpstr>linggis_ulir_dia_1.4in_1in</vt:lpstr>
      <vt:lpstr>list_profil_gypsum</vt:lpstr>
      <vt:lpstr>listplank_GRC</vt:lpstr>
      <vt:lpstr>louvre_frame_window</vt:lpstr>
      <vt:lpstr>main_frame_scaffolding_1.9m</vt:lpstr>
      <vt:lpstr>master_control_fire_alarm</vt:lpstr>
      <vt:lpstr>mechanic</vt:lpstr>
      <vt:lpstr>meranti_beam_5.7</vt:lpstr>
      <vt:lpstr>meranti_beam_6.12</vt:lpstr>
      <vt:lpstr>meranti_beam_8.12</vt:lpstr>
      <vt:lpstr>mesin_press_day</vt:lpstr>
      <vt:lpstr>minyak_bekisting</vt:lpstr>
      <vt:lpstr>mobile_unit_powder_fire_extinghuister</vt:lpstr>
      <vt:lpstr>molen_mechine_0.5m3day</vt:lpstr>
      <vt:lpstr>nail</vt:lpstr>
      <vt:lpstr>nail_asbestos</vt:lpstr>
      <vt:lpstr>nail_drat</vt:lpstr>
      <vt:lpstr>nail_screw</vt:lpstr>
      <vt:lpstr>naturally_paint_menibesi</vt:lpstr>
      <vt:lpstr>naturally_paint_menikayu</vt:lpstr>
      <vt:lpstr>nok_onduline</vt:lpstr>
      <vt:lpstr>nok_spandek_colorbond</vt:lpstr>
      <vt:lpstr>nok_standar_hiten</vt:lpstr>
      <vt:lpstr>oil_machine</vt:lpstr>
      <vt:lpstr>oil_machine_hidrolis</vt:lpstr>
      <vt:lpstr>operator</vt:lpstr>
      <vt:lpstr>Operator_mesin_stringing</vt:lpstr>
      <vt:lpstr>Pahat_besi_beton_ujung_lancip</vt:lpstr>
      <vt:lpstr>paint_steel</vt:lpstr>
      <vt:lpstr>paint_wall_emulsi</vt:lpstr>
      <vt:lpstr>paint_wall_watershield</vt:lpstr>
      <vt:lpstr>paint_wooden</vt:lpstr>
      <vt:lpstr>paint_worker</vt:lpstr>
      <vt:lpstr>paint_worker_chief</vt:lpstr>
      <vt:lpstr>palm_fibre</vt:lpstr>
      <vt:lpstr>panel_acoustic</vt:lpstr>
      <vt:lpstr>panel_box_MCB</vt:lpstr>
      <vt:lpstr>PC</vt:lpstr>
      <vt:lpstr>PC_Color</vt:lpstr>
      <vt:lpstr>pelumas_alat_berat</vt:lpstr>
      <vt:lpstr>penangkal_petir_radius_125_setara_thomas</vt:lpstr>
      <vt:lpstr>pile_connection</vt:lpstr>
      <vt:lpstr>pile_driver_hammer_hour</vt:lpstr>
      <vt:lpstr>pintu_swing_BRC_single_1.5m_l_2.4m</vt:lpstr>
      <vt:lpstr>Pipa_GIP_2in_6m</vt:lpstr>
      <vt:lpstr>Pipa_GIP_sambungan2_unit</vt:lpstr>
      <vt:lpstr>pipa_tape</vt:lpstr>
      <vt:lpstr>pipe_concrete_30cm</vt:lpstr>
      <vt:lpstr>pipe_tremi</vt:lpstr>
      <vt:lpstr>plafon_luar_lambersiring_and_installation</vt:lpstr>
      <vt:lpstr>plafond_asbes_m2</vt:lpstr>
      <vt:lpstr>plafond_main.tee</vt:lpstr>
      <vt:lpstr>plain_meranti_2.20</vt:lpstr>
      <vt:lpstr>plamur_wall</vt:lpstr>
      <vt:lpstr>plamur_wood</vt:lpstr>
      <vt:lpstr>plank_meranti_3.20</vt:lpstr>
      <vt:lpstr>plastic_terpal_m2</vt:lpstr>
      <vt:lpstr>plumber</vt:lpstr>
      <vt:lpstr>plumber_chief</vt:lpstr>
      <vt:lpstr>plywood_12mm</vt:lpstr>
      <vt:lpstr>plywood_18mm</vt:lpstr>
      <vt:lpstr>plywood_4mm</vt:lpstr>
      <vt:lpstr>plywood_9mm</vt:lpstr>
      <vt:lpstr>pohon_mangga_tinggi_50_70</vt:lpstr>
      <vt:lpstr>Pompa_submersible_cap_150.ltr_menit_unit</vt:lpstr>
      <vt:lpstr>portable_fire_extinghuiser</vt:lpstr>
      <vt:lpstr>portable_type_6kg</vt:lpstr>
      <vt:lpstr>Profil_IWF</vt:lpstr>
      <vt:lpstr>Profil_kanal</vt:lpstr>
      <vt:lpstr>profil_siku_kg</vt:lpstr>
      <vt:lpstr>pully</vt:lpstr>
      <vt:lpstr>pupuk_kandang_7kg</vt:lpstr>
      <vt:lpstr>pvc_dia0.5</vt:lpstr>
      <vt:lpstr>pvc_dia1</vt:lpstr>
      <vt:lpstr>pvc_dia2</vt:lpstr>
      <vt:lpstr>pvc_dia3</vt:lpstr>
      <vt:lpstr>pvc_dia4</vt:lpstr>
      <vt:lpstr>pvc_dia6</vt:lpstr>
      <vt:lpstr>raised_floor</vt:lpstr>
      <vt:lpstr>Rangka_Plafond_besi_Hollow_Galvanis_m2</vt:lpstr>
      <vt:lpstr>red_brick</vt:lpstr>
      <vt:lpstr>roofing_klip_lock</vt:lpstr>
      <vt:lpstr>roofing_Onduline_sheet</vt:lpstr>
      <vt:lpstr>roofing_spandek_colorbond</vt:lpstr>
      <vt:lpstr>rope_fiber</vt:lpstr>
      <vt:lpstr>roster_22.22</vt:lpstr>
      <vt:lpstr>rumput_gajah_mini</vt:lpstr>
      <vt:lpstr>sagging_equipment</vt:lpstr>
      <vt:lpstr>saklar_double_brocco</vt:lpstr>
      <vt:lpstr>saklar_fourth_clipsal_classic</vt:lpstr>
      <vt:lpstr>saklar_triple_clipsal_classic</vt:lpstr>
      <vt:lpstr>saklar_tunggal</vt:lpstr>
      <vt:lpstr>sand</vt:lpstr>
      <vt:lpstr>sand_beton</vt:lpstr>
      <vt:lpstr>sand_cone_test</vt:lpstr>
      <vt:lpstr>sand_pasang</vt:lpstr>
      <vt:lpstr>sand_urug</vt:lpstr>
      <vt:lpstr>self_drilling_screw_dia.4</vt:lpstr>
      <vt:lpstr>self_drilling_screw_dia.6</vt:lpstr>
      <vt:lpstr>serat_fiber</vt:lpstr>
      <vt:lpstr>sewa_Klotok_per_day</vt:lpstr>
      <vt:lpstr>singkup</vt:lpstr>
      <vt:lpstr>single_gate_BRC_h1.9m_l1.1m</vt:lpstr>
      <vt:lpstr>sirtu</vt:lpstr>
      <vt:lpstr>skill_worker</vt:lpstr>
      <vt:lpstr>sling</vt:lpstr>
      <vt:lpstr>sling_day</vt:lpstr>
      <vt:lpstr>smoke_detector</vt:lpstr>
      <vt:lpstr>soil</vt:lpstr>
      <vt:lpstr>soil_tes_laboratorium</vt:lpstr>
      <vt:lpstr>Soil_test_boring</vt:lpstr>
      <vt:lpstr>soil_test_sondir</vt:lpstr>
      <vt:lpstr>solar_industri</vt:lpstr>
      <vt:lpstr>spiral_staircase</vt:lpstr>
      <vt:lpstr>split_1.2</vt:lpstr>
      <vt:lpstr>split_2.3</vt:lpstr>
      <vt:lpstr>split_3.5</vt:lpstr>
      <vt:lpstr>squatting_water_closed_complete</vt:lpstr>
      <vt:lpstr>stamper</vt:lpstr>
      <vt:lpstr>steel_chisel</vt:lpstr>
      <vt:lpstr>steel_folding_door_m2</vt:lpstr>
      <vt:lpstr>steel_pipe_2in_6m</vt:lpstr>
      <vt:lpstr>steel_pipe_3in_6m</vt:lpstr>
      <vt:lpstr>steel_saw</vt:lpstr>
      <vt:lpstr>steel_worker</vt:lpstr>
      <vt:lpstr>steel_worker_chief</vt:lpstr>
      <vt:lpstr>steel_worker_erection</vt:lpstr>
      <vt:lpstr>stepnosing_100x400</vt:lpstr>
      <vt:lpstr>stop_kontak</vt:lpstr>
      <vt:lpstr>stop_kontak_include_install_wiring</vt:lpstr>
      <vt:lpstr>stringing_equipment</vt:lpstr>
      <vt:lpstr>stringing_worker</vt:lpstr>
      <vt:lpstr>sumur_bor_per_m</vt:lpstr>
      <vt:lpstr>supervisor</vt:lpstr>
      <vt:lpstr>supervisor_Asli</vt:lpstr>
      <vt:lpstr>support_equipment_key.safety_belt</vt:lpstr>
      <vt:lpstr>supporting_earthing_device</vt:lpstr>
      <vt:lpstr>supporting_equip_welder_cutting</vt:lpstr>
      <vt:lpstr>surveyor</vt:lpstr>
      <vt:lpstr>T.L_2x36W_include_armateur</vt:lpstr>
      <vt:lpstr>T.L_36W_include_armateur</vt:lpstr>
      <vt:lpstr>T.L_CDL_E27_23W</vt:lpstr>
      <vt:lpstr>T.L_CDL_E27_8W</vt:lpstr>
      <vt:lpstr>talang_jurai_zincalume</vt:lpstr>
      <vt:lpstr>tanah_humus</vt:lpstr>
      <vt:lpstr>tanaman_teh</vt:lpstr>
      <vt:lpstr>tandem_roller</vt:lpstr>
      <vt:lpstr>teakwood_double_door</vt:lpstr>
      <vt:lpstr>technician</vt:lpstr>
      <vt:lpstr>tepung_gypsum</vt:lpstr>
      <vt:lpstr>theodolit</vt:lpstr>
      <vt:lpstr>thinner</vt:lpstr>
      <vt:lpstr>tiang_BRC_1.2</vt:lpstr>
      <vt:lpstr>tiang_BRC_1.5</vt:lpstr>
      <vt:lpstr>tiang_BRC_1.9</vt:lpstr>
      <vt:lpstr>tiang_lampu_octogonal_6m</vt:lpstr>
      <vt:lpstr>tiang_lampu_octogonal_9m</vt:lpstr>
      <vt:lpstr>tiang_pancang_m</vt:lpstr>
      <vt:lpstr>tripod</vt:lpstr>
      <vt:lpstr>tripod_7m</vt:lpstr>
      <vt:lpstr>truc_crane_35t_day</vt:lpstr>
      <vt:lpstr>Truck_crane_cap_5t_hour</vt:lpstr>
      <vt:lpstr>U_ditch_1000.1000</vt:lpstr>
      <vt:lpstr>U_ditch_1000.1200</vt:lpstr>
      <vt:lpstr>U_ditch_1200.1200</vt:lpstr>
      <vt:lpstr>U_ditch_400.400_1.2m</vt:lpstr>
      <vt:lpstr>U_ditch_600.600</vt:lpstr>
      <vt:lpstr>U_ditch_800.800</vt:lpstr>
      <vt:lpstr>urinoir</vt:lpstr>
      <vt:lpstr>valve_1_in</vt:lpstr>
      <vt:lpstr>vibro_roller</vt:lpstr>
      <vt:lpstr>vynyl_lantai_kayu_jati_kw1_inc_installation_m2</vt:lpstr>
      <vt:lpstr>wash_basin</vt:lpstr>
      <vt:lpstr>water</vt:lpstr>
      <vt:lpstr>water_jet_pump_DAB</vt:lpstr>
      <vt:lpstr>water_pump_30_m3</vt:lpstr>
      <vt:lpstr>water_torn_2m3</vt:lpstr>
      <vt:lpstr>water_truck_2jam_hari</vt:lpstr>
      <vt:lpstr>waterproofing</vt:lpstr>
      <vt:lpstr>welder</vt:lpstr>
      <vt:lpstr>welding_machine_day</vt:lpstr>
      <vt:lpstr>winch_manchine_cap_3_5_ton_day</vt:lpstr>
      <vt:lpstr>wind_hook_for_window</vt:lpstr>
      <vt:lpstr>window_glass.frame.alumunium</vt:lpstr>
      <vt:lpstr>wiremesh_M5_lembar</vt:lpstr>
      <vt:lpstr>wiremesh_M6_2.1m_54m_rol</vt:lpstr>
      <vt:lpstr>wooden</vt:lpstr>
      <vt:lpstr>worker</vt:lpstr>
      <vt:lpstr>zinc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Ilham Hussein Rasyid</dc:creator>
  <cp:lastModifiedBy>PT.PPN</cp:lastModifiedBy>
  <cp:lastPrinted>2017-09-11T06:31:18Z</cp:lastPrinted>
  <dcterms:created xsi:type="dcterms:W3CDTF">2017-03-20T07:37:20Z</dcterms:created>
  <dcterms:modified xsi:type="dcterms:W3CDTF">2017-11-24T04:33:25Z</dcterms:modified>
</cp:coreProperties>
</file>